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3.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6.xml" ContentType="application/vnd.openxmlformats-officedocument.drawing+xml"/>
  <Override PartName="/xl/tables/table2.xml" ContentType="application/vnd.openxmlformats-officedocument.spreadsheetml.table+xml"/>
  <Override PartName="/xl/ink/ink1.xml" ContentType="application/inkml+xml"/>
  <Override PartName="/xl/drawings/drawing7.xml" ContentType="application/vnd.openxmlformats-officedocument.drawing+xml"/>
  <Override PartName="/xl/ink/ink2.xml" ContentType="application/inkml+xml"/>
  <Override PartName="/xl/ink/ink3.xml" ContentType="application/inkml+xml"/>
  <Override PartName="/xl/ink/ink4.xml" ContentType="application/inkml+xml"/>
  <Override PartName="/xl/drawings/drawing8.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2.xml" ContentType="application/vnd.openxmlformats-officedocument.spreadsheetml.comments+xml"/>
  <Override PartName="/xl/ink/ink5.xml" ContentType="application/inkml+xml"/>
  <Override PartName="/xl/calcChain.xml" ContentType="application/vnd.openxmlformats-officedocument.spreadsheetml.calcChain+xml"/>
  <Override PartName="/customXml/itemProps1.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updateLinks="never" codeName="ThisWorkbook" defaultThemeVersion="166925"/>
  <mc:AlternateContent xmlns:mc="http://schemas.openxmlformats.org/markup-compatibility/2006">
    <mc:Choice Requires="x15">
      <x15ac:absPath xmlns:x15ac="http://schemas.microsoft.com/office/spreadsheetml/2010/11/ac" url="C:\Users\Mike\OneDrive\Local Disk\Red Sleigh\Ebook - July 2023\"/>
    </mc:Choice>
  </mc:AlternateContent>
  <xr:revisionPtr revIDLastSave="0" documentId="8_{58BAE704-A571-4A0A-B090-03CDB749A6CA}" xr6:coauthVersionLast="47" xr6:coauthVersionMax="47" xr10:uidLastSave="{00000000-0000-0000-0000-000000000000}"/>
  <bookViews>
    <workbookView xWindow="-110" yWindow="-110" windowWidth="22780" windowHeight="14540" tabRatio="555" activeTab="2" xr2:uid="{5EE64812-38A6-4631-81EB-BB2DC5F2FF18}"/>
  </bookViews>
  <sheets>
    <sheet name="Dashboard" sheetId="39" r:id="rId1"/>
    <sheet name="Digital Life Span" sheetId="34" r:id="rId2"/>
    <sheet name="Daily" sheetId="35" r:id="rId3"/>
    <sheet name="Raw Data" sheetId="31" r:id="rId4"/>
    <sheet name="Pivot" sheetId="42" r:id="rId5"/>
    <sheet name="Milestones" sheetId="37" r:id="rId6"/>
    <sheet name="Ideas.Goals" sheetId="3" r:id="rId7"/>
    <sheet name="Ekim (2018.2021)" sheetId="10" state="hidden" r:id="rId8"/>
  </sheets>
  <externalReferences>
    <externalReference r:id="rId9"/>
  </externalReferences>
  <definedNames>
    <definedName name="_xlnm._FilterDatabase" localSheetId="2" hidden="1">Daily!$J$37:$P$70</definedName>
    <definedName name="_Order1" hidden="1">255</definedName>
    <definedName name="_xlcn.WorksheetConnection_LifeCalendarJan2023.1.14.23.xlsxTable2" hidden="1">Stats[]</definedName>
    <definedName name="_xlcn.WorksheetConnection_SnacksSalesDashboard_FINAL.xlsxcalendar" hidden="1">#REF!</definedName>
    <definedName name="_xlcn.WorksheetConnection_SnacksSalesDashboard_FINAL.xlsxcalendar1" hidden="1">[1]!calendar[#Data]</definedName>
    <definedName name="_xlcn.WorksheetConnection_SnacksSalesDashboard_FINAL.xlsxCustomers" hidden="1">#REF!</definedName>
    <definedName name="_xlcn.WorksheetConnection_SnacksSalesDashboard_FINAL.xlsxCustomers1" hidden="1">[1]!Customers[#Data]</definedName>
    <definedName name="_xlcn.WorksheetConnection_SnacksSalesDashboard_FINAL.xlsxproducts" hidden="1">#REF!</definedName>
    <definedName name="_xlcn.WorksheetConnection_SnacksSalesDashboard_FINAL.xlsxproducts1" hidden="1">[1]!products[#Data]</definedName>
    <definedName name="_xlcn.WorksheetConnection_SnacksSalesDashboard_FINAL.xlsxstores" hidden="1">#REF!</definedName>
    <definedName name="_xlcn.WorksheetConnection_SnacksSalesDashboard_FINAL.xlsxstores1" hidden="1">[1]!stores[#Data]</definedName>
    <definedName name="Add_Pay" localSheetId="7">OFFSET(#REF!,2,0,MAX(#REF!:#REF!),1)</definedName>
    <definedName name="Add_Pay">OFFSET(#REF!,2,0,MAX(#REF!:#REF!),1)</definedName>
    <definedName name="Balance" localSheetId="7">OFFSET(#REF!,2,0,MAX(#REF!:#REF!),1)</definedName>
    <definedName name="Balance">OFFSET(#REF!,2,0,MAX(#REF!:#REF!),1)</definedName>
    <definedName name="BOMs">#REF!</definedName>
    <definedName name="BypassRank">#REF!</definedName>
    <definedName name="Cash_Bal" localSheetId="7">OFFSET(#REF!,2,0,MAX(#REF!:#REF!),1)</definedName>
    <definedName name="Cash_Bal">OFFSET(#REF!,2,0,MAX(#REF!:#REF!),1)</definedName>
    <definedName name="ColumnTitle1">" "</definedName>
    <definedName name="CY_Goal">#REF!</definedName>
    <definedName name="CY_Plan">#REF!</definedName>
    <definedName name="Data">#REF!</definedName>
    <definedName name="Day">#REF!</definedName>
    <definedName name="Day_01" localSheetId="0">Daily!$B$3:$H$32</definedName>
    <definedName name="Day_01" localSheetId="7">#REF!</definedName>
    <definedName name="Day_01">Daily!$B$3:$H$32</definedName>
    <definedName name="Day_02" localSheetId="7">#REF!</definedName>
    <definedName name="Day_02">Daily!$J$3:$P$32</definedName>
    <definedName name="Day_03" localSheetId="7">#REF!</definedName>
    <definedName name="Day_03">Daily!$B$38:$H$67</definedName>
    <definedName name="Day_04" localSheetId="7">#REF!</definedName>
    <definedName name="Day_04">Daily!$J$38:$P$67</definedName>
    <definedName name="Day_05" localSheetId="7">#REF!</definedName>
    <definedName name="Day_05">Daily!$B$73:$H$102</definedName>
    <definedName name="Day_06" localSheetId="7">#REF!</definedName>
    <definedName name="Day_06">Daily!$J$73:$P$102</definedName>
    <definedName name="Day_07" localSheetId="7">#REF!</definedName>
    <definedName name="Day_07">Daily!$B$108:$H$137</definedName>
    <definedName name="Day_08" localSheetId="7">#REF!</definedName>
    <definedName name="Day_08">Daily!$J$108:$P$137</definedName>
    <definedName name="Day_09" localSheetId="7">#REF!</definedName>
    <definedName name="Day_09">Daily!$B$143:$H$172</definedName>
    <definedName name="Day_10" localSheetId="7">#REF!</definedName>
    <definedName name="Day_10">Daily!$J$143:$P$172</definedName>
    <definedName name="Day_11" localSheetId="7">#REF!</definedName>
    <definedName name="Day_12" localSheetId="7">#REF!</definedName>
    <definedName name="Day_13" localSheetId="7">#REF!</definedName>
    <definedName name="Day_14" localSheetId="7">#REF!</definedName>
    <definedName name="Day_15" localSheetId="7">#REF!</definedName>
    <definedName name="Day_16" localSheetId="7">#REF!</definedName>
    <definedName name="Day_17" localSheetId="7">#REF!</definedName>
    <definedName name="Day_18" localSheetId="7">#REF!</definedName>
    <definedName name="Day_19" localSheetId="7">#REF!</definedName>
    <definedName name="Day_20" localSheetId="7">#REF!</definedName>
    <definedName name="Day_21" localSheetId="7">#REF!</definedName>
    <definedName name="Day_22" localSheetId="7">#REF!</definedName>
    <definedName name="Day_23" localSheetId="7">#REF!</definedName>
    <definedName name="Day_24" localSheetId="7">#REF!</definedName>
    <definedName name="Day_25" localSheetId="7">#REF!</definedName>
    <definedName name="Day_26" localSheetId="7">#REF!</definedName>
    <definedName name="Day_27" localSheetId="7">#REF!</definedName>
    <definedName name="Day_28" localSheetId="7">#REF!</definedName>
    <definedName name="Day_29" localSheetId="7">#REF!</definedName>
    <definedName name="Day_30" localSheetId="7">#REF!</definedName>
    <definedName name="Day_31" localSheetId="7">#REF!</definedName>
    <definedName name="Day_8">Daily!$J$108:$P$137</definedName>
    <definedName name="DayOfWeek">#REF!</definedName>
    <definedName name="dec_01">#REF!</definedName>
    <definedName name="dec_02">#REF!</definedName>
    <definedName name="dec_10">#REF!</definedName>
    <definedName name="dec_11">#REF!</definedName>
    <definedName name="dec_12">#REF!</definedName>
    <definedName name="dec_13">#REF!</definedName>
    <definedName name="dec_14">#REF!</definedName>
    <definedName name="dec_15">#REF!</definedName>
    <definedName name="dec_16">#REF!</definedName>
    <definedName name="dec_17">#REF!</definedName>
    <definedName name="dec_18">#REF!</definedName>
    <definedName name="dec_19">#REF!</definedName>
    <definedName name="dec_20">#REF!</definedName>
    <definedName name="dec_21">#REF!</definedName>
    <definedName name="dec_22">#REF!</definedName>
    <definedName name="dec_23">#REF!</definedName>
    <definedName name="dec_24">#REF!</definedName>
    <definedName name="dec_25">#REF!</definedName>
    <definedName name="dec_26">#REF!</definedName>
    <definedName name="dec_27">#REF!</definedName>
    <definedName name="dec_28">#REF!</definedName>
    <definedName name="dec_29">#REF!</definedName>
    <definedName name="dec_3">#REF!</definedName>
    <definedName name="dec_30">#REF!</definedName>
    <definedName name="dec_31">#REF!</definedName>
    <definedName name="dec_4">#REF!</definedName>
    <definedName name="dec_5">#REF!</definedName>
    <definedName name="dec_6">#REF!</definedName>
    <definedName name="dec_7">#REF!</definedName>
    <definedName name="dec_8">#REF!</definedName>
    <definedName name="dec_9">#REF!</definedName>
    <definedName name="DeptSelection">#REF!</definedName>
    <definedName name="DeptTable">#REF!</definedName>
    <definedName name="DeptTableDal">#REF!</definedName>
    <definedName name="DirectorID">#REF!</definedName>
    <definedName name="DirectorsID">#REF!</definedName>
    <definedName name="DirectorsTarget">#REF!</definedName>
    <definedName name="DivisionTableMF">#REF!</definedName>
    <definedName name="Done" localSheetId="7">#REF!,#REF!,#REF!,#REF!,#REF!,#REF!,#REF!,#REF!,#REF!,#REF!,#REF!,#REF!</definedName>
    <definedName name="Done">#REF!,#REF!,#REF!,#REF!,#REF!,#REF!,#REF!,#REF!,#REF!,#REF!,#REF!,#REF!</definedName>
    <definedName name="Done_Apr">#REF!</definedName>
    <definedName name="Done_Aug">#REF!</definedName>
    <definedName name="Done_Dec">#REF!</definedName>
    <definedName name="Done_Feb">#REF!</definedName>
    <definedName name="Done_Jan">#REF!</definedName>
    <definedName name="Done_Jul">#REF!</definedName>
    <definedName name="Done_Jun">#REF!</definedName>
    <definedName name="Done_Mar">#REF!</definedName>
    <definedName name="Done_May">#REF!</definedName>
    <definedName name="Done_Nov">#REF!</definedName>
    <definedName name="Done_Oct">#REF!</definedName>
    <definedName name="Done_Sep">#REF!</definedName>
    <definedName name="EssUser">#REF!</definedName>
    <definedName name="Formulas">#REF!</definedName>
    <definedName name="HTML_CodePage" hidden="1">1252</definedName>
    <definedName name="HTML_Description" hidden="1">""</definedName>
    <definedName name="HTML_Email" hidden="1">""</definedName>
    <definedName name="HTML_Header" hidden="1">"EquivUnits"</definedName>
    <definedName name="HTML_LastUpdate" hidden="1">"12/29/1999"</definedName>
    <definedName name="HTML_LineAfter" hidden="1">FALSE</definedName>
    <definedName name="HTML_LineBefore" hidden="1">FALSE</definedName>
    <definedName name="HTML_Name" hidden="1">"grich00"</definedName>
    <definedName name="HTML_OBDlg2" hidden="1">TRUE</definedName>
    <definedName name="HTML_OBDlg4" hidden="1">TRUE</definedName>
    <definedName name="HTML_OS" hidden="1">0</definedName>
    <definedName name="HTML_PathFile" hidden="1">"G:\finance\2000Plan\Equivalent.htm"</definedName>
    <definedName name="HTML_Title" hidden="1">"equiv"</definedName>
    <definedName name="InputDivTable">#REF!</definedName>
    <definedName name="Int_payment" localSheetId="7">OFFSET(#REF!,2,0,MAX(#REF!:#REF!),1)</definedName>
    <definedName name="Int_payment">OFFSET(#REF!,2,0,MAX(#REF!:#REF!),1)</definedName>
    <definedName name="LastOJI">#REF!</definedName>
    <definedName name="LifeDigital">#REF!</definedName>
    <definedName name="Lifespan">'Digital Life Span'!$A$2:$BD$109</definedName>
    <definedName name="Limit" localSheetId="7">OFFSET(#REF!,2,0,MAX(#REF!:#REF!),1)</definedName>
    <definedName name="Limit">OFFSET(#REF!,2,0,MAX(#REF!:#REF!),1)</definedName>
    <definedName name="machine">#REF!</definedName>
    <definedName name="Min_Pay" localSheetId="7">OFFSET(#REF!,2,0,MAX(#REF!:#REF!),1)</definedName>
    <definedName name="Min_Pay">OFFSET(#REF!,2,0,MAX(#REF!:#REF!),1)</definedName>
    <definedName name="nov_30">#REF!</definedName>
    <definedName name="nrBowlSheetType">#REF!</definedName>
    <definedName name="nrEntityLookUp">#REF!</definedName>
    <definedName name="nrOrgList">#REF!</definedName>
    <definedName name="nrValidEntities">#REF!</definedName>
    <definedName name="nrValidTransEntities">#REF!</definedName>
    <definedName name="nrWeekList" localSheetId="7">#REF!</definedName>
    <definedName name="nrWeekList">#REF!</definedName>
    <definedName name="NumWeeks">#REF!</definedName>
    <definedName name="NY_Act">#REF!</definedName>
    <definedName name="OrgSelection">#REF!</definedName>
    <definedName name="OrgSelectionInput">#REF!</definedName>
    <definedName name="OrgTable">#REF!</definedName>
    <definedName name="P13_4Weeks">#REF!</definedName>
    <definedName name="Pay" localSheetId="7">IF(#REF!="Minimum Only",1,0)</definedName>
    <definedName name="Pay">IF(#REF!="Minimum Only",1,0)</definedName>
    <definedName name="PPI" localSheetId="7">IF(#REF!="From Balance",TRUE,FALSE)</definedName>
    <definedName name="PPI">IF(#REF!="From Balance",TRUE,FALSE)</definedName>
    <definedName name="Principal" localSheetId="7">OFFSET(#REF!,2,0,MAX(#REF!:#REF!),1)</definedName>
    <definedName name="Principal">OFFSET(#REF!,2,0,MAX(#REF!:#REF!),1)</definedName>
    <definedName name="PriorYear">#REF!</definedName>
    <definedName name="process">#REF!</definedName>
    <definedName name="processmachine">#REF!</definedName>
    <definedName name="ProductionLineup">#REF!</definedName>
    <definedName name="Purchases" localSheetId="7">OFFSET(#REF!,2,0,MAX(#REF!:#REF!),1)</definedName>
    <definedName name="Purchases">OFFSET(#REF!,2,0,MAX(#REF!:#REF!),1)</definedName>
    <definedName name="QPRScenario">#REF!</definedName>
    <definedName name="Resource">#REF!</definedName>
    <definedName name="RetrieveRange">#REF!</definedName>
    <definedName name="route">#REF!</definedName>
    <definedName name="Row">#REF!</definedName>
    <definedName name="Slicer_Wk">#N/A</definedName>
    <definedName name="Slicer_Year">#N/A</definedName>
    <definedName name="T_Interest" localSheetId="7">IF('Ekim (2018.2021)'!Pay=1,0,#REF!)</definedName>
    <definedName name="T_Interest">IF(Pay=1,0,#REF!)</definedName>
    <definedName name="Total_Paid" localSheetId="7">SUM(#REF!)</definedName>
    <definedName name="Total_Paid">SUM(#REF!)</definedName>
    <definedName name="Total_Units_Shipped" localSheetId="7">RetrieveRange+#REF!</definedName>
    <definedName name="Total_Units_Shipped">RetrieveRange+#REF!</definedName>
    <definedName name="txtLocation">"TextBox1"</definedName>
    <definedName name="txtPath">"TextBox3"</definedName>
    <definedName name="txtType">"TextBox2"</definedName>
    <definedName name="User_Dept">#REF!</definedName>
    <definedName name="User_Org">#REF!</definedName>
    <definedName name="Version">#REF!</definedName>
    <definedName name="Week">#REF!</definedName>
    <definedName name="WorkweekHours">#REF!</definedName>
    <definedName name="Year">#REF!</definedName>
  </definedNames>
  <calcPr calcId="191028"/>
  <pivotCaches>
    <pivotCache cacheId="0" r:id="rId10"/>
  </pivotCaches>
  <extLs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tores-2978cd7e-4f8f-4798-93a0-08fdcc7e72b6" name="stores" connection="WorksheetConnection_SnacksSalesDashboard_FINAL.xlsx!stores"/>
          <x15:modelTable id="products-bfc923d4-6fc1-46d7-9a6e-1e9ca39c8282" name="products" connection="WorksheetConnection_SnacksSalesDashboard_FINAL.xlsx!products"/>
          <x15:modelTable id="Customers-fb2a6475-eb0e-466f-a286-a4c9dd4c3543" name="Customers" connection="WorksheetConnection_SnacksSalesDashboard_FINAL.xlsx!Customers"/>
          <x15:modelTable id="calendar-6dd3ce5a-0203-4505-a89c-99532c8fd97d" name="calendar" connection="WorksheetConnection_SnacksSalesDashboard_FINAL.xlsx!calendar"/>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 i="39" l="1"/>
  <c r="AF2" i="31"/>
  <c r="R5" i="39"/>
  <c r="AE2" i="31"/>
  <c r="AE9" i="31"/>
  <c r="AE10" i="31"/>
  <c r="AE11" i="31"/>
  <c r="AE12" i="31"/>
  <c r="AE13" i="31"/>
  <c r="AE14" i="31"/>
  <c r="AE15" i="31"/>
  <c r="AE16" i="31"/>
  <c r="AE17" i="31"/>
  <c r="AE18" i="31"/>
  <c r="AE19" i="31"/>
  <c r="AE20" i="31"/>
  <c r="AE21" i="31"/>
  <c r="AE22" i="31"/>
  <c r="AE23" i="31"/>
  <c r="AE3" i="31"/>
  <c r="AE4" i="31"/>
  <c r="AE5" i="31"/>
  <c r="AE6" i="31"/>
  <c r="AE7" i="31"/>
  <c r="AE8" i="31"/>
  <c r="AH7" i="31"/>
  <c r="D10" i="31"/>
  <c r="B3" i="37" s="1"/>
  <c r="D3" i="31"/>
  <c r="E3" i="31" s="1"/>
  <c r="B2" i="35"/>
  <c r="J2" i="35" s="1"/>
  <c r="B37" i="35" s="1"/>
  <c r="J37" i="35" s="1"/>
  <c r="B72" i="35" s="1"/>
  <c r="J72" i="35" s="1"/>
  <c r="B107" i="35" s="1"/>
  <c r="J107" i="35" s="1"/>
  <c r="B142" i="35" s="1"/>
  <c r="J142" i="35" s="1"/>
  <c r="AA16" i="31"/>
  <c r="Y16" i="31"/>
  <c r="X16" i="31"/>
  <c r="W16" i="31"/>
  <c r="AA15" i="31"/>
  <c r="Y15" i="31"/>
  <c r="X15" i="31"/>
  <c r="W15" i="31"/>
  <c r="AA14" i="31"/>
  <c r="Z14" i="31"/>
  <c r="Y14" i="31"/>
  <c r="X14" i="31"/>
  <c r="W14" i="31"/>
  <c r="AA13" i="31"/>
  <c r="Y13" i="31"/>
  <c r="W13" i="31"/>
  <c r="AA12" i="31"/>
  <c r="Y12" i="31"/>
  <c r="X12" i="31"/>
  <c r="W12" i="31"/>
  <c r="AA11" i="31"/>
  <c r="Y11" i="31"/>
  <c r="X11" i="31"/>
  <c r="W11" i="31"/>
  <c r="AA9" i="31"/>
  <c r="Y9" i="31"/>
  <c r="X9" i="31"/>
  <c r="W9" i="31"/>
  <c r="AA8" i="31"/>
  <c r="Y8" i="31"/>
  <c r="X8" i="31"/>
  <c r="W8" i="31"/>
  <c r="AA7" i="31"/>
  <c r="Y7" i="31"/>
  <c r="X7" i="31"/>
  <c r="W7" i="31"/>
  <c r="AA6" i="31"/>
  <c r="Y6" i="31"/>
  <c r="W6" i="31"/>
  <c r="X6" i="31" s="1"/>
  <c r="AA5" i="31"/>
  <c r="Z5" i="31"/>
  <c r="Y5" i="31"/>
  <c r="X5" i="31"/>
  <c r="W5" i="31"/>
  <c r="AA4" i="31"/>
  <c r="Z4" i="31"/>
  <c r="Y4" i="31"/>
  <c r="X4" i="31"/>
  <c r="W4" i="31"/>
  <c r="AA3" i="31"/>
  <c r="Y3" i="31"/>
  <c r="X3" i="31"/>
  <c r="W3" i="31"/>
  <c r="N161" i="35"/>
  <c r="O161" i="35"/>
  <c r="N160" i="35"/>
  <c r="N159" i="35"/>
  <c r="N158" i="35"/>
  <c r="L146" i="35"/>
  <c r="L147" i="35"/>
  <c r="N144" i="35"/>
  <c r="F161" i="35"/>
  <c r="F160" i="35"/>
  <c r="F159" i="35"/>
  <c r="F158" i="35"/>
  <c r="G161" i="35"/>
  <c r="D146" i="35"/>
  <c r="D147" i="35"/>
  <c r="F144" i="35"/>
  <c r="N126" i="35"/>
  <c r="N125" i="35"/>
  <c r="N124" i="35"/>
  <c r="N123" i="35"/>
  <c r="O126" i="35"/>
  <c r="L111" i="35"/>
  <c r="L112" i="35"/>
  <c r="N109" i="35"/>
  <c r="F126" i="35"/>
  <c r="F125" i="35"/>
  <c r="F124" i="35"/>
  <c r="F123" i="35"/>
  <c r="G126" i="35"/>
  <c r="D111" i="35"/>
  <c r="D112" i="35"/>
  <c r="F109" i="35"/>
  <c r="N91" i="35"/>
  <c r="N90" i="35"/>
  <c r="N89" i="35"/>
  <c r="N88" i="35"/>
  <c r="O91" i="35"/>
  <c r="L76" i="35"/>
  <c r="L77" i="35"/>
  <c r="N74" i="35"/>
  <c r="F91" i="35"/>
  <c r="F90" i="35"/>
  <c r="F89" i="35"/>
  <c r="F88" i="35"/>
  <c r="G91" i="35"/>
  <c r="D76" i="35"/>
  <c r="D77" i="35"/>
  <c r="F74" i="35"/>
  <c r="N56" i="35"/>
  <c r="N55" i="35"/>
  <c r="N54" i="35"/>
  <c r="N53" i="35"/>
  <c r="O56" i="35"/>
  <c r="L41" i="35"/>
  <c r="L42" i="35"/>
  <c r="N39" i="35"/>
  <c r="F56" i="35"/>
  <c r="F55" i="35"/>
  <c r="F54" i="35"/>
  <c r="F53" i="35"/>
  <c r="G56" i="35"/>
  <c r="D41" i="35"/>
  <c r="D42" i="35"/>
  <c r="F39" i="35"/>
  <c r="N21" i="35"/>
  <c r="N20" i="35"/>
  <c r="N19" i="35"/>
  <c r="N18" i="35"/>
  <c r="O21" i="35"/>
  <c r="L6" i="35"/>
  <c r="L7" i="35"/>
  <c r="N4" i="35"/>
  <c r="F21" i="35"/>
  <c r="F20" i="35"/>
  <c r="F19" i="35"/>
  <c r="F18" i="35"/>
  <c r="G21" i="35"/>
  <c r="D6" i="35"/>
  <c r="D7" i="35"/>
  <c r="F7" i="35" s="1"/>
  <c r="F4" i="35"/>
  <c r="W10" i="31" s="1"/>
  <c r="B1" i="31"/>
  <c r="P11" i="39"/>
  <c r="P10" i="39" s="1"/>
  <c r="AA44" i="31"/>
  <c r="Z44" i="31"/>
  <c r="Y44" i="31"/>
  <c r="X44" i="31"/>
  <c r="W44" i="31"/>
  <c r="AA43" i="31"/>
  <c r="Z43" i="31"/>
  <c r="Y43" i="31"/>
  <c r="X43" i="31"/>
  <c r="W43" i="31"/>
  <c r="AA42" i="31"/>
  <c r="Z42" i="31"/>
  <c r="Y42" i="31"/>
  <c r="X42" i="31"/>
  <c r="W42" i="31"/>
  <c r="AA41" i="31"/>
  <c r="Z41" i="31"/>
  <c r="Y41" i="31"/>
  <c r="X41" i="31"/>
  <c r="W41" i="31"/>
  <c r="AA40" i="31"/>
  <c r="Z40" i="31"/>
  <c r="Y40" i="31"/>
  <c r="X40" i="31"/>
  <c r="W40" i="31"/>
  <c r="AA39" i="31"/>
  <c r="Z39" i="31"/>
  <c r="Y39" i="31"/>
  <c r="X39" i="31"/>
  <c r="W39" i="31"/>
  <c r="AA38" i="31"/>
  <c r="Z38" i="31"/>
  <c r="Y38" i="31"/>
  <c r="X38" i="31"/>
  <c r="W38" i="31"/>
  <c r="AA37" i="31"/>
  <c r="Z37" i="31"/>
  <c r="Y37" i="31"/>
  <c r="X37" i="31"/>
  <c r="W37" i="31"/>
  <c r="AA36" i="31"/>
  <c r="Z36" i="31"/>
  <c r="Y36" i="31"/>
  <c r="X36" i="31"/>
  <c r="W36" i="31"/>
  <c r="AA35" i="31"/>
  <c r="Z35" i="31"/>
  <c r="Y35" i="31"/>
  <c r="X35" i="31"/>
  <c r="W35" i="31"/>
  <c r="AA34" i="31"/>
  <c r="Z34" i="31"/>
  <c r="Y34" i="31"/>
  <c r="X34" i="31"/>
  <c r="W34" i="31"/>
  <c r="AA33" i="31"/>
  <c r="Z33" i="31"/>
  <c r="Y33" i="31"/>
  <c r="X33" i="31"/>
  <c r="W33" i="31"/>
  <c r="AA32" i="31"/>
  <c r="Z32" i="31"/>
  <c r="Y32" i="31"/>
  <c r="X32" i="31"/>
  <c r="W32" i="31"/>
  <c r="AA31" i="31"/>
  <c r="Z31" i="31"/>
  <c r="Y31" i="31"/>
  <c r="X31" i="31"/>
  <c r="W31" i="31"/>
  <c r="AA30" i="31"/>
  <c r="Z30" i="31"/>
  <c r="Y30" i="31"/>
  <c r="X30" i="31"/>
  <c r="W30" i="31"/>
  <c r="AA29" i="31"/>
  <c r="Z29" i="31"/>
  <c r="Y29" i="31"/>
  <c r="X29" i="31"/>
  <c r="W29" i="31"/>
  <c r="AA28" i="31"/>
  <c r="Z28" i="31"/>
  <c r="Y28" i="31"/>
  <c r="X28" i="31"/>
  <c r="W28" i="31"/>
  <c r="AA27" i="31"/>
  <c r="Z27" i="31"/>
  <c r="Y27" i="31"/>
  <c r="X27" i="31"/>
  <c r="W27" i="31"/>
  <c r="AA26" i="31"/>
  <c r="Z26" i="31"/>
  <c r="Y26" i="31"/>
  <c r="X26" i="31"/>
  <c r="W26" i="31"/>
  <c r="AA25" i="31"/>
  <c r="Z25" i="31"/>
  <c r="Y25" i="31"/>
  <c r="X25" i="31"/>
  <c r="W25" i="31"/>
  <c r="AB25" i="31" s="1"/>
  <c r="AD25" i="31" s="1"/>
  <c r="AA24" i="31"/>
  <c r="Z24" i="31"/>
  <c r="Y24" i="31"/>
  <c r="X24" i="31"/>
  <c r="W24" i="31"/>
  <c r="N136" i="35"/>
  <c r="N135" i="35"/>
  <c r="N134" i="35"/>
  <c r="L133" i="35"/>
  <c r="O133" i="35"/>
  <c r="L132" i="35"/>
  <c r="O132" i="35"/>
  <c r="O131" i="35"/>
  <c r="N131" i="35"/>
  <c r="O130" i="35"/>
  <c r="N130" i="35"/>
  <c r="O129" i="35"/>
  <c r="N129" i="35"/>
  <c r="F136" i="35"/>
  <c r="F135" i="35"/>
  <c r="F134" i="35"/>
  <c r="D133" i="35"/>
  <c r="E133" i="35"/>
  <c r="H137" i="35"/>
  <c r="D132" i="35"/>
  <c r="G132" i="35"/>
  <c r="G131" i="35"/>
  <c r="F131" i="35"/>
  <c r="G130" i="35"/>
  <c r="F130" i="35"/>
  <c r="G129" i="35"/>
  <c r="F129" i="35"/>
  <c r="N101" i="35"/>
  <c r="N100" i="35"/>
  <c r="N99" i="35"/>
  <c r="L98" i="35"/>
  <c r="M98" i="35"/>
  <c r="P102" i="35"/>
  <c r="L97" i="35"/>
  <c r="O96" i="35"/>
  <c r="N96" i="35"/>
  <c r="O95" i="35"/>
  <c r="N95" i="35"/>
  <c r="O94" i="35"/>
  <c r="N94" i="35"/>
  <c r="F101" i="35"/>
  <c r="F100" i="35"/>
  <c r="F99" i="35"/>
  <c r="D98" i="35"/>
  <c r="E98" i="35"/>
  <c r="H102" i="35"/>
  <c r="D97" i="35"/>
  <c r="G96" i="35"/>
  <c r="F96" i="35"/>
  <c r="G95" i="35"/>
  <c r="F95" i="35"/>
  <c r="G94" i="35"/>
  <c r="F94" i="35"/>
  <c r="N66" i="35"/>
  <c r="N65" i="35"/>
  <c r="N64" i="35"/>
  <c r="L63" i="35"/>
  <c r="M63" i="35"/>
  <c r="P67" i="35"/>
  <c r="L62" i="35"/>
  <c r="N62" i="35"/>
  <c r="O61" i="35"/>
  <c r="N61" i="35"/>
  <c r="O60" i="35"/>
  <c r="N60" i="35"/>
  <c r="O59" i="35"/>
  <c r="N59" i="35"/>
  <c r="F66" i="35"/>
  <c r="F65" i="35"/>
  <c r="F64" i="35"/>
  <c r="D63" i="35"/>
  <c r="G63" i="35"/>
  <c r="D62" i="35"/>
  <c r="G62" i="35"/>
  <c r="G61" i="35"/>
  <c r="F61" i="35"/>
  <c r="G60" i="35"/>
  <c r="F60" i="35"/>
  <c r="G59" i="35"/>
  <c r="F59" i="35"/>
  <c r="N31" i="35"/>
  <c r="N30" i="35"/>
  <c r="N29" i="35"/>
  <c r="L28" i="35"/>
  <c r="N28" i="35"/>
  <c r="L27" i="35"/>
  <c r="O27" i="35"/>
  <c r="O26" i="35"/>
  <c r="N26" i="35"/>
  <c r="O25" i="35"/>
  <c r="N25" i="35"/>
  <c r="O24" i="35"/>
  <c r="N24" i="35"/>
  <c r="F31" i="35"/>
  <c r="F30" i="35"/>
  <c r="F29" i="35"/>
  <c r="D28" i="35"/>
  <c r="G28" i="35"/>
  <c r="D27" i="35"/>
  <c r="G26" i="35"/>
  <c r="F26" i="35"/>
  <c r="G25" i="35"/>
  <c r="F25" i="35"/>
  <c r="G24" i="35"/>
  <c r="F24" i="35"/>
  <c r="BE5" i="34"/>
  <c r="J45" i="34" s="1"/>
  <c r="N171" i="35"/>
  <c r="N170" i="35"/>
  <c r="N169" i="35"/>
  <c r="L168" i="35"/>
  <c r="N168" i="35"/>
  <c r="L167" i="35"/>
  <c r="O167" i="35"/>
  <c r="O166" i="35"/>
  <c r="N166" i="35"/>
  <c r="O165" i="35"/>
  <c r="N165" i="35"/>
  <c r="O164" i="35"/>
  <c r="N164" i="35"/>
  <c r="F171" i="35"/>
  <c r="F170" i="35"/>
  <c r="F169" i="35"/>
  <c r="D168" i="35"/>
  <c r="G168" i="35"/>
  <c r="D167" i="35"/>
  <c r="G166" i="35"/>
  <c r="F166" i="35"/>
  <c r="G165" i="35"/>
  <c r="F165" i="35"/>
  <c r="G164" i="35"/>
  <c r="F164" i="35"/>
  <c r="Z9" i="31"/>
  <c r="AJ7" i="31"/>
  <c r="AL7" i="31"/>
  <c r="AM9" i="31"/>
  <c r="AK9" i="31"/>
  <c r="AI9" i="31"/>
  <c r="Y2" i="35"/>
  <c r="Y5" i="35" s="1"/>
  <c r="S4" i="35"/>
  <c r="S5" i="35"/>
  <c r="S6" i="35"/>
  <c r="S7" i="35"/>
  <c r="S8" i="35"/>
  <c r="S9" i="35"/>
  <c r="S10" i="35"/>
  <c r="S11" i="35"/>
  <c r="S12" i="35"/>
  <c r="S13" i="35"/>
  <c r="S14" i="35"/>
  <c r="S15" i="35"/>
  <c r="S16" i="35"/>
  <c r="S17" i="35"/>
  <c r="S18" i="35"/>
  <c r="S19" i="35"/>
  <c r="S20" i="35"/>
  <c r="S21" i="35"/>
  <c r="S22" i="35"/>
  <c r="S23" i="35"/>
  <c r="S24" i="35"/>
  <c r="S25" i="35"/>
  <c r="S26" i="35"/>
  <c r="S27" i="35"/>
  <c r="S28" i="35"/>
  <c r="S29" i="35"/>
  <c r="S30" i="35"/>
  <c r="S31" i="35"/>
  <c r="S32" i="35"/>
  <c r="S33" i="35"/>
  <c r="S34" i="35"/>
  <c r="S35" i="35"/>
  <c r="S36" i="35"/>
  <c r="S37" i="35"/>
  <c r="S38" i="35"/>
  <c r="S39" i="35"/>
  <c r="S40" i="35"/>
  <c r="S41" i="35"/>
  <c r="S42" i="35"/>
  <c r="S43" i="35"/>
  <c r="S44" i="35"/>
  <c r="S45" i="35"/>
  <c r="S46" i="35"/>
  <c r="S47" i="35"/>
  <c r="S48" i="35"/>
  <c r="S49" i="35"/>
  <c r="S50" i="35"/>
  <c r="S51" i="35"/>
  <c r="S52" i="35"/>
  <c r="S53" i="35"/>
  <c r="S54" i="35"/>
  <c r="S55" i="35"/>
  <c r="S56" i="35"/>
  <c r="S57" i="35"/>
  <c r="S58" i="35"/>
  <c r="S59" i="35"/>
  <c r="S60" i="35"/>
  <c r="S61" i="35"/>
  <c r="S62" i="35"/>
  <c r="S63" i="35"/>
  <c r="S64" i="35"/>
  <c r="S65" i="35"/>
  <c r="S66" i="35"/>
  <c r="S67" i="35"/>
  <c r="S68" i="35"/>
  <c r="S69" i="35"/>
  <c r="S70" i="35"/>
  <c r="S71" i="35"/>
  <c r="S72" i="35"/>
  <c r="S73" i="35"/>
  <c r="S74" i="35"/>
  <c r="S75" i="35"/>
  <c r="S76" i="35"/>
  <c r="S77" i="35"/>
  <c r="S79" i="35"/>
  <c r="S80" i="35"/>
  <c r="S81" i="35"/>
  <c r="S82" i="35"/>
  <c r="S83" i="35"/>
  <c r="S84" i="35"/>
  <c r="S85" i="35"/>
  <c r="S86" i="35"/>
  <c r="S87" i="35"/>
  <c r="S88" i="35"/>
  <c r="S89" i="35"/>
  <c r="S90" i="35"/>
  <c r="S91" i="35"/>
  <c r="S92" i="35"/>
  <c r="S93" i="35"/>
  <c r="S94" i="35"/>
  <c r="S95" i="35"/>
  <c r="S96" i="35"/>
  <c r="S97" i="35"/>
  <c r="S98" i="35"/>
  <c r="S99" i="35"/>
  <c r="T4" i="35"/>
  <c r="T5" i="35"/>
  <c r="T6" i="35"/>
  <c r="T7" i="35"/>
  <c r="T8" i="35"/>
  <c r="T9" i="35"/>
  <c r="T10" i="35"/>
  <c r="T11" i="35"/>
  <c r="T12" i="35"/>
  <c r="T13" i="35"/>
  <c r="T14" i="35"/>
  <c r="T15" i="35"/>
  <c r="T16" i="35"/>
  <c r="T17" i="35"/>
  <c r="T18" i="35"/>
  <c r="T19" i="35"/>
  <c r="T20" i="35"/>
  <c r="T21" i="35"/>
  <c r="T22" i="35"/>
  <c r="T23" i="35"/>
  <c r="T24" i="35"/>
  <c r="T2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54" i="35"/>
  <c r="T55" i="35"/>
  <c r="T56" i="35"/>
  <c r="T57" i="35"/>
  <c r="T58" i="35"/>
  <c r="T59" i="35"/>
  <c r="T60" i="35"/>
  <c r="T61" i="35"/>
  <c r="T62" i="35"/>
  <c r="T63" i="35"/>
  <c r="T64" i="35"/>
  <c r="T65" i="35"/>
  <c r="T66" i="35"/>
  <c r="T67" i="35"/>
  <c r="T68" i="35"/>
  <c r="T69" i="35"/>
  <c r="T70" i="35"/>
  <c r="T71" i="35"/>
  <c r="T72" i="35"/>
  <c r="T73" i="35"/>
  <c r="T74" i="35"/>
  <c r="T75" i="35"/>
  <c r="T76" i="35"/>
  <c r="T77" i="35"/>
  <c r="T79" i="35"/>
  <c r="T80" i="35"/>
  <c r="T81" i="35"/>
  <c r="T82" i="35"/>
  <c r="T83" i="35"/>
  <c r="T84" i="35"/>
  <c r="T85" i="35"/>
  <c r="T86" i="35"/>
  <c r="T87" i="35"/>
  <c r="T88" i="35"/>
  <c r="T89" i="35"/>
  <c r="T90" i="35"/>
  <c r="T91" i="35"/>
  <c r="T92" i="35"/>
  <c r="T93" i="35"/>
  <c r="T94" i="35"/>
  <c r="T95" i="35"/>
  <c r="T96" i="35"/>
  <c r="T97" i="35"/>
  <c r="T98" i="35"/>
  <c r="T99" i="35"/>
  <c r="F1" i="37"/>
  <c r="D11" i="39"/>
  <c r="BP103" i="34"/>
  <c r="BP105" i="34" s="1"/>
  <c r="AH11" i="31"/>
  <c r="AH14" i="31"/>
  <c r="E12" i="39"/>
  <c r="BI11" i="34"/>
  <c r="BK11" i="34" s="1"/>
  <c r="BJ11" i="34"/>
  <c r="BI12" i="34"/>
  <c r="BK12" i="34" s="1"/>
  <c r="BJ12" i="34"/>
  <c r="BI13" i="34"/>
  <c r="BK13" i="34"/>
  <c r="BJ13" i="34"/>
  <c r="BJ14" i="34"/>
  <c r="BJ15" i="34"/>
  <c r="BI15" i="34"/>
  <c r="BK15" i="34" s="1"/>
  <c r="BJ16" i="34"/>
  <c r="BI14" i="34"/>
  <c r="BK14" i="34" s="1"/>
  <c r="BI16" i="34"/>
  <c r="BK16" i="34" s="1"/>
  <c r="BJ17" i="34"/>
  <c r="BI17" i="34"/>
  <c r="BK17" i="34" s="1"/>
  <c r="BJ18" i="34"/>
  <c r="BJ19" i="34"/>
  <c r="BI18" i="34"/>
  <c r="BK18" i="34" s="1"/>
  <c r="BI19" i="34"/>
  <c r="BJ20" i="34"/>
  <c r="BI20" i="34"/>
  <c r="BK20" i="34" s="1"/>
  <c r="BJ21" i="34"/>
  <c r="BJ22" i="34"/>
  <c r="BI21" i="34"/>
  <c r="BJ23" i="34"/>
  <c r="BI22" i="34"/>
  <c r="BK22" i="34" s="1"/>
  <c r="BI23" i="34"/>
  <c r="BK23" i="34" s="1"/>
  <c r="BJ24" i="34"/>
  <c r="BI24" i="34"/>
  <c r="BK24" i="34" s="1"/>
  <c r="BJ25" i="34"/>
  <c r="BI25" i="34"/>
  <c r="BK25" i="34" s="1"/>
  <c r="BJ26" i="34"/>
  <c r="BJ27" i="34"/>
  <c r="BI26" i="34"/>
  <c r="BI27" i="34"/>
  <c r="BK27" i="34" s="1"/>
  <c r="BJ28" i="34"/>
  <c r="BI28" i="34"/>
  <c r="BK28" i="34" s="1"/>
  <c r="BJ29" i="34"/>
  <c r="BI29" i="34"/>
  <c r="BK29" i="34" s="1"/>
  <c r="BJ30" i="34"/>
  <c r="BJ31" i="34"/>
  <c r="BI30" i="34"/>
  <c r="BI31" i="34"/>
  <c r="BJ32" i="34"/>
  <c r="BI32" i="34"/>
  <c r="BK32" i="34" s="1"/>
  <c r="BJ33" i="34"/>
  <c r="BJ34" i="34"/>
  <c r="BI33" i="34"/>
  <c r="BK33" i="34" s="1"/>
  <c r="BJ35" i="34"/>
  <c r="BI34" i="34"/>
  <c r="BK34" i="34"/>
  <c r="BI35" i="34"/>
  <c r="BK35" i="34" s="1"/>
  <c r="BJ36" i="34"/>
  <c r="BI36" i="34"/>
  <c r="BJ37" i="34"/>
  <c r="BJ38" i="34"/>
  <c r="BI37" i="34"/>
  <c r="BK37" i="34" s="1"/>
  <c r="BJ39" i="34"/>
  <c r="BI38" i="34"/>
  <c r="BI39" i="34"/>
  <c r="BK39" i="34" s="1"/>
  <c r="BJ40" i="34"/>
  <c r="BI40" i="34"/>
  <c r="BK40" i="34"/>
  <c r="BJ41" i="34"/>
  <c r="BJ42" i="34"/>
  <c r="BI41" i="34"/>
  <c r="BJ43" i="34"/>
  <c r="BI42" i="34"/>
  <c r="BK42" i="34" s="1"/>
  <c r="BI43" i="34"/>
  <c r="BK43" i="34" s="1"/>
  <c r="BJ44" i="34"/>
  <c r="BI44" i="34"/>
  <c r="BK44" i="34" s="1"/>
  <c r="BJ45" i="34"/>
  <c r="BI45" i="34"/>
  <c r="BK45" i="34"/>
  <c r="BJ46" i="34"/>
  <c r="BJ47" i="34"/>
  <c r="BI46" i="34"/>
  <c r="BK46" i="34" s="1"/>
  <c r="BI47" i="34"/>
  <c r="BJ48" i="34"/>
  <c r="BI48" i="34"/>
  <c r="BK48" i="34" s="1"/>
  <c r="BJ49" i="34"/>
  <c r="BI49" i="34"/>
  <c r="BJ50" i="34"/>
  <c r="BJ51" i="34"/>
  <c r="BI50" i="34"/>
  <c r="BK50" i="34" s="1"/>
  <c r="BI51" i="34"/>
  <c r="BK51" i="34" s="1"/>
  <c r="BJ52" i="34"/>
  <c r="BI52" i="34"/>
  <c r="BJ53" i="34"/>
  <c r="BJ54" i="34"/>
  <c r="BI53" i="34"/>
  <c r="BK53" i="34" s="1"/>
  <c r="BJ55" i="34"/>
  <c r="BI54" i="34"/>
  <c r="BI55" i="34"/>
  <c r="BK55" i="34" s="1"/>
  <c r="BJ56" i="34"/>
  <c r="BI56" i="34"/>
  <c r="BJ57" i="34"/>
  <c r="BJ58" i="34"/>
  <c r="BI57" i="34"/>
  <c r="BJ59" i="34"/>
  <c r="BI58" i="34"/>
  <c r="BK58" i="34" s="1"/>
  <c r="BI59" i="34"/>
  <c r="BK59" i="34" s="1"/>
  <c r="BJ60" i="34"/>
  <c r="BI60" i="34"/>
  <c r="BJ61" i="34"/>
  <c r="BI61" i="34"/>
  <c r="BK61" i="34" s="1"/>
  <c r="BJ62" i="34"/>
  <c r="BJ63" i="34"/>
  <c r="BI62" i="34"/>
  <c r="BK62" i="34" s="1"/>
  <c r="BI63" i="34"/>
  <c r="BJ64" i="34"/>
  <c r="BI64" i="34"/>
  <c r="BK64" i="34" s="1"/>
  <c r="BJ65" i="34"/>
  <c r="BJ66" i="34"/>
  <c r="BI65" i="34"/>
  <c r="BJ67" i="34"/>
  <c r="BI66" i="34"/>
  <c r="BK66" i="34" s="1"/>
  <c r="BI67" i="34"/>
  <c r="BJ68" i="34"/>
  <c r="BI68" i="34"/>
  <c r="BK68" i="34" s="1"/>
  <c r="BJ69" i="34"/>
  <c r="BI69" i="34"/>
  <c r="BJ70" i="34"/>
  <c r="BJ71" i="34"/>
  <c r="BI70" i="34"/>
  <c r="BI71" i="34"/>
  <c r="BK71" i="34" s="1"/>
  <c r="BJ72" i="34"/>
  <c r="BI72" i="34"/>
  <c r="BK72" i="34" s="1"/>
  <c r="BJ73" i="34"/>
  <c r="BJ74" i="34"/>
  <c r="BI73" i="34"/>
  <c r="BJ75" i="34"/>
  <c r="BI74" i="34"/>
  <c r="BI75" i="34"/>
  <c r="BJ76" i="34"/>
  <c r="BI76" i="34"/>
  <c r="BK76" i="34"/>
  <c r="BJ77" i="34"/>
  <c r="BI77" i="34"/>
  <c r="BK77" i="34" s="1"/>
  <c r="BJ78" i="34"/>
  <c r="BJ79" i="34"/>
  <c r="BI78" i="34"/>
  <c r="BK78" i="34"/>
  <c r="BI79" i="34"/>
  <c r="BK79" i="34" s="1"/>
  <c r="BJ80" i="34"/>
  <c r="BI80" i="34"/>
  <c r="BK80" i="34" s="1"/>
  <c r="BJ81" i="34"/>
  <c r="BJ82" i="34"/>
  <c r="BI81" i="34"/>
  <c r="BJ83" i="34"/>
  <c r="BI82" i="34"/>
  <c r="BK82" i="34" s="1"/>
  <c r="BI83" i="34"/>
  <c r="BJ84" i="34"/>
  <c r="BI84" i="34"/>
  <c r="BK84" i="34" s="1"/>
  <c r="BJ85" i="34"/>
  <c r="BI85" i="34"/>
  <c r="BK85" i="34" s="1"/>
  <c r="BJ86" i="34"/>
  <c r="BJ87" i="34"/>
  <c r="BI86" i="34"/>
  <c r="BK86" i="34" s="1"/>
  <c r="BI87" i="34"/>
  <c r="BK87" i="34" s="1"/>
  <c r="BJ88" i="34"/>
  <c r="BI88" i="34"/>
  <c r="BJ89" i="34"/>
  <c r="BI89" i="34"/>
  <c r="BK89" i="34" s="1"/>
  <c r="A3" i="34"/>
  <c r="C11" i="34" s="1"/>
  <c r="BI9" i="34"/>
  <c r="BI8" i="34"/>
  <c r="BI10" i="34"/>
  <c r="BK10" i="34" s="1"/>
  <c r="BK60" i="34"/>
  <c r="BK52" i="34"/>
  <c r="BK36" i="34"/>
  <c r="BK31" i="34"/>
  <c r="BK19" i="34"/>
  <c r="A4" i="34"/>
  <c r="BE9" i="34"/>
  <c r="BE8" i="34"/>
  <c r="B10" i="34"/>
  <c r="N10" i="34" s="1"/>
  <c r="GG69" i="35"/>
  <c r="BN10" i="34"/>
  <c r="D109" i="34"/>
  <c r="D108" i="34"/>
  <c r="D107" i="34"/>
  <c r="D106" i="34"/>
  <c r="D105" i="34"/>
  <c r="D104" i="34"/>
  <c r="D103" i="34"/>
  <c r="D102" i="34"/>
  <c r="BQ100" i="34"/>
  <c r="BR98" i="34"/>
  <c r="BM22" i="34"/>
  <c r="BM21" i="34"/>
  <c r="BM20" i="34"/>
  <c r="BM19" i="34"/>
  <c r="BM18" i="34"/>
  <c r="BM17" i="34"/>
  <c r="BM16" i="34"/>
  <c r="BR15" i="34"/>
  <c r="BM15" i="34"/>
  <c r="BM14" i="34"/>
  <c r="BR13" i="34"/>
  <c r="BM13" i="34"/>
  <c r="BM12" i="34"/>
  <c r="BR11" i="34"/>
  <c r="BM11" i="34"/>
  <c r="BR10" i="34"/>
  <c r="F8" i="34"/>
  <c r="G8" i="34"/>
  <c r="H8" i="34"/>
  <c r="I8" i="34"/>
  <c r="J8" i="34"/>
  <c r="K8" i="34"/>
  <c r="L8" i="34"/>
  <c r="M8" i="34"/>
  <c r="N8" i="34"/>
  <c r="O8" i="34"/>
  <c r="P8" i="34"/>
  <c r="Q8" i="34"/>
  <c r="R8" i="34"/>
  <c r="S8" i="34"/>
  <c r="T8" i="34"/>
  <c r="U8" i="34"/>
  <c r="V8" i="34"/>
  <c r="W8" i="34"/>
  <c r="X8" i="34"/>
  <c r="Y8" i="34"/>
  <c r="Z8" i="34"/>
  <c r="AA8" i="34"/>
  <c r="AB8" i="34"/>
  <c r="AC8" i="34"/>
  <c r="AD8" i="34"/>
  <c r="AE8" i="34"/>
  <c r="AF8" i="34"/>
  <c r="AG8" i="34"/>
  <c r="AH8" i="34"/>
  <c r="AI8" i="34"/>
  <c r="AJ8" i="34"/>
  <c r="AK8" i="34"/>
  <c r="AL8" i="34"/>
  <c r="AM8" i="34"/>
  <c r="AN8" i="34"/>
  <c r="AO8" i="34"/>
  <c r="AP8" i="34"/>
  <c r="AQ8" i="34"/>
  <c r="AR8" i="34"/>
  <c r="AS8" i="34"/>
  <c r="AT8" i="34"/>
  <c r="AU8" i="34"/>
  <c r="AV8" i="34"/>
  <c r="AW8" i="34"/>
  <c r="AX8" i="34"/>
  <c r="AY8" i="34"/>
  <c r="AZ8" i="34"/>
  <c r="BA8" i="34"/>
  <c r="BB8" i="34"/>
  <c r="BC8" i="34"/>
  <c r="BD8" i="34"/>
  <c r="E6" i="34"/>
  <c r="BK73" i="34"/>
  <c r="BD5" i="34"/>
  <c r="BC5" i="34"/>
  <c r="BB5" i="34"/>
  <c r="BA5" i="34"/>
  <c r="AZ5" i="34"/>
  <c r="AY5" i="34"/>
  <c r="AX5" i="34"/>
  <c r="AW5" i="34"/>
  <c r="AV5" i="34"/>
  <c r="AU5" i="34"/>
  <c r="AT5" i="34"/>
  <c r="AS5" i="34"/>
  <c r="AR5" i="34"/>
  <c r="AQ5" i="34"/>
  <c r="AP5" i="34"/>
  <c r="AO5" i="34"/>
  <c r="AN5" i="34"/>
  <c r="AM5" i="34"/>
  <c r="AL5" i="34"/>
  <c r="AK5" i="34"/>
  <c r="AJ5" i="34"/>
  <c r="AI5" i="34"/>
  <c r="AH5" i="34"/>
  <c r="AG5" i="34"/>
  <c r="AF5" i="34"/>
  <c r="AE5" i="34"/>
  <c r="AD5" i="34"/>
  <c r="AC5" i="34"/>
  <c r="AB5" i="34"/>
  <c r="AA5" i="34"/>
  <c r="Z5" i="34"/>
  <c r="Y5" i="34"/>
  <c r="X5" i="34"/>
  <c r="W5" i="34"/>
  <c r="V5" i="34"/>
  <c r="U5" i="34"/>
  <c r="T5" i="34"/>
  <c r="S5" i="34"/>
  <c r="R5" i="34"/>
  <c r="Q5" i="34"/>
  <c r="P5" i="34"/>
  <c r="O5" i="34"/>
  <c r="N5" i="34"/>
  <c r="M5" i="34"/>
  <c r="L5" i="34"/>
  <c r="K5" i="34"/>
  <c r="J5" i="34"/>
  <c r="I5" i="34"/>
  <c r="H5" i="34"/>
  <c r="G5" i="34"/>
  <c r="F5" i="34"/>
  <c r="E5" i="34"/>
  <c r="BR40" i="34"/>
  <c r="BR44" i="34"/>
  <c r="BR53" i="34"/>
  <c r="BR21" i="34"/>
  <c r="BR23" i="34"/>
  <c r="BR17" i="34"/>
  <c r="BR28" i="34"/>
  <c r="BR39" i="34"/>
  <c r="BR24" i="34"/>
  <c r="BR51" i="34"/>
  <c r="BR19" i="34"/>
  <c r="BR31" i="34"/>
  <c r="BR66" i="34"/>
  <c r="BR32" i="34"/>
  <c r="BR74" i="34"/>
  <c r="BR36" i="34"/>
  <c r="BR77" i="34"/>
  <c r="BR25" i="34"/>
  <c r="BR33" i="34"/>
  <c r="BR41" i="34"/>
  <c r="BR58" i="34"/>
  <c r="BR84" i="34"/>
  <c r="BR12" i="34"/>
  <c r="BR16" i="34"/>
  <c r="BR20" i="34"/>
  <c r="BR26" i="34"/>
  <c r="BR34" i="34"/>
  <c r="BR42" i="34"/>
  <c r="BR59" i="34"/>
  <c r="BR88" i="34"/>
  <c r="BR27" i="34"/>
  <c r="BR35" i="34"/>
  <c r="BR43" i="34"/>
  <c r="BR61" i="34"/>
  <c r="BR94" i="34"/>
  <c r="BR29" i="34"/>
  <c r="BR37" i="34"/>
  <c r="BR45" i="34"/>
  <c r="BR67" i="34"/>
  <c r="BR14" i="34"/>
  <c r="BR18" i="34"/>
  <c r="BR22" i="34"/>
  <c r="BR30" i="34"/>
  <c r="BR38" i="34"/>
  <c r="BR50" i="34"/>
  <c r="BR69" i="34"/>
  <c r="BR75" i="34"/>
  <c r="BR85" i="34"/>
  <c r="BR96" i="34"/>
  <c r="BR52" i="34"/>
  <c r="BR60" i="34"/>
  <c r="BR68" i="34"/>
  <c r="BR76" i="34"/>
  <c r="BR86" i="34"/>
  <c r="BR97" i="34"/>
  <c r="BR46" i="34"/>
  <c r="BR54" i="34"/>
  <c r="BR62" i="34"/>
  <c r="BR70" i="34"/>
  <c r="BR78" i="34"/>
  <c r="BR89" i="34"/>
  <c r="BR47" i="34"/>
  <c r="BR55" i="34"/>
  <c r="BR63" i="34"/>
  <c r="BR71" i="34"/>
  <c r="BR80" i="34"/>
  <c r="BR91" i="34"/>
  <c r="BR48" i="34"/>
  <c r="BR56" i="34"/>
  <c r="BR64" i="34"/>
  <c r="BR72" i="34"/>
  <c r="BR81" i="34"/>
  <c r="BR92" i="34"/>
  <c r="BR49" i="34"/>
  <c r="BR57" i="34"/>
  <c r="BR65" i="34"/>
  <c r="BR73" i="34"/>
  <c r="BR83" i="34"/>
  <c r="BR93" i="34"/>
  <c r="BR79" i="34"/>
  <c r="BR87" i="34"/>
  <c r="BR95" i="34"/>
  <c r="BR82" i="34"/>
  <c r="BR90" i="34"/>
  <c r="BR99" i="34"/>
  <c r="BR100" i="34"/>
  <c r="BK21" i="34"/>
  <c r="BK26" i="34"/>
  <c r="BK30" i="34"/>
  <c r="BK38" i="34"/>
  <c r="BK41" i="34"/>
  <c r="BK47" i="34"/>
  <c r="BK49" i="34"/>
  <c r="BK54" i="34"/>
  <c r="BK56" i="34"/>
  <c r="BK57" i="34"/>
  <c r="BK63" i="34"/>
  <c r="BK65" i="34"/>
  <c r="BK67" i="34"/>
  <c r="BK69" i="34"/>
  <c r="BK70" i="34"/>
  <c r="BK74" i="34"/>
  <c r="BK75" i="34"/>
  <c r="BK81" i="34"/>
  <c r="BK83" i="34"/>
  <c r="BK88" i="34"/>
  <c r="BJ90" i="34"/>
  <c r="BI90" i="34"/>
  <c r="BK90" i="34" s="1"/>
  <c r="AH631" i="10"/>
  <c r="AF631" i="10"/>
  <c r="AN620" i="10"/>
  <c r="AN621" i="10"/>
  <c r="AN622" i="10"/>
  <c r="AN623" i="10"/>
  <c r="AN624" i="10"/>
  <c r="AN625" i="10"/>
  <c r="AN626" i="10"/>
  <c r="AN627" i="10"/>
  <c r="AO627" i="10"/>
  <c r="AO626" i="10"/>
  <c r="AO625" i="10"/>
  <c r="AO623" i="10"/>
  <c r="AO624" i="10"/>
  <c r="AO622" i="10"/>
  <c r="AO621" i="10"/>
  <c r="E3375" i="10"/>
  <c r="W3374" i="10"/>
  <c r="V3374" i="10"/>
  <c r="R3374" i="10"/>
  <c r="E3374" i="10"/>
  <c r="D3374" i="10"/>
  <c r="S3374" i="10"/>
  <c r="V3373" i="10"/>
  <c r="R3373" i="10"/>
  <c r="H3373" i="10"/>
  <c r="W3373" i="10"/>
  <c r="E3373" i="10"/>
  <c r="D3373" i="10"/>
  <c r="S3373" i="10"/>
  <c r="U3373" i="10"/>
  <c r="V3372" i="10"/>
  <c r="R3372" i="10"/>
  <c r="H3372" i="10"/>
  <c r="W3372" i="10"/>
  <c r="E3372" i="10"/>
  <c r="D3372" i="10"/>
  <c r="W3371" i="10"/>
  <c r="V3371" i="10"/>
  <c r="R3371" i="10"/>
  <c r="E3371" i="10"/>
  <c r="D3371" i="10"/>
  <c r="S3371" i="10"/>
  <c r="E3370" i="10"/>
  <c r="D3370" i="10"/>
  <c r="E3369" i="10"/>
  <c r="D3369" i="10"/>
  <c r="B3369" i="10"/>
  <c r="E3360" i="10"/>
  <c r="W3359" i="10"/>
  <c r="V3359" i="10"/>
  <c r="U3359" i="10"/>
  <c r="R3359" i="10"/>
  <c r="E3359" i="10"/>
  <c r="D3359" i="10"/>
  <c r="S3359" i="10"/>
  <c r="T3359" i="10"/>
  <c r="V3358" i="10"/>
  <c r="R3358" i="10"/>
  <c r="H3358" i="10"/>
  <c r="W3358" i="10"/>
  <c r="E3358" i="10"/>
  <c r="D3358" i="10"/>
  <c r="V3357" i="10"/>
  <c r="S3357" i="10"/>
  <c r="U3357" i="10"/>
  <c r="R3357" i="10"/>
  <c r="H3357" i="10"/>
  <c r="W3357" i="10"/>
  <c r="E3357" i="10"/>
  <c r="D3357" i="10"/>
  <c r="C3362" i="10"/>
  <c r="W3356" i="10"/>
  <c r="V3356" i="10"/>
  <c r="S3356" i="10"/>
  <c r="R3356" i="10"/>
  <c r="E3356" i="10"/>
  <c r="D3356" i="10"/>
  <c r="E3355" i="10"/>
  <c r="D3355" i="10"/>
  <c r="E3354" i="10"/>
  <c r="D3354" i="10"/>
  <c r="B3354" i="10"/>
  <c r="T3346" i="10"/>
  <c r="S3346" i="10"/>
  <c r="U3346" i="10"/>
  <c r="E3345" i="10"/>
  <c r="R3344" i="10"/>
  <c r="U3344" i="10"/>
  <c r="E3344" i="10"/>
  <c r="D3344" i="10"/>
  <c r="S3344" i="10"/>
  <c r="R3343" i="10"/>
  <c r="H3343" i="10"/>
  <c r="E3343" i="10"/>
  <c r="D3343" i="10"/>
  <c r="S3343" i="10"/>
  <c r="R3342" i="10"/>
  <c r="H3342" i="10"/>
  <c r="E3342" i="10"/>
  <c r="D3342" i="10"/>
  <c r="C3346" i="10"/>
  <c r="R3341" i="10"/>
  <c r="E3341" i="10"/>
  <c r="D3341" i="10"/>
  <c r="S3341" i="10"/>
  <c r="E3340" i="10"/>
  <c r="D3340" i="10"/>
  <c r="E3339" i="10"/>
  <c r="D3339" i="10"/>
  <c r="B3339" i="10"/>
  <c r="E3330" i="10"/>
  <c r="R3329" i="10"/>
  <c r="E3329" i="10"/>
  <c r="D3329" i="10"/>
  <c r="S3329" i="10"/>
  <c r="R3328" i="10"/>
  <c r="H3328" i="10"/>
  <c r="E3328" i="10"/>
  <c r="D3328" i="10"/>
  <c r="S3328" i="10"/>
  <c r="R3327" i="10"/>
  <c r="H3327" i="10"/>
  <c r="E3327" i="10"/>
  <c r="D3327" i="10"/>
  <c r="S3326" i="10"/>
  <c r="R3326" i="10"/>
  <c r="E3326" i="10"/>
  <c r="D3326" i="10"/>
  <c r="E3325" i="10"/>
  <c r="D3325" i="10"/>
  <c r="E3324" i="10"/>
  <c r="D3324" i="10"/>
  <c r="B3324" i="10"/>
  <c r="E3316" i="10"/>
  <c r="E3315" i="10"/>
  <c r="W3314" i="10"/>
  <c r="V3314" i="10"/>
  <c r="R3314" i="10"/>
  <c r="E3314" i="10"/>
  <c r="D3314" i="10"/>
  <c r="S3314" i="10"/>
  <c r="V3313" i="10"/>
  <c r="R3313" i="10"/>
  <c r="H3313" i="10"/>
  <c r="W3313" i="10"/>
  <c r="E3313" i="10"/>
  <c r="D3313" i="10"/>
  <c r="W3312" i="10"/>
  <c r="V3312" i="10"/>
  <c r="R3312" i="10"/>
  <c r="H3312" i="10"/>
  <c r="E3312" i="10"/>
  <c r="D3312" i="10"/>
  <c r="W3311" i="10"/>
  <c r="V3311" i="10"/>
  <c r="R3311" i="10"/>
  <c r="R3315" i="10"/>
  <c r="E3311" i="10"/>
  <c r="D3311" i="10"/>
  <c r="E3310" i="10"/>
  <c r="D3310" i="10"/>
  <c r="E3309" i="10"/>
  <c r="D3309" i="10"/>
  <c r="B3309" i="10"/>
  <c r="E3300" i="10"/>
  <c r="W3299" i="10"/>
  <c r="V3299" i="10"/>
  <c r="S3299" i="10"/>
  <c r="R3299" i="10"/>
  <c r="E3299" i="10"/>
  <c r="D3299" i="10"/>
  <c r="W3298" i="10"/>
  <c r="V3298" i="10"/>
  <c r="T3298" i="10"/>
  <c r="S3298" i="10"/>
  <c r="R3298" i="10"/>
  <c r="H3298" i="10"/>
  <c r="E3298" i="10"/>
  <c r="D3298" i="10"/>
  <c r="V3297" i="10"/>
  <c r="R3297" i="10"/>
  <c r="R3300" i="10"/>
  <c r="H3297" i="10"/>
  <c r="W3297" i="10"/>
  <c r="E3297" i="10"/>
  <c r="D3297" i="10"/>
  <c r="W3296" i="10"/>
  <c r="V3296" i="10"/>
  <c r="R3296" i="10"/>
  <c r="E3296" i="10"/>
  <c r="D3296" i="10"/>
  <c r="S3296" i="10"/>
  <c r="U3296" i="10"/>
  <c r="E3295" i="10"/>
  <c r="D3295" i="10"/>
  <c r="E3294" i="10"/>
  <c r="D3294" i="10"/>
  <c r="B3294" i="10"/>
  <c r="E3285" i="10"/>
  <c r="W3284" i="10"/>
  <c r="V3284" i="10"/>
  <c r="E3284" i="10"/>
  <c r="B3284" i="10"/>
  <c r="R3284" i="10"/>
  <c r="V3283" i="10"/>
  <c r="S3283" i="10"/>
  <c r="R3283" i="10"/>
  <c r="H3283" i="10"/>
  <c r="W3283" i="10"/>
  <c r="E3283" i="10"/>
  <c r="D3283" i="10"/>
  <c r="V3282" i="10"/>
  <c r="R3282" i="10"/>
  <c r="H3282" i="10"/>
  <c r="W3282" i="10"/>
  <c r="E3282" i="10"/>
  <c r="D3282" i="10"/>
  <c r="C3287" i="10"/>
  <c r="W3281" i="10"/>
  <c r="V3281" i="10"/>
  <c r="R3281" i="10"/>
  <c r="E3281" i="10"/>
  <c r="D3281" i="10"/>
  <c r="E3280" i="10"/>
  <c r="D3280" i="10"/>
  <c r="E3279" i="10"/>
  <c r="D3279" i="10"/>
  <c r="B3279" i="10"/>
  <c r="E3271" i="10"/>
  <c r="E3270" i="10"/>
  <c r="W3269" i="10"/>
  <c r="V3269" i="10"/>
  <c r="T3269" i="10"/>
  <c r="R3269" i="10"/>
  <c r="R3270" i="10"/>
  <c r="D3269" i="10"/>
  <c r="S3269" i="10"/>
  <c r="V3268" i="10"/>
  <c r="R3268" i="10"/>
  <c r="H3268" i="10"/>
  <c r="W3268" i="10"/>
  <c r="E3268" i="10"/>
  <c r="D3268" i="10"/>
  <c r="S3268" i="10"/>
  <c r="V3267" i="10"/>
  <c r="R3267" i="10"/>
  <c r="H3267" i="10"/>
  <c r="W3267" i="10"/>
  <c r="E3267" i="10"/>
  <c r="D3267" i="10"/>
  <c r="C3272" i="10"/>
  <c r="W3266" i="10"/>
  <c r="V3266" i="10"/>
  <c r="R3266" i="10"/>
  <c r="E3266" i="10"/>
  <c r="D3266" i="10"/>
  <c r="E3265" i="10"/>
  <c r="D3265" i="10"/>
  <c r="E3264" i="10"/>
  <c r="D3264" i="10"/>
  <c r="B3264" i="10"/>
  <c r="E3255" i="10"/>
  <c r="W3254" i="10"/>
  <c r="V3254" i="10"/>
  <c r="R3254" i="10"/>
  <c r="E3254" i="10"/>
  <c r="D3254" i="10"/>
  <c r="S3254" i="10"/>
  <c r="W3253" i="10"/>
  <c r="V3253" i="10"/>
  <c r="S3253" i="10"/>
  <c r="R3253" i="10"/>
  <c r="H3253" i="10"/>
  <c r="E3253" i="10"/>
  <c r="D3253" i="10"/>
  <c r="W3252" i="10"/>
  <c r="V3252" i="10"/>
  <c r="S3252" i="10"/>
  <c r="R3252" i="10"/>
  <c r="H3252" i="10"/>
  <c r="E3252" i="10"/>
  <c r="D3252" i="10"/>
  <c r="C3257" i="10"/>
  <c r="W3251" i="10"/>
  <c r="V3251" i="10"/>
  <c r="R3251" i="10"/>
  <c r="E3251" i="10"/>
  <c r="D3251" i="10"/>
  <c r="E3250" i="10"/>
  <c r="D3250" i="10"/>
  <c r="E3249" i="10"/>
  <c r="D3249" i="10"/>
  <c r="B3249" i="10"/>
  <c r="E3241" i="10"/>
  <c r="E3240" i="10"/>
  <c r="W3239" i="10"/>
  <c r="V3239" i="10"/>
  <c r="R3239" i="10"/>
  <c r="E3239" i="10"/>
  <c r="D3239" i="10"/>
  <c r="S3239" i="10"/>
  <c r="V3238" i="10"/>
  <c r="R3238" i="10"/>
  <c r="H3238" i="10"/>
  <c r="W3238" i="10"/>
  <c r="E3238" i="10"/>
  <c r="D3238" i="10"/>
  <c r="V3237" i="10"/>
  <c r="R3237" i="10"/>
  <c r="H3237" i="10"/>
  <c r="W3237" i="10"/>
  <c r="E3237" i="10"/>
  <c r="D3237" i="10"/>
  <c r="W3236" i="10"/>
  <c r="V3236" i="10"/>
  <c r="R3236" i="10"/>
  <c r="E3236" i="10"/>
  <c r="D3236" i="10"/>
  <c r="S3236" i="10"/>
  <c r="E3235" i="10"/>
  <c r="D3235" i="10"/>
  <c r="E3234" i="10"/>
  <c r="D3234" i="10"/>
  <c r="B3234" i="10"/>
  <c r="E3225" i="10"/>
  <c r="B3225" i="10"/>
  <c r="W3224" i="10"/>
  <c r="V3224" i="10"/>
  <c r="R3224" i="10"/>
  <c r="D3224" i="10"/>
  <c r="S3224" i="10"/>
  <c r="V3223" i="10"/>
  <c r="U3223" i="10"/>
  <c r="S3223" i="10"/>
  <c r="R3223" i="10"/>
  <c r="H3223" i="10"/>
  <c r="W3223" i="10"/>
  <c r="E3223" i="10"/>
  <c r="D3223" i="10"/>
  <c r="W3222" i="10"/>
  <c r="V3222" i="10"/>
  <c r="R3222" i="10"/>
  <c r="E3222" i="10"/>
  <c r="D3222" i="10"/>
  <c r="W3221" i="10"/>
  <c r="V3221" i="10"/>
  <c r="R3221" i="10"/>
  <c r="E3221" i="10"/>
  <c r="D3221" i="10"/>
  <c r="S3221" i="10"/>
  <c r="W3220" i="10"/>
  <c r="V3220" i="10"/>
  <c r="S3220" i="10"/>
  <c r="R3220" i="10"/>
  <c r="E3220" i="10"/>
  <c r="D3220" i="10"/>
  <c r="W3219" i="10"/>
  <c r="V3219" i="10"/>
  <c r="R3219" i="10"/>
  <c r="H3219" i="10"/>
  <c r="E3219" i="10"/>
  <c r="D3219" i="10"/>
  <c r="S3219" i="10"/>
  <c r="W3218" i="10"/>
  <c r="V3218" i="10"/>
  <c r="T3218" i="10"/>
  <c r="R3218" i="10"/>
  <c r="E3218" i="10"/>
  <c r="D3218" i="10"/>
  <c r="S3218" i="10"/>
  <c r="W3217" i="10"/>
  <c r="V3217" i="10"/>
  <c r="R3217" i="10"/>
  <c r="E3217" i="10"/>
  <c r="D3217" i="10"/>
  <c r="V3216" i="10"/>
  <c r="R3216" i="10"/>
  <c r="H3216" i="10"/>
  <c r="W3216" i="10"/>
  <c r="E3216" i="10"/>
  <c r="D3216" i="10"/>
  <c r="D3227" i="10"/>
  <c r="E3215" i="10"/>
  <c r="D3215" i="10"/>
  <c r="E3214" i="10"/>
  <c r="D3214" i="10"/>
  <c r="B3214" i="10"/>
  <c r="E3205" i="10"/>
  <c r="B3205" i="10"/>
  <c r="V3204" i="10"/>
  <c r="R3204" i="10"/>
  <c r="H3204" i="10"/>
  <c r="W3204" i="10"/>
  <c r="D3204" i="10"/>
  <c r="W3203" i="10"/>
  <c r="V3203" i="10"/>
  <c r="S3203" i="10"/>
  <c r="U3203" i="10"/>
  <c r="R3203" i="10"/>
  <c r="E3203" i="10"/>
  <c r="D3203" i="10"/>
  <c r="W3202" i="10"/>
  <c r="V3202" i="10"/>
  <c r="R3202" i="10"/>
  <c r="D3202" i="10"/>
  <c r="S3202" i="10"/>
  <c r="W3201" i="10"/>
  <c r="V3201" i="10"/>
  <c r="R3201" i="10"/>
  <c r="E3201" i="10"/>
  <c r="D3201" i="10"/>
  <c r="V3200" i="10"/>
  <c r="S3200" i="10"/>
  <c r="R3200" i="10"/>
  <c r="H3200" i="10"/>
  <c r="W3200" i="10"/>
  <c r="E3200" i="10"/>
  <c r="D3200" i="10"/>
  <c r="W3199" i="10"/>
  <c r="V3199" i="10"/>
  <c r="R3199" i="10"/>
  <c r="T3199" i="10"/>
  <c r="E3199" i="10"/>
  <c r="D3199" i="10"/>
  <c r="S3199" i="10"/>
  <c r="W3198" i="10"/>
  <c r="V3198" i="10"/>
  <c r="S3198" i="10"/>
  <c r="T3198" i="10"/>
  <c r="R3198" i="10"/>
  <c r="E3198" i="10"/>
  <c r="D3198" i="10"/>
  <c r="V3197" i="10"/>
  <c r="R3197" i="10"/>
  <c r="H3197" i="10"/>
  <c r="W3197" i="10"/>
  <c r="E3197" i="10"/>
  <c r="D3197" i="10"/>
  <c r="E3196" i="10"/>
  <c r="D3196" i="10"/>
  <c r="E3195" i="10"/>
  <c r="D3195" i="10"/>
  <c r="B3195" i="10"/>
  <c r="B3187" i="10"/>
  <c r="Y3186" i="10"/>
  <c r="AA3186" i="10"/>
  <c r="X3186" i="10"/>
  <c r="Z3186" i="10"/>
  <c r="V3186" i="10"/>
  <c r="S3186" i="10"/>
  <c r="R3186" i="10"/>
  <c r="H3186" i="10"/>
  <c r="W3186" i="10"/>
  <c r="E3186" i="10"/>
  <c r="D3186" i="10"/>
  <c r="Y3185" i="10"/>
  <c r="AA3185" i="10"/>
  <c r="X3185" i="10"/>
  <c r="Z3185" i="10"/>
  <c r="W3185" i="10"/>
  <c r="V3185" i="10"/>
  <c r="R3185" i="10"/>
  <c r="E3185" i="10"/>
  <c r="D3185" i="10"/>
  <c r="S3185" i="10"/>
  <c r="X3184" i="10"/>
  <c r="Z3184" i="10"/>
  <c r="W3184" i="10"/>
  <c r="V3184" i="10"/>
  <c r="R3184" i="10"/>
  <c r="E3184" i="10"/>
  <c r="D3184" i="10"/>
  <c r="S3184" i="10"/>
  <c r="T3184" i="10"/>
  <c r="Y3183" i="10"/>
  <c r="AA3183" i="10"/>
  <c r="X3183" i="10"/>
  <c r="Z3183" i="10"/>
  <c r="W3183" i="10"/>
  <c r="V3183" i="10"/>
  <c r="R3183" i="10"/>
  <c r="E3183" i="10"/>
  <c r="D3183" i="10"/>
  <c r="Y3182" i="10"/>
  <c r="AA3182" i="10"/>
  <c r="X3182" i="10"/>
  <c r="Z3182" i="10"/>
  <c r="V3182" i="10"/>
  <c r="S3182" i="10"/>
  <c r="R3182" i="10"/>
  <c r="H3182" i="10"/>
  <c r="W3182" i="10"/>
  <c r="E3182" i="10"/>
  <c r="D3182" i="10"/>
  <c r="Z3181" i="10"/>
  <c r="X3181" i="10"/>
  <c r="W3181" i="10"/>
  <c r="V3181" i="10"/>
  <c r="R3181" i="10"/>
  <c r="E3181" i="10"/>
  <c r="D3181" i="10"/>
  <c r="Y3180" i="10"/>
  <c r="AA3180" i="10"/>
  <c r="X3180" i="10"/>
  <c r="Z3180" i="10"/>
  <c r="W3180" i="10"/>
  <c r="V3180" i="10"/>
  <c r="R3180" i="10"/>
  <c r="E3180" i="10"/>
  <c r="D3180" i="10"/>
  <c r="Y3179" i="10"/>
  <c r="AA3179" i="10"/>
  <c r="X3179" i="10"/>
  <c r="Z3179" i="10"/>
  <c r="V3179" i="10"/>
  <c r="R3179" i="10"/>
  <c r="H3179" i="10"/>
  <c r="W3179" i="10"/>
  <c r="E3179" i="10"/>
  <c r="D3179" i="10"/>
  <c r="S3179" i="10"/>
  <c r="E3178" i="10"/>
  <c r="D3178" i="10"/>
  <c r="E3177" i="10"/>
  <c r="D3177" i="10"/>
  <c r="B3177" i="10"/>
  <c r="B3168" i="10"/>
  <c r="Y3167" i="10"/>
  <c r="AA3167" i="10"/>
  <c r="X3167" i="10"/>
  <c r="Z3167" i="10"/>
  <c r="W3167" i="10"/>
  <c r="V3167" i="10"/>
  <c r="S3167" i="10"/>
  <c r="T3167" i="10"/>
  <c r="R3167" i="10"/>
  <c r="D3167" i="10"/>
  <c r="Y3166" i="10"/>
  <c r="AA3166" i="10"/>
  <c r="X3166" i="10"/>
  <c r="Z3166" i="10"/>
  <c r="W3166" i="10"/>
  <c r="V3166" i="10"/>
  <c r="R3166" i="10"/>
  <c r="D3166" i="10"/>
  <c r="S3166" i="10"/>
  <c r="U3166" i="10"/>
  <c r="Y3165" i="10"/>
  <c r="AA3165" i="10"/>
  <c r="X3165" i="10"/>
  <c r="Z3165" i="10"/>
  <c r="V3165" i="10"/>
  <c r="S3165" i="10"/>
  <c r="R3165" i="10"/>
  <c r="H3165" i="10"/>
  <c r="W3165" i="10"/>
  <c r="E3165" i="10"/>
  <c r="D3165" i="10"/>
  <c r="Y3164" i="10"/>
  <c r="AA3164" i="10"/>
  <c r="X3164" i="10"/>
  <c r="Z3164" i="10"/>
  <c r="W3164" i="10"/>
  <c r="V3164" i="10"/>
  <c r="S3164" i="10"/>
  <c r="R3164" i="10"/>
  <c r="D3164" i="10"/>
  <c r="X3163" i="10"/>
  <c r="Z3163" i="10"/>
  <c r="W3163" i="10"/>
  <c r="V3163" i="10"/>
  <c r="S3163" i="10"/>
  <c r="T3163" i="10"/>
  <c r="R3163" i="10"/>
  <c r="U3163" i="10"/>
  <c r="E3163" i="10"/>
  <c r="D3163" i="10"/>
  <c r="Y3162" i="10"/>
  <c r="AA3162" i="10"/>
  <c r="X3162" i="10"/>
  <c r="Z3162" i="10"/>
  <c r="W3162" i="10"/>
  <c r="V3162" i="10"/>
  <c r="R3162" i="10"/>
  <c r="D3162" i="10"/>
  <c r="C3168" i="10"/>
  <c r="Y3161" i="10"/>
  <c r="AA3161" i="10"/>
  <c r="X3161" i="10"/>
  <c r="Z3161" i="10"/>
  <c r="V3161" i="10"/>
  <c r="S3161" i="10"/>
  <c r="R3161" i="10"/>
  <c r="H3161" i="10"/>
  <c r="W3161" i="10"/>
  <c r="E3161" i="10"/>
  <c r="D3161" i="10"/>
  <c r="X3160" i="10"/>
  <c r="Z3160" i="10"/>
  <c r="W3160" i="10"/>
  <c r="V3160" i="10"/>
  <c r="S3160" i="10"/>
  <c r="R3160" i="10"/>
  <c r="E3160" i="10"/>
  <c r="D3160" i="10"/>
  <c r="Y3159" i="10"/>
  <c r="AA3159" i="10"/>
  <c r="X3159" i="10"/>
  <c r="Z3159" i="10"/>
  <c r="W3159" i="10"/>
  <c r="V3159" i="10"/>
  <c r="R3159" i="10"/>
  <c r="E3159" i="10"/>
  <c r="D3159" i="10"/>
  <c r="Y3158" i="10"/>
  <c r="AA3158" i="10"/>
  <c r="X3158" i="10"/>
  <c r="Z3158" i="10"/>
  <c r="V3158" i="10"/>
  <c r="S3158" i="10"/>
  <c r="R3158" i="10"/>
  <c r="H3158" i="10"/>
  <c r="W3158" i="10"/>
  <c r="E3158" i="10"/>
  <c r="D3158" i="10"/>
  <c r="E3157" i="10"/>
  <c r="D3157" i="10"/>
  <c r="E3156" i="10"/>
  <c r="D3156" i="10"/>
  <c r="B3156" i="10"/>
  <c r="Z3147" i="10"/>
  <c r="W3147" i="10"/>
  <c r="V3147" i="10"/>
  <c r="R3147" i="10"/>
  <c r="D3147" i="10"/>
  <c r="Z3146" i="10"/>
  <c r="W3146" i="10"/>
  <c r="V3146" i="10"/>
  <c r="R3146" i="10"/>
  <c r="D3146" i="10"/>
  <c r="S3146" i="10"/>
  <c r="U3146" i="10"/>
  <c r="Z3145" i="10"/>
  <c r="W3145" i="10"/>
  <c r="V3145" i="10"/>
  <c r="R3145" i="10"/>
  <c r="D3145" i="10"/>
  <c r="Z3144" i="10"/>
  <c r="W3144" i="10"/>
  <c r="V3144" i="10"/>
  <c r="R3144" i="10"/>
  <c r="D3144" i="10"/>
  <c r="S3144" i="10"/>
  <c r="U3144" i="10"/>
  <c r="Z3143" i="10"/>
  <c r="W3143" i="10"/>
  <c r="V3143" i="10"/>
  <c r="R3143" i="10"/>
  <c r="E3143" i="10"/>
  <c r="D3143" i="10"/>
  <c r="S3143" i="10"/>
  <c r="U3143" i="10"/>
  <c r="W3142" i="10"/>
  <c r="V3142" i="10"/>
  <c r="R3142" i="10"/>
  <c r="E3142" i="10"/>
  <c r="D3142" i="10"/>
  <c r="Z3141" i="10"/>
  <c r="Z3149" i="10"/>
  <c r="AB3143" i="10"/>
  <c r="AC3143" i="10"/>
  <c r="AD3143" i="10"/>
  <c r="W3141" i="10"/>
  <c r="V3141" i="10"/>
  <c r="R3141" i="10"/>
  <c r="E3141" i="10"/>
  <c r="D3141" i="10"/>
  <c r="E3140" i="10"/>
  <c r="D3140" i="10"/>
  <c r="E3139" i="10"/>
  <c r="D3139" i="10"/>
  <c r="B3139" i="10"/>
  <c r="V3130" i="10"/>
  <c r="R3130" i="10"/>
  <c r="E3130" i="10"/>
  <c r="D3130" i="10"/>
  <c r="S3130" i="10"/>
  <c r="V3129" i="10"/>
  <c r="R3129" i="10"/>
  <c r="E3129" i="10"/>
  <c r="D3129" i="10"/>
  <c r="S3129" i="10"/>
  <c r="U3129" i="10"/>
  <c r="V3128" i="10"/>
  <c r="R3128" i="10"/>
  <c r="E3128" i="10"/>
  <c r="D3128" i="10"/>
  <c r="E3127" i="10"/>
  <c r="D3127" i="10"/>
  <c r="W3126" i="10"/>
  <c r="E3126" i="10"/>
  <c r="D3126" i="10"/>
  <c r="B3126" i="10"/>
  <c r="C3120" i="10"/>
  <c r="V3117" i="10"/>
  <c r="S3117" i="10"/>
  <c r="R3117" i="10"/>
  <c r="E3117" i="10"/>
  <c r="D3117" i="10"/>
  <c r="V3116" i="10"/>
  <c r="S3116" i="10"/>
  <c r="R3116" i="10"/>
  <c r="E3116" i="10"/>
  <c r="D3116" i="10"/>
  <c r="V3115" i="10"/>
  <c r="R3115" i="10"/>
  <c r="E3115" i="10"/>
  <c r="D3115" i="10"/>
  <c r="C3119" i="10"/>
  <c r="E3114" i="10"/>
  <c r="D3114" i="10"/>
  <c r="E3113" i="10"/>
  <c r="D3113" i="10"/>
  <c r="B3113" i="10"/>
  <c r="C3107" i="10"/>
  <c r="V3104" i="10"/>
  <c r="S3104" i="10"/>
  <c r="T3104" i="10"/>
  <c r="R3104" i="10"/>
  <c r="E3104" i="10"/>
  <c r="D3104" i="10"/>
  <c r="V3103" i="10"/>
  <c r="R3103" i="10"/>
  <c r="E3103" i="10"/>
  <c r="D3103" i="10"/>
  <c r="S3103" i="10"/>
  <c r="V3102" i="10"/>
  <c r="S3102" i="10"/>
  <c r="U3102" i="10"/>
  <c r="R3102" i="10"/>
  <c r="R3105" i="10"/>
  <c r="E3102" i="10"/>
  <c r="D3102" i="10"/>
  <c r="C3106" i="10"/>
  <c r="E3101" i="10"/>
  <c r="D3101" i="10"/>
  <c r="E3100" i="10"/>
  <c r="D3100" i="10"/>
  <c r="B3100" i="10"/>
  <c r="D3094" i="10"/>
  <c r="V3091" i="10"/>
  <c r="S3091" i="10"/>
  <c r="R3091" i="10"/>
  <c r="E3091" i="10"/>
  <c r="D3091" i="10"/>
  <c r="V3090" i="10"/>
  <c r="R3090" i="10"/>
  <c r="E3090" i="10"/>
  <c r="D3090" i="10"/>
  <c r="S3090" i="10"/>
  <c r="V3089" i="10"/>
  <c r="S3089" i="10"/>
  <c r="R3089" i="10"/>
  <c r="U3089" i="10"/>
  <c r="E3089" i="10"/>
  <c r="D3089" i="10"/>
  <c r="C3094" i="10"/>
  <c r="E3088" i="10"/>
  <c r="D3088" i="10"/>
  <c r="E3087" i="10"/>
  <c r="D3087" i="10"/>
  <c r="B3087" i="10"/>
  <c r="R3078" i="10"/>
  <c r="E3078" i="10"/>
  <c r="D3078" i="10"/>
  <c r="R3077" i="10"/>
  <c r="E3077" i="10"/>
  <c r="D3077" i="10"/>
  <c r="S3077" i="10"/>
  <c r="R3076" i="10"/>
  <c r="R3079" i="10"/>
  <c r="E3076" i="10"/>
  <c r="D3076" i="10"/>
  <c r="E3075" i="10"/>
  <c r="D3075" i="10"/>
  <c r="J3074" i="10"/>
  <c r="E3074" i="10"/>
  <c r="D3074" i="10"/>
  <c r="B3074" i="10"/>
  <c r="V3065" i="10"/>
  <c r="R3065" i="10"/>
  <c r="E3065" i="10"/>
  <c r="D3065" i="10"/>
  <c r="V3064" i="10"/>
  <c r="R3064" i="10"/>
  <c r="E3064" i="10"/>
  <c r="D3064" i="10"/>
  <c r="S3064" i="10"/>
  <c r="V3063" i="10"/>
  <c r="S3063" i="10"/>
  <c r="R3063" i="10"/>
  <c r="R3066" i="10"/>
  <c r="E3063" i="10"/>
  <c r="D3063" i="10"/>
  <c r="E3062" i="10"/>
  <c r="D3062" i="10"/>
  <c r="J3061" i="10"/>
  <c r="E3061" i="10"/>
  <c r="D3061" i="10"/>
  <c r="B3061" i="10"/>
  <c r="V3052" i="10"/>
  <c r="R3052" i="10"/>
  <c r="E3052" i="10"/>
  <c r="D3052" i="10"/>
  <c r="S3052" i="10"/>
  <c r="V3051" i="10"/>
  <c r="R3051" i="10"/>
  <c r="E3051" i="10"/>
  <c r="D3051" i="10"/>
  <c r="V3050" i="10"/>
  <c r="R3050" i="10"/>
  <c r="E3050" i="10"/>
  <c r="D3050" i="10"/>
  <c r="E3049" i="10"/>
  <c r="D3049" i="10"/>
  <c r="J3048" i="10"/>
  <c r="E3048" i="10"/>
  <c r="D3048" i="10"/>
  <c r="B3048" i="10"/>
  <c r="D3041" i="10"/>
  <c r="V3039" i="10"/>
  <c r="S3039" i="10"/>
  <c r="R3039" i="10"/>
  <c r="E3039" i="10"/>
  <c r="D3039" i="10"/>
  <c r="V3038" i="10"/>
  <c r="R3038" i="10"/>
  <c r="E3038" i="10"/>
  <c r="D3038" i="10"/>
  <c r="S3038" i="10"/>
  <c r="V3037" i="10"/>
  <c r="S3037" i="10"/>
  <c r="U3037" i="10"/>
  <c r="R3037" i="10"/>
  <c r="E3037" i="10"/>
  <c r="D3037" i="10"/>
  <c r="C3042" i="10"/>
  <c r="E3036" i="10"/>
  <c r="D3036" i="10"/>
  <c r="J3035" i="10"/>
  <c r="E3035" i="10"/>
  <c r="D3035" i="10"/>
  <c r="B3035" i="10"/>
  <c r="V3026" i="10"/>
  <c r="R3026" i="10"/>
  <c r="E3026" i="10"/>
  <c r="D3026" i="10"/>
  <c r="V3025" i="10"/>
  <c r="R3025" i="10"/>
  <c r="E3025" i="10"/>
  <c r="D3025" i="10"/>
  <c r="V3024" i="10"/>
  <c r="R3024" i="10"/>
  <c r="E3024" i="10"/>
  <c r="D3024" i="10"/>
  <c r="E3023" i="10"/>
  <c r="D3023" i="10"/>
  <c r="J3022" i="10"/>
  <c r="E3022" i="10"/>
  <c r="D3022" i="10"/>
  <c r="B3022" i="10"/>
  <c r="V3013" i="10"/>
  <c r="R3013" i="10"/>
  <c r="D3013" i="10"/>
  <c r="V3012" i="10"/>
  <c r="R3012" i="10"/>
  <c r="E3012" i="10"/>
  <c r="D3012" i="10"/>
  <c r="V3011" i="10"/>
  <c r="R3011" i="10"/>
  <c r="E3011" i="10"/>
  <c r="D3011" i="10"/>
  <c r="V3010" i="10"/>
  <c r="R3010" i="10"/>
  <c r="R3014" i="10"/>
  <c r="E3010" i="10"/>
  <c r="D3010" i="10"/>
  <c r="E3009" i="10"/>
  <c r="D3009" i="10"/>
  <c r="J3008" i="10"/>
  <c r="E3008" i="10"/>
  <c r="D3008" i="10"/>
  <c r="B3008" i="10"/>
  <c r="V2999" i="10"/>
  <c r="R2999" i="10"/>
  <c r="D2999" i="10"/>
  <c r="V2998" i="10"/>
  <c r="R2998" i="10"/>
  <c r="D2998" i="10"/>
  <c r="S2998" i="10"/>
  <c r="U2998" i="10"/>
  <c r="V2997" i="10"/>
  <c r="R2997" i="10"/>
  <c r="E2997" i="10"/>
  <c r="D2997" i="10"/>
  <c r="S2997" i="10"/>
  <c r="V2996" i="10"/>
  <c r="R2996" i="10"/>
  <c r="E2996" i="10"/>
  <c r="D2996" i="10"/>
  <c r="S2996" i="10"/>
  <c r="V2995" i="10"/>
  <c r="R2995" i="10"/>
  <c r="R3000" i="10"/>
  <c r="E2995" i="10"/>
  <c r="D2995" i="10"/>
  <c r="C3001" i="10"/>
  <c r="E2994" i="10"/>
  <c r="D2994" i="10"/>
  <c r="J2993" i="10"/>
  <c r="E2993" i="10"/>
  <c r="D2993" i="10"/>
  <c r="B2993" i="10"/>
  <c r="V2982" i="10"/>
  <c r="R2982" i="10"/>
  <c r="D2982" i="10"/>
  <c r="V2981" i="10"/>
  <c r="R2981" i="10"/>
  <c r="D2981" i="10"/>
  <c r="S2981" i="10"/>
  <c r="T2981" i="10"/>
  <c r="V2980" i="10"/>
  <c r="R2980" i="10"/>
  <c r="D2980" i="10"/>
  <c r="C2987" i="10"/>
  <c r="E2979" i="10"/>
  <c r="D2979" i="10"/>
  <c r="J2978" i="10"/>
  <c r="E2978" i="10"/>
  <c r="D2978" i="10"/>
  <c r="B2978" i="10"/>
  <c r="D2972" i="10"/>
  <c r="V2968" i="10"/>
  <c r="R2968" i="10"/>
  <c r="E2968" i="10"/>
  <c r="D2968" i="10"/>
  <c r="V2967" i="10"/>
  <c r="R2967" i="10"/>
  <c r="E2967" i="10"/>
  <c r="D2967" i="10"/>
  <c r="S2967" i="10"/>
  <c r="U2967" i="10"/>
  <c r="V2966" i="10"/>
  <c r="T2966" i="10"/>
  <c r="R2966" i="10"/>
  <c r="E2966" i="10"/>
  <c r="D2966" i="10"/>
  <c r="S2966" i="10"/>
  <c r="U2966" i="10"/>
  <c r="V2965" i="10"/>
  <c r="R2965" i="10"/>
  <c r="E2965" i="10"/>
  <c r="D2965" i="10"/>
  <c r="V2964" i="10"/>
  <c r="R2964" i="10"/>
  <c r="E2964" i="10"/>
  <c r="D2964" i="10"/>
  <c r="S2964" i="10"/>
  <c r="U2964" i="10"/>
  <c r="E2963" i="10"/>
  <c r="D2963" i="10"/>
  <c r="J2962" i="10"/>
  <c r="E2962" i="10"/>
  <c r="D2962" i="10"/>
  <c r="B2962" i="10"/>
  <c r="J2961" i="10"/>
  <c r="V2952" i="10"/>
  <c r="S2952" i="10"/>
  <c r="R2952" i="10"/>
  <c r="E2952" i="10"/>
  <c r="D2952" i="10"/>
  <c r="V2951" i="10"/>
  <c r="R2951" i="10"/>
  <c r="U2951" i="10"/>
  <c r="E2951" i="10"/>
  <c r="D2951" i="10"/>
  <c r="S2951" i="10"/>
  <c r="V2950" i="10"/>
  <c r="R2950" i="10"/>
  <c r="E2950" i="10"/>
  <c r="D2950" i="10"/>
  <c r="S2950" i="10"/>
  <c r="U2950" i="10"/>
  <c r="V2949" i="10"/>
  <c r="R2949" i="10"/>
  <c r="E2949" i="10"/>
  <c r="D2949" i="10"/>
  <c r="S2949" i="10"/>
  <c r="U2949" i="10"/>
  <c r="V2948" i="10"/>
  <c r="R2948" i="10"/>
  <c r="R2954" i="10"/>
  <c r="E2948" i="10"/>
  <c r="D2948" i="10"/>
  <c r="E2947" i="10"/>
  <c r="D2947" i="10"/>
  <c r="J2946" i="10"/>
  <c r="E2946" i="10"/>
  <c r="D2946" i="10"/>
  <c r="B2946" i="10"/>
  <c r="J2945" i="10"/>
  <c r="V2937" i="10"/>
  <c r="R2937" i="10"/>
  <c r="E2937" i="10"/>
  <c r="D2937" i="10"/>
  <c r="S2937" i="10"/>
  <c r="V2936" i="10"/>
  <c r="S2936" i="10"/>
  <c r="R2936" i="10"/>
  <c r="E2936" i="10"/>
  <c r="D2936" i="10"/>
  <c r="V2935" i="10"/>
  <c r="R2935" i="10"/>
  <c r="E2935" i="10"/>
  <c r="D2935" i="10"/>
  <c r="S2935" i="10"/>
  <c r="V2934" i="10"/>
  <c r="R2934" i="10"/>
  <c r="E2934" i="10"/>
  <c r="D2934" i="10"/>
  <c r="S2934" i="10"/>
  <c r="V2933" i="10"/>
  <c r="S2933" i="10"/>
  <c r="T2933" i="10"/>
  <c r="R2933" i="10"/>
  <c r="E2933" i="10"/>
  <c r="D2933" i="10"/>
  <c r="V2932" i="10"/>
  <c r="R2932" i="10"/>
  <c r="E2932" i="10"/>
  <c r="D2932" i="10"/>
  <c r="C2940" i="10"/>
  <c r="E2931" i="10"/>
  <c r="D2931" i="10"/>
  <c r="J2930" i="10"/>
  <c r="E2930" i="10"/>
  <c r="D2930" i="10"/>
  <c r="B2930" i="10"/>
  <c r="J2929" i="10"/>
  <c r="V2921" i="10"/>
  <c r="S2921" i="10"/>
  <c r="R2921" i="10"/>
  <c r="D2921" i="10"/>
  <c r="V2920" i="10"/>
  <c r="R2920" i="10"/>
  <c r="D2920" i="10"/>
  <c r="S2920" i="10"/>
  <c r="T2920" i="10"/>
  <c r="V2919" i="10"/>
  <c r="R2919" i="10"/>
  <c r="D2919" i="10"/>
  <c r="S2919" i="10"/>
  <c r="V2918" i="10"/>
  <c r="R2918" i="10"/>
  <c r="D2918" i="10"/>
  <c r="V2917" i="10"/>
  <c r="S2917" i="10"/>
  <c r="R2917" i="10"/>
  <c r="D2917" i="10"/>
  <c r="V2916" i="10"/>
  <c r="S2916" i="10"/>
  <c r="R2916" i="10"/>
  <c r="D2916" i="10"/>
  <c r="E2915" i="10"/>
  <c r="D2915" i="10"/>
  <c r="J2914" i="10"/>
  <c r="E2914" i="10"/>
  <c r="D2914" i="10"/>
  <c r="B2914" i="10"/>
  <c r="J2913" i="10"/>
  <c r="V2904" i="10"/>
  <c r="S2904" i="10"/>
  <c r="R2904" i="10"/>
  <c r="E2904" i="10"/>
  <c r="D2904" i="10"/>
  <c r="V2903" i="10"/>
  <c r="R2903" i="10"/>
  <c r="E2903" i="10"/>
  <c r="D2903" i="10"/>
  <c r="S2903" i="10"/>
  <c r="V2902" i="10"/>
  <c r="R2902" i="10"/>
  <c r="E2902" i="10"/>
  <c r="D2902" i="10"/>
  <c r="S2902" i="10"/>
  <c r="V2901" i="10"/>
  <c r="R2901" i="10"/>
  <c r="E2901" i="10"/>
  <c r="D2901" i="10"/>
  <c r="E2900" i="10"/>
  <c r="D2900" i="10"/>
  <c r="J2899" i="10"/>
  <c r="E2899" i="10"/>
  <c r="D2899" i="10"/>
  <c r="B2899" i="10"/>
  <c r="L2898" i="10"/>
  <c r="J2898" i="10"/>
  <c r="V2889" i="10"/>
  <c r="R2889" i="10"/>
  <c r="D2889" i="10"/>
  <c r="S2889" i="10"/>
  <c r="V2888" i="10"/>
  <c r="S2888" i="10"/>
  <c r="R2888" i="10"/>
  <c r="U2888" i="10"/>
  <c r="D2888" i="10"/>
  <c r="V2887" i="10"/>
  <c r="T2887" i="10"/>
  <c r="R2887" i="10"/>
  <c r="E2887" i="10"/>
  <c r="D2887" i="10"/>
  <c r="S2887" i="10"/>
  <c r="U2887" i="10"/>
  <c r="V2886" i="10"/>
  <c r="R2886" i="10"/>
  <c r="D2886" i="10"/>
  <c r="S2886" i="10"/>
  <c r="V2885" i="10"/>
  <c r="R2885" i="10"/>
  <c r="D2885" i="10"/>
  <c r="V2884" i="10"/>
  <c r="S2884" i="10"/>
  <c r="R2884" i="10"/>
  <c r="D2884" i="10"/>
  <c r="V2883" i="10"/>
  <c r="R2883" i="10"/>
  <c r="D2883" i="10"/>
  <c r="S2883" i="10"/>
  <c r="V2882" i="10"/>
  <c r="R2882" i="10"/>
  <c r="E2882" i="10"/>
  <c r="D2882" i="10"/>
  <c r="S2882" i="10"/>
  <c r="V2881" i="10"/>
  <c r="R2881" i="10"/>
  <c r="E2881" i="10"/>
  <c r="D2881" i="10"/>
  <c r="S2881" i="10"/>
  <c r="E2880" i="10"/>
  <c r="D2880" i="10"/>
  <c r="J2879" i="10"/>
  <c r="E2879" i="10"/>
  <c r="D2879" i="10"/>
  <c r="B2879" i="10"/>
  <c r="L2878" i="10"/>
  <c r="J2878" i="10"/>
  <c r="T2873" i="10"/>
  <c r="M2876" i="10"/>
  <c r="Q2876" i="10"/>
  <c r="V2870" i="10"/>
  <c r="D2870" i="10"/>
  <c r="S2870" i="10"/>
  <c r="V2869" i="10"/>
  <c r="R2869" i="10"/>
  <c r="D2869" i="10"/>
  <c r="V2868" i="10"/>
  <c r="S2868" i="10"/>
  <c r="R2868" i="10"/>
  <c r="I2868" i="10"/>
  <c r="V2867" i="10"/>
  <c r="R2867" i="10"/>
  <c r="D2867" i="10"/>
  <c r="E2866" i="10"/>
  <c r="D2866" i="10"/>
  <c r="J2865" i="10"/>
  <c r="E2865" i="10"/>
  <c r="D2865" i="10"/>
  <c r="B2865" i="10"/>
  <c r="J2864" i="10"/>
  <c r="E2857" i="10"/>
  <c r="V2856" i="10"/>
  <c r="U2856" i="10"/>
  <c r="S2856" i="10"/>
  <c r="T2856" i="10"/>
  <c r="R2856" i="10"/>
  <c r="E2856" i="10"/>
  <c r="D2856" i="10"/>
  <c r="V2855" i="10"/>
  <c r="S2855" i="10"/>
  <c r="T2855" i="10"/>
  <c r="D2855" i="10"/>
  <c r="V2854" i="10"/>
  <c r="R2854" i="10"/>
  <c r="R2857" i="10"/>
  <c r="E2854" i="10"/>
  <c r="D2854" i="10"/>
  <c r="S2854" i="10"/>
  <c r="V2853" i="10"/>
  <c r="S2853" i="10"/>
  <c r="R2853" i="10"/>
  <c r="D2853" i="10"/>
  <c r="E2852" i="10"/>
  <c r="D2852" i="10"/>
  <c r="J2851" i="10"/>
  <c r="E2851" i="10"/>
  <c r="D2851" i="10"/>
  <c r="B2851" i="10"/>
  <c r="J2850" i="10"/>
  <c r="D2844" i="10"/>
  <c r="E2843" i="10"/>
  <c r="V2842" i="10"/>
  <c r="R2842" i="10"/>
  <c r="E2842" i="10"/>
  <c r="D2842" i="10"/>
  <c r="S2842" i="10"/>
  <c r="V2841" i="10"/>
  <c r="U2841" i="10"/>
  <c r="S2841" i="10"/>
  <c r="T2841" i="10"/>
  <c r="R2841" i="10"/>
  <c r="E2841" i="10"/>
  <c r="D2841" i="10"/>
  <c r="V2840" i="10"/>
  <c r="R2840" i="10"/>
  <c r="R2843" i="10"/>
  <c r="E2840" i="10"/>
  <c r="D2840" i="10"/>
  <c r="D2845" i="10"/>
  <c r="V2839" i="10"/>
  <c r="S2839" i="10"/>
  <c r="U2839" i="10"/>
  <c r="R2839" i="10"/>
  <c r="E2839" i="10"/>
  <c r="D2839" i="10"/>
  <c r="V2838" i="10"/>
  <c r="R2838" i="10"/>
  <c r="E2838" i="10"/>
  <c r="D2838" i="10"/>
  <c r="E2837" i="10"/>
  <c r="D2837" i="10"/>
  <c r="J2836" i="10"/>
  <c r="E2836" i="10"/>
  <c r="D2836" i="10"/>
  <c r="B2836" i="10"/>
  <c r="J2835" i="10"/>
  <c r="T2833" i="10"/>
  <c r="T2832" i="10"/>
  <c r="T2831" i="10"/>
  <c r="U2830" i="10"/>
  <c r="D2829" i="10"/>
  <c r="R2828" i="10"/>
  <c r="V2827" i="10"/>
  <c r="R2827" i="10"/>
  <c r="D2827" i="10"/>
  <c r="V2826" i="10"/>
  <c r="S2826" i="10"/>
  <c r="R2826" i="10"/>
  <c r="D2826" i="10"/>
  <c r="V2825" i="10"/>
  <c r="R2825" i="10"/>
  <c r="D2825" i="10"/>
  <c r="S2825" i="10"/>
  <c r="T2825" i="10"/>
  <c r="V2824" i="10"/>
  <c r="R2824" i="10"/>
  <c r="D2824" i="10"/>
  <c r="V2823" i="10"/>
  <c r="R2823" i="10"/>
  <c r="D2823" i="10"/>
  <c r="S2823" i="10"/>
  <c r="E2822" i="10"/>
  <c r="D2822" i="10"/>
  <c r="J2821" i="10"/>
  <c r="E2821" i="10"/>
  <c r="D2821" i="10"/>
  <c r="B2821" i="10"/>
  <c r="J2820" i="10"/>
  <c r="J2815" i="10"/>
  <c r="D2815" i="10"/>
  <c r="V2813" i="10"/>
  <c r="R2813" i="10"/>
  <c r="Q2813" i="10"/>
  <c r="W2813" i="10"/>
  <c r="N2813" i="10"/>
  <c r="E2813" i="10"/>
  <c r="D2813" i="10"/>
  <c r="W2812" i="10"/>
  <c r="V2812" i="10"/>
  <c r="R2812" i="10"/>
  <c r="E2812" i="10"/>
  <c r="D2812" i="10"/>
  <c r="V2811" i="10"/>
  <c r="R2811" i="10"/>
  <c r="Q2811" i="10"/>
  <c r="W2811" i="10"/>
  <c r="N2811" i="10"/>
  <c r="E2811" i="10"/>
  <c r="D2811" i="10"/>
  <c r="V2810" i="10"/>
  <c r="S2810" i="10"/>
  <c r="U2810" i="10"/>
  <c r="R2810" i="10"/>
  <c r="Q2810" i="10"/>
  <c r="W2810" i="10"/>
  <c r="N2810" i="10"/>
  <c r="E2810" i="10"/>
  <c r="D2810" i="10"/>
  <c r="V2809" i="10"/>
  <c r="R2809" i="10"/>
  <c r="Q2809" i="10"/>
  <c r="W2809" i="10"/>
  <c r="E2809" i="10"/>
  <c r="D2809" i="10"/>
  <c r="S2809" i="10"/>
  <c r="E2808" i="10"/>
  <c r="D2808" i="10"/>
  <c r="E2807" i="10"/>
  <c r="D2807" i="10"/>
  <c r="B2807" i="10"/>
  <c r="J2801" i="10"/>
  <c r="W2799" i="10"/>
  <c r="V2799" i="10"/>
  <c r="R2799" i="10"/>
  <c r="N2799" i="10"/>
  <c r="E2799" i="10"/>
  <c r="D2799" i="10"/>
  <c r="S2799" i="10"/>
  <c r="W2798" i="10"/>
  <c r="V2798" i="10"/>
  <c r="R2798" i="10"/>
  <c r="E2798" i="10"/>
  <c r="D2798" i="10"/>
  <c r="S2798" i="10"/>
  <c r="V2797" i="10"/>
  <c r="R2797" i="10"/>
  <c r="N2797" i="10"/>
  <c r="E2797" i="10"/>
  <c r="D2797" i="10"/>
  <c r="W2796" i="10"/>
  <c r="V2796" i="10"/>
  <c r="R2796" i="10"/>
  <c r="N2796" i="10"/>
  <c r="E2796" i="10"/>
  <c r="D2796" i="10"/>
  <c r="S2796" i="10"/>
  <c r="U2796" i="10"/>
  <c r="W2795" i="10"/>
  <c r="V2795" i="10"/>
  <c r="R2795" i="10"/>
  <c r="E2795" i="10"/>
  <c r="D2795" i="10"/>
  <c r="S2795" i="10"/>
  <c r="T2795" i="10"/>
  <c r="W2794" i="10"/>
  <c r="V2794" i="10"/>
  <c r="R2794" i="10"/>
  <c r="N2794" i="10"/>
  <c r="E2794" i="10"/>
  <c r="D2794" i="10"/>
  <c r="S2794" i="10"/>
  <c r="E2793" i="10"/>
  <c r="D2793" i="10"/>
  <c r="E2792" i="10"/>
  <c r="D2792" i="10"/>
  <c r="B2792" i="10"/>
  <c r="J2786" i="10"/>
  <c r="W2784" i="10"/>
  <c r="V2784" i="10"/>
  <c r="S2784" i="10"/>
  <c r="U2784" i="10"/>
  <c r="R2784" i="10"/>
  <c r="N2784" i="10"/>
  <c r="E2784" i="10"/>
  <c r="D2784" i="10"/>
  <c r="W2783" i="10"/>
  <c r="V2783" i="10"/>
  <c r="S2783" i="10"/>
  <c r="T2783" i="10"/>
  <c r="R2783" i="10"/>
  <c r="E2783" i="10"/>
  <c r="D2783" i="10"/>
  <c r="V2782" i="10"/>
  <c r="S2782" i="10"/>
  <c r="R2782" i="10"/>
  <c r="N2782" i="10"/>
  <c r="E2782" i="10"/>
  <c r="D2782" i="10"/>
  <c r="W2781" i="10"/>
  <c r="V2781" i="10"/>
  <c r="R2781" i="10"/>
  <c r="N2781" i="10"/>
  <c r="E2781" i="10"/>
  <c r="D2781" i="10"/>
  <c r="S2781" i="10"/>
  <c r="W2780" i="10"/>
  <c r="V2780" i="10"/>
  <c r="T2780" i="10"/>
  <c r="R2780" i="10"/>
  <c r="E2780" i="10"/>
  <c r="D2780" i="10"/>
  <c r="S2780" i="10"/>
  <c r="U2780" i="10"/>
  <c r="W2779" i="10"/>
  <c r="V2779" i="10"/>
  <c r="R2779" i="10"/>
  <c r="N2779" i="10"/>
  <c r="E2779" i="10"/>
  <c r="D2779" i="10"/>
  <c r="E2778" i="10"/>
  <c r="D2778" i="10"/>
  <c r="E2777" i="10"/>
  <c r="D2777" i="10"/>
  <c r="B2777" i="10"/>
  <c r="J2771" i="10"/>
  <c r="W2769" i="10"/>
  <c r="V2769" i="10"/>
  <c r="R2769" i="10"/>
  <c r="D2769" i="10"/>
  <c r="V2768" i="10"/>
  <c r="S2768" i="10"/>
  <c r="R2768" i="10"/>
  <c r="D2768" i="10"/>
  <c r="W2767" i="10"/>
  <c r="V2767" i="10"/>
  <c r="R2767" i="10"/>
  <c r="N2767" i="10"/>
  <c r="E2767" i="10"/>
  <c r="D2767" i="10"/>
  <c r="S2767" i="10"/>
  <c r="W2766" i="10"/>
  <c r="V2766" i="10"/>
  <c r="R2766" i="10"/>
  <c r="N2766" i="10"/>
  <c r="E2766" i="10"/>
  <c r="D2766" i="10"/>
  <c r="W2765" i="10"/>
  <c r="V2765" i="10"/>
  <c r="R2765" i="10"/>
  <c r="N2765" i="10"/>
  <c r="E2765" i="10"/>
  <c r="D2765" i="10"/>
  <c r="S2765" i="10"/>
  <c r="W2764" i="10"/>
  <c r="V2764" i="10"/>
  <c r="R2764" i="10"/>
  <c r="E2764" i="10"/>
  <c r="D2764" i="10"/>
  <c r="W2763" i="10"/>
  <c r="V2763" i="10"/>
  <c r="R2763" i="10"/>
  <c r="N2763" i="10"/>
  <c r="E2763" i="10"/>
  <c r="D2763" i="10"/>
  <c r="S2763" i="10"/>
  <c r="U2763" i="10"/>
  <c r="E2762" i="10"/>
  <c r="D2762" i="10"/>
  <c r="E2761" i="10"/>
  <c r="D2761" i="10"/>
  <c r="B2761" i="10"/>
  <c r="J2755" i="10"/>
  <c r="W2753" i="10"/>
  <c r="V2753" i="10"/>
  <c r="R2753" i="10"/>
  <c r="N2753" i="10"/>
  <c r="E2753" i="10"/>
  <c r="D2753" i="10"/>
  <c r="S2753" i="10"/>
  <c r="W2752" i="10"/>
  <c r="V2752" i="10"/>
  <c r="R2752" i="10"/>
  <c r="N2752" i="10"/>
  <c r="E2752" i="10"/>
  <c r="D2752" i="10"/>
  <c r="S2752" i="10"/>
  <c r="W2751" i="10"/>
  <c r="V2751" i="10"/>
  <c r="R2751" i="10"/>
  <c r="N2751" i="10"/>
  <c r="E2751" i="10"/>
  <c r="D2751" i="10"/>
  <c r="S2751" i="10"/>
  <c r="W2750" i="10"/>
  <c r="V2750" i="10"/>
  <c r="R2750" i="10"/>
  <c r="E2750" i="10"/>
  <c r="D2750" i="10"/>
  <c r="S2750" i="10"/>
  <c r="W2749" i="10"/>
  <c r="V2749" i="10"/>
  <c r="S2749" i="10"/>
  <c r="R2749" i="10"/>
  <c r="E2749" i="10"/>
  <c r="D2749" i="10"/>
  <c r="V2748" i="10"/>
  <c r="R2748" i="10"/>
  <c r="D2755" i="10"/>
  <c r="D2748" i="10"/>
  <c r="W2747" i="10"/>
  <c r="V2747" i="10"/>
  <c r="R2747" i="10"/>
  <c r="N2747" i="10"/>
  <c r="E2747" i="10"/>
  <c r="D2747" i="10"/>
  <c r="E2746" i="10"/>
  <c r="D2746" i="10"/>
  <c r="E2745" i="10"/>
  <c r="D2745" i="10"/>
  <c r="B2745" i="10"/>
  <c r="J2739" i="10"/>
  <c r="W2737" i="10"/>
  <c r="V2737" i="10"/>
  <c r="R2737" i="10"/>
  <c r="N2737" i="10"/>
  <c r="E2737" i="10"/>
  <c r="D2737" i="10"/>
  <c r="S2737" i="10"/>
  <c r="W2736" i="10"/>
  <c r="V2736" i="10"/>
  <c r="S2736" i="10"/>
  <c r="U2736" i="10"/>
  <c r="R2736" i="10"/>
  <c r="N2736" i="10"/>
  <c r="E2736" i="10"/>
  <c r="D2736" i="10"/>
  <c r="W2735" i="10"/>
  <c r="V2735" i="10"/>
  <c r="S2735" i="10"/>
  <c r="R2735" i="10"/>
  <c r="N2735" i="10"/>
  <c r="E2735" i="10"/>
  <c r="D2735" i="10"/>
  <c r="W2734" i="10"/>
  <c r="V2734" i="10"/>
  <c r="R2734" i="10"/>
  <c r="E2734" i="10"/>
  <c r="D2734" i="10"/>
  <c r="S2734" i="10"/>
  <c r="W2733" i="10"/>
  <c r="V2733" i="10"/>
  <c r="R2733" i="10"/>
  <c r="E2733" i="10"/>
  <c r="D2733" i="10"/>
  <c r="S2733" i="10"/>
  <c r="W2732" i="10"/>
  <c r="V2732" i="10"/>
  <c r="R2732" i="10"/>
  <c r="N2732" i="10"/>
  <c r="E2732" i="10"/>
  <c r="D2732" i="10"/>
  <c r="S2732" i="10"/>
  <c r="E2731" i="10"/>
  <c r="D2731" i="10"/>
  <c r="E2730" i="10"/>
  <c r="D2730" i="10"/>
  <c r="B2730" i="10"/>
  <c r="J2724" i="10"/>
  <c r="W2722" i="10"/>
  <c r="V2722" i="10"/>
  <c r="R2722" i="10"/>
  <c r="N2722" i="10"/>
  <c r="E2722" i="10"/>
  <c r="D2722" i="10"/>
  <c r="W2721" i="10"/>
  <c r="V2721" i="10"/>
  <c r="R2721" i="10"/>
  <c r="N2721" i="10"/>
  <c r="E2721" i="10"/>
  <c r="D2721" i="10"/>
  <c r="W2720" i="10"/>
  <c r="V2720" i="10"/>
  <c r="S2720" i="10"/>
  <c r="U2720" i="10"/>
  <c r="R2720" i="10"/>
  <c r="E2720" i="10"/>
  <c r="D2720" i="10"/>
  <c r="W2719" i="10"/>
  <c r="V2719" i="10"/>
  <c r="R2719" i="10"/>
  <c r="E2719" i="10"/>
  <c r="D2719" i="10"/>
  <c r="S2719" i="10"/>
  <c r="W2718" i="10"/>
  <c r="V2718" i="10"/>
  <c r="R2718" i="10"/>
  <c r="E2718" i="10"/>
  <c r="D2718" i="10"/>
  <c r="S2718" i="10"/>
  <c r="W2717" i="10"/>
  <c r="V2717" i="10"/>
  <c r="R2717" i="10"/>
  <c r="E2717" i="10"/>
  <c r="D2717" i="10"/>
  <c r="S2717" i="10"/>
  <c r="W2716" i="10"/>
  <c r="V2716" i="10"/>
  <c r="R2716" i="10"/>
  <c r="N2716" i="10"/>
  <c r="E2716" i="10"/>
  <c r="D2716" i="10"/>
  <c r="W2715" i="10"/>
  <c r="V2715" i="10"/>
  <c r="T2715" i="10"/>
  <c r="R2715" i="10"/>
  <c r="E2715" i="10"/>
  <c r="D2715" i="10"/>
  <c r="S2715" i="10"/>
  <c r="W2714" i="10"/>
  <c r="V2714" i="10"/>
  <c r="R2714" i="10"/>
  <c r="E2714" i="10"/>
  <c r="D2714" i="10"/>
  <c r="W2713" i="10"/>
  <c r="V2713" i="10"/>
  <c r="R2713" i="10"/>
  <c r="E2713" i="10"/>
  <c r="D2713" i="10"/>
  <c r="S2713" i="10"/>
  <c r="U2713" i="10"/>
  <c r="W2712" i="10"/>
  <c r="V2712" i="10"/>
  <c r="R2712" i="10"/>
  <c r="N2712" i="10"/>
  <c r="E2712" i="10"/>
  <c r="D2712" i="10"/>
  <c r="S2712" i="10"/>
  <c r="U2712" i="10"/>
  <c r="W2711" i="10"/>
  <c r="V2711" i="10"/>
  <c r="S2711" i="10"/>
  <c r="R2711" i="10"/>
  <c r="E2711" i="10"/>
  <c r="D2711" i="10"/>
  <c r="E2710" i="10"/>
  <c r="D2710" i="10"/>
  <c r="E2709" i="10"/>
  <c r="D2709" i="10"/>
  <c r="B2709" i="10"/>
  <c r="J2703" i="10"/>
  <c r="W2701" i="10"/>
  <c r="V2701" i="10"/>
  <c r="R2701" i="10"/>
  <c r="N2701" i="10"/>
  <c r="E2701" i="10"/>
  <c r="D2701" i="10"/>
  <c r="S2701" i="10"/>
  <c r="W2700" i="10"/>
  <c r="V2700" i="10"/>
  <c r="R2700" i="10"/>
  <c r="N2700" i="10"/>
  <c r="E2700" i="10"/>
  <c r="D2700" i="10"/>
  <c r="S2700" i="10"/>
  <c r="V2699" i="10"/>
  <c r="S2699" i="10"/>
  <c r="T2699" i="10"/>
  <c r="R2699" i="10"/>
  <c r="Q2699" i="10"/>
  <c r="W2699" i="10"/>
  <c r="D2699" i="10"/>
  <c r="W2698" i="10"/>
  <c r="V2698" i="10"/>
  <c r="S2698" i="10"/>
  <c r="U2698" i="10"/>
  <c r="R2698" i="10"/>
  <c r="D2698" i="10"/>
  <c r="W2697" i="10"/>
  <c r="V2697" i="10"/>
  <c r="R2697" i="10"/>
  <c r="D2697" i="10"/>
  <c r="S2697" i="10"/>
  <c r="V2696" i="10"/>
  <c r="R2696" i="10"/>
  <c r="Q2696" i="10"/>
  <c r="W2696" i="10"/>
  <c r="E2696" i="10"/>
  <c r="D2696" i="10"/>
  <c r="W2695" i="10"/>
  <c r="V2695" i="10"/>
  <c r="R2695" i="10"/>
  <c r="N2695" i="10"/>
  <c r="E2695" i="10"/>
  <c r="D2695" i="10"/>
  <c r="S2695" i="10"/>
  <c r="W2694" i="10"/>
  <c r="V2694" i="10"/>
  <c r="R2694" i="10"/>
  <c r="Q2694" i="10"/>
  <c r="E2694" i="10"/>
  <c r="D2694" i="10"/>
  <c r="S2694" i="10"/>
  <c r="V2693" i="10"/>
  <c r="R2693" i="10"/>
  <c r="Q2693" i="10"/>
  <c r="W2693" i="10"/>
  <c r="E2693" i="10"/>
  <c r="D2693" i="10"/>
  <c r="S2693" i="10"/>
  <c r="T2693" i="10"/>
  <c r="V2692" i="10"/>
  <c r="R2692" i="10"/>
  <c r="Q2692" i="10"/>
  <c r="W2692" i="10"/>
  <c r="E2692" i="10"/>
  <c r="D2692" i="10"/>
  <c r="W2691" i="10"/>
  <c r="V2691" i="10"/>
  <c r="R2691" i="10"/>
  <c r="N2691" i="10"/>
  <c r="E2691" i="10"/>
  <c r="D2691" i="10"/>
  <c r="S2691" i="10"/>
  <c r="U2691" i="10"/>
  <c r="V2690" i="10"/>
  <c r="R2690" i="10"/>
  <c r="Q2690" i="10"/>
  <c r="W2690" i="10"/>
  <c r="E2690" i="10"/>
  <c r="D2690" i="10"/>
  <c r="E2689" i="10"/>
  <c r="D2689" i="10"/>
  <c r="E2688" i="10"/>
  <c r="D2688" i="10"/>
  <c r="B2688" i="10"/>
  <c r="J2682" i="10"/>
  <c r="W2680" i="10"/>
  <c r="V2680" i="10"/>
  <c r="R2680" i="10"/>
  <c r="N2680" i="10"/>
  <c r="E2680" i="10"/>
  <c r="D2680" i="10"/>
  <c r="W2679" i="10"/>
  <c r="V2679" i="10"/>
  <c r="R2679" i="10"/>
  <c r="N2679" i="10"/>
  <c r="E2679" i="10"/>
  <c r="D2679" i="10"/>
  <c r="S2679" i="10"/>
  <c r="U2679" i="10"/>
  <c r="V2678" i="10"/>
  <c r="S2678" i="10"/>
  <c r="U2678" i="10"/>
  <c r="R2678" i="10"/>
  <c r="Q2678" i="10"/>
  <c r="W2678" i="10"/>
  <c r="D2678" i="10"/>
  <c r="W2677" i="10"/>
  <c r="V2677" i="10"/>
  <c r="R2677" i="10"/>
  <c r="N2677" i="10"/>
  <c r="E2677" i="10"/>
  <c r="D2677" i="10"/>
  <c r="S2677" i="10"/>
  <c r="V2676" i="10"/>
  <c r="S2676" i="10"/>
  <c r="T2676" i="10"/>
  <c r="R2676" i="10"/>
  <c r="Q2676" i="10"/>
  <c r="W2676" i="10"/>
  <c r="D2676" i="10"/>
  <c r="W2675" i="10"/>
  <c r="V2675" i="10"/>
  <c r="R2675" i="10"/>
  <c r="Q2675" i="10"/>
  <c r="D2675" i="10"/>
  <c r="V2674" i="10"/>
  <c r="R2674" i="10"/>
  <c r="Q2674" i="10"/>
  <c r="W2674" i="10"/>
  <c r="D2674" i="10"/>
  <c r="S2674" i="10"/>
  <c r="W2673" i="10"/>
  <c r="V2673" i="10"/>
  <c r="R2673" i="10"/>
  <c r="N2673" i="10"/>
  <c r="E2673" i="10"/>
  <c r="D2673" i="10"/>
  <c r="W2672" i="10"/>
  <c r="V2672" i="10"/>
  <c r="R2672" i="10"/>
  <c r="D2672" i="10"/>
  <c r="E2671" i="10"/>
  <c r="D2671" i="10"/>
  <c r="E2670" i="10"/>
  <c r="D2670" i="10"/>
  <c r="B2670" i="10"/>
  <c r="J2664" i="10"/>
  <c r="W2662" i="10"/>
  <c r="V2662" i="10"/>
  <c r="R2662" i="10"/>
  <c r="N2662" i="10"/>
  <c r="D2662" i="10"/>
  <c r="S2662" i="10"/>
  <c r="W2661" i="10"/>
  <c r="V2661" i="10"/>
  <c r="R2661" i="10"/>
  <c r="N2661" i="10"/>
  <c r="D2661" i="10"/>
  <c r="W2660" i="10"/>
  <c r="V2660" i="10"/>
  <c r="R2660" i="10"/>
  <c r="R2663" i="10"/>
  <c r="N2660" i="10"/>
  <c r="D2660" i="10"/>
  <c r="W2659" i="10"/>
  <c r="V2659" i="10"/>
  <c r="R2659" i="10"/>
  <c r="N2659" i="10"/>
  <c r="D2659" i="10"/>
  <c r="E2658" i="10"/>
  <c r="D2658" i="10"/>
  <c r="E2657" i="10"/>
  <c r="D2657" i="10"/>
  <c r="B2657" i="10"/>
  <c r="J2651" i="10"/>
  <c r="D2651" i="10"/>
  <c r="R2649" i="10"/>
  <c r="D2649" i="10"/>
  <c r="W2648" i="10"/>
  <c r="V2648" i="10"/>
  <c r="R2648" i="10"/>
  <c r="N2648" i="10"/>
  <c r="D2648" i="10"/>
  <c r="S2648" i="10"/>
  <c r="W2647" i="10"/>
  <c r="V2647" i="10"/>
  <c r="R2647" i="10"/>
  <c r="N2647" i="10"/>
  <c r="D2647" i="10"/>
  <c r="V2646" i="10"/>
  <c r="R2646" i="10"/>
  <c r="Q2646" i="10"/>
  <c r="W2646" i="10"/>
  <c r="N2646" i="10"/>
  <c r="D2646" i="10"/>
  <c r="E2646" i="10"/>
  <c r="W2645" i="10"/>
  <c r="V2645" i="10"/>
  <c r="S2645" i="10"/>
  <c r="R2645" i="10"/>
  <c r="N2645" i="10"/>
  <c r="D2645" i="10"/>
  <c r="E2644" i="10"/>
  <c r="D2644" i="10"/>
  <c r="E2643" i="10"/>
  <c r="D2643" i="10"/>
  <c r="B2643" i="10"/>
  <c r="J2637" i="10"/>
  <c r="R2635" i="10"/>
  <c r="D2635" i="10"/>
  <c r="W2634" i="10"/>
  <c r="V2634" i="10"/>
  <c r="R2634" i="10"/>
  <c r="N2634" i="10"/>
  <c r="D2634" i="10"/>
  <c r="S2634" i="10"/>
  <c r="W2633" i="10"/>
  <c r="V2633" i="10"/>
  <c r="R2633" i="10"/>
  <c r="N2633" i="10"/>
  <c r="D2633" i="10"/>
  <c r="W2632" i="10"/>
  <c r="V2632" i="10"/>
  <c r="S2632" i="10"/>
  <c r="R2632" i="10"/>
  <c r="Q2632" i="10"/>
  <c r="N2632" i="10"/>
  <c r="D2632" i="10"/>
  <c r="W2631" i="10"/>
  <c r="V2631" i="10"/>
  <c r="R2631" i="10"/>
  <c r="N2631" i="10"/>
  <c r="D2631" i="10"/>
  <c r="S2631" i="10"/>
  <c r="E2630" i="10"/>
  <c r="D2630" i="10"/>
  <c r="E2629" i="10"/>
  <c r="D2629" i="10"/>
  <c r="B2629" i="10"/>
  <c r="J2623" i="10"/>
  <c r="W2618" i="10"/>
  <c r="V2618" i="10"/>
  <c r="R2618" i="10"/>
  <c r="N2618" i="10"/>
  <c r="D2618" i="10"/>
  <c r="S2618" i="10"/>
  <c r="W2617" i="10"/>
  <c r="V2617" i="10"/>
  <c r="S2617" i="10"/>
  <c r="U2617" i="10"/>
  <c r="R2617" i="10"/>
  <c r="N2617" i="10"/>
  <c r="D2617" i="10"/>
  <c r="W2616" i="10"/>
  <c r="V2616" i="10"/>
  <c r="U2616" i="10"/>
  <c r="S2616" i="10"/>
  <c r="T2616" i="10"/>
  <c r="R2616" i="10"/>
  <c r="N2616" i="10"/>
  <c r="D2616" i="10"/>
  <c r="W2615" i="10"/>
  <c r="V2615" i="10"/>
  <c r="S2615" i="10"/>
  <c r="R2615" i="10"/>
  <c r="Q2615" i="10"/>
  <c r="N2615" i="10"/>
  <c r="D2615" i="10"/>
  <c r="E2614" i="10"/>
  <c r="D2614" i="10"/>
  <c r="E2613" i="10"/>
  <c r="D2613" i="10"/>
  <c r="B2613" i="10"/>
  <c r="J2607" i="10"/>
  <c r="V2600" i="10"/>
  <c r="S2600" i="10"/>
  <c r="R2600" i="10"/>
  <c r="N2600" i="10"/>
  <c r="D2600" i="10"/>
  <c r="W2599" i="10"/>
  <c r="V2599" i="10"/>
  <c r="R2599" i="10"/>
  <c r="R2606" i="10"/>
  <c r="N2599" i="10"/>
  <c r="D2599" i="10"/>
  <c r="C2608" i="10"/>
  <c r="E2598" i="10"/>
  <c r="D2598" i="10"/>
  <c r="E2597" i="10"/>
  <c r="D2597" i="10"/>
  <c r="B2597" i="10"/>
  <c r="J2591" i="10"/>
  <c r="D2591" i="10"/>
  <c r="V2589" i="10"/>
  <c r="R2589" i="10"/>
  <c r="Q2589" i="10"/>
  <c r="W2589" i="10"/>
  <c r="N2589" i="10"/>
  <c r="E2589" i="10"/>
  <c r="D2589" i="10"/>
  <c r="S2589" i="10"/>
  <c r="V2588" i="10"/>
  <c r="S2588" i="10"/>
  <c r="U2588" i="10"/>
  <c r="R2588" i="10"/>
  <c r="Q2588" i="10"/>
  <c r="W2588" i="10"/>
  <c r="N2588" i="10"/>
  <c r="E2588" i="10"/>
  <c r="D2588" i="10"/>
  <c r="V2587" i="10"/>
  <c r="R2587" i="10"/>
  <c r="Q2587" i="10"/>
  <c r="W2587" i="10"/>
  <c r="N2587" i="10"/>
  <c r="E2587" i="10"/>
  <c r="D2587" i="10"/>
  <c r="V2586" i="10"/>
  <c r="R2586" i="10"/>
  <c r="Q2586" i="10"/>
  <c r="W2586" i="10"/>
  <c r="N2586" i="10"/>
  <c r="E2586" i="10"/>
  <c r="D2586" i="10"/>
  <c r="W2585" i="10"/>
  <c r="V2585" i="10"/>
  <c r="R2585" i="10"/>
  <c r="Q2585" i="10"/>
  <c r="N2585" i="10"/>
  <c r="E2585" i="10"/>
  <c r="D2585" i="10"/>
  <c r="S2585" i="10"/>
  <c r="V2584" i="10"/>
  <c r="R2584" i="10"/>
  <c r="E2584" i="10"/>
  <c r="D2584" i="10"/>
  <c r="S2584" i="10"/>
  <c r="W2583" i="10"/>
  <c r="V2583" i="10"/>
  <c r="S2583" i="10"/>
  <c r="R2583" i="10"/>
  <c r="N2583" i="10"/>
  <c r="E2583" i="10"/>
  <c r="D2583" i="10"/>
  <c r="E2582" i="10"/>
  <c r="D2582" i="10"/>
  <c r="E2581" i="10"/>
  <c r="D2581" i="10"/>
  <c r="B2581" i="10"/>
  <c r="J2575" i="10"/>
  <c r="V2573" i="10"/>
  <c r="R2573" i="10"/>
  <c r="Q2573" i="10"/>
  <c r="W2573" i="10"/>
  <c r="N2573" i="10"/>
  <c r="E2573" i="10"/>
  <c r="D2573" i="10"/>
  <c r="V2572" i="10"/>
  <c r="R2572" i="10"/>
  <c r="Q2572" i="10"/>
  <c r="W2572" i="10"/>
  <c r="N2572" i="10"/>
  <c r="E2572" i="10"/>
  <c r="D2572" i="10"/>
  <c r="F2588" i="10"/>
  <c r="V2571" i="10"/>
  <c r="R2571" i="10"/>
  <c r="Q2571" i="10"/>
  <c r="W2571" i="10"/>
  <c r="N2571" i="10"/>
  <c r="E2571" i="10"/>
  <c r="D2571" i="10"/>
  <c r="V2570" i="10"/>
  <c r="R2570" i="10"/>
  <c r="Q2570" i="10"/>
  <c r="W2570" i="10"/>
  <c r="N2570" i="10"/>
  <c r="E2570" i="10"/>
  <c r="D2570" i="10"/>
  <c r="V2569" i="10"/>
  <c r="R2569" i="10"/>
  <c r="Q2569" i="10"/>
  <c r="W2569" i="10"/>
  <c r="N2569" i="10"/>
  <c r="E2569" i="10"/>
  <c r="D2569" i="10"/>
  <c r="W2568" i="10"/>
  <c r="V2568" i="10"/>
  <c r="R2568" i="10"/>
  <c r="E2568" i="10"/>
  <c r="D2568" i="10"/>
  <c r="S2568" i="10"/>
  <c r="V2567" i="10"/>
  <c r="R2567" i="10"/>
  <c r="Q2567" i="10"/>
  <c r="W2567" i="10"/>
  <c r="N2567" i="10"/>
  <c r="E2567" i="10"/>
  <c r="D2567" i="10"/>
  <c r="S2567" i="10"/>
  <c r="E2566" i="10"/>
  <c r="D2566" i="10"/>
  <c r="E2565" i="10"/>
  <c r="D2565" i="10"/>
  <c r="B2565" i="10"/>
  <c r="J2559" i="10"/>
  <c r="W2557" i="10"/>
  <c r="V2557" i="10"/>
  <c r="R2557" i="10"/>
  <c r="N2557" i="10"/>
  <c r="E2557" i="10"/>
  <c r="D2557" i="10"/>
  <c r="W2556" i="10"/>
  <c r="V2556" i="10"/>
  <c r="R2556" i="10"/>
  <c r="N2556" i="10"/>
  <c r="E2556" i="10"/>
  <c r="D2556" i="10"/>
  <c r="S2556" i="10"/>
  <c r="U2556" i="10"/>
  <c r="W2555" i="10"/>
  <c r="V2555" i="10"/>
  <c r="R2555" i="10"/>
  <c r="Q2555" i="10"/>
  <c r="N2555" i="10"/>
  <c r="E2555" i="10"/>
  <c r="D2555" i="10"/>
  <c r="S2555" i="10"/>
  <c r="V2554" i="10"/>
  <c r="T2554" i="10"/>
  <c r="S2554" i="10"/>
  <c r="U2554" i="10"/>
  <c r="R2554" i="10"/>
  <c r="Q2554" i="10"/>
  <c r="W2554" i="10"/>
  <c r="N2554" i="10"/>
  <c r="E2554" i="10"/>
  <c r="D2554" i="10"/>
  <c r="V2553" i="10"/>
  <c r="T2553" i="10"/>
  <c r="S2553" i="10"/>
  <c r="R2553" i="10"/>
  <c r="Q2553" i="10"/>
  <c r="W2553" i="10"/>
  <c r="N2553" i="10"/>
  <c r="E2553" i="10"/>
  <c r="D2553" i="10"/>
  <c r="V2552" i="10"/>
  <c r="R2552" i="10"/>
  <c r="Q2552" i="10"/>
  <c r="W2552" i="10"/>
  <c r="N2552" i="10"/>
  <c r="E2552" i="10"/>
  <c r="D2552" i="10"/>
  <c r="S2552" i="10"/>
  <c r="W2551" i="10"/>
  <c r="V2551" i="10"/>
  <c r="S2551" i="10"/>
  <c r="R2551" i="10"/>
  <c r="N2551" i="10"/>
  <c r="E2551" i="10"/>
  <c r="D2551" i="10"/>
  <c r="W2550" i="10"/>
  <c r="V2550" i="10"/>
  <c r="R2550" i="10"/>
  <c r="E2550" i="10"/>
  <c r="D2550" i="10"/>
  <c r="W2549" i="10"/>
  <c r="V2549" i="10"/>
  <c r="R2549" i="10"/>
  <c r="N2549" i="10"/>
  <c r="E2549" i="10"/>
  <c r="D2549" i="10"/>
  <c r="S2549" i="10"/>
  <c r="U2549" i="10"/>
  <c r="E2548" i="10"/>
  <c r="D2548" i="10"/>
  <c r="E2547" i="10"/>
  <c r="D2547" i="10"/>
  <c r="B2547" i="10"/>
  <c r="J2541" i="10"/>
  <c r="W2539" i="10"/>
  <c r="V2539" i="10"/>
  <c r="R2539" i="10"/>
  <c r="N2539" i="10"/>
  <c r="E2539" i="10"/>
  <c r="D2539" i="10"/>
  <c r="V2538" i="10"/>
  <c r="R2538" i="10"/>
  <c r="Q2538" i="10"/>
  <c r="W2538" i="10"/>
  <c r="N2538" i="10"/>
  <c r="E2538" i="10"/>
  <c r="D2538" i="10"/>
  <c r="V2537" i="10"/>
  <c r="R2537" i="10"/>
  <c r="Q2537" i="10"/>
  <c r="W2537" i="10"/>
  <c r="N2537" i="10"/>
  <c r="E2537" i="10"/>
  <c r="D2537" i="10"/>
  <c r="V2536" i="10"/>
  <c r="R2536" i="10"/>
  <c r="Q2536" i="10"/>
  <c r="W2536" i="10"/>
  <c r="N2536" i="10"/>
  <c r="E2536" i="10"/>
  <c r="D2536" i="10"/>
  <c r="V2535" i="10"/>
  <c r="R2535" i="10"/>
  <c r="Q2535" i="10"/>
  <c r="W2535" i="10"/>
  <c r="N2535" i="10"/>
  <c r="E2535" i="10"/>
  <c r="D2535" i="10"/>
  <c r="V2534" i="10"/>
  <c r="R2534" i="10"/>
  <c r="Q2534" i="10"/>
  <c r="W2534" i="10"/>
  <c r="N2534" i="10"/>
  <c r="E2534" i="10"/>
  <c r="D2534" i="10"/>
  <c r="W2533" i="10"/>
  <c r="V2533" i="10"/>
  <c r="S2533" i="10"/>
  <c r="R2533" i="10"/>
  <c r="U2533" i="10"/>
  <c r="N2533" i="10"/>
  <c r="E2533" i="10"/>
  <c r="D2533" i="10"/>
  <c r="W2532" i="10"/>
  <c r="V2532" i="10"/>
  <c r="R2532" i="10"/>
  <c r="E2532" i="10"/>
  <c r="D2532" i="10"/>
  <c r="S2532" i="10"/>
  <c r="W2531" i="10"/>
  <c r="V2531" i="10"/>
  <c r="R2531" i="10"/>
  <c r="N2531" i="10"/>
  <c r="E2531" i="10"/>
  <c r="D2531" i="10"/>
  <c r="E2530" i="10"/>
  <c r="D2530" i="10"/>
  <c r="E2529" i="10"/>
  <c r="D2529" i="10"/>
  <c r="B2529" i="10"/>
  <c r="J2523" i="10"/>
  <c r="W2521" i="10"/>
  <c r="V2521" i="10"/>
  <c r="T2521" i="10"/>
  <c r="S2521" i="10"/>
  <c r="U2521" i="10"/>
  <c r="R2521" i="10"/>
  <c r="N2521" i="10"/>
  <c r="E2521" i="10"/>
  <c r="D2521" i="10"/>
  <c r="W2520" i="10"/>
  <c r="V2520" i="10"/>
  <c r="T2520" i="10"/>
  <c r="R2520" i="10"/>
  <c r="Q2520" i="10"/>
  <c r="N2520" i="10"/>
  <c r="E2520" i="10"/>
  <c r="D2520" i="10"/>
  <c r="S2520" i="10"/>
  <c r="U2520" i="10"/>
  <c r="V2519" i="10"/>
  <c r="R2519" i="10"/>
  <c r="Q2519" i="10"/>
  <c r="W2519" i="10"/>
  <c r="N2519" i="10"/>
  <c r="E2519" i="10"/>
  <c r="D2519" i="10"/>
  <c r="S2519" i="10"/>
  <c r="W2518" i="10"/>
  <c r="V2518" i="10"/>
  <c r="R2518" i="10"/>
  <c r="Q2518" i="10"/>
  <c r="N2518" i="10"/>
  <c r="E2518" i="10"/>
  <c r="D2518" i="10"/>
  <c r="S2518" i="10"/>
  <c r="V2517" i="10"/>
  <c r="R2517" i="10"/>
  <c r="Q2517" i="10"/>
  <c r="W2517" i="10"/>
  <c r="N2517" i="10"/>
  <c r="E2517" i="10"/>
  <c r="D2517" i="10"/>
  <c r="S2517" i="10"/>
  <c r="V2516" i="10"/>
  <c r="S2516" i="10"/>
  <c r="R2516" i="10"/>
  <c r="Q2516" i="10"/>
  <c r="W2516" i="10"/>
  <c r="W2479" i="10"/>
  <c r="W2480" i="10"/>
  <c r="W2481" i="10"/>
  <c r="W2482" i="10"/>
  <c r="W2483" i="10"/>
  <c r="W2484" i="10"/>
  <c r="W2485" i="10"/>
  <c r="W2486" i="10"/>
  <c r="N2516" i="10"/>
  <c r="E2516" i="10"/>
  <c r="D2516" i="10"/>
  <c r="W2515" i="10"/>
  <c r="V2515" i="10"/>
  <c r="R2515" i="10"/>
  <c r="N2515" i="10"/>
  <c r="D2515" i="10"/>
  <c r="S2515" i="10"/>
  <c r="W2514" i="10"/>
  <c r="V2514" i="10"/>
  <c r="R2514" i="10"/>
  <c r="D2514" i="10"/>
  <c r="S2514" i="10"/>
  <c r="U2514" i="10"/>
  <c r="W2513" i="10"/>
  <c r="V2513" i="10"/>
  <c r="R2513" i="10"/>
  <c r="N2513" i="10"/>
  <c r="E2513" i="10"/>
  <c r="D2513" i="10"/>
  <c r="E2512" i="10"/>
  <c r="D2512" i="10"/>
  <c r="E2511" i="10"/>
  <c r="D2511" i="10"/>
  <c r="B2511" i="10"/>
  <c r="J2505" i="10"/>
  <c r="W2503" i="10"/>
  <c r="V2503" i="10"/>
  <c r="R2503" i="10"/>
  <c r="N2503" i="10"/>
  <c r="E2503" i="10"/>
  <c r="D2503" i="10"/>
  <c r="W2502" i="10"/>
  <c r="V2502" i="10"/>
  <c r="S2502" i="10"/>
  <c r="R2502" i="10"/>
  <c r="N2502" i="10"/>
  <c r="E2502" i="10"/>
  <c r="D2502" i="10"/>
  <c r="V2501" i="10"/>
  <c r="S2501" i="10"/>
  <c r="R2501" i="10"/>
  <c r="Q2501" i="10"/>
  <c r="W2501" i="10"/>
  <c r="N2501" i="10"/>
  <c r="E2501" i="10"/>
  <c r="D2501" i="10"/>
  <c r="V2500" i="10"/>
  <c r="S2500" i="10"/>
  <c r="R2500" i="10"/>
  <c r="Q2500" i="10"/>
  <c r="W2500" i="10"/>
  <c r="N2500" i="10"/>
  <c r="E2500" i="10"/>
  <c r="D2500" i="10"/>
  <c r="V2499" i="10"/>
  <c r="S2499" i="10"/>
  <c r="U2499" i="10"/>
  <c r="R2499" i="10"/>
  <c r="Q2499" i="10"/>
  <c r="W2499" i="10"/>
  <c r="N2499" i="10"/>
  <c r="E2499" i="10"/>
  <c r="D2499" i="10"/>
  <c r="V2498" i="10"/>
  <c r="S2498" i="10"/>
  <c r="R2498" i="10"/>
  <c r="T2498" i="10"/>
  <c r="Q2498" i="10"/>
  <c r="W2498" i="10"/>
  <c r="N2498" i="10"/>
  <c r="E2498" i="10"/>
  <c r="D2498" i="10"/>
  <c r="W2497" i="10"/>
  <c r="V2497" i="10"/>
  <c r="S2497" i="10"/>
  <c r="R2497" i="10"/>
  <c r="Q2497" i="10"/>
  <c r="N2497" i="10"/>
  <c r="E2497" i="10"/>
  <c r="D2497" i="10"/>
  <c r="W2496" i="10"/>
  <c r="V2496" i="10"/>
  <c r="R2496" i="10"/>
  <c r="N2496" i="10"/>
  <c r="E2496" i="10"/>
  <c r="D2496" i="10"/>
  <c r="C2506" i="10"/>
  <c r="E2495" i="10"/>
  <c r="D2495" i="10"/>
  <c r="E2494" i="10"/>
  <c r="D2494" i="10"/>
  <c r="B2494" i="10"/>
  <c r="J2488" i="10"/>
  <c r="V2486" i="10"/>
  <c r="R2486" i="10"/>
  <c r="N2486" i="10"/>
  <c r="D2486" i="10"/>
  <c r="V2485" i="10"/>
  <c r="R2485" i="10"/>
  <c r="N2485" i="10"/>
  <c r="E2485" i="10"/>
  <c r="D2485" i="10"/>
  <c r="S2485" i="10"/>
  <c r="V2484" i="10"/>
  <c r="R2484" i="10"/>
  <c r="Q2484" i="10"/>
  <c r="N2484" i="10"/>
  <c r="E2484" i="10"/>
  <c r="D2484" i="10"/>
  <c r="S2484" i="10"/>
  <c r="V2483" i="10"/>
  <c r="S2483" i="10"/>
  <c r="U2483" i="10"/>
  <c r="R2483" i="10"/>
  <c r="Q2483" i="10"/>
  <c r="N2483" i="10"/>
  <c r="E2483" i="10"/>
  <c r="D2483" i="10"/>
  <c r="V2482" i="10"/>
  <c r="R2482" i="10"/>
  <c r="Q2482" i="10"/>
  <c r="N2482" i="10"/>
  <c r="E2482" i="10"/>
  <c r="D2482" i="10"/>
  <c r="S2482" i="10"/>
  <c r="V2481" i="10"/>
  <c r="S2481" i="10"/>
  <c r="U2481" i="10"/>
  <c r="R2481" i="10"/>
  <c r="Q2481" i="10"/>
  <c r="N2481" i="10"/>
  <c r="E2481" i="10"/>
  <c r="D2481" i="10"/>
  <c r="V2480" i="10"/>
  <c r="R2480" i="10"/>
  <c r="Q2480" i="10"/>
  <c r="N2480" i="10"/>
  <c r="E2480" i="10"/>
  <c r="D2480" i="10"/>
  <c r="V2479" i="10"/>
  <c r="R2479" i="10"/>
  <c r="N2479" i="10"/>
  <c r="E2479" i="10"/>
  <c r="D2479" i="10"/>
  <c r="E2478" i="10"/>
  <c r="D2478" i="10"/>
  <c r="E2477" i="10"/>
  <c r="D2477" i="10"/>
  <c r="B2477" i="10"/>
  <c r="J2471" i="10"/>
  <c r="V2469" i="10"/>
  <c r="R2469" i="10"/>
  <c r="Q2469" i="10"/>
  <c r="W2469" i="10"/>
  <c r="N2469" i="10"/>
  <c r="E2469" i="10"/>
  <c r="D2469" i="10"/>
  <c r="S2469" i="10"/>
  <c r="W2468" i="10"/>
  <c r="V2468" i="10"/>
  <c r="U2468" i="10"/>
  <c r="R2468" i="10"/>
  <c r="N2468" i="10"/>
  <c r="E2468" i="10"/>
  <c r="D2468" i="10"/>
  <c r="S2468" i="10"/>
  <c r="V2467" i="10"/>
  <c r="S2467" i="10"/>
  <c r="R2467" i="10"/>
  <c r="Q2467" i="10"/>
  <c r="W2467" i="10"/>
  <c r="N2467" i="10"/>
  <c r="D2467" i="10"/>
  <c r="V2466" i="10"/>
  <c r="S2466" i="10"/>
  <c r="R2466" i="10"/>
  <c r="Q2466" i="10"/>
  <c r="W2466" i="10"/>
  <c r="N2466" i="10"/>
  <c r="E2466" i="10"/>
  <c r="D2466" i="10"/>
  <c r="V2465" i="10"/>
  <c r="R2465" i="10"/>
  <c r="Q2465" i="10"/>
  <c r="W2465" i="10"/>
  <c r="N2465" i="10"/>
  <c r="E2465" i="10"/>
  <c r="D2465" i="10"/>
  <c r="S2465" i="10"/>
  <c r="V2464" i="10"/>
  <c r="R2464" i="10"/>
  <c r="Q2464" i="10"/>
  <c r="W2464" i="10"/>
  <c r="N2464" i="10"/>
  <c r="E2464" i="10"/>
  <c r="D2464" i="10"/>
  <c r="S2464" i="10"/>
  <c r="W2463" i="10"/>
  <c r="V2463" i="10"/>
  <c r="S2463" i="10"/>
  <c r="R2463" i="10"/>
  <c r="N2463" i="10"/>
  <c r="E2463" i="10"/>
  <c r="D2463" i="10"/>
  <c r="E2462" i="10"/>
  <c r="D2462" i="10"/>
  <c r="E2461" i="10"/>
  <c r="D2461" i="10"/>
  <c r="B2461" i="10"/>
  <c r="I2456" i="10"/>
  <c r="J2455" i="10"/>
  <c r="D2455" i="10"/>
  <c r="W2453" i="10"/>
  <c r="V2453" i="10"/>
  <c r="R2453" i="10"/>
  <c r="U2453" i="10"/>
  <c r="Q2453" i="10"/>
  <c r="N2453" i="10"/>
  <c r="E2453" i="10"/>
  <c r="D2453" i="10"/>
  <c r="S2453" i="10"/>
  <c r="W2452" i="10"/>
  <c r="V2452" i="10"/>
  <c r="N2452" i="10"/>
  <c r="E2452" i="10"/>
  <c r="D2452" i="10"/>
  <c r="S2452" i="10"/>
  <c r="T2452" i="10"/>
  <c r="W2451" i="10"/>
  <c r="V2451" i="10"/>
  <c r="R2451" i="10"/>
  <c r="U2451" i="10"/>
  <c r="N2451" i="10"/>
  <c r="E2451" i="10"/>
  <c r="D2451" i="10"/>
  <c r="S2451" i="10"/>
  <c r="W2450" i="10"/>
  <c r="V2450" i="10"/>
  <c r="R2450" i="10"/>
  <c r="N2450" i="10"/>
  <c r="E2450" i="10"/>
  <c r="D2450" i="10"/>
  <c r="S2450" i="10"/>
  <c r="T2450" i="10"/>
  <c r="V2449" i="10"/>
  <c r="R2449" i="10"/>
  <c r="Q2449" i="10"/>
  <c r="W2449" i="10"/>
  <c r="N2449" i="10"/>
  <c r="E2449" i="10"/>
  <c r="D2449" i="10"/>
  <c r="S2449" i="10"/>
  <c r="V2448" i="10"/>
  <c r="S2448" i="10"/>
  <c r="R2448" i="10"/>
  <c r="T2448" i="10"/>
  <c r="Q2448" i="10"/>
  <c r="W2448" i="10"/>
  <c r="N2448" i="10"/>
  <c r="E2448" i="10"/>
  <c r="D2448" i="10"/>
  <c r="V2447" i="10"/>
  <c r="R2447" i="10"/>
  <c r="T2447" i="10"/>
  <c r="Q2447" i="10"/>
  <c r="W2447" i="10"/>
  <c r="N2447" i="10"/>
  <c r="E2447" i="10"/>
  <c r="D2447" i="10"/>
  <c r="S2447" i="10"/>
  <c r="E2446" i="10"/>
  <c r="D2446" i="10"/>
  <c r="E2445" i="10"/>
  <c r="D2445" i="10"/>
  <c r="B2445" i="10"/>
  <c r="J2439" i="10"/>
  <c r="V2437" i="10"/>
  <c r="R2437" i="10"/>
  <c r="Q2437" i="10"/>
  <c r="W2437" i="10"/>
  <c r="N2437" i="10"/>
  <c r="D2437" i="10"/>
  <c r="W2436" i="10"/>
  <c r="V2436" i="10"/>
  <c r="N2436" i="10"/>
  <c r="D2436" i="10"/>
  <c r="S2436" i="10"/>
  <c r="T2436" i="10"/>
  <c r="Z2435" i="10"/>
  <c r="W2435" i="10"/>
  <c r="V2435" i="10"/>
  <c r="R2435" i="10"/>
  <c r="N2435" i="10"/>
  <c r="D2435" i="10"/>
  <c r="W2434" i="10"/>
  <c r="V2434" i="10"/>
  <c r="R2434" i="10"/>
  <c r="N2434" i="10"/>
  <c r="D2434" i="10"/>
  <c r="W2433" i="10"/>
  <c r="V2433" i="10"/>
  <c r="R2433" i="10"/>
  <c r="N2433" i="10"/>
  <c r="D2433" i="10"/>
  <c r="S2433" i="10"/>
  <c r="V2432" i="10"/>
  <c r="R2432" i="10"/>
  <c r="Q2432" i="10"/>
  <c r="W2432" i="10"/>
  <c r="N2432" i="10"/>
  <c r="D2432" i="10"/>
  <c r="S2432" i="10"/>
  <c r="V2431" i="10"/>
  <c r="R2431" i="10"/>
  <c r="Q2431" i="10"/>
  <c r="W2431" i="10"/>
  <c r="N2431" i="10"/>
  <c r="D2431" i="10"/>
  <c r="Z2430" i="10"/>
  <c r="Z2431" i="10"/>
  <c r="V2430" i="10"/>
  <c r="R2430" i="10"/>
  <c r="Q2430" i="10"/>
  <c r="W2430" i="10"/>
  <c r="N2430" i="10"/>
  <c r="D2430" i="10"/>
  <c r="Y2429" i="10"/>
  <c r="E2429" i="10"/>
  <c r="D2429" i="10"/>
  <c r="E2428" i="10"/>
  <c r="D2428" i="10"/>
  <c r="B2428" i="10"/>
  <c r="J2422" i="10"/>
  <c r="V2420" i="10"/>
  <c r="R2420" i="10"/>
  <c r="Q2420" i="10"/>
  <c r="W2420" i="10"/>
  <c r="N2420" i="10"/>
  <c r="C2420" i="10"/>
  <c r="D2420" i="10"/>
  <c r="W2419" i="10"/>
  <c r="V2419" i="10"/>
  <c r="N2419" i="10"/>
  <c r="C2419" i="10"/>
  <c r="W2418" i="10"/>
  <c r="V2418" i="10"/>
  <c r="R2418" i="10"/>
  <c r="N2418" i="10"/>
  <c r="C2418" i="10"/>
  <c r="W2417" i="10"/>
  <c r="V2417" i="10"/>
  <c r="R2417" i="10"/>
  <c r="N2417" i="10"/>
  <c r="C2417" i="10"/>
  <c r="W2416" i="10"/>
  <c r="V2416" i="10"/>
  <c r="R2416" i="10"/>
  <c r="N2416" i="10"/>
  <c r="E2416" i="10"/>
  <c r="D2416" i="10"/>
  <c r="S2416" i="10"/>
  <c r="C2416" i="10"/>
  <c r="E2433" i="10"/>
  <c r="V2415" i="10"/>
  <c r="R2415" i="10"/>
  <c r="Q2415" i="10"/>
  <c r="W2415" i="10"/>
  <c r="N2415" i="10"/>
  <c r="C2415" i="10"/>
  <c r="V2414" i="10"/>
  <c r="R2414" i="10"/>
  <c r="Q2414" i="10"/>
  <c r="W2414" i="10"/>
  <c r="N2414" i="10"/>
  <c r="E2414" i="10"/>
  <c r="D2414" i="10"/>
  <c r="S2414" i="10"/>
  <c r="C2414" i="10"/>
  <c r="E2431" i="10"/>
  <c r="V2413" i="10"/>
  <c r="R2413" i="10"/>
  <c r="Q2413" i="10"/>
  <c r="W2413" i="10"/>
  <c r="N2413" i="10"/>
  <c r="E2413" i="10"/>
  <c r="C2413" i="10"/>
  <c r="D2413" i="10"/>
  <c r="S2413" i="10"/>
  <c r="E2412" i="10"/>
  <c r="D2412" i="10"/>
  <c r="E2411" i="10"/>
  <c r="D2411" i="10"/>
  <c r="B2411" i="10"/>
  <c r="J2405" i="10"/>
  <c r="W2403" i="10"/>
  <c r="V2403" i="10"/>
  <c r="R2403" i="10"/>
  <c r="T2403" i="10"/>
  <c r="N2403" i="10"/>
  <c r="D2403" i="10"/>
  <c r="S2403" i="10"/>
  <c r="W2402" i="10"/>
  <c r="V2402" i="10"/>
  <c r="S2402" i="10"/>
  <c r="R2402" i="10"/>
  <c r="N2402" i="10"/>
  <c r="E2402" i="10"/>
  <c r="D2402" i="10"/>
  <c r="W2401" i="10"/>
  <c r="V2401" i="10"/>
  <c r="S2401" i="10"/>
  <c r="R2401" i="10"/>
  <c r="N2401" i="10"/>
  <c r="E2401" i="10"/>
  <c r="D2401" i="10"/>
  <c r="W2400" i="10"/>
  <c r="V2400" i="10"/>
  <c r="S2400" i="10"/>
  <c r="R2400" i="10"/>
  <c r="U2400" i="10"/>
  <c r="N2400" i="10"/>
  <c r="E2400" i="10"/>
  <c r="D2400" i="10"/>
  <c r="V2399" i="10"/>
  <c r="S2399" i="10"/>
  <c r="R2399" i="10"/>
  <c r="Q2399" i="10"/>
  <c r="W2399" i="10"/>
  <c r="N2399" i="10"/>
  <c r="E2399" i="10"/>
  <c r="D2399" i="10"/>
  <c r="V2398" i="10"/>
  <c r="R2398" i="10"/>
  <c r="Q2398" i="10"/>
  <c r="W2398" i="10"/>
  <c r="N2398" i="10"/>
  <c r="E2398" i="10"/>
  <c r="D2398" i="10"/>
  <c r="S2398" i="10"/>
  <c r="T2398" i="10"/>
  <c r="V2397" i="10"/>
  <c r="R2397" i="10"/>
  <c r="Q2397" i="10"/>
  <c r="W2397" i="10"/>
  <c r="N2397" i="10"/>
  <c r="E2397" i="10"/>
  <c r="D2397" i="10"/>
  <c r="E2396" i="10"/>
  <c r="D2396" i="10"/>
  <c r="E2395" i="10"/>
  <c r="D2395" i="10"/>
  <c r="B2395" i="10"/>
  <c r="B2393" i="10"/>
  <c r="J2391" i="10"/>
  <c r="R2390" i="10"/>
  <c r="V2389" i="10"/>
  <c r="R2389" i="10"/>
  <c r="Q2389" i="10"/>
  <c r="W2389" i="10"/>
  <c r="N2389" i="10"/>
  <c r="J2389" i="10"/>
  <c r="O2389" i="10"/>
  <c r="E2389" i="10"/>
  <c r="D2389" i="10"/>
  <c r="S2389" i="10"/>
  <c r="W2388" i="10"/>
  <c r="V2388" i="10"/>
  <c r="S2388" i="10"/>
  <c r="R2388" i="10"/>
  <c r="J2388" i="10"/>
  <c r="O2388" i="10"/>
  <c r="D2388" i="10"/>
  <c r="W2387" i="10"/>
  <c r="V2387" i="10"/>
  <c r="R2387" i="10"/>
  <c r="N2387" i="10"/>
  <c r="J2387" i="10"/>
  <c r="O2387" i="10"/>
  <c r="E2387" i="10"/>
  <c r="D2387" i="10"/>
  <c r="S2387" i="10"/>
  <c r="W2386" i="10"/>
  <c r="V2386" i="10"/>
  <c r="R2386" i="10"/>
  <c r="N2386" i="10"/>
  <c r="J2386" i="10"/>
  <c r="O2386" i="10"/>
  <c r="E2386" i="10"/>
  <c r="D2386" i="10"/>
  <c r="S2386" i="10"/>
  <c r="T2386" i="10"/>
  <c r="W2385" i="10"/>
  <c r="V2385" i="10"/>
  <c r="R2385" i="10"/>
  <c r="N2385" i="10"/>
  <c r="J2385" i="10"/>
  <c r="O2385" i="10"/>
  <c r="E2385" i="10"/>
  <c r="D2385" i="10"/>
  <c r="S2385" i="10"/>
  <c r="W2384" i="10"/>
  <c r="V2384" i="10"/>
  <c r="R2384" i="10"/>
  <c r="N2384" i="10"/>
  <c r="J2384" i="10"/>
  <c r="O2384" i="10"/>
  <c r="E2384" i="10"/>
  <c r="D2384" i="10"/>
  <c r="S2384" i="10"/>
  <c r="T2384" i="10"/>
  <c r="V2383" i="10"/>
  <c r="S2383" i="10"/>
  <c r="R2383" i="10"/>
  <c r="Q2383" i="10"/>
  <c r="W2383" i="10"/>
  <c r="N2383" i="10"/>
  <c r="J2383" i="10"/>
  <c r="O2383" i="10"/>
  <c r="E2383" i="10"/>
  <c r="D2383" i="10"/>
  <c r="V2382" i="10"/>
  <c r="R2382" i="10"/>
  <c r="Q2382" i="10"/>
  <c r="W2382" i="10"/>
  <c r="O2382" i="10"/>
  <c r="N2382" i="10"/>
  <c r="J2382" i="10"/>
  <c r="D2382" i="10"/>
  <c r="O2381" i="10"/>
  <c r="E2381" i="10"/>
  <c r="D2381" i="10"/>
  <c r="E2380" i="10"/>
  <c r="D2380" i="10"/>
  <c r="B2380" i="10"/>
  <c r="J2376" i="10"/>
  <c r="D2376" i="10"/>
  <c r="W2374" i="10"/>
  <c r="V2374" i="10"/>
  <c r="R2374" i="10"/>
  <c r="N2374" i="10"/>
  <c r="E2374" i="10"/>
  <c r="D2374" i="10"/>
  <c r="S2374" i="10"/>
  <c r="W2373" i="10"/>
  <c r="V2373" i="10"/>
  <c r="R2373" i="10"/>
  <c r="N2373" i="10"/>
  <c r="E2373" i="10"/>
  <c r="D2373" i="10"/>
  <c r="S2373" i="10"/>
  <c r="T2373" i="10"/>
  <c r="W2372" i="10"/>
  <c r="V2372" i="10"/>
  <c r="R2372" i="10"/>
  <c r="N2372" i="10"/>
  <c r="E2372" i="10"/>
  <c r="D2372" i="10"/>
  <c r="W2371" i="10"/>
  <c r="V2371" i="10"/>
  <c r="R2371" i="10"/>
  <c r="N2371" i="10"/>
  <c r="E2371" i="10"/>
  <c r="D2371" i="10"/>
  <c r="S2371" i="10"/>
  <c r="U2371" i="10"/>
  <c r="W2370" i="10"/>
  <c r="V2370" i="10"/>
  <c r="R2370" i="10"/>
  <c r="R2375" i="10"/>
  <c r="N2370" i="10"/>
  <c r="E2370" i="10"/>
  <c r="D2370" i="10"/>
  <c r="S2370" i="10"/>
  <c r="W2369" i="10"/>
  <c r="V2369" i="10"/>
  <c r="R2369" i="10"/>
  <c r="T2369" i="10"/>
  <c r="N2369" i="10"/>
  <c r="E2369" i="10"/>
  <c r="D2369" i="10"/>
  <c r="S2369" i="10"/>
  <c r="W2368" i="10"/>
  <c r="V2368" i="10"/>
  <c r="R2368" i="10"/>
  <c r="N2368" i="10"/>
  <c r="E2368" i="10"/>
  <c r="D2368" i="10"/>
  <c r="E2367" i="10"/>
  <c r="D2367" i="10"/>
  <c r="E2366" i="10"/>
  <c r="D2366" i="10"/>
  <c r="B2366" i="10"/>
  <c r="J2362" i="10"/>
  <c r="W2360" i="10"/>
  <c r="V2360" i="10"/>
  <c r="S2360" i="10"/>
  <c r="T2360" i="10"/>
  <c r="R2360" i="10"/>
  <c r="U2360" i="10"/>
  <c r="N2360" i="10"/>
  <c r="E2360" i="10"/>
  <c r="D2360" i="10"/>
  <c r="W2359" i="10"/>
  <c r="V2359" i="10"/>
  <c r="R2359" i="10"/>
  <c r="N2359" i="10"/>
  <c r="E2359" i="10"/>
  <c r="D2359" i="10"/>
  <c r="S2359" i="10"/>
  <c r="T2359" i="10"/>
  <c r="AD2358" i="10"/>
  <c r="W2358" i="10"/>
  <c r="V2358" i="10"/>
  <c r="R2358" i="10"/>
  <c r="N2358" i="10"/>
  <c r="E2358" i="10"/>
  <c r="D2358" i="10"/>
  <c r="AD2357" i="10"/>
  <c r="AD2359" i="10"/>
  <c r="W2357" i="10"/>
  <c r="V2357" i="10"/>
  <c r="R2357" i="10"/>
  <c r="N2357" i="10"/>
  <c r="E2357" i="10"/>
  <c r="D2357" i="10"/>
  <c r="S2357" i="10"/>
  <c r="E2356" i="10"/>
  <c r="D2356" i="10"/>
  <c r="E2355" i="10"/>
  <c r="D2355" i="10"/>
  <c r="B2355" i="10"/>
  <c r="J2351" i="10"/>
  <c r="D2351" i="10"/>
  <c r="W2349" i="10"/>
  <c r="V2349" i="10"/>
  <c r="R2349" i="10"/>
  <c r="N2349" i="10"/>
  <c r="E2349" i="10"/>
  <c r="D2349" i="10"/>
  <c r="S2349" i="10"/>
  <c r="T2349" i="10"/>
  <c r="W2348" i="10"/>
  <c r="V2348" i="10"/>
  <c r="R2348" i="10"/>
  <c r="N2348" i="10"/>
  <c r="E2348" i="10"/>
  <c r="D2348" i="10"/>
  <c r="S2348" i="10"/>
  <c r="S2350" i="10"/>
  <c r="S2351" i="10"/>
  <c r="W2347" i="10"/>
  <c r="V2347" i="10"/>
  <c r="U2347" i="10"/>
  <c r="R2347" i="10"/>
  <c r="N2347" i="10"/>
  <c r="E2347" i="10"/>
  <c r="D2347" i="10"/>
  <c r="S2347" i="10"/>
  <c r="T2347" i="10"/>
  <c r="W2346" i="10"/>
  <c r="V2346" i="10"/>
  <c r="U2346" i="10"/>
  <c r="R2346" i="10"/>
  <c r="N2346" i="10"/>
  <c r="E2346" i="10"/>
  <c r="D2346" i="10"/>
  <c r="S2346" i="10"/>
  <c r="T2346" i="10"/>
  <c r="W2345" i="10"/>
  <c r="V2345" i="10"/>
  <c r="N2345" i="10"/>
  <c r="E2345" i="10"/>
  <c r="D2345" i="10"/>
  <c r="O2344" i="10"/>
  <c r="E2344" i="10"/>
  <c r="D2344" i="10"/>
  <c r="E2343" i="10"/>
  <c r="D2343" i="10"/>
  <c r="B2343" i="10"/>
  <c r="J2339" i="10"/>
  <c r="W2337" i="10"/>
  <c r="V2337" i="10"/>
  <c r="R2337" i="10"/>
  <c r="N2337" i="10"/>
  <c r="E2337" i="10"/>
  <c r="D2337" i="10"/>
  <c r="S2337" i="10"/>
  <c r="S2338" i="10"/>
  <c r="S2339" i="10"/>
  <c r="W2336" i="10"/>
  <c r="V2336" i="10"/>
  <c r="U2336" i="10"/>
  <c r="R2336" i="10"/>
  <c r="N2336" i="10"/>
  <c r="E2336" i="10"/>
  <c r="D2336" i="10"/>
  <c r="S2336" i="10"/>
  <c r="T2336" i="10"/>
  <c r="W2335" i="10"/>
  <c r="V2335" i="10"/>
  <c r="U2335" i="10"/>
  <c r="R2335" i="10"/>
  <c r="N2335" i="10"/>
  <c r="E2335" i="10"/>
  <c r="D2335" i="10"/>
  <c r="S2335" i="10"/>
  <c r="W2334" i="10"/>
  <c r="V2334" i="10"/>
  <c r="S2334" i="10"/>
  <c r="R2334" i="10"/>
  <c r="N2334" i="10"/>
  <c r="E2334" i="10"/>
  <c r="D2334" i="10"/>
  <c r="W2333" i="10"/>
  <c r="V2333" i="10"/>
  <c r="R2333" i="10"/>
  <c r="N2333" i="10"/>
  <c r="E2333" i="10"/>
  <c r="D2333" i="10"/>
  <c r="S2333" i="10"/>
  <c r="E2332" i="10"/>
  <c r="D2332" i="10"/>
  <c r="E2331" i="10"/>
  <c r="D2331" i="10"/>
  <c r="B2331" i="10"/>
  <c r="J2327" i="10"/>
  <c r="D2327" i="10"/>
  <c r="W2325" i="10"/>
  <c r="V2325" i="10"/>
  <c r="S2325" i="10"/>
  <c r="R2325" i="10"/>
  <c r="N2325" i="10"/>
  <c r="E2325" i="10"/>
  <c r="D2325" i="10"/>
  <c r="W2324" i="10"/>
  <c r="V2324" i="10"/>
  <c r="R2324" i="10"/>
  <c r="N2324" i="10"/>
  <c r="E2324" i="10"/>
  <c r="D2324" i="10"/>
  <c r="W2323" i="10"/>
  <c r="V2323" i="10"/>
  <c r="S2323" i="10"/>
  <c r="R2323" i="10"/>
  <c r="N2323" i="10"/>
  <c r="E2323" i="10"/>
  <c r="D2323" i="10"/>
  <c r="W2322" i="10"/>
  <c r="V2322" i="10"/>
  <c r="R2322" i="10"/>
  <c r="N2322" i="10"/>
  <c r="E2322" i="10"/>
  <c r="D2322" i="10"/>
  <c r="W2321" i="10"/>
  <c r="V2321" i="10"/>
  <c r="R2321" i="10"/>
  <c r="N2321" i="10"/>
  <c r="E2321" i="10"/>
  <c r="D2321" i="10"/>
  <c r="S2321" i="10"/>
  <c r="E2320" i="10"/>
  <c r="D2320" i="10"/>
  <c r="E2319" i="10"/>
  <c r="D2319" i="10"/>
  <c r="B2319" i="10"/>
  <c r="J2315" i="10"/>
  <c r="W2313" i="10"/>
  <c r="V2313" i="10"/>
  <c r="R2313" i="10"/>
  <c r="N2313" i="10"/>
  <c r="E2313" i="10"/>
  <c r="D2313" i="10"/>
  <c r="S2313" i="10"/>
  <c r="W2312" i="10"/>
  <c r="V2312" i="10"/>
  <c r="S2312" i="10"/>
  <c r="R2312" i="10"/>
  <c r="N2312" i="10"/>
  <c r="E2312" i="10"/>
  <c r="D2312" i="10"/>
  <c r="W2311" i="10"/>
  <c r="V2311" i="10"/>
  <c r="S2311" i="10"/>
  <c r="R2311" i="10"/>
  <c r="N2311" i="10"/>
  <c r="E2311" i="10"/>
  <c r="D2311" i="10"/>
  <c r="W2310" i="10"/>
  <c r="V2310" i="10"/>
  <c r="S2310" i="10"/>
  <c r="R2310" i="10"/>
  <c r="N2310" i="10"/>
  <c r="E2310" i="10"/>
  <c r="D2310" i="10"/>
  <c r="W2309" i="10"/>
  <c r="V2309" i="10"/>
  <c r="R2309" i="10"/>
  <c r="N2309" i="10"/>
  <c r="E2309" i="10"/>
  <c r="D2309" i="10"/>
  <c r="E2308" i="10"/>
  <c r="D2308" i="10"/>
  <c r="E2307" i="10"/>
  <c r="D2307" i="10"/>
  <c r="B2307" i="10"/>
  <c r="J2303" i="10"/>
  <c r="AC2302" i="10"/>
  <c r="AC2310" i="10"/>
  <c r="AC2311" i="10"/>
  <c r="X2301" i="10"/>
  <c r="W2301" i="10"/>
  <c r="V2301" i="10"/>
  <c r="R2301" i="10"/>
  <c r="D2301" i="10"/>
  <c r="S2301" i="10"/>
  <c r="W2300" i="10"/>
  <c r="V2300" i="10"/>
  <c r="R2300" i="10"/>
  <c r="D2300" i="10"/>
  <c r="S2300" i="10"/>
  <c r="W2299" i="10"/>
  <c r="V2299" i="10"/>
  <c r="R2299" i="10"/>
  <c r="D2299" i="10"/>
  <c r="W2298" i="10"/>
  <c r="V2298" i="10"/>
  <c r="R2298" i="10"/>
  <c r="N2298" i="10"/>
  <c r="E2298" i="10"/>
  <c r="D2298" i="10"/>
  <c r="S2298" i="10"/>
  <c r="W2297" i="10"/>
  <c r="V2297" i="10"/>
  <c r="R2297" i="10"/>
  <c r="N2297" i="10"/>
  <c r="D2297" i="10"/>
  <c r="B2295" i="10"/>
  <c r="J2291" i="10"/>
  <c r="W2289" i="10"/>
  <c r="V2289" i="10"/>
  <c r="R2289" i="10"/>
  <c r="C2289" i="10"/>
  <c r="W2288" i="10"/>
  <c r="V2288" i="10"/>
  <c r="R2288" i="10"/>
  <c r="C2288" i="10"/>
  <c r="W2287" i="10"/>
  <c r="V2287" i="10"/>
  <c r="R2287" i="10"/>
  <c r="C2287" i="10"/>
  <c r="E2287" i="10"/>
  <c r="W2286" i="10"/>
  <c r="V2286" i="10"/>
  <c r="R2286" i="10"/>
  <c r="N2286" i="10"/>
  <c r="C2286" i="10"/>
  <c r="E2286" i="10"/>
  <c r="W2285" i="10"/>
  <c r="V2285" i="10"/>
  <c r="R2285" i="10"/>
  <c r="N2285" i="10"/>
  <c r="C2285" i="10"/>
  <c r="E2297" i="10"/>
  <c r="C2284" i="10"/>
  <c r="D2296" i="10"/>
  <c r="C2283" i="10"/>
  <c r="D2283" i="10"/>
  <c r="B2283" i="10"/>
  <c r="J2279" i="10"/>
  <c r="W2277" i="10"/>
  <c r="V2277" i="10"/>
  <c r="R2277" i="10"/>
  <c r="D2277" i="10"/>
  <c r="S2277" i="10"/>
  <c r="U2277" i="10"/>
  <c r="W2276" i="10"/>
  <c r="V2276" i="10"/>
  <c r="R2276" i="10"/>
  <c r="D2276" i="10"/>
  <c r="S2276" i="10"/>
  <c r="U2276" i="10"/>
  <c r="W2275" i="10"/>
  <c r="V2275" i="10"/>
  <c r="S2275" i="10"/>
  <c r="R2275" i="10"/>
  <c r="D2275" i="10"/>
  <c r="W2274" i="10"/>
  <c r="V2274" i="10"/>
  <c r="R2274" i="10"/>
  <c r="N2274" i="10"/>
  <c r="D2274" i="10"/>
  <c r="W2273" i="10"/>
  <c r="V2273" i="10"/>
  <c r="S2273" i="10"/>
  <c r="U2273" i="10"/>
  <c r="R2273" i="10"/>
  <c r="N2273" i="10"/>
  <c r="E2273" i="10"/>
  <c r="D2273" i="10"/>
  <c r="E2272" i="10"/>
  <c r="D2272" i="10"/>
  <c r="E2271" i="10"/>
  <c r="D2271" i="10"/>
  <c r="B2271" i="10"/>
  <c r="J2267" i="10"/>
  <c r="W2265" i="10"/>
  <c r="V2265" i="10"/>
  <c r="U2265" i="10"/>
  <c r="T2265" i="10"/>
  <c r="S2265" i="10"/>
  <c r="R2265" i="10"/>
  <c r="V2264" i="10"/>
  <c r="S2264" i="10"/>
  <c r="R2264" i="10"/>
  <c r="E2264" i="10"/>
  <c r="W2263" i="10"/>
  <c r="V2263" i="10"/>
  <c r="S2263" i="10"/>
  <c r="U2263" i="10"/>
  <c r="R2263" i="10"/>
  <c r="W2262" i="10"/>
  <c r="V2262" i="10"/>
  <c r="S2262" i="10"/>
  <c r="R2262" i="10"/>
  <c r="E2262" i="10"/>
  <c r="W2261" i="10"/>
  <c r="V2261" i="10"/>
  <c r="S2261" i="10"/>
  <c r="R2261" i="10"/>
  <c r="W2260" i="10"/>
  <c r="V2260" i="10"/>
  <c r="S2260" i="10"/>
  <c r="U2260" i="10"/>
  <c r="R2260" i="10"/>
  <c r="N2260" i="10"/>
  <c r="W2259" i="10"/>
  <c r="V2259" i="10"/>
  <c r="S2259" i="10"/>
  <c r="R2259" i="10"/>
  <c r="N2259" i="10"/>
  <c r="D2259" i="10"/>
  <c r="D2268" i="10"/>
  <c r="E2258" i="10"/>
  <c r="D2258" i="10"/>
  <c r="E2257" i="10"/>
  <c r="D2257" i="10"/>
  <c r="B2257" i="10"/>
  <c r="J2253" i="10"/>
  <c r="W2251" i="10"/>
  <c r="V2251" i="10"/>
  <c r="R2251" i="10"/>
  <c r="E2251" i="10"/>
  <c r="D2251" i="10"/>
  <c r="S2251" i="10"/>
  <c r="W2250" i="10"/>
  <c r="V2250" i="10"/>
  <c r="R2250" i="10"/>
  <c r="E2250" i="10"/>
  <c r="D2250" i="10"/>
  <c r="S2250" i="10"/>
  <c r="W2249" i="10"/>
  <c r="V2249" i="10"/>
  <c r="R2249" i="10"/>
  <c r="E2249" i="10"/>
  <c r="D2249" i="10"/>
  <c r="E2263" i="10"/>
  <c r="W2248" i="10"/>
  <c r="V2248" i="10"/>
  <c r="S2248" i="10"/>
  <c r="R2248" i="10"/>
  <c r="E2248" i="10"/>
  <c r="D2248" i="10"/>
  <c r="W2247" i="10"/>
  <c r="V2247" i="10"/>
  <c r="R2247" i="10"/>
  <c r="E2247" i="10"/>
  <c r="D2247" i="10"/>
  <c r="S2247" i="10"/>
  <c r="W2246" i="10"/>
  <c r="V2246" i="10"/>
  <c r="R2246" i="10"/>
  <c r="N2246" i="10"/>
  <c r="E2246" i="10"/>
  <c r="D2246" i="10"/>
  <c r="E2260" i="10"/>
  <c r="W2245" i="10"/>
  <c r="V2245" i="10"/>
  <c r="R2245" i="10"/>
  <c r="N2245" i="10"/>
  <c r="E2245" i="10"/>
  <c r="D2245" i="10"/>
  <c r="E2244" i="10"/>
  <c r="D2244" i="10"/>
  <c r="E2243" i="10"/>
  <c r="D2243" i="10"/>
  <c r="B2243" i="10"/>
  <c r="J2239" i="10"/>
  <c r="D2239" i="10"/>
  <c r="W2237" i="10"/>
  <c r="V2237" i="10"/>
  <c r="R2237" i="10"/>
  <c r="E2237" i="10"/>
  <c r="D2237" i="10"/>
  <c r="V2236" i="10"/>
  <c r="D2236" i="10"/>
  <c r="S2236" i="10"/>
  <c r="W2235" i="10"/>
  <c r="V2235" i="10"/>
  <c r="R2235" i="10"/>
  <c r="E2235" i="10"/>
  <c r="D2235" i="10"/>
  <c r="S2235" i="10"/>
  <c r="W2234" i="10"/>
  <c r="V2234" i="10"/>
  <c r="R2234" i="10"/>
  <c r="E2234" i="10"/>
  <c r="D2234" i="10"/>
  <c r="S2234" i="10"/>
  <c r="T2234" i="10"/>
  <c r="W2233" i="10"/>
  <c r="V2233" i="10"/>
  <c r="R2233" i="10"/>
  <c r="E2233" i="10"/>
  <c r="D2233" i="10"/>
  <c r="S2233" i="10"/>
  <c r="W2232" i="10"/>
  <c r="V2232" i="10"/>
  <c r="R2232" i="10"/>
  <c r="N2232" i="10"/>
  <c r="E2232" i="10"/>
  <c r="D2232" i="10"/>
  <c r="S2232" i="10"/>
  <c r="W2231" i="10"/>
  <c r="V2231" i="10"/>
  <c r="R2231" i="10"/>
  <c r="N2231" i="10"/>
  <c r="E2231" i="10"/>
  <c r="D2231" i="10"/>
  <c r="S2231" i="10"/>
  <c r="E2230" i="10"/>
  <c r="D2230" i="10"/>
  <c r="E2229" i="10"/>
  <c r="D2229" i="10"/>
  <c r="B2229" i="10"/>
  <c r="J2225" i="10"/>
  <c r="D2225" i="10"/>
  <c r="W2223" i="10"/>
  <c r="V2223" i="10"/>
  <c r="R2223" i="10"/>
  <c r="E2223" i="10"/>
  <c r="D2223" i="10"/>
  <c r="S2223" i="10"/>
  <c r="U2223" i="10"/>
  <c r="W2222" i="10"/>
  <c r="V2222" i="10"/>
  <c r="R2222" i="10"/>
  <c r="D2222" i="10"/>
  <c r="S2222" i="10"/>
  <c r="T2222" i="10"/>
  <c r="W2221" i="10"/>
  <c r="V2221" i="10"/>
  <c r="R2221" i="10"/>
  <c r="E2221" i="10"/>
  <c r="D2221" i="10"/>
  <c r="S2221" i="10"/>
  <c r="W2220" i="10"/>
  <c r="V2220" i="10"/>
  <c r="R2220" i="10"/>
  <c r="N2220" i="10"/>
  <c r="E2220" i="10"/>
  <c r="D2220" i="10"/>
  <c r="W2219" i="10"/>
  <c r="V2219" i="10"/>
  <c r="R2219" i="10"/>
  <c r="E2219" i="10"/>
  <c r="D2219" i="10"/>
  <c r="S2219" i="10"/>
  <c r="U2219" i="10"/>
  <c r="W2218" i="10"/>
  <c r="V2218" i="10"/>
  <c r="R2218" i="10"/>
  <c r="N2218" i="10"/>
  <c r="E2218" i="10"/>
  <c r="D2218" i="10"/>
  <c r="S2218" i="10"/>
  <c r="W2217" i="10"/>
  <c r="V2217" i="10"/>
  <c r="S2217" i="10"/>
  <c r="R2217" i="10"/>
  <c r="N2217" i="10"/>
  <c r="E2217" i="10"/>
  <c r="D2217" i="10"/>
  <c r="E2216" i="10"/>
  <c r="D2216" i="10"/>
  <c r="E2215" i="10"/>
  <c r="D2215" i="10"/>
  <c r="B2215" i="10"/>
  <c r="J2211" i="10"/>
  <c r="S2209" i="10"/>
  <c r="R2209" i="10"/>
  <c r="D2209" i="10"/>
  <c r="A2209" i="10"/>
  <c r="R2208" i="10"/>
  <c r="D2208" i="10"/>
  <c r="S2208" i="10"/>
  <c r="A2208" i="10"/>
  <c r="S2207" i="10"/>
  <c r="R2207" i="10"/>
  <c r="D2207" i="10"/>
  <c r="A2207" i="10"/>
  <c r="R2206" i="10"/>
  <c r="N2206" i="10"/>
  <c r="E2206" i="10"/>
  <c r="D2206" i="10"/>
  <c r="S2206" i="10"/>
  <c r="R2205" i="10"/>
  <c r="N2205" i="10"/>
  <c r="E2205" i="10"/>
  <c r="D2205" i="10"/>
  <c r="S2205" i="10"/>
  <c r="S2204" i="10"/>
  <c r="R2204" i="10"/>
  <c r="N2204" i="10"/>
  <c r="E2204" i="10"/>
  <c r="D2204" i="10"/>
  <c r="R2203" i="10"/>
  <c r="N2203" i="10"/>
  <c r="E2203" i="10"/>
  <c r="D2203" i="10"/>
  <c r="S2203" i="10"/>
  <c r="E2202" i="10"/>
  <c r="D2202" i="10"/>
  <c r="E2201" i="10"/>
  <c r="D2201" i="10"/>
  <c r="B2201" i="10"/>
  <c r="J2197" i="10"/>
  <c r="C2195" i="10"/>
  <c r="A2195" i="10"/>
  <c r="C2194" i="10"/>
  <c r="E2208" i="10"/>
  <c r="A2194" i="10"/>
  <c r="C2193" i="10"/>
  <c r="E2207" i="10"/>
  <c r="A2193" i="10"/>
  <c r="S2192" i="10"/>
  <c r="R2192" i="10"/>
  <c r="N2192" i="10"/>
  <c r="D2192" i="10"/>
  <c r="R2191" i="10"/>
  <c r="N2191" i="10"/>
  <c r="E2191" i="10"/>
  <c r="D2191" i="10"/>
  <c r="S2191" i="10"/>
  <c r="T2191" i="10"/>
  <c r="R2190" i="10"/>
  <c r="U2190" i="10"/>
  <c r="N2190" i="10"/>
  <c r="E2190" i="10"/>
  <c r="D2190" i="10"/>
  <c r="S2190" i="10"/>
  <c r="R2189" i="10"/>
  <c r="N2189" i="10"/>
  <c r="E2189" i="10"/>
  <c r="D2189" i="10"/>
  <c r="S2189" i="10"/>
  <c r="E2188" i="10"/>
  <c r="D2188" i="10"/>
  <c r="E2187" i="10"/>
  <c r="D2187" i="10"/>
  <c r="B2187" i="10"/>
  <c r="I2183" i="10"/>
  <c r="Q2181" i="10"/>
  <c r="M2181" i="10"/>
  <c r="E2181" i="10"/>
  <c r="D2181" i="10"/>
  <c r="R2181" i="10"/>
  <c r="Q2180" i="10"/>
  <c r="M2180" i="10"/>
  <c r="E2180" i="10"/>
  <c r="D2180" i="10"/>
  <c r="R2180" i="10"/>
  <c r="S2180" i="10"/>
  <c r="Q2179" i="10"/>
  <c r="M2179" i="10"/>
  <c r="E2179" i="10"/>
  <c r="D2179" i="10"/>
  <c r="R2179" i="10"/>
  <c r="Q2178" i="10"/>
  <c r="M2178" i="10"/>
  <c r="E2178" i="10"/>
  <c r="D2178" i="10"/>
  <c r="E2177" i="10"/>
  <c r="D2177" i="10"/>
  <c r="E2176" i="10"/>
  <c r="D2176" i="10"/>
  <c r="B2176" i="10"/>
  <c r="I2172" i="10"/>
  <c r="D2172" i="10"/>
  <c r="R2170" i="10"/>
  <c r="T2170" i="10"/>
  <c r="Q2170" i="10"/>
  <c r="M2170" i="10"/>
  <c r="D2170" i="10"/>
  <c r="Q2169" i="10"/>
  <c r="M2169" i="10"/>
  <c r="D2169" i="10"/>
  <c r="Q2168" i="10"/>
  <c r="S2168" i="10"/>
  <c r="M2168" i="10"/>
  <c r="D2168" i="10"/>
  <c r="R2168" i="10"/>
  <c r="Q2167" i="10"/>
  <c r="M2167" i="10"/>
  <c r="E2167" i="10"/>
  <c r="D2167" i="10"/>
  <c r="R2167" i="10"/>
  <c r="T2166" i="10"/>
  <c r="R2166" i="10"/>
  <c r="S2166" i="10"/>
  <c r="Q2166" i="10"/>
  <c r="M2166" i="10"/>
  <c r="D2166" i="10"/>
  <c r="Q2165" i="10"/>
  <c r="M2165" i="10"/>
  <c r="E2165" i="10"/>
  <c r="D2165" i="10"/>
  <c r="R2165" i="10"/>
  <c r="S2165" i="10"/>
  <c r="E2164" i="10"/>
  <c r="D2164" i="10"/>
  <c r="E2163" i="10"/>
  <c r="D2163" i="10"/>
  <c r="B2163" i="10"/>
  <c r="I2159" i="10"/>
  <c r="Q2157" i="10"/>
  <c r="S2157" i="10"/>
  <c r="M2157" i="10"/>
  <c r="D2157" i="10"/>
  <c r="R2157" i="10"/>
  <c r="Q2156" i="10"/>
  <c r="M2156" i="10"/>
  <c r="E2156" i="10"/>
  <c r="D2156" i="10"/>
  <c r="R2156" i="10"/>
  <c r="R2155" i="10"/>
  <c r="Q2155" i="10"/>
  <c r="M2155" i="10"/>
  <c r="E2155" i="10"/>
  <c r="D2155" i="10"/>
  <c r="Q2154" i="10"/>
  <c r="M2154" i="10"/>
  <c r="E2154" i="10"/>
  <c r="D2154" i="10"/>
  <c r="R2154" i="10"/>
  <c r="E2153" i="10"/>
  <c r="D2153" i="10"/>
  <c r="E2152" i="10"/>
  <c r="D2152" i="10"/>
  <c r="B2152" i="10"/>
  <c r="I2148" i="10"/>
  <c r="R2146" i="10"/>
  <c r="Q2146" i="10"/>
  <c r="M2146" i="10"/>
  <c r="E2146" i="10"/>
  <c r="D2146" i="10"/>
  <c r="Q2145" i="10"/>
  <c r="M2145" i="10"/>
  <c r="E2145" i="10"/>
  <c r="D2145" i="10"/>
  <c r="R2145" i="10"/>
  <c r="Q2144" i="10"/>
  <c r="M2144" i="10"/>
  <c r="E2144" i="10"/>
  <c r="D2144" i="10"/>
  <c r="R2144" i="10"/>
  <c r="R2143" i="10"/>
  <c r="Q2143" i="10"/>
  <c r="M2143" i="10"/>
  <c r="E2143" i="10"/>
  <c r="D2143" i="10"/>
  <c r="Q2142" i="10"/>
  <c r="M2142" i="10"/>
  <c r="E2142" i="10"/>
  <c r="D2142" i="10"/>
  <c r="R2142" i="10"/>
  <c r="R2141" i="10"/>
  <c r="Q2141" i="10"/>
  <c r="M2141" i="10"/>
  <c r="E2141" i="10"/>
  <c r="D2141" i="10"/>
  <c r="R2140" i="10"/>
  <c r="Q2140" i="10"/>
  <c r="M2140" i="10"/>
  <c r="E2140" i="10"/>
  <c r="D2140" i="10"/>
  <c r="E2139" i="10"/>
  <c r="D2139" i="10"/>
  <c r="E2138" i="10"/>
  <c r="D2138" i="10"/>
  <c r="B2138" i="10"/>
  <c r="D2135" i="10"/>
  <c r="I2134" i="10"/>
  <c r="Q2132" i="10"/>
  <c r="M2132" i="10"/>
  <c r="E2132" i="10"/>
  <c r="D2132" i="10"/>
  <c r="R2132" i="10"/>
  <c r="S2132" i="10"/>
  <c r="R2131" i="10"/>
  <c r="Q2131" i="10"/>
  <c r="M2131" i="10"/>
  <c r="E2131" i="10"/>
  <c r="D2131" i="10"/>
  <c r="Q2130" i="10"/>
  <c r="M2130" i="10"/>
  <c r="E2130" i="10"/>
  <c r="D2130" i="10"/>
  <c r="R2130" i="10"/>
  <c r="Q2129" i="10"/>
  <c r="M2129" i="10"/>
  <c r="E2129" i="10"/>
  <c r="D2129" i="10"/>
  <c r="R2129" i="10"/>
  <c r="S2129" i="10"/>
  <c r="R2128" i="10"/>
  <c r="Q2128" i="10"/>
  <c r="M2128" i="10"/>
  <c r="E2128" i="10"/>
  <c r="D2128" i="10"/>
  <c r="Q2127" i="10"/>
  <c r="M2127" i="10"/>
  <c r="E2127" i="10"/>
  <c r="D2127" i="10"/>
  <c r="R2127" i="10"/>
  <c r="Q2126" i="10"/>
  <c r="M2126" i="10"/>
  <c r="E2126" i="10"/>
  <c r="D2126" i="10"/>
  <c r="R2126" i="10"/>
  <c r="E2125" i="10"/>
  <c r="D2125" i="10"/>
  <c r="E2124" i="10"/>
  <c r="D2124" i="10"/>
  <c r="B2124" i="10"/>
  <c r="I2120" i="10"/>
  <c r="R2118" i="10"/>
  <c r="Q2118" i="10"/>
  <c r="M2118" i="10"/>
  <c r="E2118" i="10"/>
  <c r="D2118" i="10"/>
  <c r="Q2117" i="10"/>
  <c r="M2117" i="10"/>
  <c r="E2117" i="10"/>
  <c r="D2117" i="10"/>
  <c r="R2117" i="10"/>
  <c r="Q2116" i="10"/>
  <c r="M2116" i="10"/>
  <c r="E2116" i="10"/>
  <c r="D2116" i="10"/>
  <c r="R2116" i="10"/>
  <c r="R2115" i="10"/>
  <c r="S2115" i="10"/>
  <c r="Q2115" i="10"/>
  <c r="M2115" i="10"/>
  <c r="E2115" i="10"/>
  <c r="D2115" i="10"/>
  <c r="R2114" i="10"/>
  <c r="Q2114" i="10"/>
  <c r="M2114" i="10"/>
  <c r="E2114" i="10"/>
  <c r="D2114" i="10"/>
  <c r="Q2113" i="10"/>
  <c r="M2113" i="10"/>
  <c r="E2113" i="10"/>
  <c r="D2113" i="10"/>
  <c r="R2113" i="10"/>
  <c r="S2112" i="10"/>
  <c r="Q2112" i="10"/>
  <c r="M2112" i="10"/>
  <c r="E2112" i="10"/>
  <c r="D2112" i="10"/>
  <c r="R2112" i="10"/>
  <c r="Q2111" i="10"/>
  <c r="M2111" i="10"/>
  <c r="E2111" i="10"/>
  <c r="D2111" i="10"/>
  <c r="R2111" i="10"/>
  <c r="Q2110" i="10"/>
  <c r="M2110" i="10"/>
  <c r="E2110" i="10"/>
  <c r="D2110" i="10"/>
  <c r="R2110" i="10"/>
  <c r="E2109" i="10"/>
  <c r="D2109" i="10"/>
  <c r="E2108" i="10"/>
  <c r="D2108" i="10"/>
  <c r="B2108" i="10"/>
  <c r="I2104" i="10"/>
  <c r="Q2102" i="10"/>
  <c r="M2102" i="10"/>
  <c r="E2102" i="10"/>
  <c r="D2102" i="10"/>
  <c r="R2102" i="10"/>
  <c r="Q2101" i="10"/>
  <c r="M2101" i="10"/>
  <c r="E2101" i="10"/>
  <c r="D2101" i="10"/>
  <c r="R2101" i="10"/>
  <c r="R2100" i="10"/>
  <c r="Q2100" i="10"/>
  <c r="M2100" i="10"/>
  <c r="E2100" i="10"/>
  <c r="D2100" i="10"/>
  <c r="Q2099" i="10"/>
  <c r="M2099" i="10"/>
  <c r="E2099" i="10"/>
  <c r="D2099" i="10"/>
  <c r="R2099" i="10"/>
  <c r="T2099" i="10"/>
  <c r="X2098" i="10"/>
  <c r="R2098" i="10"/>
  <c r="S2098" i="10"/>
  <c r="Q2098" i="10"/>
  <c r="M2098" i="10"/>
  <c r="E2098" i="10"/>
  <c r="D2098" i="10"/>
  <c r="R2097" i="10"/>
  <c r="Q2097" i="10"/>
  <c r="M2097" i="10"/>
  <c r="D2097" i="10"/>
  <c r="X2096" i="10"/>
  <c r="Q2096" i="10"/>
  <c r="M2096" i="10"/>
  <c r="E2096" i="10"/>
  <c r="D2096" i="10"/>
  <c r="R2096" i="10"/>
  <c r="X2095" i="10"/>
  <c r="R2095" i="10"/>
  <c r="S2095" i="10"/>
  <c r="Q2095" i="10"/>
  <c r="M2095" i="10"/>
  <c r="D2095" i="10"/>
  <c r="Q2094" i="10"/>
  <c r="M2094" i="10"/>
  <c r="E2094" i="10"/>
  <c r="D2094" i="10"/>
  <c r="R2094" i="10"/>
  <c r="E2093" i="10"/>
  <c r="D2093" i="10"/>
  <c r="E2092" i="10"/>
  <c r="D2092" i="10"/>
  <c r="B2092" i="10"/>
  <c r="I2088" i="10"/>
  <c r="R2086" i="10"/>
  <c r="Q2086" i="10"/>
  <c r="M2086" i="10"/>
  <c r="E2086" i="10"/>
  <c r="D2086" i="10"/>
  <c r="Q2085" i="10"/>
  <c r="M2085" i="10"/>
  <c r="E2085" i="10"/>
  <c r="D2085" i="10"/>
  <c r="R2085" i="10"/>
  <c r="Q2084" i="10"/>
  <c r="M2084" i="10"/>
  <c r="E2084" i="10"/>
  <c r="D2084" i="10"/>
  <c r="Q2083" i="10"/>
  <c r="M2083" i="10"/>
  <c r="E2083" i="10"/>
  <c r="D2083" i="10"/>
  <c r="R2083" i="10"/>
  <c r="Q2082" i="10"/>
  <c r="M2082" i="10"/>
  <c r="E2082" i="10"/>
  <c r="D2082" i="10"/>
  <c r="R2081" i="10"/>
  <c r="Q2081" i="10"/>
  <c r="M2081" i="10"/>
  <c r="E2081" i="10"/>
  <c r="D2081" i="10"/>
  <c r="Q2080" i="10"/>
  <c r="M2080" i="10"/>
  <c r="E2080" i="10"/>
  <c r="D2080" i="10"/>
  <c r="R2080" i="10"/>
  <c r="Q2079" i="10"/>
  <c r="M2079" i="10"/>
  <c r="E2079" i="10"/>
  <c r="D2079" i="10"/>
  <c r="E2078" i="10"/>
  <c r="D2078" i="10"/>
  <c r="E2077" i="10"/>
  <c r="D2077" i="10"/>
  <c r="B2077" i="10"/>
  <c r="I2073" i="10"/>
  <c r="D2073" i="10"/>
  <c r="Q2071" i="10"/>
  <c r="M2071" i="10"/>
  <c r="E2071" i="10"/>
  <c r="D2071" i="10"/>
  <c r="R2071" i="10"/>
  <c r="Q2070" i="10"/>
  <c r="M2070" i="10"/>
  <c r="E2070" i="10"/>
  <c r="D2070" i="10"/>
  <c r="R2070" i="10"/>
  <c r="Q2069" i="10"/>
  <c r="M2069" i="10"/>
  <c r="E2069" i="10"/>
  <c r="D2069" i="10"/>
  <c r="Q2068" i="10"/>
  <c r="S2068" i="10"/>
  <c r="M2068" i="10"/>
  <c r="E2068" i="10"/>
  <c r="D2068" i="10"/>
  <c r="R2068" i="10"/>
  <c r="Q2067" i="10"/>
  <c r="M2067" i="10"/>
  <c r="E2067" i="10"/>
  <c r="D2067" i="10"/>
  <c r="R2067" i="10"/>
  <c r="Q2066" i="10"/>
  <c r="M2066" i="10"/>
  <c r="E2066" i="10"/>
  <c r="D2066" i="10"/>
  <c r="R2066" i="10"/>
  <c r="Q2065" i="10"/>
  <c r="M2065" i="10"/>
  <c r="E2065" i="10"/>
  <c r="D2065" i="10"/>
  <c r="R2065" i="10"/>
  <c r="Q2064" i="10"/>
  <c r="M2064" i="10"/>
  <c r="E2064" i="10"/>
  <c r="D2064" i="10"/>
  <c r="R2064" i="10"/>
  <c r="E2063" i="10"/>
  <c r="D2063" i="10"/>
  <c r="E2062" i="10"/>
  <c r="D2062" i="10"/>
  <c r="B2062" i="10"/>
  <c r="I2058" i="10"/>
  <c r="D2058" i="10"/>
  <c r="Q2056" i="10"/>
  <c r="M2056" i="10"/>
  <c r="E2056" i="10"/>
  <c r="D2056" i="10"/>
  <c r="R2056" i="10"/>
  <c r="Q2055" i="10"/>
  <c r="M2055" i="10"/>
  <c r="E2055" i="10"/>
  <c r="D2055" i="10"/>
  <c r="R2055" i="10"/>
  <c r="Q2054" i="10"/>
  <c r="M2054" i="10"/>
  <c r="E2054" i="10"/>
  <c r="D2054" i="10"/>
  <c r="R2054" i="10"/>
  <c r="Q2053" i="10"/>
  <c r="M2053" i="10"/>
  <c r="E2053" i="10"/>
  <c r="D2053" i="10"/>
  <c r="R2052" i="10"/>
  <c r="Q2052" i="10"/>
  <c r="M2052" i="10"/>
  <c r="E2052" i="10"/>
  <c r="D2052" i="10"/>
  <c r="Q2051" i="10"/>
  <c r="M2051" i="10"/>
  <c r="E2051" i="10"/>
  <c r="D2051" i="10"/>
  <c r="R2051" i="10"/>
  <c r="Q2050" i="10"/>
  <c r="M2050" i="10"/>
  <c r="E2050" i="10"/>
  <c r="D2050" i="10"/>
  <c r="R2050" i="10"/>
  <c r="Q2049" i="10"/>
  <c r="M2049" i="10"/>
  <c r="E2049" i="10"/>
  <c r="D2049" i="10"/>
  <c r="E2048" i="10"/>
  <c r="D2048" i="10"/>
  <c r="E2047" i="10"/>
  <c r="D2047" i="10"/>
  <c r="B2047" i="10"/>
  <c r="I2043" i="10"/>
  <c r="D2043" i="10"/>
  <c r="Q2041" i="10"/>
  <c r="M2041" i="10"/>
  <c r="E2041" i="10"/>
  <c r="D2041" i="10"/>
  <c r="R2041" i="10"/>
  <c r="R2040" i="10"/>
  <c r="Q2040" i="10"/>
  <c r="M2040" i="10"/>
  <c r="E2040" i="10"/>
  <c r="D2040" i="10"/>
  <c r="Q2039" i="10"/>
  <c r="M2039" i="10"/>
  <c r="E2039" i="10"/>
  <c r="D2039" i="10"/>
  <c r="R2039" i="10"/>
  <c r="Q2038" i="10"/>
  <c r="M2038" i="10"/>
  <c r="E2038" i="10"/>
  <c r="D2038" i="10"/>
  <c r="R2038" i="10"/>
  <c r="Q2037" i="10"/>
  <c r="M2037" i="10"/>
  <c r="E2037" i="10"/>
  <c r="D2037" i="10"/>
  <c r="R2037" i="10"/>
  <c r="Q2036" i="10"/>
  <c r="M2036" i="10"/>
  <c r="E2036" i="10"/>
  <c r="D2036" i="10"/>
  <c r="Q2035" i="10"/>
  <c r="M2035" i="10"/>
  <c r="E2035" i="10"/>
  <c r="D2035" i="10"/>
  <c r="R2035" i="10"/>
  <c r="S2034" i="10"/>
  <c r="R2034" i="10"/>
  <c r="T2034" i="10"/>
  <c r="Q2034" i="10"/>
  <c r="M2034" i="10"/>
  <c r="E2034" i="10"/>
  <c r="D2034" i="10"/>
  <c r="E2033" i="10"/>
  <c r="D2033" i="10"/>
  <c r="E2032" i="10"/>
  <c r="D2032" i="10"/>
  <c r="B2032" i="10"/>
  <c r="I2028" i="10"/>
  <c r="D2028" i="10"/>
  <c r="Q2026" i="10"/>
  <c r="M2026" i="10"/>
  <c r="D2026" i="10"/>
  <c r="R2026" i="10"/>
  <c r="S2026" i="10"/>
  <c r="R2025" i="10"/>
  <c r="Q2025" i="10"/>
  <c r="M2025" i="10"/>
  <c r="D2025" i="10"/>
  <c r="Q2024" i="10"/>
  <c r="M2024" i="10"/>
  <c r="D2024" i="10"/>
  <c r="R2024" i="10"/>
  <c r="Q2023" i="10"/>
  <c r="M2023" i="10"/>
  <c r="D2023" i="10"/>
  <c r="R2023" i="10"/>
  <c r="Q2022" i="10"/>
  <c r="M2022" i="10"/>
  <c r="D2022" i="10"/>
  <c r="R2022" i="10"/>
  <c r="Q2021" i="10"/>
  <c r="M2021" i="10"/>
  <c r="D2021" i="10"/>
  <c r="R2021" i="10"/>
  <c r="Q2020" i="10"/>
  <c r="M2020" i="10"/>
  <c r="D2020" i="10"/>
  <c r="R2020" i="10"/>
  <c r="Q2019" i="10"/>
  <c r="M2019" i="10"/>
  <c r="E2019" i="10"/>
  <c r="D2019" i="10"/>
  <c r="E2018" i="10"/>
  <c r="B2017" i="10"/>
  <c r="I2013" i="10"/>
  <c r="D2013" i="10"/>
  <c r="Q2011" i="10"/>
  <c r="M2011" i="10"/>
  <c r="C2011" i="10"/>
  <c r="E2026" i="10"/>
  <c r="Q2010" i="10"/>
  <c r="M2010" i="10"/>
  <c r="C2010" i="10"/>
  <c r="E2025" i="10"/>
  <c r="Q2009" i="10"/>
  <c r="M2009" i="10"/>
  <c r="C2009" i="10"/>
  <c r="E2024" i="10"/>
  <c r="Q2008" i="10"/>
  <c r="M2008" i="10"/>
  <c r="C2008" i="10"/>
  <c r="E2023" i="10"/>
  <c r="Q2007" i="10"/>
  <c r="M2007" i="10"/>
  <c r="C2007" i="10"/>
  <c r="D2007" i="10"/>
  <c r="Q2006" i="10"/>
  <c r="M2006" i="10"/>
  <c r="C2006" i="10"/>
  <c r="D2006" i="10"/>
  <c r="Q2005" i="10"/>
  <c r="M2005" i="10"/>
  <c r="C2005" i="10"/>
  <c r="Q2004" i="10"/>
  <c r="M2004" i="10"/>
  <c r="D2004" i="10"/>
  <c r="C2004" i="10"/>
  <c r="C2003" i="10"/>
  <c r="D2018" i="10"/>
  <c r="C2002" i="10"/>
  <c r="B2002" i="10"/>
  <c r="I1998" i="10"/>
  <c r="D1998" i="10"/>
  <c r="Q1996" i="10"/>
  <c r="M1996" i="10"/>
  <c r="D1996" i="10"/>
  <c r="Q1995" i="10"/>
  <c r="M1995" i="10"/>
  <c r="D1995" i="10"/>
  <c r="Q1994" i="10"/>
  <c r="M1994" i="10"/>
  <c r="D1994" i="10"/>
  <c r="Q1993" i="10"/>
  <c r="M1993" i="10"/>
  <c r="D1993" i="10"/>
  <c r="Q1992" i="10"/>
  <c r="M1992" i="10"/>
  <c r="D1992" i="10"/>
  <c r="Q1991" i="10"/>
  <c r="M1991" i="10"/>
  <c r="D1991" i="10"/>
  <c r="Q1990" i="10"/>
  <c r="M1990" i="10"/>
  <c r="D1990" i="10"/>
  <c r="Q1989" i="10"/>
  <c r="M1989" i="10"/>
  <c r="D1989" i="10"/>
  <c r="E1988" i="10"/>
  <c r="D1988" i="10"/>
  <c r="E1987" i="10"/>
  <c r="D1987" i="10"/>
  <c r="B1987" i="10"/>
  <c r="I1983" i="10"/>
  <c r="D1983" i="10"/>
  <c r="Q1981" i="10"/>
  <c r="M1981" i="10"/>
  <c r="D1981" i="10"/>
  <c r="R1981" i="10"/>
  <c r="Q1980" i="10"/>
  <c r="M1980" i="10"/>
  <c r="D1980" i="10"/>
  <c r="R1980" i="10"/>
  <c r="Q1979" i="10"/>
  <c r="M1979" i="10"/>
  <c r="D1979" i="10"/>
  <c r="R1979" i="10"/>
  <c r="Q1978" i="10"/>
  <c r="M1978" i="10"/>
  <c r="D1978" i="10"/>
  <c r="R1978" i="10"/>
  <c r="Q1977" i="10"/>
  <c r="M1977" i="10"/>
  <c r="D1977" i="10"/>
  <c r="R1977" i="10"/>
  <c r="Q1976" i="10"/>
  <c r="M1976" i="10"/>
  <c r="D1976" i="10"/>
  <c r="R1976" i="10"/>
  <c r="Q1975" i="10"/>
  <c r="M1975" i="10"/>
  <c r="D1975" i="10"/>
  <c r="R1975" i="10"/>
  <c r="Q1974" i="10"/>
  <c r="M1974" i="10"/>
  <c r="D1974" i="10"/>
  <c r="R1974" i="10"/>
  <c r="E1973" i="10"/>
  <c r="D1973" i="10"/>
  <c r="E1972" i="10"/>
  <c r="D1972" i="10"/>
  <c r="B1972" i="10"/>
  <c r="I1968" i="10"/>
  <c r="D1968" i="10"/>
  <c r="R1966" i="10"/>
  <c r="T1966" i="10"/>
  <c r="Q1966" i="10"/>
  <c r="M1966" i="10"/>
  <c r="D1966" i="10"/>
  <c r="R1965" i="10"/>
  <c r="Q1965" i="10"/>
  <c r="M1965" i="10"/>
  <c r="D1965" i="10"/>
  <c r="R1964" i="10"/>
  <c r="T1964" i="10"/>
  <c r="Q1964" i="10"/>
  <c r="M1964" i="10"/>
  <c r="D1964" i="10"/>
  <c r="R1963" i="10"/>
  <c r="Q1963" i="10"/>
  <c r="M1963" i="10"/>
  <c r="D1963" i="10"/>
  <c r="R1962" i="10"/>
  <c r="T1962" i="10"/>
  <c r="Q1962" i="10"/>
  <c r="M1962" i="10"/>
  <c r="D1962" i="10"/>
  <c r="R1961" i="10"/>
  <c r="Q1961" i="10"/>
  <c r="M1961" i="10"/>
  <c r="D1961" i="10"/>
  <c r="R1960" i="10"/>
  <c r="T1960" i="10"/>
  <c r="Q1960" i="10"/>
  <c r="M1960" i="10"/>
  <c r="D1960" i="10"/>
  <c r="R1959" i="10"/>
  <c r="R1967" i="10"/>
  <c r="R1968" i="10"/>
  <c r="Q1959" i="10"/>
  <c r="M1959" i="10"/>
  <c r="D1959" i="10"/>
  <c r="E1958" i="10"/>
  <c r="D1958" i="10"/>
  <c r="E1957" i="10"/>
  <c r="D1957" i="10"/>
  <c r="B1957" i="10"/>
  <c r="I1953" i="10"/>
  <c r="R1951" i="10"/>
  <c r="Q1951" i="10"/>
  <c r="M1951" i="10"/>
  <c r="D1951" i="10"/>
  <c r="R1950" i="10"/>
  <c r="Q1950" i="10"/>
  <c r="M1950" i="10"/>
  <c r="E1950" i="10"/>
  <c r="D1950" i="10"/>
  <c r="Q1949" i="10"/>
  <c r="M1949" i="10"/>
  <c r="D1949" i="10"/>
  <c r="R1949" i="10"/>
  <c r="R1948" i="10"/>
  <c r="Q1948" i="10"/>
  <c r="M1948" i="10"/>
  <c r="E1948" i="10"/>
  <c r="D1948" i="10"/>
  <c r="Q1947" i="10"/>
  <c r="M1947" i="10"/>
  <c r="D1947" i="10"/>
  <c r="R1947" i="10"/>
  <c r="R1946" i="10"/>
  <c r="Q1946" i="10"/>
  <c r="M1946" i="10"/>
  <c r="D1946" i="10"/>
  <c r="Q1945" i="10"/>
  <c r="M1945" i="10"/>
  <c r="D1945" i="10"/>
  <c r="R1945" i="10"/>
  <c r="R1944" i="10"/>
  <c r="Q1944" i="10"/>
  <c r="M1944" i="10"/>
  <c r="D1944" i="10"/>
  <c r="E1943" i="10"/>
  <c r="D1943" i="10"/>
  <c r="E1942" i="10"/>
  <c r="D1942" i="10"/>
  <c r="B1942" i="10"/>
  <c r="D1939" i="10"/>
  <c r="I1938" i="10"/>
  <c r="Q1936" i="10"/>
  <c r="M1936" i="10"/>
  <c r="D1936" i="10"/>
  <c r="E1951" i="10"/>
  <c r="R1935" i="10"/>
  <c r="Q1935" i="10"/>
  <c r="M1935" i="10"/>
  <c r="D1935" i="10"/>
  <c r="Q1934" i="10"/>
  <c r="M1934" i="10"/>
  <c r="D1934" i="10"/>
  <c r="R1934" i="10"/>
  <c r="R1933" i="10"/>
  <c r="Q1933" i="10"/>
  <c r="M1933" i="10"/>
  <c r="D1933" i="10"/>
  <c r="R1932" i="10"/>
  <c r="Q1932" i="10"/>
  <c r="M1932" i="10"/>
  <c r="D1932" i="10"/>
  <c r="R1931" i="10"/>
  <c r="Q1931" i="10"/>
  <c r="M1931" i="10"/>
  <c r="D1931" i="10"/>
  <c r="Q1930" i="10"/>
  <c r="M1930" i="10"/>
  <c r="D1930" i="10"/>
  <c r="E1930" i="10"/>
  <c r="R1929" i="10"/>
  <c r="Q1929" i="10"/>
  <c r="M1929" i="10"/>
  <c r="D1929" i="10"/>
  <c r="E1944" i="10"/>
  <c r="E1928" i="10"/>
  <c r="D1928" i="10"/>
  <c r="E1927" i="10"/>
  <c r="D1927" i="10"/>
  <c r="B1927" i="10"/>
  <c r="I1923" i="10"/>
  <c r="D1923" i="10"/>
  <c r="Q1921" i="10"/>
  <c r="M1921" i="10"/>
  <c r="E1921" i="10"/>
  <c r="D1921" i="10"/>
  <c r="E1935" i="10"/>
  <c r="Q1920" i="10"/>
  <c r="M1920" i="10"/>
  <c r="E1920" i="10"/>
  <c r="D1920" i="10"/>
  <c r="E1934" i="10"/>
  <c r="R1919" i="10"/>
  <c r="Q1919" i="10"/>
  <c r="M1919" i="10"/>
  <c r="E1919" i="10"/>
  <c r="D1919" i="10"/>
  <c r="E1933" i="10"/>
  <c r="W1918" i="10"/>
  <c r="R1918" i="10"/>
  <c r="Q1918" i="10"/>
  <c r="M1918" i="10"/>
  <c r="E1918" i="10"/>
  <c r="D1918" i="10"/>
  <c r="X1917" i="10"/>
  <c r="Q1917" i="10"/>
  <c r="M1917" i="10"/>
  <c r="E1917" i="10"/>
  <c r="D1917" i="10"/>
  <c r="R1917" i="10"/>
  <c r="S1917" i="10"/>
  <c r="X1916" i="10"/>
  <c r="X1918" i="10"/>
  <c r="Q1916" i="10"/>
  <c r="M1916" i="10"/>
  <c r="E1916" i="10"/>
  <c r="D1916" i="10"/>
  <c r="Q1915" i="10"/>
  <c r="M1915" i="10"/>
  <c r="E1915" i="10"/>
  <c r="D1915" i="10"/>
  <c r="E1914" i="10"/>
  <c r="D1914" i="10"/>
  <c r="E1913" i="10"/>
  <c r="D1913" i="10"/>
  <c r="B1913" i="10"/>
  <c r="I1909" i="10"/>
  <c r="Q1907" i="10"/>
  <c r="M1907" i="10"/>
  <c r="D1907" i="10"/>
  <c r="R1907" i="10"/>
  <c r="Q1906" i="10"/>
  <c r="M1906" i="10"/>
  <c r="D1906" i="10"/>
  <c r="R1906" i="10"/>
  <c r="Q1905" i="10"/>
  <c r="M1905" i="10"/>
  <c r="D1905" i="10"/>
  <c r="R1905" i="10"/>
  <c r="Q1904" i="10"/>
  <c r="M1904" i="10"/>
  <c r="D1904" i="10"/>
  <c r="R1904" i="10"/>
  <c r="Q1903" i="10"/>
  <c r="M1903" i="10"/>
  <c r="D1903" i="10"/>
  <c r="R1903" i="10"/>
  <c r="Q1902" i="10"/>
  <c r="M1902" i="10"/>
  <c r="D1902" i="10"/>
  <c r="R1902" i="10"/>
  <c r="Q1901" i="10"/>
  <c r="M1901" i="10"/>
  <c r="E1901" i="10"/>
  <c r="D1901" i="10"/>
  <c r="E1900" i="10"/>
  <c r="D1900" i="10"/>
  <c r="E1899" i="10"/>
  <c r="D1899" i="10"/>
  <c r="B1899" i="10"/>
  <c r="I1895" i="10"/>
  <c r="Q1893" i="10"/>
  <c r="M1893" i="10"/>
  <c r="D1893" i="10"/>
  <c r="R1893" i="10"/>
  <c r="Q1892" i="10"/>
  <c r="M1892" i="10"/>
  <c r="E1892" i="10"/>
  <c r="D1892" i="10"/>
  <c r="R1892" i="10"/>
  <c r="Q1891" i="10"/>
  <c r="M1891" i="10"/>
  <c r="D1891" i="10"/>
  <c r="R1891" i="10"/>
  <c r="Q1890" i="10"/>
  <c r="M1890" i="10"/>
  <c r="D1890" i="10"/>
  <c r="R1890" i="10"/>
  <c r="Q1889" i="10"/>
  <c r="M1889" i="10"/>
  <c r="D1889" i="10"/>
  <c r="Q1888" i="10"/>
  <c r="M1888" i="10"/>
  <c r="D1888" i="10"/>
  <c r="R1888" i="10"/>
  <c r="T1887" i="10"/>
  <c r="S1887" i="10"/>
  <c r="R1887" i="10"/>
  <c r="Q1887" i="10"/>
  <c r="Q1894" i="10"/>
  <c r="M1887" i="10"/>
  <c r="D1887" i="10"/>
  <c r="E1886" i="10"/>
  <c r="D1886" i="10"/>
  <c r="E1885" i="10"/>
  <c r="D1885" i="10"/>
  <c r="B1885" i="10"/>
  <c r="I1881" i="10"/>
  <c r="R1879" i="10"/>
  <c r="Q1879" i="10"/>
  <c r="M1879" i="10"/>
  <c r="D1879" i="10"/>
  <c r="R1878" i="10"/>
  <c r="T1878" i="10"/>
  <c r="Q1878" i="10"/>
  <c r="M1878" i="10"/>
  <c r="D1878" i="10"/>
  <c r="R1877" i="10"/>
  <c r="Q1877" i="10"/>
  <c r="M1877" i="10"/>
  <c r="D1877" i="10"/>
  <c r="E1877" i="10"/>
  <c r="Q1876" i="10"/>
  <c r="M1876" i="10"/>
  <c r="E1876" i="10"/>
  <c r="D1876" i="10"/>
  <c r="D1882" i="10"/>
  <c r="E1875" i="10"/>
  <c r="D1875" i="10"/>
  <c r="E1874" i="10"/>
  <c r="D1874" i="10"/>
  <c r="B1874" i="10"/>
  <c r="I1870" i="10"/>
  <c r="R1868" i="10"/>
  <c r="T1868" i="10"/>
  <c r="Q1868" i="10"/>
  <c r="M1868" i="10"/>
  <c r="D1868" i="10"/>
  <c r="R1867" i="10"/>
  <c r="Q1867" i="10"/>
  <c r="M1867" i="10"/>
  <c r="D1867" i="10"/>
  <c r="E1867" i="10"/>
  <c r="Q1866" i="10"/>
  <c r="M1866" i="10"/>
  <c r="D1866" i="10"/>
  <c r="Q1865" i="10"/>
  <c r="M1865" i="10"/>
  <c r="D1865" i="10"/>
  <c r="R1864" i="10"/>
  <c r="Q1864" i="10"/>
  <c r="Q1869" i="10"/>
  <c r="M1864" i="10"/>
  <c r="D1864" i="10"/>
  <c r="E1864" i="10"/>
  <c r="E1863" i="10"/>
  <c r="D1863" i="10"/>
  <c r="E1862" i="10"/>
  <c r="D1862" i="10"/>
  <c r="B1862" i="10"/>
  <c r="I1858" i="10"/>
  <c r="T1856" i="10"/>
  <c r="Q1856" i="10"/>
  <c r="M1856" i="10"/>
  <c r="D1856" i="10"/>
  <c r="R1856" i="10"/>
  <c r="S1856" i="10"/>
  <c r="Q1855" i="10"/>
  <c r="M1855" i="10"/>
  <c r="D1855" i="10"/>
  <c r="R1855" i="10"/>
  <c r="Q1854" i="10"/>
  <c r="M1854" i="10"/>
  <c r="D1854" i="10"/>
  <c r="R1854" i="10"/>
  <c r="Q1853" i="10"/>
  <c r="M1853" i="10"/>
  <c r="D1853" i="10"/>
  <c r="R1853" i="10"/>
  <c r="S1853" i="10"/>
  <c r="R1852" i="10"/>
  <c r="S1852" i="10"/>
  <c r="Q1852" i="10"/>
  <c r="M1852" i="10"/>
  <c r="D1852" i="10"/>
  <c r="E1851" i="10"/>
  <c r="D1851" i="10"/>
  <c r="E1850" i="10"/>
  <c r="D1850" i="10"/>
  <c r="B1850" i="10"/>
  <c r="I1846" i="10"/>
  <c r="R1844" i="10"/>
  <c r="Q1844" i="10"/>
  <c r="M1844" i="10"/>
  <c r="D1844" i="10"/>
  <c r="R1843" i="10"/>
  <c r="Q1843" i="10"/>
  <c r="M1843" i="10"/>
  <c r="D1843" i="10"/>
  <c r="R1842" i="10"/>
  <c r="Q1842" i="10"/>
  <c r="M1842" i="10"/>
  <c r="D1842" i="10"/>
  <c r="Q1841" i="10"/>
  <c r="M1841" i="10"/>
  <c r="D1841" i="10"/>
  <c r="R1841" i="10"/>
  <c r="Q1840" i="10"/>
  <c r="M1840" i="10"/>
  <c r="D1840" i="10"/>
  <c r="E1839" i="10"/>
  <c r="D1839" i="10"/>
  <c r="E1838" i="10"/>
  <c r="D1838" i="10"/>
  <c r="B1838" i="10"/>
  <c r="D1837" i="10"/>
  <c r="D1849" i="10"/>
  <c r="D1861" i="10"/>
  <c r="D1873" i="10"/>
  <c r="D1884" i="10"/>
  <c r="D1898" i="10"/>
  <c r="D1912" i="10"/>
  <c r="D1926" i="10"/>
  <c r="D1835" i="10"/>
  <c r="I1834" i="10"/>
  <c r="Q1832" i="10"/>
  <c r="M1832" i="10"/>
  <c r="D1832" i="10"/>
  <c r="R1832" i="10"/>
  <c r="R1831" i="10"/>
  <c r="T1831" i="10"/>
  <c r="Q1831" i="10"/>
  <c r="M1831" i="10"/>
  <c r="D1831" i="10"/>
  <c r="Q1830" i="10"/>
  <c r="M1830" i="10"/>
  <c r="D1830" i="10"/>
  <c r="R1830" i="10"/>
  <c r="T1830" i="10"/>
  <c r="R1829" i="10"/>
  <c r="Q1829" i="10"/>
  <c r="M1829" i="10"/>
  <c r="D1829" i="10"/>
  <c r="Q1828" i="10"/>
  <c r="M1828" i="10"/>
  <c r="D1828" i="10"/>
  <c r="R1828" i="10"/>
  <c r="E1827" i="10"/>
  <c r="D1827" i="10"/>
  <c r="E1826" i="10"/>
  <c r="D1826" i="10"/>
  <c r="B1826" i="10"/>
  <c r="I1822" i="10"/>
  <c r="Q1820" i="10"/>
  <c r="M1820" i="10"/>
  <c r="D1820" i="10"/>
  <c r="Q1819" i="10"/>
  <c r="M1819" i="10"/>
  <c r="D1819" i="10"/>
  <c r="Q1818" i="10"/>
  <c r="Q1821" i="10"/>
  <c r="M1818" i="10"/>
  <c r="D1818" i="10"/>
  <c r="R1818" i="10"/>
  <c r="R1817" i="10"/>
  <c r="S1817" i="10"/>
  <c r="Q1817" i="10"/>
  <c r="M1817" i="10"/>
  <c r="D1817" i="10"/>
  <c r="E1816" i="10"/>
  <c r="D1816" i="10"/>
  <c r="E1815" i="10"/>
  <c r="D1815" i="10"/>
  <c r="B1815" i="10"/>
  <c r="I1811" i="10"/>
  <c r="Q1809" i="10"/>
  <c r="M1809" i="10"/>
  <c r="D1809" i="10"/>
  <c r="R1809" i="10"/>
  <c r="R1808" i="10"/>
  <c r="Q1808" i="10"/>
  <c r="M1808" i="10"/>
  <c r="D1808" i="10"/>
  <c r="Q1807" i="10"/>
  <c r="Q1810" i="10"/>
  <c r="M1807" i="10"/>
  <c r="D1807" i="10"/>
  <c r="R1807" i="10"/>
  <c r="R1806" i="10"/>
  <c r="Q1806" i="10"/>
  <c r="M1806" i="10"/>
  <c r="D1806" i="10"/>
  <c r="E1805" i="10"/>
  <c r="D1805" i="10"/>
  <c r="E1804" i="10"/>
  <c r="D1804" i="10"/>
  <c r="B1804" i="10"/>
  <c r="I1800" i="10"/>
  <c r="R1798" i="10"/>
  <c r="Q1798" i="10"/>
  <c r="M1798" i="10"/>
  <c r="D1798" i="10"/>
  <c r="Q1797" i="10"/>
  <c r="M1797" i="10"/>
  <c r="E1797" i="10"/>
  <c r="D1797" i="10"/>
  <c r="R1797" i="10"/>
  <c r="Q1796" i="10"/>
  <c r="M1796" i="10"/>
  <c r="E1796" i="10"/>
  <c r="D1796" i="10"/>
  <c r="E1807" i="10"/>
  <c r="R1795" i="10"/>
  <c r="Q1795" i="10"/>
  <c r="M1795" i="10"/>
  <c r="E1795" i="10"/>
  <c r="D1795" i="10"/>
  <c r="E1794" i="10"/>
  <c r="D1794" i="10"/>
  <c r="E1793" i="10"/>
  <c r="D1793" i="10"/>
  <c r="B1793" i="10"/>
  <c r="D1792" i="10"/>
  <c r="D1803" i="10"/>
  <c r="D1814" i="10"/>
  <c r="E1791" i="10"/>
  <c r="I1789" i="10"/>
  <c r="Q1787" i="10"/>
  <c r="M1787" i="10"/>
  <c r="D1787" i="10"/>
  <c r="R1787" i="10"/>
  <c r="R1786" i="10"/>
  <c r="Q1786" i="10"/>
  <c r="M1786" i="10"/>
  <c r="D1786" i="10"/>
  <c r="Q1785" i="10"/>
  <c r="M1785" i="10"/>
  <c r="D1785" i="10"/>
  <c r="R1785" i="10"/>
  <c r="Q1784" i="10"/>
  <c r="M1784" i="10"/>
  <c r="D1784" i="10"/>
  <c r="R1784" i="10"/>
  <c r="Q1783" i="10"/>
  <c r="M1783" i="10"/>
  <c r="D1783" i="10"/>
  <c r="E1782" i="10"/>
  <c r="D1782" i="10"/>
  <c r="E1781" i="10"/>
  <c r="D1781" i="10"/>
  <c r="B1781" i="10"/>
  <c r="I1777" i="10"/>
  <c r="R1774" i="10"/>
  <c r="T1774" i="10"/>
  <c r="Q1774" i="10"/>
  <c r="M1774" i="10"/>
  <c r="E1774" i="10"/>
  <c r="D1774" i="10"/>
  <c r="Q1773" i="10"/>
  <c r="M1773" i="10"/>
  <c r="E1773" i="10"/>
  <c r="D1773" i="10"/>
  <c r="R1772" i="10"/>
  <c r="Q1772" i="10"/>
  <c r="M1772" i="10"/>
  <c r="E1772" i="10"/>
  <c r="D1772" i="10"/>
  <c r="E1771" i="10"/>
  <c r="D1771" i="10"/>
  <c r="E1770" i="10"/>
  <c r="D1770" i="10"/>
  <c r="B1770" i="10"/>
  <c r="D1769" i="10"/>
  <c r="I1766" i="10"/>
  <c r="Q1763" i="10"/>
  <c r="M1763" i="10"/>
  <c r="E1763" i="10"/>
  <c r="D1763" i="10"/>
  <c r="R1763" i="10"/>
  <c r="T1763" i="10"/>
  <c r="Q1762" i="10"/>
  <c r="M1762" i="10"/>
  <c r="E1762" i="10"/>
  <c r="D1762" i="10"/>
  <c r="R1762" i="10"/>
  <c r="R1761" i="10"/>
  <c r="Q1761" i="10"/>
  <c r="M1761" i="10"/>
  <c r="E1761" i="10"/>
  <c r="D1761" i="10"/>
  <c r="D1767" i="10"/>
  <c r="E1760" i="10"/>
  <c r="D1760" i="10"/>
  <c r="E1759" i="10"/>
  <c r="D1759" i="10"/>
  <c r="B1759" i="10"/>
  <c r="I1755" i="10"/>
  <c r="Q1752" i="10"/>
  <c r="M1752" i="10"/>
  <c r="E1752" i="10"/>
  <c r="D1752" i="10"/>
  <c r="R1752" i="10"/>
  <c r="Q1751" i="10"/>
  <c r="M1751" i="10"/>
  <c r="E1751" i="10"/>
  <c r="D1751" i="10"/>
  <c r="R1751" i="10"/>
  <c r="Q1750" i="10"/>
  <c r="M1750" i="10"/>
  <c r="E1750" i="10"/>
  <c r="D1750" i="10"/>
  <c r="D1756" i="10"/>
  <c r="E1749" i="10"/>
  <c r="D1749" i="10"/>
  <c r="E1748" i="10"/>
  <c r="D1748" i="10"/>
  <c r="B1748" i="10"/>
  <c r="I1744" i="10"/>
  <c r="Q1740" i="10"/>
  <c r="M1740" i="10"/>
  <c r="D1740" i="10"/>
  <c r="R1740" i="10"/>
  <c r="Q1739" i="10"/>
  <c r="M1739" i="10"/>
  <c r="D1739" i="10"/>
  <c r="E1738" i="10"/>
  <c r="D1738" i="10"/>
  <c r="E1737" i="10"/>
  <c r="D1737" i="10"/>
  <c r="B1737" i="10"/>
  <c r="I1733" i="10"/>
  <c r="Q1730" i="10"/>
  <c r="M1730" i="10"/>
  <c r="D1730" i="10"/>
  <c r="Q1729" i="10"/>
  <c r="M1729" i="10"/>
  <c r="D1729" i="10"/>
  <c r="D1734" i="10"/>
  <c r="R1728" i="10"/>
  <c r="S1728" i="10"/>
  <c r="Q1728" i="10"/>
  <c r="M1728" i="10"/>
  <c r="D1728" i="10"/>
  <c r="R1727" i="10"/>
  <c r="Q1727" i="10"/>
  <c r="M1727" i="10"/>
  <c r="D1727" i="10"/>
  <c r="R1726" i="10"/>
  <c r="Q1726" i="10"/>
  <c r="Q1732" i="10"/>
  <c r="M1726" i="10"/>
  <c r="D1726" i="10"/>
  <c r="R1725" i="10"/>
  <c r="Q1725" i="10"/>
  <c r="M1725" i="10"/>
  <c r="D1725" i="10"/>
  <c r="E1724" i="10"/>
  <c r="D1724" i="10"/>
  <c r="E1723" i="10"/>
  <c r="D1723" i="10"/>
  <c r="B1723" i="10"/>
  <c r="I1719" i="10"/>
  <c r="Q1717" i="10"/>
  <c r="M1717" i="10"/>
  <c r="E1717" i="10"/>
  <c r="D1717" i="10"/>
  <c r="R1717" i="10"/>
  <c r="Q1716" i="10"/>
  <c r="M1716" i="10"/>
  <c r="E1716" i="10"/>
  <c r="D1716" i="10"/>
  <c r="R1716" i="10"/>
  <c r="T1716" i="10"/>
  <c r="Q1715" i="10"/>
  <c r="M1715" i="10"/>
  <c r="E1715" i="10"/>
  <c r="D1715" i="10"/>
  <c r="R1715" i="10"/>
  <c r="R1714" i="10"/>
  <c r="Q1714" i="10"/>
  <c r="M1714" i="10"/>
  <c r="E1714" i="10"/>
  <c r="D1714" i="10"/>
  <c r="Q1713" i="10"/>
  <c r="M1713" i="10"/>
  <c r="E1713" i="10"/>
  <c r="D1713" i="10"/>
  <c r="T1712" i="10"/>
  <c r="Q1712" i="10"/>
  <c r="M1712" i="10"/>
  <c r="E1712" i="10"/>
  <c r="D1712" i="10"/>
  <c r="R1712" i="10"/>
  <c r="S1712" i="10"/>
  <c r="Q1711" i="10"/>
  <c r="M1711" i="10"/>
  <c r="E1711" i="10"/>
  <c r="D1711" i="10"/>
  <c r="E1710" i="10"/>
  <c r="D1710" i="10"/>
  <c r="E1709" i="10"/>
  <c r="D1709" i="10"/>
  <c r="B1709" i="10"/>
  <c r="I1705" i="10"/>
  <c r="Q1703" i="10"/>
  <c r="M1703" i="10"/>
  <c r="D1703" i="10"/>
  <c r="R1703" i="10"/>
  <c r="Q1702" i="10"/>
  <c r="M1702" i="10"/>
  <c r="D1702" i="10"/>
  <c r="R1702" i="10"/>
  <c r="S1702" i="10"/>
  <c r="Q1701" i="10"/>
  <c r="M1701" i="10"/>
  <c r="D1701" i="10"/>
  <c r="R1700" i="10"/>
  <c r="T1700" i="10"/>
  <c r="Q1700" i="10"/>
  <c r="M1700" i="10"/>
  <c r="D1700" i="10"/>
  <c r="Q1699" i="10"/>
  <c r="M1699" i="10"/>
  <c r="D1699" i="10"/>
  <c r="R1699" i="10"/>
  <c r="T1699" i="10"/>
  <c r="S1698" i="10"/>
  <c r="Q1698" i="10"/>
  <c r="M1698" i="10"/>
  <c r="D1698" i="10"/>
  <c r="R1698" i="10"/>
  <c r="T1698" i="10"/>
  <c r="Q1697" i="10"/>
  <c r="M1697" i="10"/>
  <c r="D1697" i="10"/>
  <c r="R1697" i="10"/>
  <c r="E1696" i="10"/>
  <c r="D1696" i="10"/>
  <c r="E1695" i="10"/>
  <c r="D1695" i="10"/>
  <c r="B1695" i="10"/>
  <c r="I1691" i="10"/>
  <c r="Q1689" i="10"/>
  <c r="M1689" i="10"/>
  <c r="D1689" i="10"/>
  <c r="R1689" i="10"/>
  <c r="Q1688" i="10"/>
  <c r="M1688" i="10"/>
  <c r="D1688" i="10"/>
  <c r="R1688" i="10"/>
  <c r="Q1687" i="10"/>
  <c r="M1687" i="10"/>
  <c r="D1687" i="10"/>
  <c r="R1687" i="10"/>
  <c r="Q1686" i="10"/>
  <c r="M1686" i="10"/>
  <c r="D1686" i="10"/>
  <c r="Q1685" i="10"/>
  <c r="M1685" i="10"/>
  <c r="D1685" i="10"/>
  <c r="R1685" i="10"/>
  <c r="Q1684" i="10"/>
  <c r="M1684" i="10"/>
  <c r="D1684" i="10"/>
  <c r="R1684" i="10"/>
  <c r="R1683" i="10"/>
  <c r="Q1683" i="10"/>
  <c r="M1683" i="10"/>
  <c r="D1683" i="10"/>
  <c r="E1682" i="10"/>
  <c r="D1682" i="10"/>
  <c r="E1681" i="10"/>
  <c r="D1681" i="10"/>
  <c r="B1681" i="10"/>
  <c r="I1677" i="10"/>
  <c r="Q1675" i="10"/>
  <c r="M1675" i="10"/>
  <c r="D1675" i="10"/>
  <c r="R1675" i="10"/>
  <c r="Q1674" i="10"/>
  <c r="M1674" i="10"/>
  <c r="D1674" i="10"/>
  <c r="R1674" i="10"/>
  <c r="Q1673" i="10"/>
  <c r="M1673" i="10"/>
  <c r="D1673" i="10"/>
  <c r="R1673" i="10"/>
  <c r="Q1672" i="10"/>
  <c r="M1672" i="10"/>
  <c r="D1672" i="10"/>
  <c r="R1672" i="10"/>
  <c r="T1671" i="10"/>
  <c r="Q1671" i="10"/>
  <c r="M1671" i="10"/>
  <c r="D1671" i="10"/>
  <c r="R1671" i="10"/>
  <c r="S1671" i="10"/>
  <c r="Q1670" i="10"/>
  <c r="M1670" i="10"/>
  <c r="D1670" i="10"/>
  <c r="R1669" i="10"/>
  <c r="Q1669" i="10"/>
  <c r="M1669" i="10"/>
  <c r="D1669" i="10"/>
  <c r="Q1668" i="10"/>
  <c r="M1668" i="10"/>
  <c r="D1668" i="10"/>
  <c r="R1668" i="10"/>
  <c r="R1667" i="10"/>
  <c r="Q1667" i="10"/>
  <c r="M1667" i="10"/>
  <c r="D1667" i="10"/>
  <c r="E1666" i="10"/>
  <c r="D1666" i="10"/>
  <c r="E1665" i="10"/>
  <c r="D1665" i="10"/>
  <c r="B1665" i="10"/>
  <c r="I1661" i="10"/>
  <c r="M1659" i="10"/>
  <c r="D1659" i="10"/>
  <c r="R1659" i="10"/>
  <c r="Q1658" i="10"/>
  <c r="M1658" i="10"/>
  <c r="E1658" i="10"/>
  <c r="D1658" i="10"/>
  <c r="R1658" i="10"/>
  <c r="R1657" i="10"/>
  <c r="S1657" i="10"/>
  <c r="M1657" i="10"/>
  <c r="D1657" i="10"/>
  <c r="Q1656" i="10"/>
  <c r="M1656" i="10"/>
  <c r="E1656" i="10"/>
  <c r="D1656" i="10"/>
  <c r="Q1655" i="10"/>
  <c r="M1655" i="10"/>
  <c r="E1655" i="10"/>
  <c r="D1655" i="10"/>
  <c r="Q1654" i="10"/>
  <c r="M1654" i="10"/>
  <c r="E1654" i="10"/>
  <c r="D1654" i="10"/>
  <c r="Q1653" i="10"/>
  <c r="M1653" i="10"/>
  <c r="E1653" i="10"/>
  <c r="D1653" i="10"/>
  <c r="Q1652" i="10"/>
  <c r="M1652" i="10"/>
  <c r="E1652" i="10"/>
  <c r="D1652" i="10"/>
  <c r="R1652" i="10"/>
  <c r="Q1651" i="10"/>
  <c r="M1651" i="10"/>
  <c r="E1651" i="10"/>
  <c r="D1651" i="10"/>
  <c r="R1651" i="10"/>
  <c r="E1650" i="10"/>
  <c r="D1650" i="10"/>
  <c r="E1649" i="10"/>
  <c r="D1649" i="10"/>
  <c r="B1649" i="10"/>
  <c r="I1645" i="10"/>
  <c r="Q1643" i="10"/>
  <c r="M1643" i="10"/>
  <c r="E1643" i="10"/>
  <c r="D1643" i="10"/>
  <c r="E1642" i="10"/>
  <c r="D1642" i="10"/>
  <c r="Q1641" i="10"/>
  <c r="M1641" i="10"/>
  <c r="E1641" i="10"/>
  <c r="D1641" i="10"/>
  <c r="Q1640" i="10"/>
  <c r="M1640" i="10"/>
  <c r="E1640" i="10"/>
  <c r="D1640" i="10"/>
  <c r="Q1639" i="10"/>
  <c r="M1639" i="10"/>
  <c r="E1639" i="10"/>
  <c r="D1639" i="10"/>
  <c r="Q1638" i="10"/>
  <c r="M1638" i="10"/>
  <c r="E1638" i="10"/>
  <c r="D1638" i="10"/>
  <c r="Q1637" i="10"/>
  <c r="M1637" i="10"/>
  <c r="E1637" i="10"/>
  <c r="D1637" i="10"/>
  <c r="Q1636" i="10"/>
  <c r="Q1644" i="10"/>
  <c r="M1636" i="10"/>
  <c r="D1636" i="10"/>
  <c r="E1635" i="10"/>
  <c r="D1635" i="10"/>
  <c r="E1634" i="10"/>
  <c r="D1634" i="10"/>
  <c r="B1634" i="10"/>
  <c r="D1631" i="10"/>
  <c r="I1630" i="10"/>
  <c r="T1628" i="10"/>
  <c r="Q1628" i="10"/>
  <c r="M1628" i="10"/>
  <c r="D1628" i="10"/>
  <c r="R1628" i="10"/>
  <c r="Q1627" i="10"/>
  <c r="T1627" i="10"/>
  <c r="M1627" i="10"/>
  <c r="D1627" i="10"/>
  <c r="R1627" i="10"/>
  <c r="T1626" i="10"/>
  <c r="Q1626" i="10"/>
  <c r="M1626" i="10"/>
  <c r="D1626" i="10"/>
  <c r="R1626" i="10"/>
  <c r="Q1625" i="10"/>
  <c r="T1625" i="10"/>
  <c r="M1625" i="10"/>
  <c r="D1625" i="10"/>
  <c r="R1625" i="10"/>
  <c r="T1624" i="10"/>
  <c r="Q1624" i="10"/>
  <c r="M1624" i="10"/>
  <c r="D1624" i="10"/>
  <c r="R1624" i="10"/>
  <c r="Q1623" i="10"/>
  <c r="T1623" i="10"/>
  <c r="M1623" i="10"/>
  <c r="D1623" i="10"/>
  <c r="R1623" i="10"/>
  <c r="T1622" i="10"/>
  <c r="Q1622" i="10"/>
  <c r="M1622" i="10"/>
  <c r="D1622" i="10"/>
  <c r="R1622" i="10"/>
  <c r="Q1621" i="10"/>
  <c r="T1621" i="10"/>
  <c r="M1621" i="10"/>
  <c r="D1621" i="10"/>
  <c r="R1621" i="10"/>
  <c r="E1620" i="10"/>
  <c r="D1620" i="10"/>
  <c r="E1619" i="10"/>
  <c r="D1619" i="10"/>
  <c r="B1619" i="10"/>
  <c r="D1616" i="10"/>
  <c r="I1615" i="10"/>
  <c r="Q1613" i="10"/>
  <c r="M1613" i="10"/>
  <c r="D1613" i="10"/>
  <c r="R1613" i="10"/>
  <c r="Q1612" i="10"/>
  <c r="M1612" i="10"/>
  <c r="D1612" i="10"/>
  <c r="R1612" i="10"/>
  <c r="Q1611" i="10"/>
  <c r="M1611" i="10"/>
  <c r="D1611" i="10"/>
  <c r="R1611" i="10"/>
  <c r="Q1610" i="10"/>
  <c r="M1610" i="10"/>
  <c r="D1610" i="10"/>
  <c r="R1610" i="10"/>
  <c r="Q1609" i="10"/>
  <c r="M1609" i="10"/>
  <c r="D1609" i="10"/>
  <c r="R1609" i="10"/>
  <c r="Q1608" i="10"/>
  <c r="M1608" i="10"/>
  <c r="D1608" i="10"/>
  <c r="R1608" i="10"/>
  <c r="T1608" i="10"/>
  <c r="Q1607" i="10"/>
  <c r="M1607" i="10"/>
  <c r="D1607" i="10"/>
  <c r="R1607" i="10"/>
  <c r="T1607" i="10"/>
  <c r="Q1606" i="10"/>
  <c r="M1606" i="10"/>
  <c r="D1606" i="10"/>
  <c r="E1605" i="10"/>
  <c r="D1605" i="10"/>
  <c r="E1604" i="10"/>
  <c r="D1604" i="10"/>
  <c r="B1604" i="10"/>
  <c r="D1600" i="10"/>
  <c r="D1601" i="10"/>
  <c r="R1598" i="10"/>
  <c r="Q1598" i="10"/>
  <c r="M1598" i="10"/>
  <c r="E1598" i="10"/>
  <c r="D1598" i="10"/>
  <c r="R1597" i="10"/>
  <c r="S1597" i="10"/>
  <c r="Q1597" i="10"/>
  <c r="M1597" i="10"/>
  <c r="I1597" i="10"/>
  <c r="E1597" i="10"/>
  <c r="D1597" i="10"/>
  <c r="Q1596" i="10"/>
  <c r="M1596" i="10"/>
  <c r="E1596" i="10"/>
  <c r="D1596" i="10"/>
  <c r="R1595" i="10"/>
  <c r="Q1595" i="10"/>
  <c r="M1595" i="10"/>
  <c r="E1595" i="10"/>
  <c r="D1595" i="10"/>
  <c r="I1595" i="10"/>
  <c r="Q1594" i="10"/>
  <c r="M1594" i="10"/>
  <c r="E1594" i="10"/>
  <c r="D1594" i="10"/>
  <c r="R1594" i="10"/>
  <c r="Q1593" i="10"/>
  <c r="M1593" i="10"/>
  <c r="E1593" i="10"/>
  <c r="D1593" i="10"/>
  <c r="R1593" i="10"/>
  <c r="Q1592" i="10"/>
  <c r="M1592" i="10"/>
  <c r="E1592" i="10"/>
  <c r="D1592" i="10"/>
  <c r="R1592" i="10"/>
  <c r="Q1591" i="10"/>
  <c r="M1591" i="10"/>
  <c r="E1591" i="10"/>
  <c r="D1591" i="10"/>
  <c r="I1591" i="10"/>
  <c r="R1590" i="10"/>
  <c r="Q1590" i="10"/>
  <c r="M1590" i="10"/>
  <c r="E1590" i="10"/>
  <c r="D1590" i="10"/>
  <c r="E1589" i="10"/>
  <c r="D1589" i="10"/>
  <c r="E1588" i="10"/>
  <c r="D1588" i="10"/>
  <c r="B1588" i="10"/>
  <c r="Q1582" i="10"/>
  <c r="M1582" i="10"/>
  <c r="E1582" i="10"/>
  <c r="D1582" i="10"/>
  <c r="R1582" i="10"/>
  <c r="S1582" i="10"/>
  <c r="Q1581" i="10"/>
  <c r="M1581" i="10"/>
  <c r="E1581" i="10"/>
  <c r="D1581" i="10"/>
  <c r="Q1580" i="10"/>
  <c r="M1580" i="10"/>
  <c r="D1580" i="10"/>
  <c r="Q1579" i="10"/>
  <c r="M1579" i="10"/>
  <c r="E1579" i="10"/>
  <c r="D1579" i="10"/>
  <c r="Q1578" i="10"/>
  <c r="M1578" i="10"/>
  <c r="E1578" i="10"/>
  <c r="D1578" i="10"/>
  <c r="Q1577" i="10"/>
  <c r="M1577" i="10"/>
  <c r="E1577" i="10"/>
  <c r="D1577" i="10"/>
  <c r="Q1576" i="10"/>
  <c r="M1576" i="10"/>
  <c r="E1576" i="10"/>
  <c r="D1576" i="10"/>
  <c r="Q1575" i="10"/>
  <c r="M1575" i="10"/>
  <c r="D1575" i="10"/>
  <c r="R1575" i="10"/>
  <c r="Q1574" i="10"/>
  <c r="M1574" i="10"/>
  <c r="E1574" i="10"/>
  <c r="D1574" i="10"/>
  <c r="E1573" i="10"/>
  <c r="D1573" i="10"/>
  <c r="E1572" i="10"/>
  <c r="D1572" i="10"/>
  <c r="B1572" i="10"/>
  <c r="D1568" i="10"/>
  <c r="Q1566" i="10"/>
  <c r="M1566" i="10"/>
  <c r="E1566" i="10"/>
  <c r="D1566" i="10"/>
  <c r="R1566" i="10"/>
  <c r="S1566" i="10"/>
  <c r="Q1565" i="10"/>
  <c r="M1565" i="10"/>
  <c r="E1565" i="10"/>
  <c r="D1565" i="10"/>
  <c r="R1564" i="10"/>
  <c r="S1564" i="10"/>
  <c r="Q1564" i="10"/>
  <c r="M1564" i="10"/>
  <c r="I1564" i="10"/>
  <c r="E1564" i="10"/>
  <c r="D1564" i="10"/>
  <c r="Q1563" i="10"/>
  <c r="M1563" i="10"/>
  <c r="E1563" i="10"/>
  <c r="D1563" i="10"/>
  <c r="Q1562" i="10"/>
  <c r="M1562" i="10"/>
  <c r="E1562" i="10"/>
  <c r="D1562" i="10"/>
  <c r="R1561" i="10"/>
  <c r="S1561" i="10"/>
  <c r="Q1561" i="10"/>
  <c r="D1561" i="10"/>
  <c r="Q1560" i="10"/>
  <c r="M1560" i="10"/>
  <c r="E1560" i="10"/>
  <c r="D1560" i="10"/>
  <c r="R1559" i="10"/>
  <c r="S1559" i="10"/>
  <c r="Q1559" i="10"/>
  <c r="M1559" i="10"/>
  <c r="E1559" i="10"/>
  <c r="D1559" i="10"/>
  <c r="D1569" i="10"/>
  <c r="E1558" i="10"/>
  <c r="D1558" i="10"/>
  <c r="E1557" i="10"/>
  <c r="D1557" i="10"/>
  <c r="B1557" i="10"/>
  <c r="I1553" i="10"/>
  <c r="M1551" i="10"/>
  <c r="E1551" i="10"/>
  <c r="D1551" i="10"/>
  <c r="M1550" i="10"/>
  <c r="E1550" i="10"/>
  <c r="D1550" i="10"/>
  <c r="M1549" i="10"/>
  <c r="E1549" i="10"/>
  <c r="D1549" i="10"/>
  <c r="M1548" i="10"/>
  <c r="E1548" i="10"/>
  <c r="D1548" i="10"/>
  <c r="M1547" i="10"/>
  <c r="D1547" i="10"/>
  <c r="M1546" i="10"/>
  <c r="E1546" i="10"/>
  <c r="D1546" i="10"/>
  <c r="M1545" i="10"/>
  <c r="E1545" i="10"/>
  <c r="D1545" i="10"/>
  <c r="I1559" i="10"/>
  <c r="E1544" i="10"/>
  <c r="D1544" i="10"/>
  <c r="E1543" i="10"/>
  <c r="D1543" i="10"/>
  <c r="B1543" i="10"/>
  <c r="M1537" i="10"/>
  <c r="E1537" i="10"/>
  <c r="D1537" i="10"/>
  <c r="M1536" i="10"/>
  <c r="E1536" i="10"/>
  <c r="D1536" i="10"/>
  <c r="M1535" i="10"/>
  <c r="E1535" i="10"/>
  <c r="D1535" i="10"/>
  <c r="Q1535" i="10"/>
  <c r="M1534" i="10"/>
  <c r="E1534" i="10"/>
  <c r="D1534" i="10"/>
  <c r="M1533" i="10"/>
  <c r="E1533" i="10"/>
  <c r="D1533" i="10"/>
  <c r="Q1533" i="10"/>
  <c r="Q1532" i="10"/>
  <c r="M1532" i="10"/>
  <c r="E1532" i="10"/>
  <c r="D1532" i="10"/>
  <c r="Q1531" i="10"/>
  <c r="M1531" i="10"/>
  <c r="E1531" i="10"/>
  <c r="D1531" i="10"/>
  <c r="M1530" i="10"/>
  <c r="E1530" i="10"/>
  <c r="D1530" i="10"/>
  <c r="M1529" i="10"/>
  <c r="E1529" i="10"/>
  <c r="D1529" i="10"/>
  <c r="E1528" i="10"/>
  <c r="D1528" i="10"/>
  <c r="E1527" i="10"/>
  <c r="D1527" i="10"/>
  <c r="B1527" i="10"/>
  <c r="M1521" i="10"/>
  <c r="E1521" i="10"/>
  <c r="D1521" i="10"/>
  <c r="M1520" i="10"/>
  <c r="E1520" i="10"/>
  <c r="M1519" i="10"/>
  <c r="E1519" i="10"/>
  <c r="D1519" i="10"/>
  <c r="I1519" i="10"/>
  <c r="M1518" i="10"/>
  <c r="E1518" i="10"/>
  <c r="D1518" i="10"/>
  <c r="M1517" i="10"/>
  <c r="E1517" i="10"/>
  <c r="D1517" i="10"/>
  <c r="M1516" i="10"/>
  <c r="I1516" i="10"/>
  <c r="E1516" i="10"/>
  <c r="D1516" i="10"/>
  <c r="M1515" i="10"/>
  <c r="E1515" i="10"/>
  <c r="D1515" i="10"/>
  <c r="M1514" i="10"/>
  <c r="I1514" i="10"/>
  <c r="E1514" i="10"/>
  <c r="D1514" i="10"/>
  <c r="M1513" i="10"/>
  <c r="E1513" i="10"/>
  <c r="D1513" i="10"/>
  <c r="I1513" i="10"/>
  <c r="M1512" i="10"/>
  <c r="E1512" i="10"/>
  <c r="D1512" i="10"/>
  <c r="I1512" i="10"/>
  <c r="E1511" i="10"/>
  <c r="D1511" i="10"/>
  <c r="E1510" i="10"/>
  <c r="D1510" i="10"/>
  <c r="B1510" i="10"/>
  <c r="M1504" i="10"/>
  <c r="D1504" i="10"/>
  <c r="M1503" i="10"/>
  <c r="D1503" i="10"/>
  <c r="I1520" i="10"/>
  <c r="M1502" i="10"/>
  <c r="D1502" i="10"/>
  <c r="M1501" i="10"/>
  <c r="E1501" i="10"/>
  <c r="D1501" i="10"/>
  <c r="M1500" i="10"/>
  <c r="E1500" i="10"/>
  <c r="D1500" i="10"/>
  <c r="M1499" i="10"/>
  <c r="E1499" i="10"/>
  <c r="D1499" i="10"/>
  <c r="I1499" i="10"/>
  <c r="M1498" i="10"/>
  <c r="E1498" i="10"/>
  <c r="D1498" i="10"/>
  <c r="M1497" i="10"/>
  <c r="I1497" i="10"/>
  <c r="E1497" i="10"/>
  <c r="D1497" i="10"/>
  <c r="M1496" i="10"/>
  <c r="E1496" i="10"/>
  <c r="M1495" i="10"/>
  <c r="E1495" i="10"/>
  <c r="D1495" i="10"/>
  <c r="M1494" i="10"/>
  <c r="E1494" i="10"/>
  <c r="D1494" i="10"/>
  <c r="I1494" i="10"/>
  <c r="E1493" i="10"/>
  <c r="D1493" i="10"/>
  <c r="E1492" i="10"/>
  <c r="D1492" i="10"/>
  <c r="B1492" i="10"/>
  <c r="D1486" i="10"/>
  <c r="M1485" i="10"/>
  <c r="E1485" i="10"/>
  <c r="D1485" i="10"/>
  <c r="M1484" i="10"/>
  <c r="E1484" i="10"/>
  <c r="D1484" i="10"/>
  <c r="M1483" i="10"/>
  <c r="E1483" i="10"/>
  <c r="D1483" i="10"/>
  <c r="M1482" i="10"/>
  <c r="I1482" i="10"/>
  <c r="E1482" i="10"/>
  <c r="D1482" i="10"/>
  <c r="M1481" i="10"/>
  <c r="E1481" i="10"/>
  <c r="M1480" i="10"/>
  <c r="E1480" i="10"/>
  <c r="D1480" i="10"/>
  <c r="I1480" i="10"/>
  <c r="M1479" i="10"/>
  <c r="E1479" i="10"/>
  <c r="D1479" i="10"/>
  <c r="I1479" i="10"/>
  <c r="M1478" i="10"/>
  <c r="E1478" i="10"/>
  <c r="D1478" i="10"/>
  <c r="M1477" i="10"/>
  <c r="E1477" i="10"/>
  <c r="D1477" i="10"/>
  <c r="E1476" i="10"/>
  <c r="D1476" i="10"/>
  <c r="E1475" i="10"/>
  <c r="D1475" i="10"/>
  <c r="B1475" i="10"/>
  <c r="I1471" i="10"/>
  <c r="D1471" i="10"/>
  <c r="M1469" i="10"/>
  <c r="D1469" i="10"/>
  <c r="M1468" i="10"/>
  <c r="D1468" i="10"/>
  <c r="M1467" i="10"/>
  <c r="E1467" i="10"/>
  <c r="D1467" i="10"/>
  <c r="M1466" i="10"/>
  <c r="E1466" i="10"/>
  <c r="D1466" i="10"/>
  <c r="M1465" i="10"/>
  <c r="E1465" i="10"/>
  <c r="D1465" i="10"/>
  <c r="M1464" i="10"/>
  <c r="E1464" i="10"/>
  <c r="D1464" i="10"/>
  <c r="I1481" i="10"/>
  <c r="M1463" i="10"/>
  <c r="D1463" i="10"/>
  <c r="M1462" i="10"/>
  <c r="E1462" i="10"/>
  <c r="D1462" i="10"/>
  <c r="M1461" i="10"/>
  <c r="D1461" i="10"/>
  <c r="D1472" i="10"/>
  <c r="M1460" i="10"/>
  <c r="E1460" i="10"/>
  <c r="M1459" i="10"/>
  <c r="E1459" i="10"/>
  <c r="E1458" i="10"/>
  <c r="D1458" i="10"/>
  <c r="E1457" i="10"/>
  <c r="D1457" i="10"/>
  <c r="B1457" i="10"/>
  <c r="M1451" i="10"/>
  <c r="D1451" i="10"/>
  <c r="M1450" i="10"/>
  <c r="E1450" i="10"/>
  <c r="D1450" i="10"/>
  <c r="M1449" i="10"/>
  <c r="D1449" i="10"/>
  <c r="M1448" i="10"/>
  <c r="E1448" i="10"/>
  <c r="D1448" i="10"/>
  <c r="M1447" i="10"/>
  <c r="E1447" i="10"/>
  <c r="D1447" i="10"/>
  <c r="M1446" i="10"/>
  <c r="E1446" i="10"/>
  <c r="D1446" i="10"/>
  <c r="M1445" i="10"/>
  <c r="E1445" i="10"/>
  <c r="D1445" i="10"/>
  <c r="M1444" i="10"/>
  <c r="D1444" i="10"/>
  <c r="M1443" i="10"/>
  <c r="I1443" i="10"/>
  <c r="E1443" i="10"/>
  <c r="D1443" i="10"/>
  <c r="E1442" i="10"/>
  <c r="D1442" i="10"/>
  <c r="E1441" i="10"/>
  <c r="D1441" i="10"/>
  <c r="B1441" i="10"/>
  <c r="M1435" i="10"/>
  <c r="E1435" i="10"/>
  <c r="D1435" i="10"/>
  <c r="M1434" i="10"/>
  <c r="E1434" i="10"/>
  <c r="D1434" i="10"/>
  <c r="M1433" i="10"/>
  <c r="D1433" i="10"/>
  <c r="Q1429" i="10"/>
  <c r="M1432" i="10"/>
  <c r="E1432" i="10"/>
  <c r="D1432" i="10"/>
  <c r="M1431" i="10"/>
  <c r="E1431" i="10"/>
  <c r="D1431" i="10"/>
  <c r="M1430" i="10"/>
  <c r="D1430" i="10"/>
  <c r="Q1428" i="10"/>
  <c r="M1429" i="10"/>
  <c r="I1429" i="10"/>
  <c r="E1429" i="10"/>
  <c r="D1429" i="10"/>
  <c r="M1428" i="10"/>
  <c r="I1428" i="10"/>
  <c r="E1428" i="10"/>
  <c r="D1428" i="10"/>
  <c r="M1427" i="10"/>
  <c r="D1427" i="10"/>
  <c r="M1426" i="10"/>
  <c r="E1426" i="10"/>
  <c r="D1426" i="10"/>
  <c r="I1426" i="10"/>
  <c r="E1425" i="10"/>
  <c r="D1425" i="10"/>
  <c r="E1424" i="10"/>
  <c r="D1424" i="10"/>
  <c r="B1424" i="10"/>
  <c r="M1418" i="10"/>
  <c r="E1418" i="10"/>
  <c r="D1418" i="10"/>
  <c r="I1418" i="10"/>
  <c r="M1417" i="10"/>
  <c r="E1417" i="10"/>
  <c r="D1417" i="10"/>
  <c r="I1417" i="10"/>
  <c r="M1416" i="10"/>
  <c r="E1416" i="10"/>
  <c r="D1416" i="10"/>
  <c r="I1416" i="10"/>
  <c r="M1415" i="10"/>
  <c r="E1415" i="10"/>
  <c r="D1415" i="10"/>
  <c r="M1414" i="10"/>
  <c r="E1414" i="10"/>
  <c r="D1414" i="10"/>
  <c r="M1413" i="10"/>
  <c r="I1413" i="10"/>
  <c r="E1413" i="10"/>
  <c r="D1413" i="10"/>
  <c r="M1412" i="10"/>
  <c r="E1412" i="10"/>
  <c r="D1412" i="10"/>
  <c r="E1411" i="10"/>
  <c r="D1411" i="10"/>
  <c r="E1410" i="10"/>
  <c r="D1410" i="10"/>
  <c r="B1410" i="10"/>
  <c r="D1406" i="10"/>
  <c r="M1404" i="10"/>
  <c r="E1404" i="10"/>
  <c r="D1404" i="10"/>
  <c r="M1403" i="10"/>
  <c r="I1403" i="10"/>
  <c r="E1403" i="10"/>
  <c r="D1403" i="10"/>
  <c r="D1402" i="10"/>
  <c r="M1401" i="10"/>
  <c r="E1401" i="10"/>
  <c r="D1401" i="10"/>
  <c r="M1400" i="10"/>
  <c r="M1399" i="10"/>
  <c r="I1399" i="10"/>
  <c r="E1399" i="10"/>
  <c r="D1399" i="10"/>
  <c r="M1398" i="10"/>
  <c r="M1397" i="10"/>
  <c r="I1397" i="10"/>
  <c r="E1397" i="10"/>
  <c r="D1397" i="10"/>
  <c r="M1396" i="10"/>
  <c r="M1395" i="10"/>
  <c r="M1394" i="10"/>
  <c r="E1394" i="10"/>
  <c r="D1394" i="10"/>
  <c r="D1407" i="10"/>
  <c r="E1393" i="10"/>
  <c r="D1393" i="10"/>
  <c r="E1392" i="10"/>
  <c r="D1392" i="10"/>
  <c r="B1392" i="10"/>
  <c r="M1386" i="10"/>
  <c r="E1386" i="10"/>
  <c r="D1386" i="10"/>
  <c r="M1385" i="10"/>
  <c r="E1385" i="10"/>
  <c r="D1385" i="10"/>
  <c r="M1384" i="10"/>
  <c r="D1384" i="10"/>
  <c r="D1383" i="10"/>
  <c r="M1382" i="10"/>
  <c r="I1382" i="10"/>
  <c r="E1382" i="10"/>
  <c r="D1382" i="10"/>
  <c r="D1381" i="10"/>
  <c r="M1379" i="10"/>
  <c r="E1379" i="10"/>
  <c r="D1379" i="10"/>
  <c r="M1378" i="10"/>
  <c r="D1378" i="10"/>
  <c r="M1377" i="10"/>
  <c r="D1377" i="10"/>
  <c r="M1376" i="10"/>
  <c r="E1376" i="10"/>
  <c r="D1376" i="10"/>
  <c r="E1375" i="10"/>
  <c r="D1375" i="10"/>
  <c r="E1374" i="10"/>
  <c r="D1374" i="10"/>
  <c r="B1374" i="10"/>
  <c r="D1370" i="10"/>
  <c r="M1368" i="10"/>
  <c r="I1368" i="10"/>
  <c r="E1368" i="10"/>
  <c r="D1368" i="10"/>
  <c r="M1367" i="10"/>
  <c r="I1367" i="10"/>
  <c r="E1367" i="10"/>
  <c r="D1367" i="10"/>
  <c r="M1366" i="10"/>
  <c r="E1366" i="10"/>
  <c r="D1366" i="10"/>
  <c r="M1365" i="10"/>
  <c r="E1365" i="10"/>
  <c r="D1365" i="10"/>
  <c r="M1364" i="10"/>
  <c r="E1364" i="10"/>
  <c r="D1364" i="10"/>
  <c r="M1363" i="10"/>
  <c r="E1363" i="10"/>
  <c r="D1363" i="10"/>
  <c r="E1362" i="10"/>
  <c r="D1362" i="10"/>
  <c r="E1361" i="10"/>
  <c r="D1361" i="10"/>
  <c r="B1361" i="10"/>
  <c r="D1357" i="10"/>
  <c r="M1355" i="10"/>
  <c r="E1355" i="10"/>
  <c r="D1355" i="10"/>
  <c r="I1355" i="10"/>
  <c r="M1354" i="10"/>
  <c r="E1354" i="10"/>
  <c r="D1354" i="10"/>
  <c r="I1354" i="10"/>
  <c r="M1353" i="10"/>
  <c r="E1353" i="10"/>
  <c r="D1353" i="10"/>
  <c r="I1353" i="10"/>
  <c r="M1352" i="10"/>
  <c r="E1352" i="10"/>
  <c r="D1352" i="10"/>
  <c r="M1351" i="10"/>
  <c r="E1351" i="10"/>
  <c r="D1351" i="10"/>
  <c r="M1350" i="10"/>
  <c r="I1350" i="10"/>
  <c r="E1350" i="10"/>
  <c r="D1350" i="10"/>
  <c r="M1349" i="10"/>
  <c r="I1349" i="10"/>
  <c r="E1349" i="10"/>
  <c r="D1349" i="10"/>
  <c r="E1348" i="10"/>
  <c r="D1348" i="10"/>
  <c r="E1347" i="10"/>
  <c r="D1347" i="10"/>
  <c r="B1347" i="10"/>
  <c r="I1343" i="10"/>
  <c r="D1343" i="10"/>
  <c r="M1341" i="10"/>
  <c r="E1341" i="10"/>
  <c r="D1341" i="10"/>
  <c r="M1340" i="10"/>
  <c r="E1340" i="10"/>
  <c r="D1340" i="10"/>
  <c r="M1339" i="10"/>
  <c r="E1339" i="10"/>
  <c r="D1339" i="10"/>
  <c r="M1338" i="10"/>
  <c r="E1338" i="10"/>
  <c r="D1338" i="10"/>
  <c r="M1337" i="10"/>
  <c r="E1337" i="10"/>
  <c r="D1337" i="10"/>
  <c r="M1336" i="10"/>
  <c r="E1336" i="10"/>
  <c r="D1336" i="10"/>
  <c r="M1335" i="10"/>
  <c r="E1335" i="10"/>
  <c r="D1335" i="10"/>
  <c r="M1334" i="10"/>
  <c r="E1334" i="10"/>
  <c r="D1334" i="10"/>
  <c r="E1333" i="10"/>
  <c r="D1333" i="10"/>
  <c r="E1332" i="10"/>
  <c r="D1332" i="10"/>
  <c r="B1332" i="10"/>
  <c r="I1328" i="10"/>
  <c r="D1328" i="10"/>
  <c r="M1326" i="10"/>
  <c r="E1326" i="10"/>
  <c r="D1326" i="10"/>
  <c r="M1325" i="10"/>
  <c r="E1325" i="10"/>
  <c r="D1325" i="10"/>
  <c r="M1324" i="10"/>
  <c r="E1324" i="10"/>
  <c r="D1324" i="10"/>
  <c r="M1323" i="10"/>
  <c r="E1323" i="10"/>
  <c r="D1323" i="10"/>
  <c r="M1322" i="10"/>
  <c r="E1322" i="10"/>
  <c r="D1322" i="10"/>
  <c r="M1321" i="10"/>
  <c r="D1321" i="10"/>
  <c r="M1320" i="10"/>
  <c r="D1320" i="10"/>
  <c r="M1319" i="10"/>
  <c r="E1319" i="10"/>
  <c r="D1319" i="10"/>
  <c r="E1318" i="10"/>
  <c r="D1318" i="10"/>
  <c r="E1317" i="10"/>
  <c r="D1317" i="10"/>
  <c r="B1317" i="10"/>
  <c r="J1313" i="10"/>
  <c r="D1313" i="10"/>
  <c r="M1311" i="10"/>
  <c r="E1311" i="10"/>
  <c r="D1311" i="10"/>
  <c r="I1311" i="10"/>
  <c r="M1310" i="10"/>
  <c r="E1310" i="10"/>
  <c r="D1310" i="10"/>
  <c r="M1309" i="10"/>
  <c r="E1309" i="10"/>
  <c r="D1309" i="10"/>
  <c r="M1308" i="10"/>
  <c r="E1308" i="10"/>
  <c r="D1308" i="10"/>
  <c r="M1307" i="10"/>
  <c r="E1307" i="10"/>
  <c r="D1307" i="10"/>
  <c r="M1306" i="10"/>
  <c r="E1306" i="10"/>
  <c r="D1306" i="10"/>
  <c r="I1306" i="10"/>
  <c r="M1305" i="10"/>
  <c r="E1305" i="10"/>
  <c r="D1305" i="10"/>
  <c r="M1304" i="10"/>
  <c r="E1304" i="10"/>
  <c r="D1304" i="10"/>
  <c r="E1303" i="10"/>
  <c r="D1303" i="10"/>
  <c r="E1302" i="10"/>
  <c r="D1302" i="10"/>
  <c r="B1302" i="10"/>
  <c r="D1298" i="10"/>
  <c r="M1296" i="10"/>
  <c r="E1296" i="10"/>
  <c r="D1296" i="10"/>
  <c r="I1296" i="10"/>
  <c r="M1295" i="10"/>
  <c r="E1295" i="10"/>
  <c r="D1295" i="10"/>
  <c r="M1294" i="10"/>
  <c r="E1294" i="10"/>
  <c r="D1294" i="10"/>
  <c r="I1294" i="10"/>
  <c r="M1293" i="10"/>
  <c r="E1293" i="10"/>
  <c r="D1293" i="10"/>
  <c r="M1292" i="10"/>
  <c r="E1292" i="10"/>
  <c r="D1292" i="10"/>
  <c r="M1291" i="10"/>
  <c r="I1291" i="10"/>
  <c r="E1291" i="10"/>
  <c r="D1291" i="10"/>
  <c r="M1290" i="10"/>
  <c r="E1290" i="10"/>
  <c r="D1290" i="10"/>
  <c r="I1290" i="10"/>
  <c r="M1289" i="10"/>
  <c r="E1289" i="10"/>
  <c r="D1289" i="10"/>
  <c r="E1288" i="10"/>
  <c r="D1288" i="10"/>
  <c r="E1287" i="10"/>
  <c r="D1287" i="10"/>
  <c r="B1287" i="10"/>
  <c r="D1283" i="10"/>
  <c r="M1281" i="10"/>
  <c r="E1281" i="10"/>
  <c r="D1281" i="10"/>
  <c r="I1281" i="10"/>
  <c r="M1280" i="10"/>
  <c r="E1280" i="10"/>
  <c r="D1280" i="10"/>
  <c r="M1279" i="10"/>
  <c r="E1279" i="10"/>
  <c r="D1279" i="10"/>
  <c r="M1278" i="10"/>
  <c r="E1278" i="10"/>
  <c r="D1278" i="10"/>
  <c r="I1278" i="10"/>
  <c r="M1277" i="10"/>
  <c r="E1277" i="10"/>
  <c r="D1277" i="10"/>
  <c r="I1277" i="10"/>
  <c r="M1276" i="10"/>
  <c r="E1276" i="10"/>
  <c r="D1276" i="10"/>
  <c r="M1275" i="10"/>
  <c r="E1275" i="10"/>
  <c r="D1275" i="10"/>
  <c r="M1274" i="10"/>
  <c r="E1274" i="10"/>
  <c r="D1274" i="10"/>
  <c r="E1273" i="10"/>
  <c r="D1273" i="10"/>
  <c r="E1272" i="10"/>
  <c r="D1272" i="10"/>
  <c r="B1272" i="10"/>
  <c r="D1268" i="10"/>
  <c r="M1266" i="10"/>
  <c r="E1266" i="10"/>
  <c r="D1266" i="10"/>
  <c r="M1265" i="10"/>
  <c r="E1265" i="10"/>
  <c r="D1265" i="10"/>
  <c r="M1264" i="10"/>
  <c r="E1264" i="10"/>
  <c r="D1264" i="10"/>
  <c r="I1264" i="10"/>
  <c r="M1263" i="10"/>
  <c r="E1263" i="10"/>
  <c r="D1263" i="10"/>
  <c r="I1263" i="10"/>
  <c r="M1262" i="10"/>
  <c r="E1262" i="10"/>
  <c r="D1262" i="10"/>
  <c r="I1262" i="10"/>
  <c r="M1261" i="10"/>
  <c r="E1261" i="10"/>
  <c r="D1261" i="10"/>
  <c r="M1260" i="10"/>
  <c r="E1260" i="10"/>
  <c r="D1260" i="10"/>
  <c r="M1259" i="10"/>
  <c r="E1259" i="10"/>
  <c r="D1259" i="10"/>
  <c r="E1258" i="10"/>
  <c r="D1258" i="10"/>
  <c r="E1257" i="10"/>
  <c r="D1257" i="10"/>
  <c r="B1257" i="10"/>
  <c r="D1253" i="10"/>
  <c r="M1251" i="10"/>
  <c r="E1251" i="10"/>
  <c r="D1251" i="10"/>
  <c r="M1250" i="10"/>
  <c r="E1250" i="10"/>
  <c r="D1250" i="10"/>
  <c r="M1249" i="10"/>
  <c r="E1249" i="10"/>
  <c r="D1249" i="10"/>
  <c r="I1249" i="10"/>
  <c r="M1248" i="10"/>
  <c r="E1248" i="10"/>
  <c r="D1248" i="10"/>
  <c r="M1247" i="10"/>
  <c r="E1247" i="10"/>
  <c r="D1247" i="10"/>
  <c r="M1246" i="10"/>
  <c r="E1246" i="10"/>
  <c r="D1246" i="10"/>
  <c r="M1245" i="10"/>
  <c r="E1245" i="10"/>
  <c r="D1245" i="10"/>
  <c r="M1244" i="10"/>
  <c r="E1244" i="10"/>
  <c r="D1244" i="10"/>
  <c r="I1244" i="10"/>
  <c r="M1243" i="10"/>
  <c r="E1243" i="10"/>
  <c r="D1243" i="10"/>
  <c r="E1242" i="10"/>
  <c r="D1242" i="10"/>
  <c r="E1241" i="10"/>
  <c r="D1241" i="10"/>
  <c r="B1241" i="10"/>
  <c r="M1235" i="10"/>
  <c r="E1235" i="10"/>
  <c r="D1235" i="10"/>
  <c r="M1234" i="10"/>
  <c r="E1234" i="10"/>
  <c r="D1234" i="10"/>
  <c r="M1233" i="10"/>
  <c r="I1233" i="10"/>
  <c r="E1233" i="10"/>
  <c r="D1233" i="10"/>
  <c r="M1232" i="10"/>
  <c r="E1232" i="10"/>
  <c r="D1232" i="10"/>
  <c r="I1248" i="10"/>
  <c r="M1231" i="10"/>
  <c r="E1231" i="10"/>
  <c r="D1231" i="10"/>
  <c r="M1230" i="10"/>
  <c r="E1230" i="10"/>
  <c r="D1230" i="10"/>
  <c r="M1229" i="10"/>
  <c r="E1229" i="10"/>
  <c r="D1229" i="10"/>
  <c r="M1228" i="10"/>
  <c r="E1228" i="10"/>
  <c r="D1228" i="10"/>
  <c r="M1227" i="10"/>
  <c r="E1227" i="10"/>
  <c r="D1227" i="10"/>
  <c r="E1226" i="10"/>
  <c r="D1226" i="10"/>
  <c r="M1225" i="10"/>
  <c r="E1225" i="10"/>
  <c r="D1225" i="10"/>
  <c r="B1225" i="10"/>
  <c r="O1219" i="10"/>
  <c r="M1219" i="10"/>
  <c r="E1219" i="10"/>
  <c r="D1219" i="10"/>
  <c r="O1218" i="10"/>
  <c r="M1218" i="10"/>
  <c r="E1218" i="10"/>
  <c r="D1218" i="10"/>
  <c r="O1217" i="10"/>
  <c r="P1715" i="10" s="1"/>
  <c r="M1217" i="10"/>
  <c r="D1217" i="10"/>
  <c r="O1216" i="10"/>
  <c r="M1216" i="10"/>
  <c r="E1216" i="10"/>
  <c r="D1216" i="10"/>
  <c r="O1215" i="10"/>
  <c r="M1215" i="10"/>
  <c r="D1215" i="10"/>
  <c r="O1214" i="10"/>
  <c r="O1213" i="10"/>
  <c r="P1711" i="10" s="1"/>
  <c r="M1214" i="10"/>
  <c r="D1214" i="10"/>
  <c r="M1213" i="10"/>
  <c r="E1213" i="10"/>
  <c r="D1213" i="10"/>
  <c r="M1212" i="10"/>
  <c r="E1212" i="10"/>
  <c r="D1212" i="10"/>
  <c r="M1211" i="10"/>
  <c r="E1211" i="10"/>
  <c r="D1211" i="10"/>
  <c r="E1210" i="10"/>
  <c r="D1210" i="10"/>
  <c r="M1209" i="10"/>
  <c r="E1209" i="10"/>
  <c r="D1209" i="10"/>
  <c r="B1209" i="10"/>
  <c r="D1205" i="10"/>
  <c r="E1205" i="10"/>
  <c r="I1204" i="10"/>
  <c r="E1203" i="10"/>
  <c r="D1203" i="10"/>
  <c r="E1202" i="10"/>
  <c r="D1202" i="10"/>
  <c r="I1202" i="10"/>
  <c r="E1201" i="10"/>
  <c r="D1201" i="10"/>
  <c r="I1200" i="10"/>
  <c r="E1200" i="10"/>
  <c r="D1200" i="10"/>
  <c r="E1199" i="10"/>
  <c r="D1199" i="10"/>
  <c r="E1198" i="10"/>
  <c r="D1198" i="10"/>
  <c r="E1197" i="10"/>
  <c r="D1197" i="10"/>
  <c r="E1196" i="10"/>
  <c r="D1196" i="10"/>
  <c r="I1196" i="10"/>
  <c r="E1195" i="10"/>
  <c r="D1195" i="10"/>
  <c r="E1194" i="10"/>
  <c r="D1194" i="10"/>
  <c r="I1211" i="10"/>
  <c r="M1193" i="10"/>
  <c r="E1193" i="10"/>
  <c r="D1193" i="10"/>
  <c r="B1193" i="10"/>
  <c r="E1189" i="10"/>
  <c r="D1187" i="10"/>
  <c r="D1186" i="10"/>
  <c r="D1185" i="10"/>
  <c r="D1184" i="10"/>
  <c r="D1183" i="10"/>
  <c r="D1182" i="10"/>
  <c r="I1198" i="10"/>
  <c r="D1181" i="10"/>
  <c r="D1180" i="10"/>
  <c r="D1179" i="10"/>
  <c r="M1177" i="10"/>
  <c r="B1177" i="10"/>
  <c r="O1175" i="10"/>
  <c r="P1673" i="10" s="1"/>
  <c r="E1173" i="10"/>
  <c r="C1171" i="10"/>
  <c r="E1187" i="10"/>
  <c r="C1170" i="10"/>
  <c r="E1186" i="10"/>
  <c r="C1169" i="10"/>
  <c r="E1169" i="10"/>
  <c r="C1168" i="10"/>
  <c r="E1167" i="10"/>
  <c r="D1167" i="10"/>
  <c r="I1167" i="10"/>
  <c r="C1167" i="10"/>
  <c r="E1183" i="10"/>
  <c r="C1166" i="10"/>
  <c r="C1165" i="10"/>
  <c r="E1165" i="10"/>
  <c r="E1164" i="10"/>
  <c r="D1164" i="10"/>
  <c r="I1164" i="10"/>
  <c r="C1164" i="10"/>
  <c r="E1180" i="10"/>
  <c r="C1163" i="10"/>
  <c r="E1162" i="10"/>
  <c r="D1162" i="10"/>
  <c r="C1162" i="10"/>
  <c r="M1161" i="10"/>
  <c r="C1161" i="10"/>
  <c r="B1161" i="10"/>
  <c r="O1158" i="10"/>
  <c r="P1656" i="10" s="1"/>
  <c r="E1157" i="10"/>
  <c r="E1155" i="10"/>
  <c r="D1155" i="10"/>
  <c r="E1154" i="10"/>
  <c r="D1154" i="10"/>
  <c r="I1153" i="10"/>
  <c r="E1153" i="10"/>
  <c r="D1153" i="10"/>
  <c r="E1152" i="10"/>
  <c r="D1152" i="10"/>
  <c r="E1151" i="10"/>
  <c r="D1151" i="10"/>
  <c r="E1150" i="10"/>
  <c r="D1150" i="10"/>
  <c r="I1150" i="10"/>
  <c r="E1149" i="10"/>
  <c r="D1149" i="10"/>
  <c r="I1149" i="10"/>
  <c r="E1148" i="10"/>
  <c r="D1148" i="10"/>
  <c r="E1147" i="10"/>
  <c r="D1147" i="10"/>
  <c r="E1146" i="10"/>
  <c r="D1146" i="10"/>
  <c r="E1145" i="10"/>
  <c r="D1145" i="10"/>
  <c r="B1145" i="10"/>
  <c r="E1139" i="10"/>
  <c r="D1139" i="10"/>
  <c r="F1139" i="10"/>
  <c r="E1138" i="10"/>
  <c r="D1138" i="10"/>
  <c r="E1137" i="10"/>
  <c r="D1137" i="10"/>
  <c r="E1136" i="10"/>
  <c r="D1136" i="10"/>
  <c r="E1135" i="10"/>
  <c r="D1135" i="10"/>
  <c r="I1151" i="10"/>
  <c r="E1134" i="10"/>
  <c r="D1134" i="10"/>
  <c r="E1133" i="10"/>
  <c r="D1133" i="10"/>
  <c r="E1132" i="10"/>
  <c r="D1132" i="10"/>
  <c r="E1131" i="10"/>
  <c r="D1131" i="10"/>
  <c r="O1130" i="10"/>
  <c r="E1130" i="10"/>
  <c r="D1130" i="10"/>
  <c r="O1129" i="10"/>
  <c r="E1129" i="10"/>
  <c r="D1129" i="10"/>
  <c r="B1129" i="10"/>
  <c r="O1128" i="10"/>
  <c r="O1127" i="10"/>
  <c r="P1625" i="10" s="1"/>
  <c r="O1126" i="10"/>
  <c r="O1123" i="10"/>
  <c r="O1124" i="10"/>
  <c r="O1125" i="10"/>
  <c r="P1623" i="10" s="1"/>
  <c r="D1125" i="10"/>
  <c r="E1123" i="10"/>
  <c r="D1123" i="10"/>
  <c r="E1122" i="10"/>
  <c r="D1122" i="10"/>
  <c r="E1121" i="10"/>
  <c r="D1121" i="10"/>
  <c r="E1120" i="10"/>
  <c r="D1120" i="10"/>
  <c r="E1119" i="10"/>
  <c r="D1119" i="10"/>
  <c r="E1118" i="10"/>
  <c r="D1118" i="10"/>
  <c r="E1117" i="10"/>
  <c r="D1117" i="10"/>
  <c r="E1116" i="10"/>
  <c r="D1116" i="10"/>
  <c r="E1115" i="10"/>
  <c r="D1115" i="10"/>
  <c r="O1114" i="10"/>
  <c r="P1612" i="10" s="1"/>
  <c r="E1114" i="10"/>
  <c r="D1114" i="10"/>
  <c r="E1113" i="10"/>
  <c r="D1113" i="10"/>
  <c r="B1113" i="10"/>
  <c r="E1109" i="10"/>
  <c r="E1107" i="10"/>
  <c r="D1107" i="10"/>
  <c r="E1106" i="10"/>
  <c r="D1106" i="10"/>
  <c r="E1105" i="10"/>
  <c r="D1105" i="10"/>
  <c r="E1104" i="10"/>
  <c r="D1104" i="10"/>
  <c r="I1104" i="10"/>
  <c r="E1103" i="10"/>
  <c r="D1103" i="10"/>
  <c r="I1103" i="10"/>
  <c r="E1102" i="10"/>
  <c r="D1102" i="10"/>
  <c r="E1101" i="10"/>
  <c r="D1101" i="10"/>
  <c r="O1100" i="10"/>
  <c r="E1100" i="10"/>
  <c r="D1100" i="10"/>
  <c r="N1099" i="10"/>
  <c r="O1099" i="10"/>
  <c r="E1099" i="10"/>
  <c r="D1099" i="10"/>
  <c r="I1099" i="10"/>
  <c r="N1098" i="10"/>
  <c r="O1098" i="10"/>
  <c r="E1098" i="10"/>
  <c r="D1098" i="10"/>
  <c r="O1097" i="10"/>
  <c r="N1097" i="10"/>
  <c r="E1097" i="10"/>
  <c r="D1097" i="10"/>
  <c r="B1097" i="10"/>
  <c r="N1094" i="10"/>
  <c r="O1094" i="10"/>
  <c r="I1093" i="10"/>
  <c r="O1092" i="10"/>
  <c r="P1590" i="10" s="1"/>
  <c r="E1091" i="10"/>
  <c r="D1091" i="10"/>
  <c r="E1090" i="10"/>
  <c r="D1090" i="10"/>
  <c r="E1089" i="10"/>
  <c r="D1089" i="10"/>
  <c r="D1088" i="10"/>
  <c r="D1087" i="10"/>
  <c r="D1086" i="10"/>
  <c r="I1102" i="10"/>
  <c r="E1085" i="10"/>
  <c r="D1085" i="10"/>
  <c r="O1084" i="10"/>
  <c r="E1084" i="10"/>
  <c r="D1084" i="10"/>
  <c r="N1083" i="10"/>
  <c r="O1083" i="10"/>
  <c r="E1083" i="10"/>
  <c r="D1083" i="10"/>
  <c r="D1094" i="10"/>
  <c r="F1105" i="10"/>
  <c r="N1082" i="10"/>
  <c r="O1082" i="10"/>
  <c r="E1082" i="10"/>
  <c r="D1082" i="10"/>
  <c r="N1081" i="10"/>
  <c r="O1081" i="10"/>
  <c r="O1076" i="10"/>
  <c r="P1574" i="10" s="1"/>
  <c r="O1078" i="10"/>
  <c r="E1081" i="10"/>
  <c r="D1081" i="10"/>
  <c r="B1081" i="10"/>
  <c r="N1078" i="10"/>
  <c r="J1078" i="10"/>
  <c r="K1077" i="10"/>
  <c r="D1077" i="10"/>
  <c r="E1093" i="10"/>
  <c r="I1075" i="10"/>
  <c r="E1075" i="10"/>
  <c r="D1075" i="10"/>
  <c r="M1074" i="10"/>
  <c r="K1074" i="10"/>
  <c r="I1074" i="10"/>
  <c r="E1074" i="10"/>
  <c r="D1074" i="10"/>
  <c r="M1073" i="10"/>
  <c r="K1073" i="10"/>
  <c r="I1073" i="10"/>
  <c r="E1073" i="10"/>
  <c r="D1073" i="10"/>
  <c r="M1072" i="10"/>
  <c r="K1072" i="10"/>
  <c r="I1072" i="10"/>
  <c r="E1072" i="10"/>
  <c r="D1072" i="10"/>
  <c r="M1071" i="10"/>
  <c r="K1071" i="10"/>
  <c r="I1071" i="10"/>
  <c r="E1071" i="10"/>
  <c r="D1071" i="10"/>
  <c r="M1070" i="10"/>
  <c r="K1070" i="10"/>
  <c r="I1070" i="10"/>
  <c r="I1077" i="10"/>
  <c r="E1070" i="10"/>
  <c r="D1070" i="10"/>
  <c r="E1069" i="10"/>
  <c r="D1069" i="10"/>
  <c r="O1068" i="10"/>
  <c r="D1068" i="10"/>
  <c r="B1068" i="10"/>
  <c r="N1067" i="10"/>
  <c r="O1067" i="10"/>
  <c r="N1066" i="10"/>
  <c r="O1066" i="10"/>
  <c r="O1065" i="10"/>
  <c r="N1065" i="10"/>
  <c r="O1062" i="10"/>
  <c r="O1061" i="10"/>
  <c r="I1062" i="10"/>
  <c r="E1062" i="10"/>
  <c r="D1062" i="10"/>
  <c r="N1061" i="10"/>
  <c r="M1061" i="10"/>
  <c r="K1061" i="10"/>
  <c r="I1061" i="10"/>
  <c r="E1061" i="10"/>
  <c r="D1061" i="10"/>
  <c r="M1060" i="10"/>
  <c r="K1060" i="10"/>
  <c r="I1060" i="10"/>
  <c r="E1060" i="10"/>
  <c r="D1060" i="10"/>
  <c r="M1059" i="10"/>
  <c r="K1059" i="10"/>
  <c r="I1059" i="10"/>
  <c r="E1059" i="10"/>
  <c r="D1059" i="10"/>
  <c r="M1058" i="10"/>
  <c r="K1058" i="10"/>
  <c r="I1058" i="10"/>
  <c r="E1058" i="10"/>
  <c r="D1058" i="10"/>
  <c r="M1057" i="10"/>
  <c r="K1057" i="10"/>
  <c r="I1057" i="10"/>
  <c r="E1057" i="10"/>
  <c r="D1057" i="10"/>
  <c r="E1056" i="10"/>
  <c r="D1056" i="10"/>
  <c r="D1055" i="10"/>
  <c r="B1055" i="10"/>
  <c r="O1053" i="10"/>
  <c r="N1052" i="10"/>
  <c r="O1052" i="10"/>
  <c r="O1051" i="10"/>
  <c r="N1051" i="10"/>
  <c r="G1051" i="10"/>
  <c r="G1052" i="10"/>
  <c r="N1050" i="10"/>
  <c r="O1050" i="10"/>
  <c r="O1049" i="10"/>
  <c r="O1048" i="10"/>
  <c r="N1049" i="10"/>
  <c r="I1049" i="10"/>
  <c r="E1049" i="10"/>
  <c r="D1049" i="10"/>
  <c r="M1048" i="10"/>
  <c r="K1048" i="10"/>
  <c r="I1048" i="10"/>
  <c r="E1048" i="10"/>
  <c r="D1048" i="10"/>
  <c r="O1047" i="10"/>
  <c r="N1047" i="10"/>
  <c r="M1047" i="10"/>
  <c r="K1047" i="10"/>
  <c r="I1047" i="10"/>
  <c r="E1047" i="10"/>
  <c r="D1047" i="10"/>
  <c r="M1046" i="10"/>
  <c r="K1046" i="10"/>
  <c r="I1046" i="10"/>
  <c r="E1046" i="10"/>
  <c r="D1046" i="10"/>
  <c r="M1045" i="10"/>
  <c r="K1045" i="10"/>
  <c r="I1045" i="10"/>
  <c r="E1045" i="10"/>
  <c r="D1045" i="10"/>
  <c r="M1044" i="10"/>
  <c r="K1044" i="10"/>
  <c r="I1044" i="10"/>
  <c r="E1044" i="10"/>
  <c r="D1044" i="10"/>
  <c r="E1043" i="10"/>
  <c r="D1043" i="10"/>
  <c r="D1042" i="10"/>
  <c r="B1042" i="10"/>
  <c r="O1039" i="10"/>
  <c r="N1038" i="10"/>
  <c r="O1038" i="10"/>
  <c r="N1036" i="10"/>
  <c r="O1036" i="10"/>
  <c r="I1036" i="10"/>
  <c r="E1036" i="10"/>
  <c r="D1036" i="10"/>
  <c r="M1035" i="10"/>
  <c r="K1035" i="10"/>
  <c r="I1035" i="10"/>
  <c r="E1035" i="10"/>
  <c r="D1035" i="10"/>
  <c r="N1034" i="10"/>
  <c r="O1034" i="10"/>
  <c r="M1034" i="10"/>
  <c r="K1034" i="10"/>
  <c r="I1034" i="10"/>
  <c r="E1034" i="10"/>
  <c r="D1034" i="10"/>
  <c r="O1033" i="10"/>
  <c r="O1031" i="10"/>
  <c r="O1032" i="10"/>
  <c r="M1033" i="10"/>
  <c r="K1033" i="10"/>
  <c r="I1033" i="10"/>
  <c r="E1033" i="10"/>
  <c r="D1033" i="10"/>
  <c r="N1032" i="10"/>
  <c r="M1032" i="10"/>
  <c r="K1032" i="10"/>
  <c r="I1032" i="10"/>
  <c r="E1032" i="10"/>
  <c r="D1032" i="10"/>
  <c r="N1031" i="10"/>
  <c r="M1031" i="10"/>
  <c r="K1031" i="10"/>
  <c r="I1031" i="10"/>
  <c r="E1031" i="10"/>
  <c r="D1031" i="10"/>
  <c r="E1030" i="10"/>
  <c r="D1030" i="10"/>
  <c r="D1029" i="10"/>
  <c r="B1029" i="10"/>
  <c r="D1025" i="10"/>
  <c r="O1023" i="10"/>
  <c r="I1023" i="10"/>
  <c r="E1023" i="10"/>
  <c r="D1023" i="10"/>
  <c r="K1022" i="10"/>
  <c r="I1022" i="10"/>
  <c r="E1022" i="10"/>
  <c r="D1022" i="10"/>
  <c r="K1021" i="10"/>
  <c r="I1021" i="10"/>
  <c r="E1021" i="10"/>
  <c r="D1021" i="10"/>
  <c r="O1020" i="10"/>
  <c r="N1020" i="10"/>
  <c r="K1020" i="10"/>
  <c r="I1020" i="10"/>
  <c r="E1020" i="10"/>
  <c r="D1020" i="10"/>
  <c r="N1019" i="10"/>
  <c r="O1019" i="10"/>
  <c r="K1019" i="10"/>
  <c r="I1019" i="10"/>
  <c r="E1019" i="10"/>
  <c r="D1019" i="10"/>
  <c r="K1018" i="10"/>
  <c r="I1018" i="10"/>
  <c r="E1018" i="10"/>
  <c r="D1018" i="10"/>
  <c r="D1026" i="10"/>
  <c r="N1017" i="10"/>
  <c r="O1017" i="10"/>
  <c r="E1017" i="10"/>
  <c r="D1017" i="10"/>
  <c r="O1016" i="10"/>
  <c r="D1016" i="10"/>
  <c r="B1016" i="10"/>
  <c r="N1015" i="10"/>
  <c r="O1015" i="10"/>
  <c r="N1014" i="10"/>
  <c r="O1014" i="10"/>
  <c r="D1012" i="10"/>
  <c r="I1010" i="10"/>
  <c r="E1010" i="10"/>
  <c r="D1010" i="10"/>
  <c r="K1009" i="10"/>
  <c r="I1009" i="10"/>
  <c r="E1009" i="10"/>
  <c r="D1009" i="10"/>
  <c r="K1008" i="10"/>
  <c r="I1008" i="10"/>
  <c r="E1008" i="10"/>
  <c r="D1008" i="10"/>
  <c r="K1007" i="10"/>
  <c r="I1007" i="10"/>
  <c r="E1007" i="10"/>
  <c r="D1007" i="10"/>
  <c r="O1006" i="10"/>
  <c r="K1006" i="10"/>
  <c r="I1006" i="10"/>
  <c r="E1006" i="10"/>
  <c r="D1006" i="10"/>
  <c r="K1005" i="10"/>
  <c r="I1005" i="10"/>
  <c r="E1005" i="10"/>
  <c r="D1005" i="10"/>
  <c r="E1004" i="10"/>
  <c r="D1004" i="10"/>
  <c r="N1003" i="10"/>
  <c r="O1003" i="10"/>
  <c r="D1003" i="10"/>
  <c r="B1003" i="10"/>
  <c r="N1001" i="10"/>
  <c r="O1001" i="10"/>
  <c r="N1000" i="10"/>
  <c r="O1000" i="10"/>
  <c r="H1000" i="10"/>
  <c r="O999" i="10"/>
  <c r="O998" i="10"/>
  <c r="N997" i="10"/>
  <c r="O997" i="10"/>
  <c r="O996" i="10"/>
  <c r="I997" i="10"/>
  <c r="E997" i="10"/>
  <c r="D997" i="10"/>
  <c r="K996" i="10"/>
  <c r="I996" i="10"/>
  <c r="D996" i="10"/>
  <c r="K995" i="10"/>
  <c r="I995" i="10"/>
  <c r="E995" i="10"/>
  <c r="D995" i="10"/>
  <c r="K994" i="10"/>
  <c r="I994" i="10"/>
  <c r="E994" i="10"/>
  <c r="D994" i="10"/>
  <c r="K993" i="10"/>
  <c r="I993" i="10"/>
  <c r="E993" i="10"/>
  <c r="D993" i="10"/>
  <c r="K992" i="10"/>
  <c r="I992" i="10"/>
  <c r="E992" i="10"/>
  <c r="D992" i="10"/>
  <c r="E991" i="10"/>
  <c r="D991" i="10"/>
  <c r="H990" i="10"/>
  <c r="D990" i="10"/>
  <c r="B990" i="10"/>
  <c r="H989" i="10"/>
  <c r="O987" i="10"/>
  <c r="O986" i="10"/>
  <c r="N986" i="10"/>
  <c r="D986" i="10"/>
  <c r="G985" i="10"/>
  <c r="N984" i="10"/>
  <c r="O984" i="10"/>
  <c r="I984" i="10"/>
  <c r="E984" i="10"/>
  <c r="D984" i="10"/>
  <c r="O983" i="10"/>
  <c r="N983" i="10"/>
  <c r="K983" i="10"/>
  <c r="I983" i="10"/>
  <c r="E983" i="10"/>
  <c r="D983" i="10"/>
  <c r="N982" i="10"/>
  <c r="O982" i="10"/>
  <c r="O979" i="10"/>
  <c r="O980" i="10"/>
  <c r="O981" i="10"/>
  <c r="K982" i="10"/>
  <c r="I982" i="10"/>
  <c r="E982" i="10"/>
  <c r="D982" i="10"/>
  <c r="K981" i="10"/>
  <c r="I981" i="10"/>
  <c r="E981" i="10"/>
  <c r="D981" i="10"/>
  <c r="N980" i="10"/>
  <c r="K980" i="10"/>
  <c r="I980" i="10"/>
  <c r="E980" i="10"/>
  <c r="D980" i="10"/>
  <c r="D987" i="10"/>
  <c r="E979" i="10"/>
  <c r="D979" i="10"/>
  <c r="H978" i="10"/>
  <c r="D978" i="10"/>
  <c r="B978" i="10"/>
  <c r="H977" i="10"/>
  <c r="H975" i="10"/>
  <c r="D974" i="10"/>
  <c r="G973" i="10"/>
  <c r="I972" i="10"/>
  <c r="E972" i="10"/>
  <c r="D972" i="10"/>
  <c r="O971" i="10"/>
  <c r="K971" i="10"/>
  <c r="I971" i="10"/>
  <c r="E971" i="10"/>
  <c r="D971" i="10"/>
  <c r="O970" i="10"/>
  <c r="K970" i="10"/>
  <c r="I970" i="10"/>
  <c r="E970" i="10"/>
  <c r="D970" i="10"/>
  <c r="O969" i="10"/>
  <c r="K969" i="10"/>
  <c r="I969" i="10"/>
  <c r="E969" i="10"/>
  <c r="D969" i="10"/>
  <c r="K968" i="10"/>
  <c r="I968" i="10"/>
  <c r="E968" i="10"/>
  <c r="D968" i="10"/>
  <c r="O967" i="10"/>
  <c r="E967" i="10"/>
  <c r="D967" i="10"/>
  <c r="O966" i="10"/>
  <c r="H966" i="10"/>
  <c r="D966" i="10"/>
  <c r="B966" i="10"/>
  <c r="O965" i="10"/>
  <c r="H965" i="10"/>
  <c r="O964" i="10"/>
  <c r="O963" i="10"/>
  <c r="H963" i="10"/>
  <c r="O962" i="10"/>
  <c r="N961" i="10"/>
  <c r="O961" i="10"/>
  <c r="G961" i="10"/>
  <c r="I960" i="10"/>
  <c r="E960" i="10"/>
  <c r="D960" i="10"/>
  <c r="K959" i="10"/>
  <c r="I959" i="10"/>
  <c r="E959" i="10"/>
  <c r="D959" i="10"/>
  <c r="K958" i="10"/>
  <c r="I958" i="10"/>
  <c r="E958" i="10"/>
  <c r="D958" i="10"/>
  <c r="K957" i="10"/>
  <c r="I957" i="10"/>
  <c r="E957" i="10"/>
  <c r="D957" i="10"/>
  <c r="K956" i="10"/>
  <c r="I956" i="10"/>
  <c r="I961" i="10"/>
  <c r="E956" i="10"/>
  <c r="D956" i="10"/>
  <c r="E955" i="10"/>
  <c r="D955" i="10"/>
  <c r="H954" i="10"/>
  <c r="D954" i="10"/>
  <c r="B954" i="10"/>
  <c r="H953" i="10"/>
  <c r="O951" i="10"/>
  <c r="H951" i="10"/>
  <c r="O950" i="10"/>
  <c r="O949" i="10"/>
  <c r="G949" i="10"/>
  <c r="I948" i="10"/>
  <c r="E948" i="10"/>
  <c r="D948" i="10"/>
  <c r="O947" i="10"/>
  <c r="K947" i="10"/>
  <c r="I947" i="10"/>
  <c r="E947" i="10"/>
  <c r="D947" i="10"/>
  <c r="K946" i="10"/>
  <c r="I946" i="10"/>
  <c r="E946" i="10"/>
  <c r="D946" i="10"/>
  <c r="N945" i="10"/>
  <c r="O945" i="10"/>
  <c r="K945" i="10"/>
  <c r="I945" i="10"/>
  <c r="E945" i="10"/>
  <c r="D945" i="10"/>
  <c r="K944" i="10"/>
  <c r="I944" i="10"/>
  <c r="E944" i="10"/>
  <c r="D944" i="10"/>
  <c r="E943" i="10"/>
  <c r="D943" i="10"/>
  <c r="H942" i="10"/>
  <c r="D942" i="10"/>
  <c r="B942" i="10"/>
  <c r="H941" i="10"/>
  <c r="H939" i="10"/>
  <c r="O937" i="10"/>
  <c r="G937" i="10"/>
  <c r="O936" i="10"/>
  <c r="I936" i="10"/>
  <c r="E936" i="10"/>
  <c r="D936" i="10"/>
  <c r="I935" i="10"/>
  <c r="E935" i="10"/>
  <c r="D935" i="10"/>
  <c r="O934" i="10"/>
  <c r="I934" i="10"/>
  <c r="E934" i="10"/>
  <c r="D934" i="10"/>
  <c r="O933" i="10"/>
  <c r="I933" i="10"/>
  <c r="E933" i="10"/>
  <c r="D933" i="10"/>
  <c r="I932" i="10"/>
  <c r="E932" i="10"/>
  <c r="D932" i="10"/>
  <c r="O931" i="10"/>
  <c r="E931" i="10"/>
  <c r="D931" i="10"/>
  <c r="O930" i="10"/>
  <c r="H930" i="10"/>
  <c r="D930" i="10"/>
  <c r="B930" i="10"/>
  <c r="H929" i="10"/>
  <c r="N928" i="10"/>
  <c r="O928" i="10"/>
  <c r="H927" i="10"/>
  <c r="G925" i="10"/>
  <c r="I924" i="10"/>
  <c r="E924" i="10"/>
  <c r="D924" i="10"/>
  <c r="K923" i="10"/>
  <c r="I923" i="10"/>
  <c r="E923" i="10"/>
  <c r="D923" i="10"/>
  <c r="K922" i="10"/>
  <c r="I922" i="10"/>
  <c r="E922" i="10"/>
  <c r="D922" i="10"/>
  <c r="K921" i="10"/>
  <c r="I921" i="10"/>
  <c r="E921" i="10"/>
  <c r="D921" i="10"/>
  <c r="O920" i="10"/>
  <c r="K920" i="10"/>
  <c r="I920" i="10"/>
  <c r="I925" i="10"/>
  <c r="E920" i="10"/>
  <c r="D920" i="10"/>
  <c r="O919" i="10"/>
  <c r="E919" i="10"/>
  <c r="D919" i="10"/>
  <c r="O918" i="10"/>
  <c r="H918" i="10"/>
  <c r="D918" i="10"/>
  <c r="B918" i="10"/>
  <c r="O917" i="10"/>
  <c r="O878" i="10"/>
  <c r="O879" i="10"/>
  <c r="O880" i="10"/>
  <c r="O881" i="10"/>
  <c r="O884" i="10"/>
  <c r="O886" i="10"/>
  <c r="O887" i="10"/>
  <c r="O888" i="10"/>
  <c r="H917" i="10"/>
  <c r="O916" i="10"/>
  <c r="O915" i="10"/>
  <c r="H915" i="10"/>
  <c r="O914" i="10"/>
  <c r="N914" i="10"/>
  <c r="G913" i="10"/>
  <c r="I912" i="10"/>
  <c r="E912" i="10"/>
  <c r="D912" i="10"/>
  <c r="K911" i="10"/>
  <c r="I911" i="10"/>
  <c r="E911" i="10"/>
  <c r="D911" i="10"/>
  <c r="K910" i="10"/>
  <c r="E910" i="10"/>
  <c r="D910" i="10"/>
  <c r="K909" i="10"/>
  <c r="I909" i="10"/>
  <c r="E909" i="10"/>
  <c r="D909" i="10"/>
  <c r="K908" i="10"/>
  <c r="I908" i="10"/>
  <c r="E908" i="10"/>
  <c r="D908" i="10"/>
  <c r="D915" i="10"/>
  <c r="F913" i="10"/>
  <c r="E907" i="10"/>
  <c r="D907" i="10"/>
  <c r="O906" i="10"/>
  <c r="H906" i="10"/>
  <c r="D906" i="10"/>
  <c r="B906" i="10"/>
  <c r="O905" i="10"/>
  <c r="H905" i="10"/>
  <c r="O903" i="10"/>
  <c r="H903" i="10"/>
  <c r="D902" i="10"/>
  <c r="O901" i="10"/>
  <c r="G901" i="10"/>
  <c r="I900" i="10"/>
  <c r="E900" i="10"/>
  <c r="D900" i="10"/>
  <c r="O899" i="10"/>
  <c r="K899" i="10"/>
  <c r="D899" i="10"/>
  <c r="O898" i="10"/>
  <c r="K898" i="10"/>
  <c r="D898" i="10"/>
  <c r="O897" i="10"/>
  <c r="D897" i="10"/>
  <c r="N896" i="10"/>
  <c r="O896" i="10"/>
  <c r="K896" i="10"/>
  <c r="I896" i="10"/>
  <c r="E896" i="10"/>
  <c r="D896" i="10"/>
  <c r="K895" i="10"/>
  <c r="I895" i="10"/>
  <c r="I901" i="10"/>
  <c r="E895" i="10"/>
  <c r="D895" i="10"/>
  <c r="E894" i="10"/>
  <c r="D894" i="10"/>
  <c r="H893" i="10"/>
  <c r="D893" i="10"/>
  <c r="B893" i="10"/>
  <c r="H892" i="10"/>
  <c r="H890" i="10"/>
  <c r="G888" i="10"/>
  <c r="K887" i="10"/>
  <c r="I887" i="10"/>
  <c r="E887" i="10"/>
  <c r="D887" i="10"/>
  <c r="K886" i="10"/>
  <c r="I886" i="10"/>
  <c r="E886" i="10"/>
  <c r="D886" i="10"/>
  <c r="K885" i="10"/>
  <c r="I885" i="10"/>
  <c r="E885" i="10"/>
  <c r="D885" i="10"/>
  <c r="K884" i="10"/>
  <c r="I884" i="10"/>
  <c r="E884" i="10"/>
  <c r="D884" i="10"/>
  <c r="E883" i="10"/>
  <c r="D883" i="10"/>
  <c r="H882" i="10"/>
  <c r="D882" i="10"/>
  <c r="B882" i="10"/>
  <c r="H881" i="10"/>
  <c r="N878" i="10"/>
  <c r="G877" i="10"/>
  <c r="K876" i="10"/>
  <c r="I876" i="10"/>
  <c r="E876" i="10"/>
  <c r="D876" i="10"/>
  <c r="K875" i="10"/>
  <c r="I875" i="10"/>
  <c r="E875" i="10"/>
  <c r="D875" i="10"/>
  <c r="K874" i="10"/>
  <c r="I874" i="10"/>
  <c r="E874" i="10"/>
  <c r="D874" i="10"/>
  <c r="K873" i="10"/>
  <c r="I873" i="10"/>
  <c r="I877" i="10"/>
  <c r="E873" i="10"/>
  <c r="D873" i="10"/>
  <c r="E872" i="10"/>
  <c r="D872" i="10"/>
  <c r="H871" i="10"/>
  <c r="D871" i="10"/>
  <c r="B871" i="10"/>
  <c r="N870" i="10"/>
  <c r="O870" i="10"/>
  <c r="H870" i="10"/>
  <c r="N869" i="10"/>
  <c r="O869" i="10"/>
  <c r="O868" i="10"/>
  <c r="N868" i="10"/>
  <c r="O867" i="10"/>
  <c r="N867" i="10"/>
  <c r="O866" i="10"/>
  <c r="N866" i="10"/>
  <c r="G866" i="10"/>
  <c r="N865" i="10"/>
  <c r="O865" i="10"/>
  <c r="I865" i="10"/>
  <c r="E865" i="10"/>
  <c r="D865" i="10"/>
  <c r="I864" i="10"/>
  <c r="E864" i="10"/>
  <c r="D864" i="10"/>
  <c r="I863" i="10"/>
  <c r="E863" i="10"/>
  <c r="D863" i="10"/>
  <c r="I862" i="10"/>
  <c r="E862" i="10"/>
  <c r="D862" i="10"/>
  <c r="E861" i="10"/>
  <c r="D861" i="10"/>
  <c r="H860" i="10"/>
  <c r="D860" i="10"/>
  <c r="B860" i="10"/>
  <c r="H859" i="10"/>
  <c r="O857" i="10"/>
  <c r="N857" i="10"/>
  <c r="N856" i="10"/>
  <c r="O856" i="10"/>
  <c r="D856" i="10"/>
  <c r="O855" i="10"/>
  <c r="N855" i="10"/>
  <c r="G855" i="10"/>
  <c r="N854" i="10"/>
  <c r="O854" i="10"/>
  <c r="I854" i="10"/>
  <c r="E854" i="10"/>
  <c r="D854" i="10"/>
  <c r="N853" i="10"/>
  <c r="O853" i="10"/>
  <c r="I853" i="10"/>
  <c r="E853" i="10"/>
  <c r="D853" i="10"/>
  <c r="N852" i="10"/>
  <c r="O852" i="10"/>
  <c r="I852" i="10"/>
  <c r="E852" i="10"/>
  <c r="D852" i="10"/>
  <c r="O851" i="10"/>
  <c r="N851" i="10"/>
  <c r="I851" i="10"/>
  <c r="E851" i="10"/>
  <c r="D851" i="10"/>
  <c r="I850" i="10"/>
  <c r="E850" i="10"/>
  <c r="D850" i="10"/>
  <c r="D857" i="10"/>
  <c r="F853" i="10"/>
  <c r="E849" i="10"/>
  <c r="D849" i="10"/>
  <c r="H848" i="10"/>
  <c r="D848" i="10"/>
  <c r="B848" i="10"/>
  <c r="H847" i="10"/>
  <c r="N843" i="10"/>
  <c r="O843" i="10"/>
  <c r="G843" i="10"/>
  <c r="N842" i="10"/>
  <c r="O842" i="10"/>
  <c r="I842" i="10"/>
  <c r="E842" i="10"/>
  <c r="D842" i="10"/>
  <c r="N841" i="10"/>
  <c r="O841" i="10"/>
  <c r="I841" i="10"/>
  <c r="E841" i="10"/>
  <c r="D841" i="10"/>
  <c r="O840" i="10"/>
  <c r="N840" i="10"/>
  <c r="I840" i="10"/>
  <c r="E840" i="10"/>
  <c r="D840" i="10"/>
  <c r="N839" i="10"/>
  <c r="O839" i="10"/>
  <c r="I839" i="10"/>
  <c r="I843" i="10"/>
  <c r="E839" i="10"/>
  <c r="D839" i="10"/>
  <c r="N838" i="10"/>
  <c r="O838" i="10"/>
  <c r="I838" i="10"/>
  <c r="E838" i="10"/>
  <c r="D838" i="10"/>
  <c r="N837" i="10"/>
  <c r="O837" i="10"/>
  <c r="E837" i="10"/>
  <c r="D837" i="10"/>
  <c r="N836" i="10"/>
  <c r="O836" i="10"/>
  <c r="H836" i="10"/>
  <c r="D836" i="10"/>
  <c r="B836" i="10"/>
  <c r="H835" i="10"/>
  <c r="G831" i="10"/>
  <c r="I830" i="10"/>
  <c r="E830" i="10"/>
  <c r="D830" i="10"/>
  <c r="I829" i="10"/>
  <c r="E829" i="10"/>
  <c r="D829" i="10"/>
  <c r="N828" i="10"/>
  <c r="O828" i="10"/>
  <c r="I828" i="10"/>
  <c r="E828" i="10"/>
  <c r="D828" i="10"/>
  <c r="N827" i="10"/>
  <c r="O827" i="10"/>
  <c r="I827" i="10"/>
  <c r="E827" i="10"/>
  <c r="D827" i="10"/>
  <c r="O826" i="10"/>
  <c r="N826" i="10"/>
  <c r="I826" i="10"/>
  <c r="E826" i="10"/>
  <c r="D826" i="10"/>
  <c r="N825" i="10"/>
  <c r="O825" i="10"/>
  <c r="E825" i="10"/>
  <c r="D825" i="10"/>
  <c r="N824" i="10"/>
  <c r="O824" i="10"/>
  <c r="H824" i="10"/>
  <c r="D824" i="10"/>
  <c r="B824" i="10"/>
  <c r="N823" i="10"/>
  <c r="O823" i="10"/>
  <c r="H823" i="10"/>
  <c r="O822" i="10"/>
  <c r="N822" i="10"/>
  <c r="N821" i="10"/>
  <c r="O821" i="10"/>
  <c r="D820" i="10"/>
  <c r="G819" i="10"/>
  <c r="I818" i="10"/>
  <c r="E818" i="10"/>
  <c r="D818" i="10"/>
  <c r="I817" i="10"/>
  <c r="E817" i="10"/>
  <c r="D817" i="10"/>
  <c r="I816" i="10"/>
  <c r="E816" i="10"/>
  <c r="D816" i="10"/>
  <c r="I815" i="10"/>
  <c r="E815" i="10"/>
  <c r="D815" i="10"/>
  <c r="E814" i="10"/>
  <c r="D814" i="10"/>
  <c r="H813" i="10"/>
  <c r="D813" i="10"/>
  <c r="B813" i="10"/>
  <c r="O812" i="10"/>
  <c r="H812" i="10"/>
  <c r="O811" i="10"/>
  <c r="O810" i="10"/>
  <c r="O809" i="10"/>
  <c r="D809" i="10"/>
  <c r="G808" i="10"/>
  <c r="O807" i="10"/>
  <c r="I807" i="10"/>
  <c r="E807" i="10"/>
  <c r="D807" i="10"/>
  <c r="O806" i="10"/>
  <c r="I806" i="10"/>
  <c r="E806" i="10"/>
  <c r="D806" i="10"/>
  <c r="I805" i="10"/>
  <c r="E805" i="10"/>
  <c r="D805" i="10"/>
  <c r="D810" i="10"/>
  <c r="I804" i="10"/>
  <c r="E804" i="10"/>
  <c r="D804" i="10"/>
  <c r="E803" i="10"/>
  <c r="D803" i="10"/>
  <c r="H802" i="10"/>
  <c r="D802" i="10"/>
  <c r="B802" i="10"/>
  <c r="H801" i="10"/>
  <c r="D799" i="10"/>
  <c r="N798" i="10"/>
  <c r="O798" i="10"/>
  <c r="D798" i="10"/>
  <c r="O797" i="10"/>
  <c r="N797" i="10"/>
  <c r="G797" i="10"/>
  <c r="N796" i="10"/>
  <c r="O796" i="10"/>
  <c r="I796" i="10"/>
  <c r="E796" i="10"/>
  <c r="D796" i="10"/>
  <c r="O795" i="10"/>
  <c r="I795" i="10"/>
  <c r="E795" i="10"/>
  <c r="D795" i="10"/>
  <c r="O794" i="10"/>
  <c r="N794" i="10"/>
  <c r="E794" i="10"/>
  <c r="D794" i="10"/>
  <c r="N793" i="10"/>
  <c r="O793" i="10"/>
  <c r="I793" i="10"/>
  <c r="E793" i="10"/>
  <c r="D793" i="10"/>
  <c r="O792" i="10"/>
  <c r="N792" i="10"/>
  <c r="E792" i="10"/>
  <c r="D792" i="10"/>
  <c r="O791" i="10"/>
  <c r="N791" i="10"/>
  <c r="H791" i="10"/>
  <c r="D791" i="10"/>
  <c r="B791" i="10"/>
  <c r="H790" i="10"/>
  <c r="H788" i="10"/>
  <c r="D787" i="10"/>
  <c r="I786" i="10"/>
  <c r="G786" i="10"/>
  <c r="E785" i="10"/>
  <c r="D785" i="10"/>
  <c r="I784" i="10"/>
  <c r="E784" i="10"/>
  <c r="D784" i="10"/>
  <c r="E783" i="10"/>
  <c r="D783" i="10"/>
  <c r="O782" i="10"/>
  <c r="E782" i="10"/>
  <c r="D782" i="10"/>
  <c r="I782" i="10"/>
  <c r="O781" i="10"/>
  <c r="E781" i="10"/>
  <c r="D781" i="10"/>
  <c r="O780" i="10"/>
  <c r="E780" i="10"/>
  <c r="D780" i="10"/>
  <c r="O779" i="10"/>
  <c r="H779" i="10"/>
  <c r="D779" i="10"/>
  <c r="B779" i="10"/>
  <c r="H778" i="10"/>
  <c r="O777" i="10"/>
  <c r="O776" i="10"/>
  <c r="D775" i="10"/>
  <c r="G774" i="10"/>
  <c r="E773" i="10"/>
  <c r="D773" i="10"/>
  <c r="E772" i="10"/>
  <c r="D772" i="10"/>
  <c r="E771" i="10"/>
  <c r="D771" i="10"/>
  <c r="E770" i="10"/>
  <c r="D770" i="10"/>
  <c r="I769" i="10"/>
  <c r="E769" i="10"/>
  <c r="D769" i="10"/>
  <c r="E768" i="10"/>
  <c r="D768" i="10"/>
  <c r="O767" i="10"/>
  <c r="H767" i="10"/>
  <c r="D767" i="10"/>
  <c r="B767" i="10"/>
  <c r="O766" i="10"/>
  <c r="H766" i="10"/>
  <c r="O765" i="10"/>
  <c r="O764" i="10"/>
  <c r="D763" i="10"/>
  <c r="O762" i="10"/>
  <c r="G762" i="10"/>
  <c r="O761" i="10"/>
  <c r="E761" i="10"/>
  <c r="D761" i="10"/>
  <c r="E760" i="10"/>
  <c r="D760" i="10"/>
  <c r="E759" i="10"/>
  <c r="D759" i="10"/>
  <c r="I758" i="10"/>
  <c r="E758" i="10"/>
  <c r="D758" i="10"/>
  <c r="E757" i="10"/>
  <c r="D757" i="10"/>
  <c r="E756" i="10"/>
  <c r="D756" i="10"/>
  <c r="H755" i="10"/>
  <c r="D755" i="10"/>
  <c r="B755" i="10"/>
  <c r="H754" i="10"/>
  <c r="O753" i="10"/>
  <c r="O752" i="10"/>
  <c r="O751" i="10"/>
  <c r="D751" i="10"/>
  <c r="O750" i="10"/>
  <c r="G750" i="10"/>
  <c r="O749" i="10"/>
  <c r="O745" i="10"/>
  <c r="O746" i="10"/>
  <c r="O747" i="10"/>
  <c r="O748" i="10"/>
  <c r="E749" i="10"/>
  <c r="D749" i="10"/>
  <c r="E748" i="10"/>
  <c r="D748" i="10"/>
  <c r="I748" i="10"/>
  <c r="E747" i="10"/>
  <c r="D747" i="10"/>
  <c r="I747" i="10"/>
  <c r="E746" i="10"/>
  <c r="D746" i="10"/>
  <c r="I746" i="10"/>
  <c r="E745" i="10"/>
  <c r="D745" i="10"/>
  <c r="E744" i="10"/>
  <c r="D744" i="10"/>
  <c r="H743" i="10"/>
  <c r="D743" i="10"/>
  <c r="B743" i="10"/>
  <c r="H742" i="10"/>
  <c r="D739" i="10"/>
  <c r="G738" i="10"/>
  <c r="O737" i="10"/>
  <c r="E737" i="10"/>
  <c r="D737" i="10"/>
  <c r="I737" i="10"/>
  <c r="O736" i="10"/>
  <c r="E736" i="10"/>
  <c r="D736" i="10"/>
  <c r="O735" i="10"/>
  <c r="E735" i="10"/>
  <c r="D735" i="10"/>
  <c r="O734" i="10"/>
  <c r="I734" i="10"/>
  <c r="E734" i="10"/>
  <c r="D734" i="10"/>
  <c r="O733" i="10"/>
  <c r="I733" i="10"/>
  <c r="E733" i="10"/>
  <c r="D733" i="10"/>
  <c r="O732" i="10"/>
  <c r="E732" i="10"/>
  <c r="D732" i="10"/>
  <c r="O731" i="10"/>
  <c r="H731" i="10"/>
  <c r="D731" i="10"/>
  <c r="B731" i="10"/>
  <c r="O730" i="10"/>
  <c r="H730" i="10"/>
  <c r="O729" i="10"/>
  <c r="D727" i="10"/>
  <c r="G726" i="10"/>
  <c r="E725" i="10"/>
  <c r="D725" i="10"/>
  <c r="E724" i="10"/>
  <c r="D724" i="10"/>
  <c r="E723" i="10"/>
  <c r="D723" i="10"/>
  <c r="D728" i="10"/>
  <c r="E722" i="10"/>
  <c r="D722" i="10"/>
  <c r="O721" i="10"/>
  <c r="E721" i="10"/>
  <c r="D721" i="10"/>
  <c r="O720" i="10"/>
  <c r="E720" i="10"/>
  <c r="D720" i="10"/>
  <c r="O719" i="10"/>
  <c r="H719" i="10"/>
  <c r="D719" i="10"/>
  <c r="B719" i="10"/>
  <c r="O718" i="10"/>
  <c r="H718" i="10"/>
  <c r="O717" i="10"/>
  <c r="O716" i="10"/>
  <c r="O715" i="10"/>
  <c r="O713" i="10"/>
  <c r="O714" i="10"/>
  <c r="G714" i="10"/>
  <c r="E713" i="10"/>
  <c r="D713" i="10"/>
  <c r="I713" i="10"/>
  <c r="E712" i="10"/>
  <c r="D712" i="10"/>
  <c r="E711" i="10"/>
  <c r="D711" i="10"/>
  <c r="E710" i="10"/>
  <c r="D710" i="10"/>
  <c r="E709" i="10"/>
  <c r="D709" i="10"/>
  <c r="D716" i="10"/>
  <c r="E708" i="10"/>
  <c r="D708" i="10"/>
  <c r="H707" i="10"/>
  <c r="D707" i="10"/>
  <c r="B707" i="10"/>
  <c r="H706" i="10"/>
  <c r="G702" i="10"/>
  <c r="E701" i="10"/>
  <c r="D701" i="10"/>
  <c r="E700" i="10"/>
  <c r="D700" i="10"/>
  <c r="I700" i="10"/>
  <c r="E699" i="10"/>
  <c r="D699" i="10"/>
  <c r="E698" i="10"/>
  <c r="D698" i="10"/>
  <c r="E697" i="10"/>
  <c r="D697" i="10"/>
  <c r="D704" i="10"/>
  <c r="E696" i="10"/>
  <c r="D696" i="10"/>
  <c r="H695" i="10"/>
  <c r="D695" i="10"/>
  <c r="B695" i="10"/>
  <c r="H694" i="10"/>
  <c r="G690" i="10"/>
  <c r="D690" i="10"/>
  <c r="E689" i="10"/>
  <c r="D689" i="10"/>
  <c r="E688" i="10"/>
  <c r="D688" i="10"/>
  <c r="I688" i="10"/>
  <c r="E687" i="10"/>
  <c r="D687" i="10"/>
  <c r="E686" i="10"/>
  <c r="D686" i="10"/>
  <c r="E685" i="10"/>
  <c r="D685" i="10"/>
  <c r="E684" i="10"/>
  <c r="D684" i="10"/>
  <c r="H683" i="10"/>
  <c r="D683" i="10"/>
  <c r="B683" i="10"/>
  <c r="H682" i="10"/>
  <c r="D679" i="10"/>
  <c r="G678" i="10"/>
  <c r="D678" i="10"/>
  <c r="E677" i="10"/>
  <c r="D677" i="10"/>
  <c r="I689" i="10"/>
  <c r="E676" i="10"/>
  <c r="D676" i="10"/>
  <c r="E675" i="10"/>
  <c r="D675" i="10"/>
  <c r="E674" i="10"/>
  <c r="D674" i="10"/>
  <c r="D680" i="10"/>
  <c r="E673" i="10"/>
  <c r="D673" i="10"/>
  <c r="E672" i="10"/>
  <c r="D672" i="10"/>
  <c r="H671" i="10"/>
  <c r="D671" i="10"/>
  <c r="B671" i="10"/>
  <c r="H670" i="10"/>
  <c r="G666" i="10"/>
  <c r="E665" i="10"/>
  <c r="D665" i="10"/>
  <c r="E664" i="10"/>
  <c r="D664" i="10"/>
  <c r="E663" i="10"/>
  <c r="D663" i="10"/>
  <c r="E662" i="10"/>
  <c r="D662" i="10"/>
  <c r="E661" i="10"/>
  <c r="D661" i="10"/>
  <c r="E660" i="10"/>
  <c r="D660" i="10"/>
  <c r="H659" i="10"/>
  <c r="D659" i="10"/>
  <c r="B659" i="10"/>
  <c r="H658" i="10"/>
  <c r="T655" i="10"/>
  <c r="U655" i="10"/>
  <c r="D655" i="10"/>
  <c r="T654" i="10"/>
  <c r="G654" i="10"/>
  <c r="T653" i="10"/>
  <c r="E653" i="10"/>
  <c r="D653" i="10"/>
  <c r="I653" i="10"/>
  <c r="U652" i="10"/>
  <c r="E652" i="10"/>
  <c r="D652" i="10"/>
  <c r="U651" i="10"/>
  <c r="E651" i="10"/>
  <c r="D651" i="10"/>
  <c r="U650" i="10"/>
  <c r="E650" i="10"/>
  <c r="D650" i="10"/>
  <c r="U649" i="10"/>
  <c r="E649" i="10"/>
  <c r="D649" i="10"/>
  <c r="E648" i="10"/>
  <c r="D648" i="10"/>
  <c r="H647" i="10"/>
  <c r="D647" i="10"/>
  <c r="B647" i="10"/>
  <c r="H646" i="10"/>
  <c r="X644" i="10"/>
  <c r="V644" i="10"/>
  <c r="T644" i="10"/>
  <c r="AL642" i="10"/>
  <c r="AK642" i="10"/>
  <c r="AJ642" i="10"/>
  <c r="AI642" i="10"/>
  <c r="AB642" i="10"/>
  <c r="G642" i="10"/>
  <c r="AL641" i="10"/>
  <c r="AK641" i="10"/>
  <c r="AJ641" i="10"/>
  <c r="AI641" i="10"/>
  <c r="E641" i="10"/>
  <c r="D641" i="10"/>
  <c r="AL640" i="10"/>
  <c r="AK640" i="10"/>
  <c r="AJ640" i="10"/>
  <c r="AI640" i="10"/>
  <c r="I640" i="10"/>
  <c r="E640" i="10"/>
  <c r="D640" i="10"/>
  <c r="AL639" i="10"/>
  <c r="AK639" i="10"/>
  <c r="AJ639" i="10"/>
  <c r="AI639" i="10"/>
  <c r="AF639" i="10"/>
  <c r="E639" i="10"/>
  <c r="D639" i="10"/>
  <c r="AL638" i="10"/>
  <c r="AK638" i="10"/>
  <c r="AJ638" i="10"/>
  <c r="AI638" i="10"/>
  <c r="E638" i="10"/>
  <c r="D638" i="10"/>
  <c r="AL637" i="10"/>
  <c r="AK637" i="10"/>
  <c r="AJ637" i="10"/>
  <c r="AI637" i="10"/>
  <c r="E637" i="10"/>
  <c r="D637" i="10"/>
  <c r="AL636" i="10"/>
  <c r="AK636" i="10"/>
  <c r="AJ636" i="10"/>
  <c r="AI636" i="10"/>
  <c r="E636" i="10"/>
  <c r="D636" i="10"/>
  <c r="AL635" i="10"/>
  <c r="AK635" i="10"/>
  <c r="AJ635" i="10"/>
  <c r="AI635" i="10"/>
  <c r="H635" i="10"/>
  <c r="D635" i="10"/>
  <c r="B635" i="10"/>
  <c r="AL634" i="10"/>
  <c r="AK634" i="10"/>
  <c r="AJ634" i="10"/>
  <c r="AI634" i="10"/>
  <c r="H634" i="10"/>
  <c r="AL633" i="10"/>
  <c r="AK633" i="10"/>
  <c r="AJ633" i="10"/>
  <c r="AI633" i="10"/>
  <c r="AL632" i="10"/>
  <c r="AK632" i="10"/>
  <c r="AJ632" i="10"/>
  <c r="AI632" i="10"/>
  <c r="AD632" i="10"/>
  <c r="AL631" i="10"/>
  <c r="AK631" i="10"/>
  <c r="AJ631" i="10"/>
  <c r="AI631" i="10"/>
  <c r="AD631" i="10"/>
  <c r="G630" i="10"/>
  <c r="D630" i="10"/>
  <c r="E629" i="10"/>
  <c r="D629" i="10"/>
  <c r="I629" i="10"/>
  <c r="E628" i="10"/>
  <c r="D628" i="10"/>
  <c r="AD627" i="10"/>
  <c r="U627" i="10"/>
  <c r="E627" i="10"/>
  <c r="D627" i="10"/>
  <c r="E626" i="10"/>
  <c r="D626" i="10"/>
  <c r="AC625" i="10"/>
  <c r="AD626" i="10"/>
  <c r="E625" i="10"/>
  <c r="D625" i="10"/>
  <c r="AI624" i="10"/>
  <c r="AC624" i="10"/>
  <c r="AB639" i="10"/>
  <c r="E624" i="10"/>
  <c r="D624" i="10"/>
  <c r="H623" i="10"/>
  <c r="D623" i="10"/>
  <c r="B623" i="10"/>
  <c r="H622" i="10"/>
  <c r="AC621" i="10"/>
  <c r="AB636" i="10"/>
  <c r="AB619" i="10"/>
  <c r="Y619" i="10"/>
  <c r="AF618" i="10"/>
  <c r="AG618" i="10"/>
  <c r="AB618" i="10"/>
  <c r="Y618" i="10"/>
  <c r="G618" i="10"/>
  <c r="AG617" i="10"/>
  <c r="V617" i="10"/>
  <c r="I617" i="10"/>
  <c r="E617" i="10"/>
  <c r="D617" i="10"/>
  <c r="AG616" i="10"/>
  <c r="V616" i="10"/>
  <c r="E616" i="10"/>
  <c r="D616" i="10"/>
  <c r="I628" i="10"/>
  <c r="E615" i="10"/>
  <c r="D615" i="10"/>
  <c r="I627" i="10"/>
  <c r="E614" i="10"/>
  <c r="D614" i="10"/>
  <c r="E613" i="10"/>
  <c r="D613" i="10"/>
  <c r="E612" i="10"/>
  <c r="D612" i="10"/>
  <c r="Z611" i="10"/>
  <c r="H611" i="10"/>
  <c r="D611" i="10"/>
  <c r="B611" i="10"/>
  <c r="Z610" i="10"/>
  <c r="H610" i="10"/>
  <c r="Z609" i="10"/>
  <c r="Y607" i="10"/>
  <c r="Z607" i="10"/>
  <c r="Z606" i="10"/>
  <c r="J606" i="10"/>
  <c r="G606" i="10"/>
  <c r="D606" i="10"/>
  <c r="AA605" i="10"/>
  <c r="Z605" i="10"/>
  <c r="E605" i="10"/>
  <c r="D605" i="10"/>
  <c r="AA604" i="10"/>
  <c r="Z604" i="10"/>
  <c r="E604" i="10"/>
  <c r="B604" i="10"/>
  <c r="D604" i="10"/>
  <c r="AA603" i="10"/>
  <c r="Z603" i="10"/>
  <c r="E603" i="10"/>
  <c r="D603" i="10"/>
  <c r="AA602" i="10"/>
  <c r="Z602" i="10"/>
  <c r="E602" i="10"/>
  <c r="D602" i="10"/>
  <c r="AA601" i="10"/>
  <c r="Z601" i="10"/>
  <c r="V601" i="10"/>
  <c r="U601" i="10"/>
  <c r="E601" i="10"/>
  <c r="D601" i="10"/>
  <c r="V600" i="10"/>
  <c r="U600" i="10"/>
  <c r="E600" i="10"/>
  <c r="D600" i="10"/>
  <c r="H599" i="10"/>
  <c r="D599" i="10"/>
  <c r="B599" i="10"/>
  <c r="H598" i="10"/>
  <c r="G594" i="10"/>
  <c r="E593" i="10"/>
  <c r="D593" i="10"/>
  <c r="E592" i="10"/>
  <c r="B592" i="10"/>
  <c r="D592" i="10"/>
  <c r="E591" i="10"/>
  <c r="D591" i="10"/>
  <c r="I591" i="10"/>
  <c r="E590" i="10"/>
  <c r="D590" i="10"/>
  <c r="E589" i="10"/>
  <c r="D589" i="10"/>
  <c r="E588" i="10"/>
  <c r="D588" i="10"/>
  <c r="H587" i="10"/>
  <c r="D587" i="10"/>
  <c r="B587" i="10"/>
  <c r="H586" i="10"/>
  <c r="G582" i="10"/>
  <c r="D582" i="10"/>
  <c r="I581" i="10"/>
  <c r="E581" i="10"/>
  <c r="D581" i="10"/>
  <c r="I580" i="10"/>
  <c r="E580" i="10"/>
  <c r="B580" i="10"/>
  <c r="D580" i="10"/>
  <c r="E579" i="10"/>
  <c r="D579" i="10"/>
  <c r="I579" i="10"/>
  <c r="I578" i="10"/>
  <c r="E578" i="10"/>
  <c r="D578" i="10"/>
  <c r="E577" i="10"/>
  <c r="D577" i="10"/>
  <c r="I577" i="10"/>
  <c r="I582" i="10"/>
  <c r="E576" i="10"/>
  <c r="D576" i="10"/>
  <c r="H575" i="10"/>
  <c r="D575" i="10"/>
  <c r="B575" i="10"/>
  <c r="H574" i="10"/>
  <c r="G570" i="10"/>
  <c r="D570" i="10"/>
  <c r="D569" i="10"/>
  <c r="I568" i="10"/>
  <c r="D568" i="10"/>
  <c r="E567" i="10"/>
  <c r="D567" i="10"/>
  <c r="I566" i="10"/>
  <c r="E566" i="10"/>
  <c r="D566" i="10"/>
  <c r="E565" i="10"/>
  <c r="D565" i="10"/>
  <c r="I564" i="10"/>
  <c r="E564" i="10"/>
  <c r="D564" i="10"/>
  <c r="E563" i="10"/>
  <c r="D563" i="10"/>
  <c r="I562" i="10"/>
  <c r="E562" i="10"/>
  <c r="D562" i="10"/>
  <c r="I561" i="10"/>
  <c r="E561" i="10"/>
  <c r="D561" i="10"/>
  <c r="E560" i="10"/>
  <c r="D560" i="10"/>
  <c r="H559" i="10"/>
  <c r="D559" i="10"/>
  <c r="B559" i="10"/>
  <c r="H558" i="10"/>
  <c r="G555" i="10"/>
  <c r="H554" i="10"/>
  <c r="G554" i="10"/>
  <c r="D554" i="10"/>
  <c r="D553" i="10"/>
  <c r="I567" i="10"/>
  <c r="E552" i="10"/>
  <c r="D552" i="10"/>
  <c r="D551" i="10"/>
  <c r="E550" i="10"/>
  <c r="D550" i="10"/>
  <c r="I563" i="10"/>
  <c r="E549" i="10"/>
  <c r="D549" i="10"/>
  <c r="E548" i="10"/>
  <c r="D548" i="10"/>
  <c r="E547" i="10"/>
  <c r="D547" i="10"/>
  <c r="D556" i="10"/>
  <c r="E546" i="10"/>
  <c r="D546" i="10"/>
  <c r="H545" i="10"/>
  <c r="D545" i="10"/>
  <c r="B545" i="10"/>
  <c r="H544" i="10"/>
  <c r="G541" i="10"/>
  <c r="H540" i="10"/>
  <c r="G540" i="10"/>
  <c r="D540" i="10"/>
  <c r="E539" i="10"/>
  <c r="D539" i="10"/>
  <c r="I552" i="10"/>
  <c r="E538" i="10"/>
  <c r="D538" i="10"/>
  <c r="I538" i="10"/>
  <c r="E537" i="10"/>
  <c r="D537" i="10"/>
  <c r="E536" i="10"/>
  <c r="D536" i="10"/>
  <c r="I549" i="10"/>
  <c r="E535" i="10"/>
  <c r="D535" i="10"/>
  <c r="I548" i="10"/>
  <c r="E534" i="10"/>
  <c r="D534" i="10"/>
  <c r="E533" i="10"/>
  <c r="D533" i="10"/>
  <c r="H532" i="10"/>
  <c r="D532" i="10"/>
  <c r="B532" i="10"/>
  <c r="H531" i="10"/>
  <c r="G528" i="10"/>
  <c r="H527" i="10"/>
  <c r="G527" i="10"/>
  <c r="D526" i="10"/>
  <c r="D525" i="10"/>
  <c r="I539" i="10"/>
  <c r="E524" i="10"/>
  <c r="D524" i="10"/>
  <c r="E523" i="10"/>
  <c r="D523" i="10"/>
  <c r="E522" i="10"/>
  <c r="D522" i="10"/>
  <c r="E521" i="10"/>
  <c r="D521" i="10"/>
  <c r="E520" i="10"/>
  <c r="D520" i="10"/>
  <c r="I520" i="10"/>
  <c r="E519" i="10"/>
  <c r="D519" i="10"/>
  <c r="H518" i="10"/>
  <c r="D518" i="10"/>
  <c r="B518" i="10"/>
  <c r="H517" i="10"/>
  <c r="G514" i="10"/>
  <c r="H513" i="10"/>
  <c r="G513" i="10"/>
  <c r="E512" i="10"/>
  <c r="D512" i="10"/>
  <c r="E511" i="10"/>
  <c r="D511" i="10"/>
  <c r="E510" i="10"/>
  <c r="D510" i="10"/>
  <c r="I522" i="10"/>
  <c r="E509" i="10"/>
  <c r="D509" i="10"/>
  <c r="E508" i="10"/>
  <c r="D508" i="10"/>
  <c r="E507" i="10"/>
  <c r="D507" i="10"/>
  <c r="H506" i="10"/>
  <c r="D506" i="10"/>
  <c r="B506" i="10"/>
  <c r="H505" i="10"/>
  <c r="G502" i="10"/>
  <c r="H501" i="10"/>
  <c r="G501" i="10"/>
  <c r="E500" i="10"/>
  <c r="D500" i="10"/>
  <c r="I500" i="10"/>
  <c r="E499" i="10"/>
  <c r="D499" i="10"/>
  <c r="E498" i="10"/>
  <c r="D498" i="10"/>
  <c r="E497" i="10"/>
  <c r="D497" i="10"/>
  <c r="I509" i="10"/>
  <c r="E496" i="10"/>
  <c r="D496" i="10"/>
  <c r="E495" i="10"/>
  <c r="D495" i="10"/>
  <c r="H494" i="10"/>
  <c r="D494" i="10"/>
  <c r="B494" i="10"/>
  <c r="H493" i="10"/>
  <c r="G490" i="10"/>
  <c r="H489" i="10"/>
  <c r="G489" i="10"/>
  <c r="E488" i="10"/>
  <c r="D488" i="10"/>
  <c r="E487" i="10"/>
  <c r="D487" i="10"/>
  <c r="E486" i="10"/>
  <c r="D486" i="10"/>
  <c r="E485" i="10"/>
  <c r="D485" i="10"/>
  <c r="E484" i="10"/>
  <c r="D484" i="10"/>
  <c r="E483" i="10"/>
  <c r="D483" i="10"/>
  <c r="H482" i="10"/>
  <c r="D482" i="10"/>
  <c r="B482" i="10"/>
  <c r="H481" i="10"/>
  <c r="G478" i="10"/>
  <c r="H477" i="10"/>
  <c r="G477" i="10"/>
  <c r="E476" i="10"/>
  <c r="D476" i="10"/>
  <c r="E475" i="10"/>
  <c r="D475" i="10"/>
  <c r="I487" i="10"/>
  <c r="E474" i="10"/>
  <c r="D474" i="10"/>
  <c r="E473" i="10"/>
  <c r="D473" i="10"/>
  <c r="I485" i="10"/>
  <c r="E472" i="10"/>
  <c r="D472" i="10"/>
  <c r="D479" i="10"/>
  <c r="E471" i="10"/>
  <c r="D471" i="10"/>
  <c r="H470" i="10"/>
  <c r="D470" i="10"/>
  <c r="B470" i="10"/>
  <c r="H469" i="10"/>
  <c r="G466" i="10"/>
  <c r="H465" i="10"/>
  <c r="G465" i="10"/>
  <c r="E464" i="10"/>
  <c r="D464" i="10"/>
  <c r="I464" i="10"/>
  <c r="E463" i="10"/>
  <c r="D463" i="10"/>
  <c r="I463" i="10"/>
  <c r="I462" i="10"/>
  <c r="E462" i="10"/>
  <c r="D462" i="10"/>
  <c r="E461" i="10"/>
  <c r="D461" i="10"/>
  <c r="I460" i="10"/>
  <c r="E460" i="10"/>
  <c r="D460" i="10"/>
  <c r="E459" i="10"/>
  <c r="D459" i="10"/>
  <c r="H458" i="10"/>
  <c r="D458" i="10"/>
  <c r="B458" i="10"/>
  <c r="H457" i="10"/>
  <c r="G454" i="10"/>
  <c r="H453" i="10"/>
  <c r="G453" i="10"/>
  <c r="D452" i="10"/>
  <c r="E451" i="10"/>
  <c r="D451" i="10"/>
  <c r="I451" i="10"/>
  <c r="E450" i="10"/>
  <c r="D450" i="10"/>
  <c r="I450" i="10"/>
  <c r="E449" i="10"/>
  <c r="D449" i="10"/>
  <c r="D455" i="10"/>
  <c r="E448" i="10"/>
  <c r="D448" i="10"/>
  <c r="I448" i="10"/>
  <c r="E447" i="10"/>
  <c r="D447" i="10"/>
  <c r="H446" i="10"/>
  <c r="D446" i="10"/>
  <c r="B446" i="10"/>
  <c r="H445" i="10"/>
  <c r="G442" i="10"/>
  <c r="H441" i="10"/>
  <c r="G441" i="10"/>
  <c r="I440" i="10"/>
  <c r="E440" i="10"/>
  <c r="D440" i="10"/>
  <c r="I439" i="10"/>
  <c r="E439" i="10"/>
  <c r="D439" i="10"/>
  <c r="E438" i="10"/>
  <c r="D438" i="10"/>
  <c r="E437" i="10"/>
  <c r="D437" i="10"/>
  <c r="D443" i="10"/>
  <c r="E436" i="10"/>
  <c r="D436" i="10"/>
  <c r="H435" i="10"/>
  <c r="D435" i="10"/>
  <c r="B435" i="10"/>
  <c r="H434" i="10"/>
  <c r="G431" i="10"/>
  <c r="H430" i="10"/>
  <c r="G430" i="10"/>
  <c r="E429" i="10"/>
  <c r="D429" i="10"/>
  <c r="E428" i="10"/>
  <c r="D428" i="10"/>
  <c r="E427" i="10"/>
  <c r="D427" i="10"/>
  <c r="E426" i="10"/>
  <c r="D426" i="10"/>
  <c r="E425" i="10"/>
  <c r="D425" i="10"/>
  <c r="H424" i="10"/>
  <c r="D424" i="10"/>
  <c r="B424" i="10"/>
  <c r="H423" i="10"/>
  <c r="G420" i="10"/>
  <c r="H419" i="10"/>
  <c r="G419" i="10"/>
  <c r="I418" i="10"/>
  <c r="D418" i="10"/>
  <c r="E417" i="10"/>
  <c r="D417" i="10"/>
  <c r="E416" i="10"/>
  <c r="D416" i="10"/>
  <c r="E415" i="10"/>
  <c r="D415" i="10"/>
  <c r="E414" i="10"/>
  <c r="D414" i="10"/>
  <c r="E413" i="10"/>
  <c r="D413" i="10"/>
  <c r="E412" i="10"/>
  <c r="D412" i="10"/>
  <c r="H411" i="10"/>
  <c r="D411" i="10"/>
  <c r="B411" i="10"/>
  <c r="H410" i="10"/>
  <c r="G407" i="10"/>
  <c r="H406" i="10"/>
  <c r="G406" i="10"/>
  <c r="E405" i="10"/>
  <c r="D405" i="10"/>
  <c r="E404" i="10"/>
  <c r="D404" i="10"/>
  <c r="E403" i="10"/>
  <c r="D403" i="10"/>
  <c r="E402" i="10"/>
  <c r="D402" i="10"/>
  <c r="E401" i="10"/>
  <c r="D401" i="10"/>
  <c r="E400" i="10"/>
  <c r="D400" i="10"/>
  <c r="H399" i="10"/>
  <c r="D399" i="10"/>
  <c r="B399" i="10"/>
  <c r="H398" i="10"/>
  <c r="G395" i="10"/>
  <c r="H394" i="10"/>
  <c r="G394" i="10"/>
  <c r="E393" i="10"/>
  <c r="D393" i="10"/>
  <c r="I405" i="10"/>
  <c r="E392" i="10"/>
  <c r="D392" i="10"/>
  <c r="E391" i="10"/>
  <c r="D391" i="10"/>
  <c r="E390" i="10"/>
  <c r="D390" i="10"/>
  <c r="E389" i="10"/>
  <c r="D389" i="10"/>
  <c r="E388" i="10"/>
  <c r="D388" i="10"/>
  <c r="H387" i="10"/>
  <c r="D387" i="10"/>
  <c r="B387" i="10"/>
  <c r="H386" i="10"/>
  <c r="G383" i="10"/>
  <c r="D383" i="10"/>
  <c r="H382" i="10"/>
  <c r="G382" i="10"/>
  <c r="E381" i="10"/>
  <c r="D381" i="10"/>
  <c r="E380" i="10"/>
  <c r="D380" i="10"/>
  <c r="E379" i="10"/>
  <c r="D379" i="10"/>
  <c r="E378" i="10"/>
  <c r="D378" i="10"/>
  <c r="E377" i="10"/>
  <c r="D377" i="10"/>
  <c r="E376" i="10"/>
  <c r="D376" i="10"/>
  <c r="H375" i="10"/>
  <c r="D375" i="10"/>
  <c r="B375" i="10"/>
  <c r="H374" i="10"/>
  <c r="G371" i="10"/>
  <c r="D371" i="10"/>
  <c r="H370" i="10"/>
  <c r="G370" i="10"/>
  <c r="I369" i="10"/>
  <c r="E369" i="10"/>
  <c r="D369" i="10"/>
  <c r="E368" i="10"/>
  <c r="D368" i="10"/>
  <c r="E367" i="10"/>
  <c r="D367" i="10"/>
  <c r="E366" i="10"/>
  <c r="D366" i="10"/>
  <c r="E365" i="10"/>
  <c r="D365" i="10"/>
  <c r="E364" i="10"/>
  <c r="D364" i="10"/>
  <c r="E363" i="10"/>
  <c r="D363" i="10"/>
  <c r="H362" i="10"/>
  <c r="D362" i="10"/>
  <c r="B362" i="10"/>
  <c r="H361" i="10"/>
  <c r="D358" i="10"/>
  <c r="H357" i="10"/>
  <c r="G357" i="10"/>
  <c r="E356" i="10"/>
  <c r="D356" i="10"/>
  <c r="I355" i="10"/>
  <c r="E355" i="10"/>
  <c r="D355" i="10"/>
  <c r="E354" i="10"/>
  <c r="D354" i="10"/>
  <c r="E353" i="10"/>
  <c r="D353" i="10"/>
  <c r="I352" i="10"/>
  <c r="E352" i="10"/>
  <c r="D352" i="10"/>
  <c r="E351" i="10"/>
  <c r="D351" i="10"/>
  <c r="H350" i="10"/>
  <c r="D350" i="10"/>
  <c r="B350" i="10"/>
  <c r="H349" i="10"/>
  <c r="I345" i="10"/>
  <c r="H345" i="10"/>
  <c r="G345" i="10"/>
  <c r="E344" i="10"/>
  <c r="D344" i="10"/>
  <c r="D343" i="10"/>
  <c r="E342" i="10"/>
  <c r="D342" i="10"/>
  <c r="E341" i="10"/>
  <c r="D341" i="10"/>
  <c r="I353" i="10"/>
  <c r="D340" i="10"/>
  <c r="E339" i="10"/>
  <c r="D339" i="10"/>
  <c r="H338" i="10"/>
  <c r="D338" i="10"/>
  <c r="B338" i="10"/>
  <c r="H337" i="10"/>
  <c r="H333" i="10"/>
  <c r="G333" i="10"/>
  <c r="E332" i="10"/>
  <c r="D332" i="10"/>
  <c r="E331" i="10"/>
  <c r="D331" i="10"/>
  <c r="E330" i="10"/>
  <c r="D330" i="10"/>
  <c r="E329" i="10"/>
  <c r="D329" i="10"/>
  <c r="E328" i="10"/>
  <c r="D328" i="10"/>
  <c r="H327" i="10"/>
  <c r="D327" i="10"/>
  <c r="B327" i="10"/>
  <c r="H326" i="10"/>
  <c r="H322" i="10"/>
  <c r="G322" i="10"/>
  <c r="E321" i="10"/>
  <c r="D321" i="10"/>
  <c r="E320" i="10"/>
  <c r="D320" i="10"/>
  <c r="I320" i="10"/>
  <c r="I319" i="10"/>
  <c r="E319" i="10"/>
  <c r="D319" i="10"/>
  <c r="E318" i="10"/>
  <c r="D318" i="10"/>
  <c r="E317" i="10"/>
  <c r="D317" i="10"/>
  <c r="H316" i="10"/>
  <c r="D316" i="10"/>
  <c r="B316" i="10"/>
  <c r="H315" i="10"/>
  <c r="H311" i="10"/>
  <c r="G311" i="10"/>
  <c r="E310" i="10"/>
  <c r="D310" i="10"/>
  <c r="I321" i="10"/>
  <c r="E309" i="10"/>
  <c r="D309" i="10"/>
  <c r="E308" i="10"/>
  <c r="D308" i="10"/>
  <c r="E307" i="10"/>
  <c r="D307" i="10"/>
  <c r="D314" i="10"/>
  <c r="E306" i="10"/>
  <c r="D306" i="10"/>
  <c r="H305" i="10"/>
  <c r="D305" i="10"/>
  <c r="B305" i="10"/>
  <c r="H304" i="10"/>
  <c r="D301" i="10"/>
  <c r="H300" i="10"/>
  <c r="G300" i="10"/>
  <c r="I299" i="10"/>
  <c r="E299" i="10"/>
  <c r="D299" i="10"/>
  <c r="E298" i="10"/>
  <c r="D298" i="10"/>
  <c r="E297" i="10"/>
  <c r="D297" i="10"/>
  <c r="I297" i="10"/>
  <c r="E296" i="10"/>
  <c r="D296" i="10"/>
  <c r="E295" i="10"/>
  <c r="D295" i="10"/>
  <c r="H294" i="10"/>
  <c r="D294" i="10"/>
  <c r="B294" i="10"/>
  <c r="H293" i="10"/>
  <c r="D290" i="10"/>
  <c r="H289" i="10"/>
  <c r="G289" i="10"/>
  <c r="E288" i="10"/>
  <c r="D288" i="10"/>
  <c r="I288" i="10"/>
  <c r="F287" i="10"/>
  <c r="E287" i="10"/>
  <c r="D287" i="10"/>
  <c r="E286" i="10"/>
  <c r="D286" i="10"/>
  <c r="I286" i="10"/>
  <c r="E285" i="10"/>
  <c r="D285" i="10"/>
  <c r="D291" i="10"/>
  <c r="E284" i="10"/>
  <c r="D284" i="10"/>
  <c r="H283" i="10"/>
  <c r="D283" i="10"/>
  <c r="B283" i="10"/>
  <c r="H282" i="10"/>
  <c r="H278" i="10"/>
  <c r="G278" i="10"/>
  <c r="D277" i="10"/>
  <c r="E276" i="10"/>
  <c r="D276" i="10"/>
  <c r="E275" i="10"/>
  <c r="D275" i="10"/>
  <c r="E274" i="10"/>
  <c r="D274" i="10"/>
  <c r="I285" i="10"/>
  <c r="E273" i="10"/>
  <c r="D273" i="10"/>
  <c r="H272" i="10"/>
  <c r="D272" i="10"/>
  <c r="B272" i="10"/>
  <c r="H271" i="10"/>
  <c r="H267" i="10"/>
  <c r="G267" i="10"/>
  <c r="D266" i="10"/>
  <c r="E265" i="10"/>
  <c r="D265" i="10"/>
  <c r="E264" i="10"/>
  <c r="D264" i="10"/>
  <c r="I263" i="10"/>
  <c r="E263" i="10"/>
  <c r="D263" i="10"/>
  <c r="E262" i="10"/>
  <c r="D262" i="10"/>
  <c r="H261" i="10"/>
  <c r="D261" i="10"/>
  <c r="B261" i="10"/>
  <c r="H260" i="10"/>
  <c r="D258" i="10"/>
  <c r="D257" i="10"/>
  <c r="H256" i="10"/>
  <c r="D255" i="10"/>
  <c r="E254" i="10"/>
  <c r="D254" i="10"/>
  <c r="I265" i="10"/>
  <c r="F253" i="10"/>
  <c r="E253" i="10"/>
  <c r="D253" i="10"/>
  <c r="I264" i="10"/>
  <c r="E252" i="10"/>
  <c r="D252" i="10"/>
  <c r="F252" i="10"/>
  <c r="E251" i="10"/>
  <c r="D251" i="10"/>
  <c r="H250" i="10"/>
  <c r="D250" i="10"/>
  <c r="B250" i="10"/>
  <c r="H249" i="10"/>
  <c r="H245" i="10"/>
  <c r="G245" i="10"/>
  <c r="E244" i="10"/>
  <c r="D244" i="10"/>
  <c r="I244" i="10"/>
  <c r="I243" i="10"/>
  <c r="E243" i="10"/>
  <c r="D243" i="10"/>
  <c r="E242" i="10"/>
  <c r="B242" i="10"/>
  <c r="D242" i="10"/>
  <c r="I242" i="10"/>
  <c r="E241" i="10"/>
  <c r="D241" i="10"/>
  <c r="I252" i="10"/>
  <c r="E240" i="10"/>
  <c r="D240" i="10"/>
  <c r="H239" i="10"/>
  <c r="D239" i="10"/>
  <c r="B239" i="10"/>
  <c r="H238" i="10"/>
  <c r="H234" i="10"/>
  <c r="G234" i="10"/>
  <c r="E233" i="10"/>
  <c r="D233" i="10"/>
  <c r="E232" i="10"/>
  <c r="D232" i="10"/>
  <c r="I232" i="10"/>
  <c r="E231" i="10"/>
  <c r="B231" i="10"/>
  <c r="D231" i="10"/>
  <c r="I231" i="10"/>
  <c r="I230" i="10"/>
  <c r="E230" i="10"/>
  <c r="D230" i="10"/>
  <c r="E229" i="10"/>
  <c r="D229" i="10"/>
  <c r="H228" i="10"/>
  <c r="D228" i="10"/>
  <c r="B228" i="10"/>
  <c r="H227" i="10"/>
  <c r="H223" i="10"/>
  <c r="G223" i="10"/>
  <c r="E222" i="10"/>
  <c r="D222" i="10"/>
  <c r="E221" i="10"/>
  <c r="D221" i="10"/>
  <c r="E220" i="10"/>
  <c r="D220" i="10"/>
  <c r="B220" i="10"/>
  <c r="E219" i="10"/>
  <c r="D219" i="10"/>
  <c r="E218" i="10"/>
  <c r="D218" i="10"/>
  <c r="H217" i="10"/>
  <c r="D217" i="10"/>
  <c r="B217" i="10"/>
  <c r="H216" i="10"/>
  <c r="H212" i="10"/>
  <c r="G212" i="10"/>
  <c r="E211" i="10"/>
  <c r="D211" i="10"/>
  <c r="E210" i="10"/>
  <c r="D210" i="10"/>
  <c r="E209" i="10"/>
  <c r="B209" i="10"/>
  <c r="D209" i="10"/>
  <c r="E208" i="10"/>
  <c r="D208" i="10"/>
  <c r="E207" i="10"/>
  <c r="D207" i="10"/>
  <c r="H206" i="10"/>
  <c r="D206" i="10"/>
  <c r="B206" i="10"/>
  <c r="H205" i="10"/>
  <c r="H201" i="10"/>
  <c r="G201" i="10"/>
  <c r="E200" i="10"/>
  <c r="D200" i="10"/>
  <c r="I211" i="10"/>
  <c r="E199" i="10"/>
  <c r="D199" i="10"/>
  <c r="I210" i="10"/>
  <c r="E198" i="10"/>
  <c r="B198" i="10"/>
  <c r="D198" i="10"/>
  <c r="E197" i="10"/>
  <c r="D197" i="10"/>
  <c r="E196" i="10"/>
  <c r="D196" i="10"/>
  <c r="H195" i="10"/>
  <c r="D195" i="10"/>
  <c r="B195" i="10"/>
  <c r="H194" i="10"/>
  <c r="H190" i="10"/>
  <c r="G190" i="10"/>
  <c r="E189" i="10"/>
  <c r="D189" i="10"/>
  <c r="E188" i="10"/>
  <c r="D188" i="10"/>
  <c r="E187" i="10"/>
  <c r="B187" i="10"/>
  <c r="D187" i="10"/>
  <c r="E186" i="10"/>
  <c r="D186" i="10"/>
  <c r="E185" i="10"/>
  <c r="D185" i="10"/>
  <c r="H184" i="10"/>
  <c r="D184" i="10"/>
  <c r="B184" i="10"/>
  <c r="H183" i="10"/>
  <c r="H179" i="10"/>
  <c r="G179" i="10"/>
  <c r="E178" i="10"/>
  <c r="D178" i="10"/>
  <c r="I177" i="10"/>
  <c r="E177" i="10"/>
  <c r="D177" i="10"/>
  <c r="E176" i="10"/>
  <c r="B176" i="10"/>
  <c r="D176" i="10"/>
  <c r="E175" i="10"/>
  <c r="D175" i="10"/>
  <c r="E174" i="10"/>
  <c r="D174" i="10"/>
  <c r="H173" i="10"/>
  <c r="D173" i="10"/>
  <c r="B173" i="10"/>
  <c r="H172" i="10"/>
  <c r="H168" i="10"/>
  <c r="G168" i="10"/>
  <c r="E167" i="10"/>
  <c r="D167" i="10"/>
  <c r="E166" i="10"/>
  <c r="D166" i="10"/>
  <c r="E165" i="10"/>
  <c r="B165" i="10"/>
  <c r="D165" i="10"/>
  <c r="E164" i="10"/>
  <c r="D164" i="10"/>
  <c r="E163" i="10"/>
  <c r="D163" i="10"/>
  <c r="H162" i="10"/>
  <c r="D162" i="10"/>
  <c r="B162" i="10"/>
  <c r="H161" i="10"/>
  <c r="H157" i="10"/>
  <c r="G157" i="10"/>
  <c r="E156" i="10"/>
  <c r="D156" i="10"/>
  <c r="I156" i="10"/>
  <c r="E155" i="10"/>
  <c r="D155" i="10"/>
  <c r="I155" i="10"/>
  <c r="E154" i="10"/>
  <c r="D154" i="10"/>
  <c r="E153" i="10"/>
  <c r="B153" i="10"/>
  <c r="D153" i="10"/>
  <c r="E152" i="10"/>
  <c r="D152" i="10"/>
  <c r="E151" i="10"/>
  <c r="D151" i="10"/>
  <c r="H150" i="10"/>
  <c r="D150" i="10"/>
  <c r="B150" i="10"/>
  <c r="H149" i="10"/>
  <c r="H145" i="10"/>
  <c r="G145" i="10"/>
  <c r="I144" i="10"/>
  <c r="E144" i="10"/>
  <c r="D144" i="10"/>
  <c r="E143" i="10"/>
  <c r="D143" i="10"/>
  <c r="E142" i="10"/>
  <c r="D142" i="10"/>
  <c r="E141" i="10"/>
  <c r="D141" i="10"/>
  <c r="E140" i="10"/>
  <c r="D140" i="10"/>
  <c r="I140" i="10"/>
  <c r="E139" i="10"/>
  <c r="D139" i="10"/>
  <c r="E138" i="10"/>
  <c r="D138" i="10"/>
  <c r="H137" i="10"/>
  <c r="D137" i="10"/>
  <c r="B137" i="10"/>
  <c r="H136" i="10"/>
  <c r="H132" i="10"/>
  <c r="G132" i="10"/>
  <c r="E131" i="10"/>
  <c r="D131" i="10"/>
  <c r="E130" i="10"/>
  <c r="D130" i="10"/>
  <c r="E129" i="10"/>
  <c r="D129" i="10"/>
  <c r="E128" i="10"/>
  <c r="D128" i="10"/>
  <c r="I142" i="10"/>
  <c r="E127" i="10"/>
  <c r="D127" i="10"/>
  <c r="I141" i="10"/>
  <c r="E126" i="10"/>
  <c r="D126" i="10"/>
  <c r="E125" i="10"/>
  <c r="D125" i="10"/>
  <c r="E124" i="10"/>
  <c r="D124" i="10"/>
  <c r="H123" i="10"/>
  <c r="D123" i="10"/>
  <c r="B123" i="10"/>
  <c r="H122" i="10"/>
  <c r="H118" i="10"/>
  <c r="G118" i="10"/>
  <c r="E117" i="10"/>
  <c r="D117" i="10"/>
  <c r="E116" i="10"/>
  <c r="D116" i="10"/>
  <c r="E115" i="10"/>
  <c r="D115" i="10"/>
  <c r="I129" i="10"/>
  <c r="E114" i="10"/>
  <c r="D114" i="10"/>
  <c r="E113" i="10"/>
  <c r="D113" i="10"/>
  <c r="E112" i="10"/>
  <c r="D112" i="10"/>
  <c r="E111" i="10"/>
  <c r="D111" i="10"/>
  <c r="E110" i="10"/>
  <c r="D110" i="10"/>
  <c r="H109" i="10"/>
  <c r="D109" i="10"/>
  <c r="B109" i="10"/>
  <c r="H108" i="10"/>
  <c r="H104" i="10"/>
  <c r="G104" i="10"/>
  <c r="E103" i="10"/>
  <c r="D103" i="10"/>
  <c r="E102" i="10"/>
  <c r="D102" i="10"/>
  <c r="E101" i="10"/>
  <c r="D101" i="10"/>
  <c r="E100" i="10"/>
  <c r="D100" i="10"/>
  <c r="I100" i="10"/>
  <c r="E99" i="10"/>
  <c r="D99" i="10"/>
  <c r="I113" i="10"/>
  <c r="E98" i="10"/>
  <c r="D98" i="10"/>
  <c r="E97" i="10"/>
  <c r="D97" i="10"/>
  <c r="E96" i="10"/>
  <c r="D96" i="10"/>
  <c r="H95" i="10"/>
  <c r="D95" i="10"/>
  <c r="B95" i="10"/>
  <c r="H94" i="10"/>
  <c r="H90" i="10"/>
  <c r="G90" i="10"/>
  <c r="I89" i="10"/>
  <c r="E89" i="10"/>
  <c r="D89" i="10"/>
  <c r="I88" i="10"/>
  <c r="E88" i="10"/>
  <c r="D88" i="10"/>
  <c r="I102" i="10"/>
  <c r="I87" i="10"/>
  <c r="E87" i="10"/>
  <c r="D87" i="10"/>
  <c r="I86" i="10"/>
  <c r="E86" i="10"/>
  <c r="D86" i="10"/>
  <c r="I85" i="10"/>
  <c r="E85" i="10"/>
  <c r="D85" i="10"/>
  <c r="I84" i="10"/>
  <c r="E84" i="10"/>
  <c r="D84" i="10"/>
  <c r="I98" i="10"/>
  <c r="J83" i="10"/>
  <c r="I83" i="10"/>
  <c r="E83" i="10"/>
  <c r="D83" i="10"/>
  <c r="E82" i="10"/>
  <c r="D82" i="10"/>
  <c r="H81" i="10"/>
  <c r="D81" i="10"/>
  <c r="H80" i="10"/>
  <c r="H76" i="10"/>
  <c r="G76" i="10"/>
  <c r="E75" i="10"/>
  <c r="D75" i="10"/>
  <c r="E74" i="10"/>
  <c r="D74" i="10"/>
  <c r="E73" i="10"/>
  <c r="D73" i="10"/>
  <c r="E72" i="10"/>
  <c r="D72" i="10"/>
  <c r="E71" i="10"/>
  <c r="D71" i="10"/>
  <c r="E70" i="10"/>
  <c r="D70" i="10"/>
  <c r="E69" i="10"/>
  <c r="D69" i="10"/>
  <c r="E68" i="10"/>
  <c r="D68" i="10"/>
  <c r="E67" i="10"/>
  <c r="D67" i="10"/>
  <c r="H66" i="10"/>
  <c r="D66" i="10"/>
  <c r="H65" i="10"/>
  <c r="H61" i="10"/>
  <c r="G61" i="10"/>
  <c r="E60" i="10"/>
  <c r="D60" i="10"/>
  <c r="D59" i="10"/>
  <c r="D58" i="10"/>
  <c r="E57" i="10"/>
  <c r="D57" i="10"/>
  <c r="E56" i="10"/>
  <c r="D56" i="10"/>
  <c r="E55" i="10"/>
  <c r="D55" i="10"/>
  <c r="E54" i="10"/>
  <c r="D54" i="10"/>
  <c r="E53" i="10"/>
  <c r="D53" i="10"/>
  <c r="D63" i="10"/>
  <c r="E52" i="10"/>
  <c r="D52" i="10"/>
  <c r="H51" i="10"/>
  <c r="D51" i="10"/>
  <c r="H50" i="10"/>
  <c r="I46" i="10"/>
  <c r="D45" i="10"/>
  <c r="E45" i="10"/>
  <c r="D44" i="10"/>
  <c r="D43" i="10"/>
  <c r="E43" i="10"/>
  <c r="D41" i="10"/>
  <c r="D40" i="10"/>
  <c r="D39" i="10"/>
  <c r="E38" i="10"/>
  <c r="D38" i="10"/>
  <c r="E37" i="10"/>
  <c r="D37" i="10"/>
  <c r="D31" i="10"/>
  <c r="D29" i="10"/>
  <c r="D27" i="10"/>
  <c r="E27" i="10"/>
  <c r="D26" i="10"/>
  <c r="I25" i="10"/>
  <c r="D25" i="10"/>
  <c r="D16" i="10"/>
  <c r="C16" i="10"/>
  <c r="D15" i="10"/>
  <c r="D14" i="10"/>
  <c r="C14" i="10"/>
  <c r="D13" i="10"/>
  <c r="C13" i="10"/>
  <c r="D12" i="10"/>
  <c r="D11" i="10"/>
  <c r="C11" i="10"/>
  <c r="H9" i="10"/>
  <c r="D7" i="10"/>
  <c r="D6" i="10"/>
  <c r="C6" i="10"/>
  <c r="D5" i="10"/>
  <c r="C5" i="10"/>
  <c r="I4" i="10"/>
  <c r="D4" i="10"/>
  <c r="C4" i="10"/>
  <c r="I3" i="10"/>
  <c r="D3" i="10"/>
  <c r="E2" i="10"/>
  <c r="D10" i="10"/>
  <c r="D22" i="10"/>
  <c r="D36" i="10"/>
  <c r="D50" i="10"/>
  <c r="D65" i="10"/>
  <c r="D80" i="10"/>
  <c r="D94" i="10"/>
  <c r="D108" i="10"/>
  <c r="D122" i="10"/>
  <c r="D136" i="10"/>
  <c r="D149" i="10"/>
  <c r="D161" i="10"/>
  <c r="D172" i="10"/>
  <c r="D183" i="10"/>
  <c r="D194" i="10"/>
  <c r="D205" i="10"/>
  <c r="D216" i="10"/>
  <c r="D227" i="10"/>
  <c r="D238" i="10"/>
  <c r="D249" i="10"/>
  <c r="D260" i="10"/>
  <c r="D271" i="10"/>
  <c r="D282" i="10"/>
  <c r="D293" i="10"/>
  <c r="D304" i="10"/>
  <c r="D315" i="10"/>
  <c r="D326" i="10"/>
  <c r="D337" i="10"/>
  <c r="D349" i="10"/>
  <c r="D361" i="10"/>
  <c r="D374" i="10"/>
  <c r="D386" i="10"/>
  <c r="D398" i="10"/>
  <c r="D410" i="10"/>
  <c r="D423" i="10"/>
  <c r="D434" i="10"/>
  <c r="D445" i="10"/>
  <c r="D457" i="10"/>
  <c r="D469" i="10"/>
  <c r="D481" i="10"/>
  <c r="D493" i="10"/>
  <c r="D505" i="10"/>
  <c r="D517" i="10"/>
  <c r="D531" i="10"/>
  <c r="D544" i="10"/>
  <c r="D558" i="10"/>
  <c r="D574" i="10"/>
  <c r="D586" i="10"/>
  <c r="D598" i="10"/>
  <c r="D610" i="10"/>
  <c r="D622" i="10"/>
  <c r="D634" i="10"/>
  <c r="D646" i="10"/>
  <c r="D658" i="10"/>
  <c r="D670" i="10"/>
  <c r="D682" i="10"/>
  <c r="D694" i="10"/>
  <c r="D706" i="10"/>
  <c r="D718" i="10"/>
  <c r="D730" i="10"/>
  <c r="D742" i="10"/>
  <c r="D754" i="10"/>
  <c r="D766" i="10"/>
  <c r="D778" i="10"/>
  <c r="D790" i="10"/>
  <c r="D801" i="10"/>
  <c r="D812" i="10"/>
  <c r="D823" i="10"/>
  <c r="D835" i="10"/>
  <c r="D847" i="10"/>
  <c r="D859" i="10"/>
  <c r="D870" i="10"/>
  <c r="D881" i="10"/>
  <c r="D892" i="10"/>
  <c r="D905" i="10"/>
  <c r="D917" i="10"/>
  <c r="D929" i="10"/>
  <c r="D941" i="10"/>
  <c r="D953" i="10"/>
  <c r="D965" i="10"/>
  <c r="D977" i="10"/>
  <c r="D989" i="10"/>
  <c r="D1002" i="10"/>
  <c r="D1015" i="10"/>
  <c r="D1028" i="10"/>
  <c r="D1041" i="10"/>
  <c r="D1054" i="10"/>
  <c r="D1067" i="10"/>
  <c r="D1080" i="10"/>
  <c r="D1096" i="10"/>
  <c r="D1112" i="10"/>
  <c r="D1128" i="10"/>
  <c r="D1144" i="10"/>
  <c r="D1160" i="10"/>
  <c r="D1176" i="10"/>
  <c r="D1192" i="10"/>
  <c r="D1208" i="10"/>
  <c r="D1224" i="10"/>
  <c r="D1240" i="10"/>
  <c r="D1256" i="10"/>
  <c r="D1271" i="10"/>
  <c r="D1286" i="10"/>
  <c r="D1301" i="10"/>
  <c r="D1316" i="10"/>
  <c r="D1331" i="10"/>
  <c r="D1346" i="10"/>
  <c r="D1360" i="10"/>
  <c r="D1373" i="10"/>
  <c r="D1391" i="10"/>
  <c r="D1409" i="10"/>
  <c r="D1423" i="10"/>
  <c r="D1440" i="10"/>
  <c r="D1456" i="10"/>
  <c r="D1474" i="10"/>
  <c r="D1491" i="10"/>
  <c r="D1509" i="10"/>
  <c r="D1526" i="10"/>
  <c r="D1542" i="10"/>
  <c r="D1556" i="10"/>
  <c r="D1571" i="10"/>
  <c r="D1587" i="10"/>
  <c r="D1603" i="10"/>
  <c r="D1618" i="10"/>
  <c r="D1633" i="10"/>
  <c r="D1648" i="10"/>
  <c r="D1664" i="10"/>
  <c r="D1680" i="10"/>
  <c r="D1694" i="10"/>
  <c r="D1708" i="10"/>
  <c r="D1722" i="10"/>
  <c r="D1736" i="10"/>
  <c r="D1747" i="10"/>
  <c r="F449" i="10"/>
  <c r="F451" i="10"/>
  <c r="E455" i="10"/>
  <c r="F440" i="10"/>
  <c r="F321" i="10"/>
  <c r="F548" i="10"/>
  <c r="F551" i="10"/>
  <c r="F808" i="10"/>
  <c r="F807" i="10"/>
  <c r="F805" i="10"/>
  <c r="D584" i="10"/>
  <c r="R597" i="10"/>
  <c r="D975" i="10"/>
  <c r="I1025" i="10"/>
  <c r="D1078" i="10"/>
  <c r="F1076" i="10"/>
  <c r="F1399" i="10"/>
  <c r="F1395" i="10"/>
  <c r="F1607" i="10"/>
  <c r="F1673" i="10"/>
  <c r="E2017" i="10"/>
  <c r="D2002" i="10"/>
  <c r="E2209" i="10"/>
  <c r="D2195" i="10"/>
  <c r="U2311" i="10"/>
  <c r="T2311" i="10"/>
  <c r="E2418" i="10"/>
  <c r="D2418" i="10"/>
  <c r="S2418" i="10"/>
  <c r="D78" i="10"/>
  <c r="I74" i="10"/>
  <c r="F285" i="10"/>
  <c r="D324" i="10"/>
  <c r="F319" i="10"/>
  <c r="I393" i="10"/>
  <c r="I449" i="10"/>
  <c r="I453" i="10"/>
  <c r="I550" i="10"/>
  <c r="I663" i="10"/>
  <c r="I711" i="10"/>
  <c r="I794" i="10"/>
  <c r="I797" i="10"/>
  <c r="D845" i="10"/>
  <c r="E857" i="10"/>
  <c r="G857" i="10"/>
  <c r="H857" i="10"/>
  <c r="I1115" i="10"/>
  <c r="I1119" i="10"/>
  <c r="D1158" i="10"/>
  <c r="E1185" i="10"/>
  <c r="S2052" i="10"/>
  <c r="T2052" i="10"/>
  <c r="S2127" i="10"/>
  <c r="T2127" i="10"/>
  <c r="T2233" i="10"/>
  <c r="U2233" i="10"/>
  <c r="H5" i="10"/>
  <c r="F15" i="10"/>
  <c r="D48" i="10"/>
  <c r="I111" i="10"/>
  <c r="I176" i="10"/>
  <c r="D313" i="10"/>
  <c r="D515" i="10"/>
  <c r="F511" i="10"/>
  <c r="I535" i="10"/>
  <c r="D572" i="10"/>
  <c r="F564" i="10"/>
  <c r="D596" i="10"/>
  <c r="Z636" i="10"/>
  <c r="D644" i="10"/>
  <c r="Z632" i="10"/>
  <c r="AV639" i="10"/>
  <c r="AU639" i="10"/>
  <c r="D656" i="10"/>
  <c r="D692" i="10"/>
  <c r="I710" i="10"/>
  <c r="I724" i="10"/>
  <c r="I735" i="10"/>
  <c r="D776" i="10"/>
  <c r="E776" i="10"/>
  <c r="G776" i="10"/>
  <c r="H776" i="10"/>
  <c r="I819" i="10"/>
  <c r="F850" i="10"/>
  <c r="F854" i="10"/>
  <c r="I888" i="10"/>
  <c r="F1051" i="10"/>
  <c r="D1039" i="10"/>
  <c r="F1154" i="10"/>
  <c r="D1169" i="10"/>
  <c r="I1169" i="10"/>
  <c r="R1565" i="10"/>
  <c r="S1565" i="10"/>
  <c r="I1565" i="10"/>
  <c r="Q1629" i="10"/>
  <c r="T1684" i="10"/>
  <c r="S1684" i="10"/>
  <c r="E1866" i="10"/>
  <c r="R1866" i="10"/>
  <c r="D1871" i="10"/>
  <c r="E1882" i="10"/>
  <c r="Q1908" i="10"/>
  <c r="S2116" i="10"/>
  <c r="T2116" i="10"/>
  <c r="F29" i="10"/>
  <c r="F40" i="10"/>
  <c r="F46" i="10"/>
  <c r="I131" i="10"/>
  <c r="D225" i="10"/>
  <c r="F220" i="10"/>
  <c r="F254" i="10"/>
  <c r="F256" i="10"/>
  <c r="F288" i="10"/>
  <c r="D335" i="10"/>
  <c r="I403" i="10"/>
  <c r="I461" i="10"/>
  <c r="D491" i="10"/>
  <c r="F491" i="10"/>
  <c r="I510" i="10"/>
  <c r="D620" i="10"/>
  <c r="I855" i="10"/>
  <c r="I999" i="10"/>
  <c r="D1052" i="10"/>
  <c r="I1105" i="10"/>
  <c r="I1147" i="10"/>
  <c r="D1178" i="10"/>
  <c r="E1178" i="10"/>
  <c r="D1165" i="10"/>
  <c r="I1165" i="10"/>
  <c r="I1180" i="10"/>
  <c r="I1305" i="10"/>
  <c r="Q1583" i="10"/>
  <c r="S1687" i="10"/>
  <c r="T1687" i="10"/>
  <c r="T1877" i="10"/>
  <c r="S1877" i="10"/>
  <c r="U3202" i="10"/>
  <c r="T3202" i="10"/>
  <c r="T3268" i="10"/>
  <c r="U3268" i="10"/>
  <c r="T1867" i="10"/>
  <c r="S1867" i="10"/>
  <c r="E29" i="10"/>
  <c r="D92" i="10"/>
  <c r="I188" i="10"/>
  <c r="F255" i="10"/>
  <c r="I287" i="10"/>
  <c r="F286" i="10"/>
  <c r="F289" i="10"/>
  <c r="F448" i="10"/>
  <c r="F450" i="10"/>
  <c r="I565" i="10"/>
  <c r="I589" i="10"/>
  <c r="U625" i="10"/>
  <c r="I649" i="10"/>
  <c r="I652" i="10"/>
  <c r="I675" i="10"/>
  <c r="I721" i="10"/>
  <c r="I725" i="10"/>
  <c r="F842" i="10"/>
  <c r="I973" i="10"/>
  <c r="I1038" i="10"/>
  <c r="F1151" i="10"/>
  <c r="E1182" i="10"/>
  <c r="E1166" i="10"/>
  <c r="I1230" i="10"/>
  <c r="I1432" i="10"/>
  <c r="S1669" i="10"/>
  <c r="T1669" i="10"/>
  <c r="T1818" i="10"/>
  <c r="S1818" i="10"/>
  <c r="D1859" i="10"/>
  <c r="F1882" i="10"/>
  <c r="S2113" i="10"/>
  <c r="T2113" i="10"/>
  <c r="R2178" i="10"/>
  <c r="D2184" i="10"/>
  <c r="U2298" i="10"/>
  <c r="T2298" i="10"/>
  <c r="U2517" i="10"/>
  <c r="T2517" i="10"/>
  <c r="U2585" i="10"/>
  <c r="T2585" i="10"/>
  <c r="S2673" i="10"/>
  <c r="U2673" i="10"/>
  <c r="U2882" i="10"/>
  <c r="T2882" i="10"/>
  <c r="U2919" i="10"/>
  <c r="T2919" i="10"/>
  <c r="C3002" i="10"/>
  <c r="S2999" i="10"/>
  <c r="S3065" i="10"/>
  <c r="D3068" i="10"/>
  <c r="I72" i="10"/>
  <c r="J89" i="10"/>
  <c r="I139" i="10"/>
  <c r="I254" i="10"/>
  <c r="D347" i="10"/>
  <c r="F342" i="10"/>
  <c r="D467" i="10"/>
  <c r="I484" i="10"/>
  <c r="I512" i="10"/>
  <c r="I590" i="10"/>
  <c r="V618" i="10"/>
  <c r="AJ630" i="10"/>
  <c r="AU631" i="10"/>
  <c r="AV631" i="10"/>
  <c r="D668" i="10"/>
  <c r="I665" i="10"/>
  <c r="I808" i="10"/>
  <c r="I913" i="10"/>
  <c r="D1000" i="10"/>
  <c r="I1051" i="10"/>
  <c r="F1121" i="10"/>
  <c r="I1133" i="10"/>
  <c r="D1171" i="10"/>
  <c r="F1171" i="10"/>
  <c r="R1560" i="10"/>
  <c r="S1560" i="10"/>
  <c r="I1560" i="10"/>
  <c r="T1685" i="10"/>
  <c r="S1685" i="10"/>
  <c r="H1911" i="10"/>
  <c r="E2020" i="10"/>
  <c r="D2005" i="10"/>
  <c r="S2065" i="10"/>
  <c r="T2065" i="10"/>
  <c r="S2266" i="10"/>
  <c r="S2267" i="10"/>
  <c r="E2300" i="10"/>
  <c r="D2288" i="10"/>
  <c r="F26" i="10"/>
  <c r="F12" i="10"/>
  <c r="I165" i="10"/>
  <c r="D542" i="10"/>
  <c r="F536" i="10"/>
  <c r="I639" i="10"/>
  <c r="I641" i="10"/>
  <c r="I650" i="10"/>
  <c r="I831" i="10"/>
  <c r="I937" i="10"/>
  <c r="I949" i="10"/>
  <c r="I1401" i="10"/>
  <c r="F1401" i="10"/>
  <c r="S1658" i="10"/>
  <c r="T1658" i="10"/>
  <c r="D1778" i="10"/>
  <c r="E1778" i="10"/>
  <c r="R1773" i="10"/>
  <c r="T1773" i="10"/>
  <c r="S2056" i="10"/>
  <c r="T2056" i="10"/>
  <c r="S2117" i="10"/>
  <c r="T2117" i="10"/>
  <c r="S2131" i="10"/>
  <c r="T2131" i="10"/>
  <c r="E2259" i="10"/>
  <c r="S2245" i="10"/>
  <c r="T2245" i="10"/>
  <c r="T2334" i="10"/>
  <c r="U2334" i="10"/>
  <c r="I1247" i="10"/>
  <c r="I1275" i="10"/>
  <c r="I1292" i="10"/>
  <c r="D1329" i="10"/>
  <c r="I1446" i="10"/>
  <c r="I1477" i="10"/>
  <c r="I1501" i="10"/>
  <c r="I1517" i="10"/>
  <c r="I1530" i="10"/>
  <c r="I1534" i="10"/>
  <c r="Q1567" i="10"/>
  <c r="S1575" i="10"/>
  <c r="T1612" i="10"/>
  <c r="T1657" i="10"/>
  <c r="T1728" i="10"/>
  <c r="T1852" i="10"/>
  <c r="S1855" i="10"/>
  <c r="E1879" i="10"/>
  <c r="D1910" i="10"/>
  <c r="I1912" i="10"/>
  <c r="D1984" i="10"/>
  <c r="E2021" i="10"/>
  <c r="T2111" i="10"/>
  <c r="T2221" i="10"/>
  <c r="D2352" i="10"/>
  <c r="S2345" i="10"/>
  <c r="T2345" i="10"/>
  <c r="E2432" i="10"/>
  <c r="E2415" i="10"/>
  <c r="U2497" i="10"/>
  <c r="T2497" i="10"/>
  <c r="T2493" i="10"/>
  <c r="U2552" i="10"/>
  <c r="T2552" i="10"/>
  <c r="U2634" i="10"/>
  <c r="T2634" i="10"/>
  <c r="U2645" i="10"/>
  <c r="T2645" i="10"/>
  <c r="U2697" i="10"/>
  <c r="T2697" i="10"/>
  <c r="F2784" i="10"/>
  <c r="U2799" i="10"/>
  <c r="T2799" i="10"/>
  <c r="C2873" i="10"/>
  <c r="S2867" i="10"/>
  <c r="I2867" i="10"/>
  <c r="T2937" i="10"/>
  <c r="U2937" i="10"/>
  <c r="C3068" i="10"/>
  <c r="I1562" i="10"/>
  <c r="Q1599" i="10"/>
  <c r="S1595" i="10"/>
  <c r="S1598" i="10"/>
  <c r="Q1690" i="10"/>
  <c r="T1714" i="10"/>
  <c r="T1727" i="10"/>
  <c r="T1844" i="10"/>
  <c r="D2044" i="10"/>
  <c r="S2097" i="10"/>
  <c r="S2118" i="10"/>
  <c r="S2128" i="10"/>
  <c r="U2192" i="10"/>
  <c r="U2275" i="10"/>
  <c r="U2310" i="10"/>
  <c r="T2414" i="10"/>
  <c r="U2414" i="10"/>
  <c r="S2437" i="10"/>
  <c r="Y2428" i="10"/>
  <c r="D2787" i="10"/>
  <c r="F2782" i="10"/>
  <c r="S2779" i="10"/>
  <c r="T2779" i="10"/>
  <c r="F2783" i="10"/>
  <c r="U2842" i="10"/>
  <c r="T2842" i="10"/>
  <c r="U2997" i="10"/>
  <c r="T2997" i="10"/>
  <c r="T3314" i="10"/>
  <c r="U3314" i="10"/>
  <c r="C3331" i="10"/>
  <c r="S3327" i="10"/>
  <c r="U3327" i="10"/>
  <c r="I1293" i="10"/>
  <c r="I1366" i="10"/>
  <c r="I1414" i="10"/>
  <c r="I1431" i="10"/>
  <c r="I1483" i="10"/>
  <c r="I1518" i="10"/>
  <c r="I1574" i="10"/>
  <c r="I1596" i="10"/>
  <c r="F1598" i="10"/>
  <c r="S1612" i="10"/>
  <c r="S1624" i="10"/>
  <c r="S1626" i="10"/>
  <c r="S1628" i="10"/>
  <c r="Q1743" i="10"/>
  <c r="S1774" i="10"/>
  <c r="S1844" i="10"/>
  <c r="S1864" i="10"/>
  <c r="E1868" i="10"/>
  <c r="Q1880" i="10"/>
  <c r="E1878" i="10"/>
  <c r="T1879" i="10"/>
  <c r="E1906" i="10"/>
  <c r="T1918" i="10"/>
  <c r="R1930" i="10"/>
  <c r="R1937" i="10"/>
  <c r="R1938" i="10"/>
  <c r="R1936" i="10"/>
  <c r="E1949" i="10"/>
  <c r="E1975" i="10"/>
  <c r="E1977" i="10"/>
  <c r="E1979" i="10"/>
  <c r="E1981" i="10"/>
  <c r="T2026" i="10"/>
  <c r="T2097" i="10"/>
  <c r="S2114" i="10"/>
  <c r="T2118" i="10"/>
  <c r="D2173" i="10"/>
  <c r="U2221" i="10"/>
  <c r="T2259" i="10"/>
  <c r="U2262" i="10"/>
  <c r="D2284" i="10"/>
  <c r="D2287" i="10"/>
  <c r="S2287" i="10"/>
  <c r="E2299" i="10"/>
  <c r="U2450" i="10"/>
  <c r="R2574" i="10"/>
  <c r="U2589" i="10"/>
  <c r="T2589" i="10"/>
  <c r="T2580" i="10"/>
  <c r="D2756" i="10"/>
  <c r="S2747" i="10"/>
  <c r="F2747" i="10"/>
  <c r="C3377" i="10"/>
  <c r="S3372" i="10"/>
  <c r="C3376" i="10"/>
  <c r="D1206" i="10"/>
  <c r="I1351" i="10"/>
  <c r="D1540" i="10"/>
  <c r="AC620" i="10"/>
  <c r="I1593" i="10"/>
  <c r="T1611" i="10"/>
  <c r="S1613" i="10"/>
  <c r="Q1704" i="10"/>
  <c r="E1809" i="10"/>
  <c r="S1831" i="10"/>
  <c r="S1854" i="10"/>
  <c r="E1865" i="10"/>
  <c r="R1876" i="10"/>
  <c r="S1879" i="10"/>
  <c r="S1918" i="10"/>
  <c r="R1921" i="10"/>
  <c r="E1931" i="10"/>
  <c r="E2003" i="10"/>
  <c r="D2010" i="10"/>
  <c r="R2010" i="10"/>
  <c r="E2022" i="10"/>
  <c r="T2114" i="10"/>
  <c r="U2259" i="10"/>
  <c r="E2261" i="10"/>
  <c r="U2264" i="10"/>
  <c r="D2286" i="10"/>
  <c r="S2286" i="10"/>
  <c r="T2701" i="10"/>
  <c r="U2701" i="10"/>
  <c r="R2738" i="10"/>
  <c r="T2734" i="10"/>
  <c r="U2734" i="10"/>
  <c r="N3249" i="10"/>
  <c r="I1246" i="10"/>
  <c r="I1279" i="10"/>
  <c r="D1299" i="10"/>
  <c r="I1495" i="10"/>
  <c r="I1533" i="10"/>
  <c r="I1590" i="10"/>
  <c r="Q1660" i="10"/>
  <c r="Q1754" i="10"/>
  <c r="E1806" i="10"/>
  <c r="Q1857" i="10"/>
  <c r="E1891" i="10"/>
  <c r="E1893" i="10"/>
  <c r="E1902" i="10"/>
  <c r="S2067" i="10"/>
  <c r="S2096" i="10"/>
  <c r="D2121" i="10"/>
  <c r="AD636" i="10"/>
  <c r="D2193" i="10"/>
  <c r="D2285" i="10"/>
  <c r="T2335" i="10"/>
  <c r="T2402" i="10"/>
  <c r="U2402" i="10"/>
  <c r="U2551" i="10"/>
  <c r="T2551" i="10"/>
  <c r="T2648" i="10"/>
  <c r="U2648" i="10"/>
  <c r="T2752" i="10"/>
  <c r="U2752" i="10"/>
  <c r="U2881" i="10"/>
  <c r="T2881" i="10"/>
  <c r="U3039" i="10"/>
  <c r="T3039" i="10"/>
  <c r="T3239" i="10"/>
  <c r="U3239" i="10"/>
  <c r="I1231" i="10"/>
  <c r="I1385" i="10"/>
  <c r="F1402" i="10"/>
  <c r="D1421" i="10"/>
  <c r="I1484" i="10"/>
  <c r="I1498" i="10"/>
  <c r="I1506" i="10"/>
  <c r="R1562" i="10"/>
  <c r="S1562" i="10"/>
  <c r="R1591" i="10"/>
  <c r="S1591" i="10"/>
  <c r="Q1614" i="10"/>
  <c r="D1678" i="10"/>
  <c r="F1714" i="10"/>
  <c r="R1796" i="10"/>
  <c r="R1799" i="10"/>
  <c r="R1800" i="10"/>
  <c r="D1812" i="10"/>
  <c r="Q1833" i="10"/>
  <c r="T2066" i="10"/>
  <c r="S2071" i="10"/>
  <c r="X2099" i="10"/>
  <c r="S2179" i="10"/>
  <c r="T2180" i="10"/>
  <c r="T2190" i="10"/>
  <c r="U2235" i="10"/>
  <c r="U2261" i="10"/>
  <c r="E2265" i="10"/>
  <c r="E2285" i="10"/>
  <c r="U2349" i="10"/>
  <c r="T2401" i="10"/>
  <c r="U2401" i="10"/>
  <c r="U2519" i="10"/>
  <c r="T2519" i="10"/>
  <c r="U2555" i="10"/>
  <c r="T2555" i="10"/>
  <c r="U2996" i="10"/>
  <c r="T2996" i="10"/>
  <c r="I1289" i="10"/>
  <c r="I1304" i="10"/>
  <c r="I1309" i="10"/>
  <c r="I1504" i="10"/>
  <c r="Q1529" i="10"/>
  <c r="Q1536" i="10"/>
  <c r="I1563" i="10"/>
  <c r="R1574" i="10"/>
  <c r="D1585" i="10"/>
  <c r="E1601" i="10"/>
  <c r="I1592" i="10"/>
  <c r="R1596" i="10"/>
  <c r="S1596" i="10"/>
  <c r="S1611" i="10"/>
  <c r="T1613" i="10"/>
  <c r="S1621" i="10"/>
  <c r="S1623" i="10"/>
  <c r="S1625" i="10"/>
  <c r="S1627" i="10"/>
  <c r="Q1776" i="10"/>
  <c r="E1808" i="10"/>
  <c r="T1817" i="10"/>
  <c r="T1854" i="10"/>
  <c r="R1865" i="10"/>
  <c r="S1868" i="10"/>
  <c r="S1878" i="10"/>
  <c r="E1905" i="10"/>
  <c r="E1907" i="10"/>
  <c r="R1920" i="10"/>
  <c r="T1920" i="10"/>
  <c r="T1931" i="10"/>
  <c r="E1974" i="10"/>
  <c r="E1976" i="10"/>
  <c r="E1978" i="10"/>
  <c r="E1980" i="10"/>
  <c r="D2029" i="10"/>
  <c r="E2044" i="10"/>
  <c r="T2070" i="10"/>
  <c r="T2168" i="10"/>
  <c r="S2181" i="10"/>
  <c r="U2248" i="10"/>
  <c r="U2323" i="10"/>
  <c r="U2369" i="10"/>
  <c r="D2406" i="10"/>
  <c r="F2397" i="10"/>
  <c r="T2400" i="10"/>
  <c r="T2451" i="10"/>
  <c r="R2487" i="10"/>
  <c r="U2518" i="10"/>
  <c r="T2518" i="10"/>
  <c r="T2751" i="10"/>
  <c r="U2751" i="10"/>
  <c r="U2886" i="10"/>
  <c r="T2886" i="10"/>
  <c r="U3179" i="10"/>
  <c r="T3179" i="10"/>
  <c r="U2448" i="10"/>
  <c r="T2533" i="10"/>
  <c r="S2599" i="10"/>
  <c r="T2599" i="10"/>
  <c r="C2624" i="10"/>
  <c r="E2616" i="10"/>
  <c r="S2646" i="10"/>
  <c r="U2646" i="10"/>
  <c r="U2662" i="10"/>
  <c r="U2693" i="10"/>
  <c r="U2733" i="10"/>
  <c r="R2814" i="10"/>
  <c r="S2840" i="10"/>
  <c r="T2840" i="10"/>
  <c r="U2934" i="10"/>
  <c r="T2951" i="10"/>
  <c r="D3107" i="10"/>
  <c r="E3107" i="10"/>
  <c r="R3118" i="10"/>
  <c r="U3218" i="10"/>
  <c r="T3252" i="10"/>
  <c r="T3253" i="10"/>
  <c r="R2404" i="10"/>
  <c r="R2558" i="10"/>
  <c r="U2553" i="10"/>
  <c r="E2615" i="10"/>
  <c r="D2638" i="10"/>
  <c r="AI617" i="10"/>
  <c r="R2871" i="10"/>
  <c r="S3115" i="10"/>
  <c r="T3130" i="10"/>
  <c r="C3169" i="10"/>
  <c r="T3223" i="10"/>
  <c r="U3252" i="10"/>
  <c r="U3253" i="10"/>
  <c r="S3267" i="10"/>
  <c r="D2340" i="10"/>
  <c r="E2352" i="10"/>
  <c r="U2388" i="10"/>
  <c r="E2388" i="10"/>
  <c r="T2463" i="10"/>
  <c r="T2499" i="10"/>
  <c r="U2501" i="10"/>
  <c r="D2524" i="10"/>
  <c r="F2521" i="10"/>
  <c r="R2522" i="10"/>
  <c r="U2516" i="10"/>
  <c r="T2556" i="10"/>
  <c r="T2546" i="10"/>
  <c r="D2652" i="10"/>
  <c r="U2695" i="10"/>
  <c r="T2737" i="10"/>
  <c r="U2936" i="10"/>
  <c r="C3041" i="10"/>
  <c r="R3148" i="10"/>
  <c r="R3285" i="10"/>
  <c r="T2388" i="10"/>
  <c r="U2432" i="10"/>
  <c r="U2433" i="10"/>
  <c r="T2501" i="10"/>
  <c r="T2516" i="10"/>
  <c r="F2583" i="10"/>
  <c r="D2704" i="10"/>
  <c r="F2697" i="10"/>
  <c r="U2798" i="10"/>
  <c r="D2859" i="10"/>
  <c r="AI620" i="10"/>
  <c r="AF635" i="10"/>
  <c r="AV635" i="10"/>
  <c r="D2940" i="10"/>
  <c r="C2956" i="10"/>
  <c r="D2956" i="10"/>
  <c r="E2956" i="10"/>
  <c r="E2972" i="10"/>
  <c r="D3332" i="10"/>
  <c r="F3329" i="10"/>
  <c r="R3375" i="10"/>
  <c r="D2377" i="10"/>
  <c r="T2371" i="10"/>
  <c r="AA2431" i="10"/>
  <c r="U2449" i="10"/>
  <c r="T2468" i="10"/>
  <c r="R2540" i="10"/>
  <c r="U2584" i="10"/>
  <c r="R2622" i="10"/>
  <c r="T2617" i="10"/>
  <c r="R2636" i="10"/>
  <c r="E2645" i="10"/>
  <c r="R2650" i="10"/>
  <c r="D2725" i="10"/>
  <c r="U2715" i="10"/>
  <c r="U2853" i="10"/>
  <c r="T2888" i="10"/>
  <c r="R2906" i="10"/>
  <c r="U2933" i="10"/>
  <c r="S2995" i="10"/>
  <c r="R3040" i="10"/>
  <c r="U3104" i="10"/>
  <c r="U3158" i="10"/>
  <c r="U3167" i="10"/>
  <c r="R3187" i="10"/>
  <c r="S2622" i="10"/>
  <c r="S2623" i="10"/>
  <c r="U2631" i="10"/>
  <c r="E2648" i="10"/>
  <c r="F2753" i="10"/>
  <c r="R2770" i="10"/>
  <c r="S2857" i="10"/>
  <c r="U2920" i="10"/>
  <c r="U2935" i="10"/>
  <c r="F2950" i="10"/>
  <c r="R2970" i="10"/>
  <c r="T2998" i="10"/>
  <c r="R3053" i="10"/>
  <c r="C3067" i="10"/>
  <c r="C3093" i="10"/>
  <c r="T3129" i="10"/>
  <c r="T3144" i="10"/>
  <c r="Z3152" i="10"/>
  <c r="U3184" i="10"/>
  <c r="U3185" i="10"/>
  <c r="T3224" i="10"/>
  <c r="U3269" i="10"/>
  <c r="T2453" i="10"/>
  <c r="S2496" i="10"/>
  <c r="S2513" i="10"/>
  <c r="D2560" i="10"/>
  <c r="AI616" i="10"/>
  <c r="R2702" i="10"/>
  <c r="T2695" i="10"/>
  <c r="T2698" i="10"/>
  <c r="U2699" i="10"/>
  <c r="F2722" i="10"/>
  <c r="D2830" i="10"/>
  <c r="F3015" i="10"/>
  <c r="M2875" i="10"/>
  <c r="Q2875" i="10"/>
  <c r="R2891" i="10"/>
  <c r="S2932" i="10"/>
  <c r="T2964" i="10"/>
  <c r="U2981" i="10"/>
  <c r="E2981" i="10"/>
  <c r="U3116" i="10"/>
  <c r="T3143" i="10"/>
  <c r="E3346" i="10"/>
  <c r="T3344" i="10"/>
  <c r="AO620" i="10"/>
  <c r="E63" i="10"/>
  <c r="F115" i="10"/>
  <c r="F68" i="10"/>
  <c r="F72" i="10"/>
  <c r="F63" i="10"/>
  <c r="F117" i="10"/>
  <c r="F102" i="10"/>
  <c r="F69" i="10"/>
  <c r="F71" i="10"/>
  <c r="F57" i="10"/>
  <c r="F113" i="10"/>
  <c r="F111" i="10"/>
  <c r="F98" i="10"/>
  <c r="F14" i="10"/>
  <c r="F78" i="10"/>
  <c r="E78" i="10"/>
  <c r="F28" i="10"/>
  <c r="F16" i="10"/>
  <c r="F39" i="10"/>
  <c r="F45" i="10"/>
  <c r="F42" i="10"/>
  <c r="F27" i="10"/>
  <c r="F41" i="10"/>
  <c r="F30" i="10"/>
  <c r="F54" i="10"/>
  <c r="F58" i="10"/>
  <c r="J111" i="10"/>
  <c r="F75" i="10"/>
  <c r="F55" i="10"/>
  <c r="F60" i="10"/>
  <c r="F88" i="10"/>
  <c r="F86" i="10"/>
  <c r="F84" i="10"/>
  <c r="F92" i="10"/>
  <c r="E92" i="10"/>
  <c r="F89" i="10"/>
  <c r="F87" i="10"/>
  <c r="F85" i="10"/>
  <c r="F43" i="10"/>
  <c r="F56" i="10"/>
  <c r="E26" i="10"/>
  <c r="E30" i="10"/>
  <c r="E40" i="10"/>
  <c r="F44" i="10"/>
  <c r="I68" i="10"/>
  <c r="I70" i="10"/>
  <c r="I73" i="10"/>
  <c r="F101" i="10"/>
  <c r="I115" i="10"/>
  <c r="I101" i="10"/>
  <c r="I130" i="10"/>
  <c r="F116" i="10"/>
  <c r="D147" i="10"/>
  <c r="F143" i="10"/>
  <c r="I474" i="10"/>
  <c r="F474" i="10"/>
  <c r="F11" i="10"/>
  <c r="D19" i="10"/>
  <c r="E44" i="10"/>
  <c r="I71" i="10"/>
  <c r="F83" i="10"/>
  <c r="F242" i="10"/>
  <c r="I253" i="10"/>
  <c r="D396" i="10"/>
  <c r="F389" i="10"/>
  <c r="I389" i="10"/>
  <c r="I401" i="10"/>
  <c r="F690" i="10"/>
  <c r="F786" i="10"/>
  <c r="F738" i="10"/>
  <c r="F750" i="10"/>
  <c r="F748" i="10"/>
  <c r="F724" i="10"/>
  <c r="F722" i="10"/>
  <c r="F726" i="10"/>
  <c r="F714" i="10"/>
  <c r="F783" i="10"/>
  <c r="F734" i="10"/>
  <c r="F687" i="10"/>
  <c r="F650" i="10"/>
  <c r="F641" i="10"/>
  <c r="F630" i="10"/>
  <c r="F605" i="10"/>
  <c r="F591" i="10"/>
  <c r="F589" i="10"/>
  <c r="F568" i="10"/>
  <c r="F785" i="10"/>
  <c r="F774" i="10"/>
  <c r="F721" i="10"/>
  <c r="F702" i="10"/>
  <c r="F689" i="10"/>
  <c r="F642" i="10"/>
  <c r="F627" i="10"/>
  <c r="F618" i="10"/>
  <c r="F723" i="10"/>
  <c r="F661" i="10"/>
  <c r="F735" i="10"/>
  <c r="F712" i="10"/>
  <c r="F651" i="10"/>
  <c r="F638" i="10"/>
  <c r="F579" i="10"/>
  <c r="F577" i="10"/>
  <c r="F567" i="10"/>
  <c r="F565" i="10"/>
  <c r="F563" i="10"/>
  <c r="F561" i="10"/>
  <c r="F762" i="10"/>
  <c r="F686" i="10"/>
  <c r="F663" i="10"/>
  <c r="F637" i="10"/>
  <c r="F628" i="10"/>
  <c r="F784" i="10"/>
  <c r="F725" i="10"/>
  <c r="F688" i="10"/>
  <c r="F666" i="10"/>
  <c r="F654" i="10"/>
  <c r="F649" i="10"/>
  <c r="F594" i="10"/>
  <c r="F572" i="10"/>
  <c r="F665" i="10"/>
  <c r="E572" i="10"/>
  <c r="F617" i="10"/>
  <c r="F566" i="10"/>
  <c r="F685" i="10"/>
  <c r="F578" i="10"/>
  <c r="F677" i="10"/>
  <c r="F582" i="10"/>
  <c r="F562" i="10"/>
  <c r="F747" i="10"/>
  <c r="F662" i="10"/>
  <c r="F593" i="10"/>
  <c r="F590" i="10"/>
  <c r="C7" i="10"/>
  <c r="C12" i="10"/>
  <c r="C15" i="10"/>
  <c r="F31" i="10"/>
  <c r="E41" i="10"/>
  <c r="I69" i="10"/>
  <c r="F73" i="10"/>
  <c r="I90" i="10"/>
  <c r="F99" i="10"/>
  <c r="I99" i="10"/>
  <c r="J103" i="10"/>
  <c r="I128" i="10"/>
  <c r="F114" i="10"/>
  <c r="I116" i="10"/>
  <c r="I152" i="10"/>
  <c r="D159" i="10"/>
  <c r="D170" i="10"/>
  <c r="F165" i="10"/>
  <c r="I164" i="10"/>
  <c r="I187" i="10"/>
  <c r="I298" i="10"/>
  <c r="F324" i="10"/>
  <c r="I499" i="10"/>
  <c r="I511" i="10"/>
  <c r="C3" i="10"/>
  <c r="H2" i="10"/>
  <c r="H3" i="10"/>
  <c r="H4" i="10"/>
  <c r="H6" i="10"/>
  <c r="E31" i="10"/>
  <c r="D106" i="10"/>
  <c r="I97" i="10"/>
  <c r="I126" i="10"/>
  <c r="F112" i="10"/>
  <c r="D120" i="10"/>
  <c r="I178" i="10"/>
  <c r="F167" i="10"/>
  <c r="F7" i="10"/>
  <c r="F25" i="10"/>
  <c r="I114" i="10"/>
  <c r="D134" i="10"/>
  <c r="I333" i="10"/>
  <c r="F335" i="10"/>
  <c r="E335" i="10"/>
  <c r="F479" i="10"/>
  <c r="E479" i="10"/>
  <c r="F537" i="10"/>
  <c r="F535" i="10"/>
  <c r="H542" i="10"/>
  <c r="F534" i="10"/>
  <c r="D8" i="10"/>
  <c r="F4" i="10"/>
  <c r="E25" i="10"/>
  <c r="D34" i="10"/>
  <c r="E34" i="10"/>
  <c r="E39" i="10"/>
  <c r="F74" i="10"/>
  <c r="F97" i="10"/>
  <c r="I112" i="10"/>
  <c r="I118" i="10"/>
  <c r="I127" i="10"/>
  <c r="I153" i="10"/>
  <c r="I167" i="10"/>
  <c r="I219" i="10"/>
  <c r="D214" i="10"/>
  <c r="I208" i="10"/>
  <c r="I364" i="10"/>
  <c r="D372" i="10"/>
  <c r="I368" i="10"/>
  <c r="F368" i="10"/>
  <c r="I404" i="10"/>
  <c r="I614" i="10"/>
  <c r="I602" i="10"/>
  <c r="F602" i="10"/>
  <c r="F13" i="10"/>
  <c r="F53" i="10"/>
  <c r="F59" i="10"/>
  <c r="F100" i="10"/>
  <c r="F103" i="10"/>
  <c r="I117" i="10"/>
  <c r="I103" i="10"/>
  <c r="I154" i="10"/>
  <c r="I222" i="10"/>
  <c r="F222" i="10"/>
  <c r="I233" i="10"/>
  <c r="I429" i="10"/>
  <c r="I486" i="10"/>
  <c r="I489" i="10"/>
  <c r="F70" i="10"/>
  <c r="I75" i="10"/>
  <c r="I143" i="10"/>
  <c r="I145" i="10"/>
  <c r="I189" i="10"/>
  <c r="I209" i="10"/>
  <c r="F487" i="10"/>
  <c r="F584" i="10"/>
  <c r="E584" i="10"/>
  <c r="F230" i="10"/>
  <c r="D236" i="10"/>
  <c r="F231" i="10"/>
  <c r="I308" i="10"/>
  <c r="F308" i="10"/>
  <c r="I329" i="10"/>
  <c r="F329" i="10"/>
  <c r="F347" i="10"/>
  <c r="I380" i="10"/>
  <c r="I415" i="10"/>
  <c r="I465" i="10"/>
  <c r="F550" i="10"/>
  <c r="Z617" i="10"/>
  <c r="F656" i="10"/>
  <c r="U653" i="10"/>
  <c r="U654" i="10"/>
  <c r="F761" i="10"/>
  <c r="I626" i="10"/>
  <c r="I638" i="10"/>
  <c r="F626" i="10"/>
  <c r="F680" i="10"/>
  <c r="E680" i="10"/>
  <c r="F692" i="10"/>
  <c r="I197" i="10"/>
  <c r="F264" i="10"/>
  <c r="I275" i="10"/>
  <c r="I309" i="10"/>
  <c r="F309" i="10"/>
  <c r="I330" i="10"/>
  <c r="F330" i="10"/>
  <c r="I377" i="10"/>
  <c r="D384" i="10"/>
  <c r="F380" i="10"/>
  <c r="F377" i="10"/>
  <c r="I381" i="10"/>
  <c r="F393" i="10"/>
  <c r="I416" i="10"/>
  <c r="F416" i="10"/>
  <c r="F455" i="10"/>
  <c r="F463" i="10"/>
  <c r="F461" i="10"/>
  <c r="E467" i="10"/>
  <c r="F614" i="10"/>
  <c r="I198" i="10"/>
  <c r="F276" i="10"/>
  <c r="D280" i="10"/>
  <c r="F275" i="10"/>
  <c r="D303" i="10"/>
  <c r="D302" i="10"/>
  <c r="F313" i="10"/>
  <c r="E324" i="10"/>
  <c r="I365" i="10"/>
  <c r="F365" i="10"/>
  <c r="F369" i="10"/>
  <c r="I390" i="10"/>
  <c r="F390" i="10"/>
  <c r="I426" i="10"/>
  <c r="I437" i="10"/>
  <c r="F438" i="10"/>
  <c r="D503" i="10"/>
  <c r="F499" i="10"/>
  <c r="D529" i="10"/>
  <c r="F523" i="10"/>
  <c r="F521" i="10"/>
  <c r="F580" i="10"/>
  <c r="Z616" i="10"/>
  <c r="F596" i="10"/>
  <c r="E596" i="10"/>
  <c r="Z631" i="10"/>
  <c r="I601" i="10"/>
  <c r="I606" i="10"/>
  <c r="F601" i="10"/>
  <c r="D608" i="10"/>
  <c r="F604" i="10"/>
  <c r="F678" i="10"/>
  <c r="F716" i="10"/>
  <c r="E716" i="10"/>
  <c r="Z634" i="10"/>
  <c r="F728" i="10"/>
  <c r="F796" i="10"/>
  <c r="Z635" i="10"/>
  <c r="F794" i="10"/>
  <c r="Z620" i="10"/>
  <c r="F797" i="10"/>
  <c r="I186" i="10"/>
  <c r="D203" i="10"/>
  <c r="F198" i="10"/>
  <c r="I241" i="10"/>
  <c r="F241" i="10"/>
  <c r="D247" i="10"/>
  <c r="F244" i="10"/>
  <c r="I310" i="10"/>
  <c r="F310" i="10"/>
  <c r="I331" i="10"/>
  <c r="F331" i="10"/>
  <c r="I378" i="10"/>
  <c r="F378" i="10"/>
  <c r="I413" i="10"/>
  <c r="D421" i="10"/>
  <c r="F415" i="10"/>
  <c r="I551" i="10"/>
  <c r="F538" i="10"/>
  <c r="I592" i="10"/>
  <c r="I594" i="10"/>
  <c r="F592" i="10"/>
  <c r="E692" i="10"/>
  <c r="F704" i="10"/>
  <c r="Z633" i="10"/>
  <c r="Z618" i="10"/>
  <c r="E704" i="10"/>
  <c r="I1521" i="10"/>
  <c r="I1537" i="10"/>
  <c r="I125" i="10"/>
  <c r="I166" i="10"/>
  <c r="I175" i="10"/>
  <c r="D192" i="10"/>
  <c r="F187" i="10"/>
  <c r="I199" i="10"/>
  <c r="F199" i="10"/>
  <c r="I220" i="10"/>
  <c r="I276" i="10"/>
  <c r="D281" i="10"/>
  <c r="I296" i="10"/>
  <c r="F318" i="10"/>
  <c r="F320" i="10"/>
  <c r="I322" i="10"/>
  <c r="D336" i="10"/>
  <c r="I356" i="10"/>
  <c r="I366" i="10"/>
  <c r="F366" i="10"/>
  <c r="I391" i="10"/>
  <c r="F391" i="10"/>
  <c r="I402" i="10"/>
  <c r="I427" i="10"/>
  <c r="I438" i="10"/>
  <c r="I472" i="10"/>
  <c r="F472" i="10"/>
  <c r="I488" i="10"/>
  <c r="I476" i="10"/>
  <c r="I497" i="10"/>
  <c r="I521" i="10"/>
  <c r="I527" i="10"/>
  <c r="F552" i="10"/>
  <c r="F549" i="10"/>
  <c r="F547" i="10"/>
  <c r="F556" i="10"/>
  <c r="E556" i="10"/>
  <c r="F569" i="10"/>
  <c r="F606" i="10"/>
  <c r="D632" i="10"/>
  <c r="F640" i="10"/>
  <c r="F653" i="10"/>
  <c r="D821" i="10"/>
  <c r="F818" i="10"/>
  <c r="I307" i="10"/>
  <c r="F307" i="10"/>
  <c r="I318" i="10"/>
  <c r="I332" i="10"/>
  <c r="F332" i="10"/>
  <c r="I379" i="10"/>
  <c r="I414" i="10"/>
  <c r="F414" i="10"/>
  <c r="F439" i="10"/>
  <c r="F437" i="10"/>
  <c r="F570" i="10"/>
  <c r="F581" i="10"/>
  <c r="I593" i="10"/>
  <c r="F603" i="10"/>
  <c r="X645" i="10"/>
  <c r="V652" i="10"/>
  <c r="V655" i="10"/>
  <c r="V653" i="10"/>
  <c r="V650" i="10"/>
  <c r="I783" i="10"/>
  <c r="I771" i="10"/>
  <c r="F771" i="10"/>
  <c r="D181" i="10"/>
  <c r="F177" i="10"/>
  <c r="I200" i="10"/>
  <c r="I221" i="10"/>
  <c r="D269" i="10"/>
  <c r="F263" i="10"/>
  <c r="I274" i="10"/>
  <c r="E347" i="10"/>
  <c r="D359" i="10"/>
  <c r="I354" i="10"/>
  <c r="I367" i="10"/>
  <c r="F367" i="10"/>
  <c r="I392" i="10"/>
  <c r="F392" i="10"/>
  <c r="J393" i="10"/>
  <c r="I428" i="10"/>
  <c r="F428" i="10"/>
  <c r="D432" i="10"/>
  <c r="E443" i="10"/>
  <c r="F539" i="10"/>
  <c r="I570" i="10"/>
  <c r="D325" i="10"/>
  <c r="F473" i="10"/>
  <c r="F475" i="10"/>
  <c r="F498" i="10"/>
  <c r="Z608" i="10"/>
  <c r="Z612" i="10"/>
  <c r="F613" i="10"/>
  <c r="F616" i="10"/>
  <c r="F652" i="10"/>
  <c r="I687" i="10"/>
  <c r="F675" i="10"/>
  <c r="F700" i="10"/>
  <c r="I722" i="10"/>
  <c r="F733" i="10"/>
  <c r="F737" i="10"/>
  <c r="F758" i="10"/>
  <c r="F782" i="10"/>
  <c r="D927" i="10"/>
  <c r="D1013" i="10"/>
  <c r="F1026" i="10"/>
  <c r="I1307" i="10"/>
  <c r="I1313" i="10"/>
  <c r="R1637" i="10"/>
  <c r="F1637" i="10"/>
  <c r="R1639" i="10"/>
  <c r="F1639" i="10"/>
  <c r="R1641" i="10"/>
  <c r="F1641" i="10"/>
  <c r="R2006" i="10"/>
  <c r="E2006" i="10"/>
  <c r="D292" i="10"/>
  <c r="I473" i="10"/>
  <c r="I475" i="10"/>
  <c r="I496" i="10"/>
  <c r="I498" i="10"/>
  <c r="I613" i="10"/>
  <c r="I616" i="10"/>
  <c r="I697" i="10"/>
  <c r="F697" i="10"/>
  <c r="I709" i="10"/>
  <c r="F746" i="10"/>
  <c r="I772" i="10"/>
  <c r="F772" i="10"/>
  <c r="F804" i="10"/>
  <c r="F806" i="10"/>
  <c r="D868" i="10"/>
  <c r="F862" i="10"/>
  <c r="D939" i="10"/>
  <c r="F934" i="10"/>
  <c r="I1012" i="10"/>
  <c r="Z625" i="10"/>
  <c r="E1026" i="10"/>
  <c r="I1229" i="10"/>
  <c r="I1245" i="10"/>
  <c r="D1238" i="10"/>
  <c r="T1806" i="10"/>
  <c r="S1806" i="10"/>
  <c r="T1808" i="10"/>
  <c r="S1808" i="10"/>
  <c r="R1840" i="10"/>
  <c r="D1847" i="10"/>
  <c r="F1859" i="10"/>
  <c r="E668" i="10"/>
  <c r="F769" i="10"/>
  <c r="F839" i="10"/>
  <c r="F843" i="10"/>
  <c r="F959" i="10"/>
  <c r="F973" i="10"/>
  <c r="F987" i="10"/>
  <c r="F985" i="10"/>
  <c r="E987" i="10"/>
  <c r="E1000" i="10"/>
  <c r="Z624" i="10"/>
  <c r="F998" i="10"/>
  <c r="I508" i="10"/>
  <c r="I534" i="10"/>
  <c r="I540" i="10"/>
  <c r="I536" i="10"/>
  <c r="AJ617" i="10"/>
  <c r="I625" i="10"/>
  <c r="I630" i="10"/>
  <c r="AD625" i="10"/>
  <c r="U626" i="10"/>
  <c r="AO636" i="10"/>
  <c r="I637" i="10"/>
  <c r="I664" i="10"/>
  <c r="F668" i="10"/>
  <c r="I685" i="10"/>
  <c r="F673" i="10"/>
  <c r="F676" i="10"/>
  <c r="I686" i="10"/>
  <c r="F698" i="10"/>
  <c r="I701" i="10"/>
  <c r="F701" i="10"/>
  <c r="I759" i="10"/>
  <c r="F759" i="10"/>
  <c r="I785" i="10"/>
  <c r="I773" i="10"/>
  <c r="F773" i="10"/>
  <c r="F841" i="10"/>
  <c r="I866" i="10"/>
  <c r="K838" i="10"/>
  <c r="D903" i="10"/>
  <c r="F909" i="10"/>
  <c r="F1037" i="10"/>
  <c r="F1039" i="10"/>
  <c r="E1039" i="10"/>
  <c r="F1202" i="10"/>
  <c r="F1200" i="10"/>
  <c r="F1198" i="10"/>
  <c r="F1196" i="10"/>
  <c r="F1106" i="10"/>
  <c r="F1104" i="10"/>
  <c r="F1102" i="10"/>
  <c r="F1094" i="10"/>
  <c r="F1088" i="10"/>
  <c r="F1356" i="10"/>
  <c r="F1236" i="10"/>
  <c r="E1094" i="10"/>
  <c r="F1204" i="10"/>
  <c r="F1312" i="10"/>
  <c r="F1297" i="10"/>
  <c r="F1252" i="10"/>
  <c r="F1188" i="10"/>
  <c r="F1172" i="10"/>
  <c r="F1369" i="10"/>
  <c r="F1342" i="10"/>
  <c r="F1327" i="10"/>
  <c r="F1282" i="10"/>
  <c r="F1167" i="10"/>
  <c r="F1123" i="10"/>
  <c r="F1108" i="10"/>
  <c r="F1092" i="10"/>
  <c r="F1153" i="10"/>
  <c r="F1091" i="10"/>
  <c r="F1184" i="10"/>
  <c r="F1164" i="10"/>
  <c r="F1156" i="10"/>
  <c r="F1180" i="10"/>
  <c r="F1155" i="10"/>
  <c r="F1147" i="10"/>
  <c r="F1131" i="10"/>
  <c r="F1137" i="10"/>
  <c r="F1115" i="10"/>
  <c r="F1186" i="10"/>
  <c r="F1149" i="10"/>
  <c r="F1085" i="10"/>
  <c r="F1083" i="10"/>
  <c r="F1267" i="10"/>
  <c r="F1220" i="10"/>
  <c r="F1140" i="10"/>
  <c r="F1124" i="10"/>
  <c r="F1099" i="10"/>
  <c r="F1117" i="10"/>
  <c r="D408" i="10"/>
  <c r="F402" i="10"/>
  <c r="I547" i="10"/>
  <c r="I554" i="10"/>
  <c r="F615" i="10"/>
  <c r="F629" i="10"/>
  <c r="AS631" i="10"/>
  <c r="F639" i="10"/>
  <c r="I651" i="10"/>
  <c r="F710" i="10"/>
  <c r="I712" i="10"/>
  <c r="E728" i="10"/>
  <c r="F838" i="10"/>
  <c r="F840" i="10"/>
  <c r="F857" i="10"/>
  <c r="F851" i="10"/>
  <c r="F855" i="10"/>
  <c r="D890" i="10"/>
  <c r="F887" i="10"/>
  <c r="F1052" i="10"/>
  <c r="E1052" i="10"/>
  <c r="F1050" i="10"/>
  <c r="F1107" i="10"/>
  <c r="F1182" i="10"/>
  <c r="R1686" i="10"/>
  <c r="F1686" i="10"/>
  <c r="F340" i="10"/>
  <c r="I615" i="10"/>
  <c r="F625" i="10"/>
  <c r="I662" i="10"/>
  <c r="F664" i="10"/>
  <c r="I673" i="10"/>
  <c r="I698" i="10"/>
  <c r="F713" i="10"/>
  <c r="I736" i="10"/>
  <c r="I738" i="10"/>
  <c r="F736" i="10"/>
  <c r="I749" i="10"/>
  <c r="F749" i="10"/>
  <c r="I760" i="10"/>
  <c r="F760" i="10"/>
  <c r="I770" i="10"/>
  <c r="I774" i="10"/>
  <c r="F770" i="10"/>
  <c r="I781" i="10"/>
  <c r="D788" i="10"/>
  <c r="F799" i="10"/>
  <c r="F781" i="10"/>
  <c r="F793" i="10"/>
  <c r="F810" i="10"/>
  <c r="E810" i="10"/>
  <c r="F852" i="10"/>
  <c r="F908" i="10"/>
  <c r="F944" i="10"/>
  <c r="I985" i="10"/>
  <c r="F1000" i="10"/>
  <c r="I1064" i="10"/>
  <c r="E1179" i="10"/>
  <c r="E1163" i="10"/>
  <c r="D1163" i="10"/>
  <c r="I1364" i="10"/>
  <c r="I1379" i="10"/>
  <c r="I674" i="10"/>
  <c r="F674" i="10"/>
  <c r="I699" i="10"/>
  <c r="F699" i="10"/>
  <c r="F711" i="10"/>
  <c r="I745" i="10"/>
  <c r="F745" i="10"/>
  <c r="D752" i="10"/>
  <c r="I757" i="10"/>
  <c r="I762" i="10"/>
  <c r="F757" i="10"/>
  <c r="D764" i="10"/>
  <c r="F795" i="10"/>
  <c r="D833" i="10"/>
  <c r="F827" i="10"/>
  <c r="D879" i="10"/>
  <c r="F873" i="10"/>
  <c r="F923" i="10"/>
  <c r="D963" i="10"/>
  <c r="E975" i="10"/>
  <c r="F956" i="10"/>
  <c r="F993" i="10"/>
  <c r="I1101" i="10"/>
  <c r="F1101" i="10"/>
  <c r="V651" i="10"/>
  <c r="I661" i="10"/>
  <c r="I666" i="10"/>
  <c r="I677" i="10"/>
  <c r="I723" i="10"/>
  <c r="D740" i="10"/>
  <c r="F1089" i="10"/>
  <c r="F1103" i="10"/>
  <c r="I1118" i="10"/>
  <c r="F1118" i="10"/>
  <c r="F1133" i="10"/>
  <c r="I1137" i="10"/>
  <c r="E1184" i="10"/>
  <c r="E1168" i="10"/>
  <c r="D1168" i="10"/>
  <c r="E1171" i="10"/>
  <c r="I1199" i="10"/>
  <c r="F1199" i="10"/>
  <c r="I1250" i="10"/>
  <c r="D1269" i="10"/>
  <c r="I1259" i="10"/>
  <c r="I1274" i="10"/>
  <c r="I1283" i="10"/>
  <c r="I1261" i="10"/>
  <c r="I1265" i="10"/>
  <c r="I1276" i="10"/>
  <c r="I1280" i="10"/>
  <c r="I1352" i="10"/>
  <c r="I1357" i="10"/>
  <c r="I1404" i="10"/>
  <c r="I1406" i="10"/>
  <c r="I1450" i="10"/>
  <c r="S1593" i="10"/>
  <c r="T1610" i="10"/>
  <c r="S1610" i="10"/>
  <c r="S1622" i="10"/>
  <c r="R1629" i="10"/>
  <c r="R1630" i="10"/>
  <c r="F1656" i="10"/>
  <c r="R1656" i="10"/>
  <c r="R2049" i="10"/>
  <c r="D2059" i="10"/>
  <c r="F1090" i="10"/>
  <c r="D1142" i="10"/>
  <c r="E1158" i="10"/>
  <c r="I1131" i="10"/>
  <c r="I1134" i="10"/>
  <c r="F1134" i="10"/>
  <c r="I1152" i="10"/>
  <c r="D1166" i="10"/>
  <c r="D1190" i="10"/>
  <c r="F1206" i="10"/>
  <c r="I1179" i="10"/>
  <c r="F1179" i="10"/>
  <c r="I1183" i="10"/>
  <c r="F1183" i="10"/>
  <c r="I1213" i="10"/>
  <c r="I1437" i="10"/>
  <c r="I1478" i="10"/>
  <c r="I1584" i="10"/>
  <c r="R1576" i="10"/>
  <c r="S1576" i="10"/>
  <c r="R1578" i="10"/>
  <c r="S1578" i="10"/>
  <c r="I1578" i="10"/>
  <c r="R1580" i="10"/>
  <c r="S1580" i="10"/>
  <c r="I1580" i="10"/>
  <c r="F1580" i="10"/>
  <c r="R1599" i="10"/>
  <c r="R1600" i="10"/>
  <c r="S1590" i="10"/>
  <c r="I1594" i="10"/>
  <c r="F1597" i="10"/>
  <c r="F1609" i="10"/>
  <c r="T1652" i="10"/>
  <c r="S1652" i="10"/>
  <c r="F1122" i="10"/>
  <c r="E1125" i="10"/>
  <c r="E1141" i="10"/>
  <c r="E1177" i="10"/>
  <c r="D1177" i="10"/>
  <c r="E1161" i="10"/>
  <c r="D1161" i="10"/>
  <c r="F1187" i="10"/>
  <c r="I1203" i="10"/>
  <c r="F1203" i="10"/>
  <c r="F1281" i="10"/>
  <c r="D1344" i="10"/>
  <c r="I1386" i="10"/>
  <c r="I1515" i="10"/>
  <c r="I1532" i="10"/>
  <c r="D1524" i="10"/>
  <c r="E1540" i="10"/>
  <c r="R1993" i="10"/>
  <c r="F1993" i="10"/>
  <c r="E1993" i="10"/>
  <c r="T2100" i="10"/>
  <c r="S2100" i="10"/>
  <c r="T2143" i="10"/>
  <c r="S2143" i="10"/>
  <c r="T2155" i="10"/>
  <c r="S2155" i="10"/>
  <c r="E915" i="10"/>
  <c r="D951" i="10"/>
  <c r="D1065" i="10"/>
  <c r="F1078" i="10"/>
  <c r="F1086" i="10"/>
  <c r="I1116" i="10"/>
  <c r="F1116" i="10"/>
  <c r="I1135" i="10"/>
  <c r="F1138" i="10"/>
  <c r="I1197" i="10"/>
  <c r="F1197" i="10"/>
  <c r="D1254" i="10"/>
  <c r="I1243" i="10"/>
  <c r="F1245" i="10"/>
  <c r="I1310" i="10"/>
  <c r="F1400" i="10"/>
  <c r="F1398" i="10"/>
  <c r="F1396" i="10"/>
  <c r="F1405" i="10"/>
  <c r="F1419" i="10"/>
  <c r="F1416" i="10"/>
  <c r="F1412" i="10"/>
  <c r="F1397" i="10"/>
  <c r="S1592" i="10"/>
  <c r="R1638" i="10"/>
  <c r="F1638" i="10"/>
  <c r="R1640" i="10"/>
  <c r="F1640" i="10"/>
  <c r="F915" i="10"/>
  <c r="F920" i="10"/>
  <c r="F992" i="10"/>
  <c r="F1070" i="10"/>
  <c r="F1084" i="10"/>
  <c r="F1087" i="10"/>
  <c r="I1100" i="10"/>
  <c r="F1100" i="10"/>
  <c r="F1119" i="10"/>
  <c r="D1126" i="10"/>
  <c r="I1132" i="10"/>
  <c r="F1132" i="10"/>
  <c r="F1169" i="10"/>
  <c r="F1228" i="10"/>
  <c r="I1232" i="10"/>
  <c r="I1295" i="10"/>
  <c r="I1298" i="10"/>
  <c r="D1314" i="10"/>
  <c r="E1329" i="10"/>
  <c r="F1329" i="10"/>
  <c r="D1371" i="10"/>
  <c r="F1417" i="10"/>
  <c r="R1581" i="10"/>
  <c r="S1581" i="10"/>
  <c r="I1581" i="10"/>
  <c r="F1581" i="10"/>
  <c r="T1609" i="10"/>
  <c r="D1646" i="10"/>
  <c r="R1889" i="10"/>
  <c r="E1903" i="10"/>
  <c r="F709" i="10"/>
  <c r="I1117" i="10"/>
  <c r="I1120" i="10"/>
  <c r="F1120" i="10"/>
  <c r="F1135" i="10"/>
  <c r="I1148" i="10"/>
  <c r="I1181" i="10"/>
  <c r="F1181" i="10"/>
  <c r="I1201" i="10"/>
  <c r="F1201" i="10"/>
  <c r="I1212" i="10"/>
  <c r="I1216" i="10"/>
  <c r="F1216" i="10"/>
  <c r="F1403" i="10"/>
  <c r="F1413" i="10"/>
  <c r="F1421" i="10"/>
  <c r="E1421" i="10"/>
  <c r="F1549" i="10"/>
  <c r="S1574" i="10"/>
  <c r="R1577" i="10"/>
  <c r="S1577" i="10"/>
  <c r="I1577" i="10"/>
  <c r="R1579" i="10"/>
  <c r="S1579" i="10"/>
  <c r="S1594" i="10"/>
  <c r="R1606" i="10"/>
  <c r="F1606" i="10"/>
  <c r="F1608" i="10"/>
  <c r="F1610" i="10"/>
  <c r="T1772" i="10"/>
  <c r="S1772" i="10"/>
  <c r="D1110" i="10"/>
  <c r="I1136" i="10"/>
  <c r="F1136" i="10"/>
  <c r="F1158" i="10"/>
  <c r="F1185" i="10"/>
  <c r="I1195" i="10"/>
  <c r="F1195" i="10"/>
  <c r="I1485" i="10"/>
  <c r="I1568" i="10"/>
  <c r="F2027" i="10"/>
  <c r="F2147" i="10"/>
  <c r="F2103" i="10"/>
  <c r="F2087" i="10"/>
  <c r="F2158" i="10"/>
  <c r="F2133" i="10"/>
  <c r="F2119" i="10"/>
  <c r="F1894" i="10"/>
  <c r="F2012" i="10"/>
  <c r="F1967" i="10"/>
  <c r="F1743" i="10"/>
  <c r="F1718" i="10"/>
  <c r="F1690" i="10"/>
  <c r="F1952" i="10"/>
  <c r="F1922" i="10"/>
  <c r="F1754" i="10"/>
  <c r="F1676" i="10"/>
  <c r="F1660" i="10"/>
  <c r="F1810" i="10"/>
  <c r="F1799" i="10"/>
  <c r="F1788" i="10"/>
  <c r="F2072" i="10"/>
  <c r="F2042" i="10"/>
  <c r="F1937" i="10"/>
  <c r="F1880" i="10"/>
  <c r="F1869" i="10"/>
  <c r="F1845" i="10"/>
  <c r="F1765" i="10"/>
  <c r="F1997" i="10"/>
  <c r="F1857" i="10"/>
  <c r="F1776" i="10"/>
  <c r="F1982" i="10"/>
  <c r="F1599" i="10"/>
  <c r="F2057" i="10"/>
  <c r="F1833" i="10"/>
  <c r="F1821" i="10"/>
  <c r="F1704" i="10"/>
  <c r="F1732" i="10"/>
  <c r="F1644" i="10"/>
  <c r="F1629" i="10"/>
  <c r="F1614" i="10"/>
  <c r="F1601" i="10"/>
  <c r="F1725" i="10"/>
  <c r="F1717" i="10"/>
  <c r="F1762" i="10"/>
  <c r="F1761" i="10"/>
  <c r="F1726" i="10"/>
  <c r="F1716" i="10"/>
  <c r="F1698" i="10"/>
  <c r="F1683" i="10"/>
  <c r="F1667" i="10"/>
  <c r="F1773" i="10"/>
  <c r="F1772" i="10"/>
  <c r="F1727" i="10"/>
  <c r="F1715" i="10"/>
  <c r="F1699" i="10"/>
  <c r="F1684" i="10"/>
  <c r="F1668" i="10"/>
  <c r="F1700" i="10"/>
  <c r="F1703" i="10"/>
  <c r="F1697" i="10"/>
  <c r="F1689" i="10"/>
  <c r="F1658" i="10"/>
  <c r="F1750" i="10"/>
  <c r="F1687" i="10"/>
  <c r="F1751" i="10"/>
  <c r="F1616" i="10"/>
  <c r="F1711" i="10"/>
  <c r="F1675" i="10"/>
  <c r="E1616" i="10"/>
  <c r="F1631" i="10"/>
  <c r="E1631" i="10"/>
  <c r="T1659" i="10"/>
  <c r="S1659" i="10"/>
  <c r="R1676" i="10"/>
  <c r="R1677" i="10"/>
  <c r="T1668" i="10"/>
  <c r="S1668" i="10"/>
  <c r="F1740" i="10"/>
  <c r="T1933" i="10"/>
  <c r="S1933" i="10"/>
  <c r="T1935" i="10"/>
  <c r="S1935" i="10"/>
  <c r="F1950" i="10"/>
  <c r="T1980" i="10"/>
  <c r="S1980" i="10"/>
  <c r="I1308" i="10"/>
  <c r="D1358" i="10"/>
  <c r="I1365" i="10"/>
  <c r="D1389" i="10"/>
  <c r="F1378" i="10"/>
  <c r="I1448" i="10"/>
  <c r="I1598" i="10"/>
  <c r="I1600" i="10"/>
  <c r="F1655" i="10"/>
  <c r="R1670" i="10"/>
  <c r="F1670" i="10"/>
  <c r="T1717" i="10"/>
  <c r="S1717" i="10"/>
  <c r="T1751" i="10"/>
  <c r="S1751" i="10"/>
  <c r="F1778" i="10"/>
  <c r="Q1788" i="10"/>
  <c r="T1787" i="10"/>
  <c r="S1787" i="10"/>
  <c r="T1797" i="10"/>
  <c r="T1842" i="10"/>
  <c r="T1893" i="10"/>
  <c r="S1893" i="10"/>
  <c r="D1941" i="10"/>
  <c r="D1956" i="10"/>
  <c r="D1971" i="10"/>
  <c r="D1986" i="10"/>
  <c r="I1939" i="10"/>
  <c r="T1903" i="10"/>
  <c r="S1903" i="10"/>
  <c r="T1905" i="10"/>
  <c r="S1905" i="10"/>
  <c r="R1915" i="10"/>
  <c r="D1924" i="10"/>
  <c r="E1939" i="10"/>
  <c r="F1932" i="10"/>
  <c r="R1952" i="10"/>
  <c r="R1953" i="10"/>
  <c r="T1944" i="10"/>
  <c r="S1944" i="10"/>
  <c r="T1946" i="10"/>
  <c r="S1946" i="10"/>
  <c r="T1951" i="10"/>
  <c r="S1951" i="10"/>
  <c r="F1961" i="10"/>
  <c r="T1977" i="10"/>
  <c r="S1977" i="10"/>
  <c r="R1996" i="10"/>
  <c r="F1996" i="10"/>
  <c r="E1996" i="10"/>
  <c r="T2020" i="10"/>
  <c r="S2020" i="10"/>
  <c r="T2022" i="10"/>
  <c r="S2022" i="10"/>
  <c r="T2024" i="10"/>
  <c r="S2024" i="10"/>
  <c r="T2035" i="10"/>
  <c r="S2035" i="10"/>
  <c r="T2037" i="10"/>
  <c r="S2037" i="10"/>
  <c r="T2083" i="10"/>
  <c r="S2083" i="10"/>
  <c r="T2312" i="10"/>
  <c r="U2312" i="10"/>
  <c r="I1376" i="10"/>
  <c r="I1412" i="10"/>
  <c r="D1489" i="10"/>
  <c r="F1495" i="10"/>
  <c r="I1531" i="10"/>
  <c r="I1566" i="10"/>
  <c r="S1609" i="10"/>
  <c r="F1621" i="10"/>
  <c r="F1622" i="10"/>
  <c r="F1623" i="10"/>
  <c r="F1624" i="10"/>
  <c r="F1625" i="10"/>
  <c r="F1626" i="10"/>
  <c r="F1627" i="10"/>
  <c r="F1628" i="10"/>
  <c r="F1636" i="10"/>
  <c r="F1643" i="10"/>
  <c r="S1651" i="10"/>
  <c r="F1654" i="10"/>
  <c r="T1683" i="10"/>
  <c r="F1685" i="10"/>
  <c r="T1688" i="10"/>
  <c r="S1688" i="10"/>
  <c r="T1697" i="10"/>
  <c r="S1697" i="10"/>
  <c r="S1700" i="10"/>
  <c r="F1702" i="10"/>
  <c r="R1713" i="10"/>
  <c r="F1713" i="10"/>
  <c r="T1715" i="10"/>
  <c r="S1715" i="10"/>
  <c r="T1725" i="10"/>
  <c r="T1752" i="10"/>
  <c r="S1763" i="10"/>
  <c r="T1784" i="10"/>
  <c r="S1784" i="10"/>
  <c r="Q1845" i="10"/>
  <c r="T1948" i="10"/>
  <c r="S1948" i="10"/>
  <c r="F1968" i="10"/>
  <c r="T1974" i="10"/>
  <c r="S1974" i="10"/>
  <c r="R1982" i="10"/>
  <c r="R1983" i="10"/>
  <c r="R1991" i="10"/>
  <c r="E1991" i="10"/>
  <c r="T2039" i="10"/>
  <c r="S2039" i="10"/>
  <c r="S2130" i="10"/>
  <c r="T2130" i="10"/>
  <c r="S2220" i="10"/>
  <c r="E1181" i="10"/>
  <c r="F1276" i="10"/>
  <c r="F1310" i="10"/>
  <c r="F1319" i="10"/>
  <c r="F1415" i="10"/>
  <c r="Q1426" i="10"/>
  <c r="Q1430" i="10"/>
  <c r="F1431" i="10"/>
  <c r="D1454" i="10"/>
  <c r="F1450" i="10"/>
  <c r="F1477" i="10"/>
  <c r="F1503" i="10"/>
  <c r="F1518" i="10"/>
  <c r="F1530" i="10"/>
  <c r="F1535" i="10"/>
  <c r="R1563" i="10"/>
  <c r="S1563" i="10"/>
  <c r="F1590" i="10"/>
  <c r="S1608" i="10"/>
  <c r="F1612" i="10"/>
  <c r="F1613" i="10"/>
  <c r="T1651" i="10"/>
  <c r="F1653" i="10"/>
  <c r="T1667" i="10"/>
  <c r="F1669" i="10"/>
  <c r="T1672" i="10"/>
  <c r="S1672" i="10"/>
  <c r="S1683" i="10"/>
  <c r="F1688" i="10"/>
  <c r="Q1718" i="10"/>
  <c r="S1727" i="10"/>
  <c r="D1745" i="10"/>
  <c r="R1739" i="10"/>
  <c r="Q1799" i="10"/>
  <c r="R1820" i="10"/>
  <c r="F1820" i="10"/>
  <c r="T1828" i="10"/>
  <c r="S1832" i="10"/>
  <c r="T1832" i="10"/>
  <c r="T1841" i="10"/>
  <c r="S1841" i="10"/>
  <c r="E1852" i="10"/>
  <c r="T1890" i="10"/>
  <c r="S1890" i="10"/>
  <c r="T1907" i="10"/>
  <c r="S1907" i="10"/>
  <c r="T1919" i="10"/>
  <c r="T1979" i="10"/>
  <c r="S1979" i="10"/>
  <c r="R1994" i="10"/>
  <c r="F1994" i="10"/>
  <c r="E1994" i="10"/>
  <c r="R2007" i="10"/>
  <c r="E2007" i="10"/>
  <c r="T2010" i="10"/>
  <c r="F2053" i="10"/>
  <c r="R2053" i="10"/>
  <c r="F2079" i="10"/>
  <c r="D2089" i="10"/>
  <c r="R2079" i="10"/>
  <c r="D1222" i="10"/>
  <c r="F1217" i="10"/>
  <c r="F1363" i="10"/>
  <c r="F1394" i="10"/>
  <c r="I1415" i="10"/>
  <c r="I1420" i="10"/>
  <c r="F1529" i="10"/>
  <c r="I1535" i="10"/>
  <c r="D1554" i="10"/>
  <c r="F1551" i="10"/>
  <c r="F1591" i="10"/>
  <c r="F1592" i="10"/>
  <c r="S1607" i="10"/>
  <c r="F1611" i="10"/>
  <c r="F1652" i="10"/>
  <c r="S1667" i="10"/>
  <c r="F1672" i="10"/>
  <c r="T1674" i="10"/>
  <c r="S1674" i="10"/>
  <c r="T1675" i="10"/>
  <c r="S1675" i="10"/>
  <c r="S1699" i="10"/>
  <c r="R1701" i="10"/>
  <c r="F1701" i="10"/>
  <c r="F1728" i="10"/>
  <c r="F1739" i="10"/>
  <c r="F1756" i="10"/>
  <c r="T1762" i="10"/>
  <c r="S1762" i="10"/>
  <c r="R1810" i="10"/>
  <c r="R1811" i="10"/>
  <c r="T1807" i="10"/>
  <c r="S1807" i="10"/>
  <c r="T1809" i="10"/>
  <c r="S1809" i="10"/>
  <c r="S1830" i="10"/>
  <c r="T1853" i="10"/>
  <c r="T1855" i="10"/>
  <c r="F1871" i="10"/>
  <c r="T1892" i="10"/>
  <c r="S1892" i="10"/>
  <c r="T1902" i="10"/>
  <c r="S1902" i="10"/>
  <c r="T1932" i="10"/>
  <c r="S1932" i="10"/>
  <c r="T1934" i="10"/>
  <c r="S1934" i="10"/>
  <c r="T1950" i="10"/>
  <c r="S1950" i="10"/>
  <c r="T1961" i="10"/>
  <c r="T1963" i="10"/>
  <c r="T1965" i="10"/>
  <c r="T1976" i="10"/>
  <c r="S1976" i="10"/>
  <c r="R1989" i="10"/>
  <c r="F1989" i="10"/>
  <c r="E1989" i="10"/>
  <c r="E2004" i="10"/>
  <c r="S2050" i="10"/>
  <c r="T2050" i="10"/>
  <c r="S2051" i="10"/>
  <c r="T2051" i="10"/>
  <c r="E2184" i="10"/>
  <c r="F2184" i="10"/>
  <c r="U2208" i="10"/>
  <c r="T2208" i="10"/>
  <c r="T2251" i="10"/>
  <c r="U2251" i="10"/>
  <c r="U2286" i="10"/>
  <c r="T2286" i="10"/>
  <c r="U2413" i="10"/>
  <c r="T2413" i="10"/>
  <c r="F1148" i="10"/>
  <c r="F1150" i="10"/>
  <c r="F1152" i="10"/>
  <c r="D1170" i="10"/>
  <c r="F1170" i="10"/>
  <c r="F1246" i="10"/>
  <c r="F1249" i="10"/>
  <c r="D1284" i="10"/>
  <c r="I1363" i="10"/>
  <c r="I1394" i="10"/>
  <c r="F1414" i="10"/>
  <c r="F1418" i="10"/>
  <c r="D1438" i="10"/>
  <c r="F1435" i="10"/>
  <c r="F1480" i="10"/>
  <c r="F1494" i="10"/>
  <c r="D1507" i="10"/>
  <c r="F1517" i="10"/>
  <c r="I1529" i="10"/>
  <c r="F1534" i="10"/>
  <c r="F1593" i="10"/>
  <c r="F1594" i="10"/>
  <c r="F1595" i="10"/>
  <c r="R1636" i="10"/>
  <c r="D1662" i="10"/>
  <c r="F1651" i="10"/>
  <c r="R1655" i="10"/>
  <c r="F1674" i="10"/>
  <c r="T1702" i="10"/>
  <c r="S1714" i="10"/>
  <c r="F1767" i="10"/>
  <c r="T1786" i="10"/>
  <c r="T1798" i="10"/>
  <c r="S1798" i="10"/>
  <c r="T1843" i="10"/>
  <c r="S1843" i="10"/>
  <c r="S1888" i="10"/>
  <c r="T1888" i="10"/>
  <c r="T1904" i="10"/>
  <c r="S1904" i="10"/>
  <c r="R1916" i="10"/>
  <c r="T1921" i="10"/>
  <c r="F1935" i="10"/>
  <c r="T1945" i="10"/>
  <c r="S1945" i="10"/>
  <c r="T1947" i="10"/>
  <c r="S1947" i="10"/>
  <c r="F1966" i="10"/>
  <c r="T1981" i="10"/>
  <c r="S1981" i="10"/>
  <c r="R1992" i="10"/>
  <c r="F1992" i="10"/>
  <c r="E1992" i="10"/>
  <c r="T2021" i="10"/>
  <c r="S2021" i="10"/>
  <c r="T2023" i="10"/>
  <c r="S2023" i="10"/>
  <c r="R2036" i="10"/>
  <c r="R2042" i="10"/>
  <c r="R2043" i="10"/>
  <c r="F2036" i="10"/>
  <c r="T2038" i="10"/>
  <c r="S2038" i="10"/>
  <c r="S2126" i="10"/>
  <c r="S2133" i="10"/>
  <c r="R2133" i="10"/>
  <c r="R2134" i="10"/>
  <c r="T2126" i="10"/>
  <c r="S2167" i="10"/>
  <c r="T2167" i="10"/>
  <c r="S2252" i="10"/>
  <c r="S2253" i="10"/>
  <c r="F1165" i="10"/>
  <c r="E1170" i="10"/>
  <c r="F1212" i="10"/>
  <c r="F1278" i="10"/>
  <c r="F1292" i="10"/>
  <c r="F1354" i="10"/>
  <c r="F1404" i="10"/>
  <c r="F1446" i="10"/>
  <c r="F1504" i="10"/>
  <c r="F1513" i="10"/>
  <c r="F1596" i="10"/>
  <c r="R1643" i="10"/>
  <c r="R1654" i="10"/>
  <c r="T1689" i="10"/>
  <c r="S1689" i="10"/>
  <c r="D1706" i="10"/>
  <c r="T1703" i="10"/>
  <c r="S1703" i="10"/>
  <c r="F1712" i="10"/>
  <c r="T1726" i="10"/>
  <c r="S1726" i="10"/>
  <c r="R1730" i="10"/>
  <c r="F1730" i="10"/>
  <c r="Q1765" i="10"/>
  <c r="T1785" i="10"/>
  <c r="S1785" i="10"/>
  <c r="R1857" i="10"/>
  <c r="R1858" i="10"/>
  <c r="T1906" i="10"/>
  <c r="S1906" i="10"/>
  <c r="T1917" i="10"/>
  <c r="F1946" i="10"/>
  <c r="T1978" i="10"/>
  <c r="S1978" i="10"/>
  <c r="R1995" i="10"/>
  <c r="E1995" i="10"/>
  <c r="R2069" i="10"/>
  <c r="F2069" i="10"/>
  <c r="T2085" i="10"/>
  <c r="S2085" i="10"/>
  <c r="R1653" i="10"/>
  <c r="Q1676" i="10"/>
  <c r="F1671" i="10"/>
  <c r="T1673" i="10"/>
  <c r="S1673" i="10"/>
  <c r="D1692" i="10"/>
  <c r="D1720" i="10"/>
  <c r="E1734" i="10"/>
  <c r="T1740" i="10"/>
  <c r="S1740" i="10"/>
  <c r="R1765" i="10"/>
  <c r="R1766" i="10"/>
  <c r="T1761" i="10"/>
  <c r="S1761" i="10"/>
  <c r="S1773" i="10"/>
  <c r="R1783" i="10"/>
  <c r="D1790" i="10"/>
  <c r="F1783" i="10"/>
  <c r="T1795" i="10"/>
  <c r="D1823" i="10"/>
  <c r="F1835" i="10"/>
  <c r="T1829" i="10"/>
  <c r="S1829" i="10"/>
  <c r="S1857" i="10"/>
  <c r="D1896" i="10"/>
  <c r="F1963" i="10"/>
  <c r="T1891" i="10"/>
  <c r="S1891" i="10"/>
  <c r="R1894" i="10"/>
  <c r="R1895" i="10"/>
  <c r="T1949" i="10"/>
  <c r="S1949" i="10"/>
  <c r="T1975" i="10"/>
  <c r="S1975" i="10"/>
  <c r="R1990" i="10"/>
  <c r="F1990" i="10"/>
  <c r="E1990" i="10"/>
  <c r="D1999" i="10"/>
  <c r="T2025" i="10"/>
  <c r="T2041" i="10"/>
  <c r="S2041" i="10"/>
  <c r="S2054" i="10"/>
  <c r="T2054" i="10"/>
  <c r="S2055" i="10"/>
  <c r="T2055" i="10"/>
  <c r="E1904" i="10"/>
  <c r="R2072" i="10"/>
  <c r="R2073" i="10"/>
  <c r="D2074" i="10"/>
  <c r="F2082" i="10"/>
  <c r="T2086" i="10"/>
  <c r="S2086" i="10"/>
  <c r="F2135" i="10"/>
  <c r="E2135" i="10"/>
  <c r="F2142" i="10"/>
  <c r="T2146" i="10"/>
  <c r="S2146" i="10"/>
  <c r="F2154" i="10"/>
  <c r="T2189" i="10"/>
  <c r="S2196" i="10"/>
  <c r="S2197" i="10"/>
  <c r="S2210" i="10"/>
  <c r="S2211" i="10"/>
  <c r="U2203" i="10"/>
  <c r="T2203" i="10"/>
  <c r="S2237" i="10"/>
  <c r="D2316" i="10"/>
  <c r="S2309" i="10"/>
  <c r="U2313" i="10"/>
  <c r="T2313" i="10"/>
  <c r="S2322" i="10"/>
  <c r="T1864" i="10"/>
  <c r="T1876" i="10"/>
  <c r="E2002" i="10"/>
  <c r="F2005" i="10"/>
  <c r="F2019" i="10"/>
  <c r="F2022" i="10"/>
  <c r="F2037" i="10"/>
  <c r="T2040" i="10"/>
  <c r="F2064" i="10"/>
  <c r="T2080" i="10"/>
  <c r="S2080" i="10"/>
  <c r="F2101" i="10"/>
  <c r="R2147" i="10"/>
  <c r="R2148" i="10"/>
  <c r="T2140" i="10"/>
  <c r="S2140" i="10"/>
  <c r="F2144" i="10"/>
  <c r="F2156" i="10"/>
  <c r="U2205" i="10"/>
  <c r="T2205" i="10"/>
  <c r="S2224" i="10"/>
  <c r="S2225" i="10"/>
  <c r="U2217" i="10"/>
  <c r="T2217" i="10"/>
  <c r="U2266" i="10"/>
  <c r="D2304" i="10"/>
  <c r="S2297" i="10"/>
  <c r="U2321" i="10"/>
  <c r="T2321" i="10"/>
  <c r="S1716" i="10"/>
  <c r="S1725" i="10"/>
  <c r="F1729" i="10"/>
  <c r="R1750" i="10"/>
  <c r="S1752" i="10"/>
  <c r="E1767" i="10"/>
  <c r="S1786" i="10"/>
  <c r="S1795" i="10"/>
  <c r="S1796" i="10"/>
  <c r="S1799" i="10"/>
  <c r="S1797" i="10"/>
  <c r="D1801" i="10"/>
  <c r="F1812" i="10"/>
  <c r="F1819" i="10"/>
  <c r="S1828" i="10"/>
  <c r="F1832" i="10"/>
  <c r="R1833" i="10"/>
  <c r="R1834" i="10"/>
  <c r="S1842" i="10"/>
  <c r="E1853" i="10"/>
  <c r="E1854" i="10"/>
  <c r="E1855" i="10"/>
  <c r="E1856" i="10"/>
  <c r="S1919" i="10"/>
  <c r="S1920" i="10"/>
  <c r="S1921" i="10"/>
  <c r="S1929" i="10"/>
  <c r="S1930" i="10"/>
  <c r="S1931" i="10"/>
  <c r="S1959" i="10"/>
  <c r="S1960" i="10"/>
  <c r="S1961" i="10"/>
  <c r="S1962" i="10"/>
  <c r="S1963" i="10"/>
  <c r="S1964" i="10"/>
  <c r="S1965" i="10"/>
  <c r="S1966" i="10"/>
  <c r="D2008" i="10"/>
  <c r="S2010" i="10"/>
  <c r="S2025" i="10"/>
  <c r="S2040" i="10"/>
  <c r="F2052" i="10"/>
  <c r="F2056" i="10"/>
  <c r="S2066" i="10"/>
  <c r="T2068" i="10"/>
  <c r="F2081" i="10"/>
  <c r="T2095" i="10"/>
  <c r="T2102" i="10"/>
  <c r="S2102" i="10"/>
  <c r="F2110" i="10"/>
  <c r="T2115" i="10"/>
  <c r="F2141" i="10"/>
  <c r="T2145" i="10"/>
  <c r="S2145" i="10"/>
  <c r="T2165" i="10"/>
  <c r="T2235" i="10"/>
  <c r="U2247" i="10"/>
  <c r="T2247" i="10"/>
  <c r="D2289" i="10"/>
  <c r="E2301" i="10"/>
  <c r="E2289" i="10"/>
  <c r="T1796" i="10"/>
  <c r="F1854" i="10"/>
  <c r="F1855" i="10"/>
  <c r="F1856" i="10"/>
  <c r="F1887" i="10"/>
  <c r="R1901" i="10"/>
  <c r="F1917" i="10"/>
  <c r="T1929" i="10"/>
  <c r="D1954" i="10"/>
  <c r="T1959" i="10"/>
  <c r="D2003" i="10"/>
  <c r="R2004" i="10"/>
  <c r="D2009" i="10"/>
  <c r="D2017" i="10"/>
  <c r="F2035" i="10"/>
  <c r="S2070" i="10"/>
  <c r="R2082" i="10"/>
  <c r="F2086" i="10"/>
  <c r="S2099" i="10"/>
  <c r="S2111" i="10"/>
  <c r="T2129" i="10"/>
  <c r="T2142" i="10"/>
  <c r="S2142" i="10"/>
  <c r="R2158" i="10"/>
  <c r="R2159" i="10"/>
  <c r="T2154" i="10"/>
  <c r="S2154" i="10"/>
  <c r="S2158" i="10"/>
  <c r="T2179" i="10"/>
  <c r="U2189" i="10"/>
  <c r="U2207" i="10"/>
  <c r="T2207" i="10"/>
  <c r="U2250" i="10"/>
  <c r="T2250" i="10"/>
  <c r="T2465" i="10"/>
  <c r="U2465" i="10"/>
  <c r="S2470" i="10"/>
  <c r="S2471" i="10"/>
  <c r="R1711" i="10"/>
  <c r="I1859" i="10"/>
  <c r="E1945" i="10"/>
  <c r="E1946" i="10"/>
  <c r="E1947" i="10"/>
  <c r="R2019" i="10"/>
  <c r="F2051" i="10"/>
  <c r="F2055" i="10"/>
  <c r="S2064" i="10"/>
  <c r="T2067" i="10"/>
  <c r="T2071" i="10"/>
  <c r="F2083" i="10"/>
  <c r="T2096" i="10"/>
  <c r="T2112" i="10"/>
  <c r="F2143" i="10"/>
  <c r="F2155" i="10"/>
  <c r="U2204" i="10"/>
  <c r="T2204" i="10"/>
  <c r="U2218" i="10"/>
  <c r="T2218" i="10"/>
  <c r="T2223" i="10"/>
  <c r="U2232" i="10"/>
  <c r="T2232" i="10"/>
  <c r="U2234" i="10"/>
  <c r="S2324" i="10"/>
  <c r="F2373" i="10"/>
  <c r="F2369" i="10"/>
  <c r="S2434" i="10"/>
  <c r="R1729" i="10"/>
  <c r="R1732" i="10"/>
  <c r="R1733" i="10"/>
  <c r="R1819" i="10"/>
  <c r="E1959" i="10"/>
  <c r="E1960" i="10"/>
  <c r="E1961" i="10"/>
  <c r="E1962" i="10"/>
  <c r="E1963" i="10"/>
  <c r="E1964" i="10"/>
  <c r="E1965" i="10"/>
  <c r="E1966" i="10"/>
  <c r="D1969" i="10"/>
  <c r="E2010" i="10"/>
  <c r="D2011" i="10"/>
  <c r="F2026" i="10"/>
  <c r="T2064" i="10"/>
  <c r="F2073" i="10"/>
  <c r="F2080" i="10"/>
  <c r="R2084" i="10"/>
  <c r="R2103" i="10"/>
  <c r="R2104" i="10"/>
  <c r="T2094" i="10"/>
  <c r="S2094" i="10"/>
  <c r="T2098" i="10"/>
  <c r="T2101" i="10"/>
  <c r="S2101" i="10"/>
  <c r="T2128" i="10"/>
  <c r="T2132" i="10"/>
  <c r="F2140" i="10"/>
  <c r="T2144" i="10"/>
  <c r="S2144" i="10"/>
  <c r="T2156" i="10"/>
  <c r="S2156" i="10"/>
  <c r="T2181" i="10"/>
  <c r="U2191" i="10"/>
  <c r="U2209" i="10"/>
  <c r="T2209" i="10"/>
  <c r="D2280" i="10"/>
  <c r="S2274" i="10"/>
  <c r="U2300" i="10"/>
  <c r="T2300" i="10"/>
  <c r="F2050" i="10"/>
  <c r="F2054" i="10"/>
  <c r="F2067" i="10"/>
  <c r="T2081" i="10"/>
  <c r="S2081" i="10"/>
  <c r="F2085" i="10"/>
  <c r="F2102" i="10"/>
  <c r="R2119" i="10"/>
  <c r="R2120" i="10"/>
  <c r="T2110" i="10"/>
  <c r="S2110" i="10"/>
  <c r="F2121" i="10"/>
  <c r="T2141" i="10"/>
  <c r="S2141" i="10"/>
  <c r="F2145" i="10"/>
  <c r="T2157" i="10"/>
  <c r="R2169" i="10"/>
  <c r="F2169" i="10"/>
  <c r="R2182" i="10"/>
  <c r="R2183" i="10"/>
  <c r="U2206" i="10"/>
  <c r="T2206" i="10"/>
  <c r="U2222" i="10"/>
  <c r="U2231" i="10"/>
  <c r="T2231" i="10"/>
  <c r="S2238" i="10"/>
  <c r="S2239" i="10"/>
  <c r="S2249" i="10"/>
  <c r="S2288" i="10"/>
  <c r="U2389" i="10"/>
  <c r="T2389" i="10"/>
  <c r="D2160" i="10"/>
  <c r="F2178" i="10"/>
  <c r="F2179" i="10"/>
  <c r="F2180" i="10"/>
  <c r="F2181" i="10"/>
  <c r="D2198" i="10"/>
  <c r="F2248" i="10"/>
  <c r="D2240" i="10"/>
  <c r="S2246" i="10"/>
  <c r="E2284" i="10"/>
  <c r="E2288" i="10"/>
  <c r="T2350" i="10"/>
  <c r="U2348" i="10"/>
  <c r="U2350" i="10"/>
  <c r="T2348" i="10"/>
  <c r="D2363" i="10"/>
  <c r="E2377" i="10"/>
  <c r="S2358" i="10"/>
  <c r="F2370" i="10"/>
  <c r="R2421" i="10"/>
  <c r="S2420" i="10"/>
  <c r="T2449" i="10"/>
  <c r="U2469" i="10"/>
  <c r="T2469" i="10"/>
  <c r="S2480" i="10"/>
  <c r="U2482" i="10"/>
  <c r="D2105" i="10"/>
  <c r="D2149" i="10"/>
  <c r="D2212" i="10"/>
  <c r="D2254" i="10"/>
  <c r="F2268" i="10"/>
  <c r="S2278" i="10"/>
  <c r="S2279" i="10"/>
  <c r="U2373" i="10"/>
  <c r="D2440" i="10"/>
  <c r="C2440" i="10"/>
  <c r="S2454" i="10"/>
  <c r="S2455" i="10"/>
  <c r="U2447" i="10"/>
  <c r="U2454" i="10"/>
  <c r="U2466" i="10"/>
  <c r="T2466" i="10"/>
  <c r="D2489" i="10"/>
  <c r="C2489" i="10"/>
  <c r="S2479" i="10"/>
  <c r="S2390" i="10"/>
  <c r="S2391" i="10"/>
  <c r="U2383" i="10"/>
  <c r="T2383" i="10"/>
  <c r="U2399" i="10"/>
  <c r="T2399" i="10"/>
  <c r="D2419" i="10"/>
  <c r="E2436" i="10"/>
  <c r="F2157" i="10"/>
  <c r="F2165" i="10"/>
  <c r="S2170" i="10"/>
  <c r="T2192" i="10"/>
  <c r="D2194" i="10"/>
  <c r="T2219" i="10"/>
  <c r="D2226" i="10"/>
  <c r="T2248" i="10"/>
  <c r="T2260" i="10"/>
  <c r="T2261" i="10"/>
  <c r="T2262" i="10"/>
  <c r="T2263" i="10"/>
  <c r="T2264" i="10"/>
  <c r="T2273" i="10"/>
  <c r="T2325" i="10"/>
  <c r="S2326" i="10"/>
  <c r="S2327" i="10"/>
  <c r="T2357" i="10"/>
  <c r="U2384" i="10"/>
  <c r="E2419" i="10"/>
  <c r="C2456" i="10"/>
  <c r="C2472" i="10"/>
  <c r="F2661" i="10"/>
  <c r="S2661" i="10"/>
  <c r="T2275" i="10"/>
  <c r="T2276" i="10"/>
  <c r="T2277" i="10"/>
  <c r="D2295" i="10"/>
  <c r="T2301" i="10"/>
  <c r="T2323" i="10"/>
  <c r="U2325" i="10"/>
  <c r="U2357" i="10"/>
  <c r="C2392" i="10"/>
  <c r="U2385" i="10"/>
  <c r="T2385" i="10"/>
  <c r="T2392" i="10"/>
  <c r="E2434" i="10"/>
  <c r="E2417" i="10"/>
  <c r="D2417" i="10"/>
  <c r="U2418" i="10"/>
  <c r="T2418" i="10"/>
  <c r="R2438" i="10"/>
  <c r="T2433" i="10"/>
  <c r="E2652" i="10"/>
  <c r="F2652" i="10"/>
  <c r="E2283" i="10"/>
  <c r="E2295" i="10"/>
  <c r="S2299" i="10"/>
  <c r="U2301" i="10"/>
  <c r="T2310" i="10"/>
  <c r="F2352" i="10"/>
  <c r="U2359" i="10"/>
  <c r="S2372" i="10"/>
  <c r="F2372" i="10"/>
  <c r="U2374" i="10"/>
  <c r="T2374" i="10"/>
  <c r="U2386" i="10"/>
  <c r="D2392" i="10"/>
  <c r="U2403" i="10"/>
  <c r="U2416" i="10"/>
  <c r="T2416" i="10"/>
  <c r="S2430" i="10"/>
  <c r="T2432" i="10"/>
  <c r="S2435" i="10"/>
  <c r="U2437" i="10"/>
  <c r="T2437" i="10"/>
  <c r="R2454" i="10"/>
  <c r="S2486" i="10"/>
  <c r="R2504" i="10"/>
  <c r="U2515" i="10"/>
  <c r="T2515" i="10"/>
  <c r="S2285" i="10"/>
  <c r="E2296" i="10"/>
  <c r="D2328" i="10"/>
  <c r="F2340" i="10"/>
  <c r="U2333" i="10"/>
  <c r="T2333" i="10"/>
  <c r="U2337" i="10"/>
  <c r="T2337" i="10"/>
  <c r="C2377" i="10"/>
  <c r="S2368" i="10"/>
  <c r="F2368" i="10"/>
  <c r="U2370" i="10"/>
  <c r="T2370" i="10"/>
  <c r="O2390" i="10"/>
  <c r="U2387" i="10"/>
  <c r="T2387" i="10"/>
  <c r="F2400" i="10"/>
  <c r="F2403" i="10"/>
  <c r="U2398" i="10"/>
  <c r="S2404" i="10"/>
  <c r="S2405" i="10"/>
  <c r="T2454" i="10"/>
  <c r="T2444" i="10"/>
  <c r="R2470" i="10"/>
  <c r="U2463" i="10"/>
  <c r="U2484" i="10"/>
  <c r="T2484" i="10"/>
  <c r="U2502" i="10"/>
  <c r="T2502" i="10"/>
  <c r="F2699" i="10"/>
  <c r="E2725" i="10"/>
  <c r="E2430" i="10"/>
  <c r="E2435" i="10"/>
  <c r="D2456" i="10"/>
  <c r="U2467" i="10"/>
  <c r="T2482" i="10"/>
  <c r="F2514" i="10"/>
  <c r="S2535" i="10"/>
  <c r="S2550" i="10"/>
  <c r="C2560" i="10"/>
  <c r="U2568" i="10"/>
  <c r="T2568" i="10"/>
  <c r="S2573" i="10"/>
  <c r="F2589" i="10"/>
  <c r="T2631" i="10"/>
  <c r="R3345" i="10"/>
  <c r="T3341" i="10"/>
  <c r="S2397" i="10"/>
  <c r="C2406" i="10"/>
  <c r="D2415" i="10"/>
  <c r="D2423" i="10"/>
  <c r="F2435" i="10"/>
  <c r="S2431" i="10"/>
  <c r="T2467" i="10"/>
  <c r="T2483" i="10"/>
  <c r="F2498" i="10"/>
  <c r="T2584" i="10"/>
  <c r="S2382" i="10"/>
  <c r="S2539" i="10"/>
  <c r="R2590" i="10"/>
  <c r="F2600" i="10"/>
  <c r="C2665" i="10"/>
  <c r="S2660" i="10"/>
  <c r="F2660" i="10"/>
  <c r="T2999" i="10"/>
  <c r="U2999" i="10"/>
  <c r="U2464" i="10"/>
  <c r="U2485" i="10"/>
  <c r="U2500" i="10"/>
  <c r="S2522" i="10"/>
  <c r="S2523" i="10"/>
  <c r="T2514" i="10"/>
  <c r="T2545" i="10"/>
  <c r="S2557" i="10"/>
  <c r="S2571" i="10"/>
  <c r="U2583" i="10"/>
  <c r="T2583" i="10"/>
  <c r="F2587" i="10"/>
  <c r="U2618" i="10"/>
  <c r="T2618" i="10"/>
  <c r="F2676" i="10"/>
  <c r="F2677" i="10"/>
  <c r="F2631" i="10"/>
  <c r="F2645" i="10"/>
  <c r="F2634" i="10"/>
  <c r="F2678" i="10"/>
  <c r="F2662" i="10"/>
  <c r="F2648" i="10"/>
  <c r="S2633" i="10"/>
  <c r="F2633" i="10"/>
  <c r="E2633" i="10"/>
  <c r="C2638" i="10"/>
  <c r="F2679" i="10"/>
  <c r="T2464" i="10"/>
  <c r="D2472" i="10"/>
  <c r="F2485" i="10"/>
  <c r="T2485" i="10"/>
  <c r="T2500" i="10"/>
  <c r="D2506" i="10"/>
  <c r="S2503" i="10"/>
  <c r="U2532" i="10"/>
  <c r="T2532" i="10"/>
  <c r="S2586" i="10"/>
  <c r="D2592" i="10"/>
  <c r="F2586" i="10"/>
  <c r="F2632" i="10"/>
  <c r="F2649" i="10"/>
  <c r="S2537" i="10"/>
  <c r="U2600" i="10"/>
  <c r="T2600" i="10"/>
  <c r="T2595" i="10"/>
  <c r="T2674" i="10"/>
  <c r="U2674" i="10"/>
  <c r="S2690" i="10"/>
  <c r="C2704" i="10"/>
  <c r="U2767" i="10"/>
  <c r="T2767" i="10"/>
  <c r="D2893" i="10"/>
  <c r="C2893" i="10"/>
  <c r="S2885" i="10"/>
  <c r="T2481" i="10"/>
  <c r="U2498" i="10"/>
  <c r="F2500" i="10"/>
  <c r="U2567" i="10"/>
  <c r="S2569" i="10"/>
  <c r="F2585" i="10"/>
  <c r="S2606" i="10"/>
  <c r="S2607" i="10"/>
  <c r="F3066" i="10"/>
  <c r="F3079" i="10"/>
  <c r="F3067" i="10"/>
  <c r="F3000" i="10"/>
  <c r="F3053" i="10"/>
  <c r="F2826" i="10"/>
  <c r="F2938" i="10"/>
  <c r="F3027" i="10"/>
  <c r="F2892" i="10"/>
  <c r="F2856" i="10"/>
  <c r="F2843" i="10"/>
  <c r="F2854" i="10"/>
  <c r="F2828" i="10"/>
  <c r="F2584" i="10"/>
  <c r="E2632" i="10"/>
  <c r="S2635" i="10"/>
  <c r="E2647" i="10"/>
  <c r="E2662" i="10"/>
  <c r="E2649" i="10"/>
  <c r="U2676" i="10"/>
  <c r="S2692" i="10"/>
  <c r="F2754" i="10"/>
  <c r="F2723" i="10"/>
  <c r="F2733" i="10"/>
  <c r="F2715" i="10"/>
  <c r="F2738" i="10"/>
  <c r="F2737" i="10"/>
  <c r="F2732" i="10"/>
  <c r="F2724" i="10"/>
  <c r="F2720" i="10"/>
  <c r="F2736" i="10"/>
  <c r="F2725" i="10"/>
  <c r="F2718" i="10"/>
  <c r="F2712" i="10"/>
  <c r="F2716" i="10"/>
  <c r="U2718" i="10"/>
  <c r="T2718" i="10"/>
  <c r="S2721" i="10"/>
  <c r="F2721" i="10"/>
  <c r="T2732" i="10"/>
  <c r="S2738" i="10"/>
  <c r="S2739" i="10"/>
  <c r="U2735" i="10"/>
  <c r="T2735" i="10"/>
  <c r="U2749" i="10"/>
  <c r="T2749" i="10"/>
  <c r="T2765" i="10"/>
  <c r="U2765" i="10"/>
  <c r="S2813" i="10"/>
  <c r="F2813" i="10"/>
  <c r="S2531" i="10"/>
  <c r="C2542" i="10"/>
  <c r="C2576" i="10"/>
  <c r="S2587" i="10"/>
  <c r="U2599" i="10"/>
  <c r="S2659" i="10"/>
  <c r="E2659" i="10"/>
  <c r="F2691" i="10"/>
  <c r="F2711" i="10"/>
  <c r="T2733" i="10"/>
  <c r="F2739" i="10"/>
  <c r="U2868" i="10"/>
  <c r="T2868" i="10"/>
  <c r="S2891" i="10"/>
  <c r="U2883" i="10"/>
  <c r="T2883" i="10"/>
  <c r="U2916" i="10"/>
  <c r="T2916" i="10"/>
  <c r="R2922" i="10"/>
  <c r="R2938" i="10"/>
  <c r="U2932" i="10"/>
  <c r="U2938" i="10"/>
  <c r="C3242" i="10"/>
  <c r="S3237" i="10"/>
  <c r="C3241" i="10"/>
  <c r="D3242" i="10"/>
  <c r="C2524" i="10"/>
  <c r="S2534" i="10"/>
  <c r="S2536" i="10"/>
  <c r="S2538" i="10"/>
  <c r="D2542" i="10"/>
  <c r="E2560" i="10"/>
  <c r="T2567" i="10"/>
  <c r="S2570" i="10"/>
  <c r="S2572" i="10"/>
  <c r="D2576" i="10"/>
  <c r="S2649" i="10"/>
  <c r="F2659" i="10"/>
  <c r="D2665" i="10"/>
  <c r="D2683" i="10"/>
  <c r="C2683" i="10"/>
  <c r="S2672" i="10"/>
  <c r="F2672" i="10"/>
  <c r="U2700" i="10"/>
  <c r="T2700" i="10"/>
  <c r="R2723" i="10"/>
  <c r="U2717" i="10"/>
  <c r="T2717" i="10"/>
  <c r="F2752" i="10"/>
  <c r="F2751" i="10"/>
  <c r="F2749" i="10"/>
  <c r="S2748" i="10"/>
  <c r="F2748" i="10"/>
  <c r="S2764" i="10"/>
  <c r="C2772" i="10"/>
  <c r="F2786" i="10"/>
  <c r="F2781" i="10"/>
  <c r="F2785" i="10"/>
  <c r="S2812" i="10"/>
  <c r="T2549" i="10"/>
  <c r="C2592" i="10"/>
  <c r="E2634" i="10" a="1"/>
  <c r="E2634" i="10"/>
  <c r="C2652" i="10"/>
  <c r="T2662" i="10"/>
  <c r="R2681" i="10"/>
  <c r="T2673" i="10"/>
  <c r="T2679" i="10"/>
  <c r="U2711" i="10"/>
  <c r="T2711" i="10"/>
  <c r="S2714" i="10"/>
  <c r="F2714" i="10"/>
  <c r="U2719" i="10"/>
  <c r="T2719" i="10"/>
  <c r="U2732" i="10"/>
  <c r="F2735" i="10"/>
  <c r="F2755" i="10"/>
  <c r="U2750" i="10"/>
  <c r="T2750" i="10"/>
  <c r="U2781" i="10"/>
  <c r="T2781" i="10"/>
  <c r="D2608" i="10"/>
  <c r="D2624" i="10"/>
  <c r="F2638" i="10"/>
  <c r="T2632" i="10"/>
  <c r="T2691" i="10"/>
  <c r="F2734" i="10"/>
  <c r="S2811" i="10"/>
  <c r="S2814" i="10"/>
  <c r="S2815" i="10"/>
  <c r="U2826" i="10"/>
  <c r="T2826" i="10"/>
  <c r="T3117" i="10"/>
  <c r="U3117" i="10"/>
  <c r="T2588" i="10"/>
  <c r="T2615" i="10"/>
  <c r="T2622" i="10"/>
  <c r="U2632" i="10"/>
  <c r="F2646" i="10"/>
  <c r="F2675" i="10"/>
  <c r="U2677" i="10"/>
  <c r="T2677" i="10"/>
  <c r="S2696" i="10"/>
  <c r="F2713" i="10"/>
  <c r="F2719" i="10"/>
  <c r="U2737" i="10"/>
  <c r="F2750" i="10"/>
  <c r="U2753" i="10"/>
  <c r="T2753" i="10"/>
  <c r="U2768" i="10"/>
  <c r="T2768" i="10"/>
  <c r="R2785" i="10"/>
  <c r="F2858" i="10"/>
  <c r="E2859" i="10"/>
  <c r="S3078" i="10"/>
  <c r="F3078" i="10"/>
  <c r="C3081" i="10"/>
  <c r="U2615" i="10"/>
  <c r="F2647" i="10"/>
  <c r="S2647" i="10"/>
  <c r="F2674" i="10"/>
  <c r="F2680" i="10"/>
  <c r="S2680" i="10"/>
  <c r="U2694" i="10"/>
  <c r="T2694" i="10"/>
  <c r="R2754" i="10"/>
  <c r="U2747" i="10"/>
  <c r="T2747" i="10"/>
  <c r="S2675" i="10"/>
  <c r="S2716" i="10"/>
  <c r="S2722" i="10"/>
  <c r="S2766" i="10"/>
  <c r="S2797" i="10"/>
  <c r="S2800" i="10"/>
  <c r="S2801" i="10"/>
  <c r="F2844" i="10"/>
  <c r="E2844" i="10"/>
  <c r="D2908" i="10"/>
  <c r="F2918" i="10"/>
  <c r="C2908" i="10"/>
  <c r="F2901" i="10"/>
  <c r="U2902" i="10"/>
  <c r="T2902" i="10"/>
  <c r="S2965" i="10"/>
  <c r="F2965" i="10"/>
  <c r="S2968" i="10"/>
  <c r="F2968" i="10"/>
  <c r="F3013" i="10"/>
  <c r="S3013" i="10"/>
  <c r="U3038" i="10"/>
  <c r="T3038" i="10"/>
  <c r="T3160" i="10"/>
  <c r="U3160" i="10"/>
  <c r="U3164" i="10"/>
  <c r="T3164" i="10"/>
  <c r="R3255" i="10"/>
  <c r="T3254" i="10"/>
  <c r="S3375" i="10"/>
  <c r="U3371" i="10"/>
  <c r="T3371" i="10"/>
  <c r="U3374" i="10"/>
  <c r="T3374" i="10"/>
  <c r="C2740" i="10"/>
  <c r="R2800" i="10"/>
  <c r="U2889" i="10"/>
  <c r="T2889" i="10"/>
  <c r="F2903" i="10"/>
  <c r="U2904" i="10"/>
  <c r="T2904" i="10"/>
  <c r="S2918" i="10"/>
  <c r="U2921" i="10"/>
  <c r="T2921" i="10"/>
  <c r="T2932" i="10"/>
  <c r="T2936" i="10"/>
  <c r="D3272" i="10"/>
  <c r="S3266" i="10"/>
  <c r="F3266" i="10"/>
  <c r="D2740" i="10"/>
  <c r="F2756" i="10"/>
  <c r="U2794" i="10"/>
  <c r="U2809" i="10"/>
  <c r="T2809" i="10"/>
  <c r="U2823" i="10"/>
  <c r="T2823" i="10"/>
  <c r="F2829" i="10"/>
  <c r="D2873" i="10"/>
  <c r="E2873" i="10"/>
  <c r="I2869" i="10"/>
  <c r="I2871" i="10"/>
  <c r="S2901" i="10"/>
  <c r="C3028" i="10"/>
  <c r="S3024" i="10"/>
  <c r="D3029" i="10"/>
  <c r="E3029" i="10"/>
  <c r="C3029" i="10"/>
  <c r="T3090" i="10"/>
  <c r="U3090" i="10"/>
  <c r="T3103" i="10"/>
  <c r="U3103" i="10"/>
  <c r="T3283" i="10"/>
  <c r="U3283" i="10"/>
  <c r="S3358" i="10"/>
  <c r="F3358" i="10"/>
  <c r="C3361" i="10"/>
  <c r="E3361" i="10"/>
  <c r="T2712" i="10"/>
  <c r="T2736" i="10"/>
  <c r="T2782" i="10"/>
  <c r="U2783" i="10"/>
  <c r="T2794" i="10"/>
  <c r="U2795" i="10"/>
  <c r="F2815" i="10"/>
  <c r="T2839" i="10"/>
  <c r="T2854" i="10"/>
  <c r="T2867" i="10"/>
  <c r="F2917" i="10"/>
  <c r="T2935" i="10"/>
  <c r="F2952" i="10"/>
  <c r="F2937" i="10"/>
  <c r="F2936" i="10"/>
  <c r="F2935" i="10"/>
  <c r="F2934" i="10"/>
  <c r="F2933" i="10"/>
  <c r="F2932" i="10"/>
  <c r="F2966" i="10"/>
  <c r="E2940" i="10"/>
  <c r="F2949" i="10"/>
  <c r="T2950" i="10"/>
  <c r="S2982" i="10"/>
  <c r="D3016" i="10"/>
  <c r="U3065" i="10"/>
  <c r="T3065" i="10"/>
  <c r="T2678" i="10"/>
  <c r="T2713" i="10"/>
  <c r="T2720" i="10"/>
  <c r="C2725" i="10"/>
  <c r="C2756" i="10"/>
  <c r="T2763" i="10"/>
  <c r="U2782" i="10"/>
  <c r="T2784" i="10"/>
  <c r="T2796" i="10"/>
  <c r="C2802" i="10"/>
  <c r="T2810" i="10"/>
  <c r="S2827" i="10"/>
  <c r="S2838" i="10"/>
  <c r="U2854" i="10"/>
  <c r="U2867" i="10"/>
  <c r="S2869" i="10"/>
  <c r="F2902" i="10"/>
  <c r="U2903" i="10"/>
  <c r="T2903" i="10"/>
  <c r="S3051" i="10"/>
  <c r="S2769" i="10"/>
  <c r="F2779" i="10"/>
  <c r="C2787" i="10"/>
  <c r="T2798" i="10"/>
  <c r="D2816" i="10"/>
  <c r="U2917" i="10"/>
  <c r="T2917" i="10"/>
  <c r="T2934" i="10"/>
  <c r="F2948" i="10"/>
  <c r="T2949" i="10"/>
  <c r="U3105" i="10"/>
  <c r="AA3150" i="10"/>
  <c r="AB3144" i="10"/>
  <c r="AC3144" i="10"/>
  <c r="AD3144" i="10"/>
  <c r="AB3141" i="10"/>
  <c r="AC3141" i="10"/>
  <c r="AB3146" i="10"/>
  <c r="AC3146" i="10"/>
  <c r="AD3146" i="10"/>
  <c r="AB3145" i="10"/>
  <c r="AC3145" i="10"/>
  <c r="AD3145" i="10"/>
  <c r="AB3142" i="10"/>
  <c r="AC3142" i="10"/>
  <c r="AD3142" i="10"/>
  <c r="D2772" i="10"/>
  <c r="F2766" i="10"/>
  <c r="F2780" i="10"/>
  <c r="D2802" i="10"/>
  <c r="C2816" i="10"/>
  <c r="S2824" i="10"/>
  <c r="U2833" i="10"/>
  <c r="E2858" i="10"/>
  <c r="U2884" i="10"/>
  <c r="T2884" i="10"/>
  <c r="F2904" i="10"/>
  <c r="D2924" i="10"/>
  <c r="S3142" i="10"/>
  <c r="D3150" i="10"/>
  <c r="F3146" i="10"/>
  <c r="F3142" i="10"/>
  <c r="C2924" i="10"/>
  <c r="T2952" i="10"/>
  <c r="U3040" i="10"/>
  <c r="U3052" i="10"/>
  <c r="T3091" i="10"/>
  <c r="D3133" i="10"/>
  <c r="C3133" i="10"/>
  <c r="C3132" i="10"/>
  <c r="S3128" i="10"/>
  <c r="S3147" i="10"/>
  <c r="S3162" i="10"/>
  <c r="U3328" i="10"/>
  <c r="T3328" i="10"/>
  <c r="T2853" i="10"/>
  <c r="T2857" i="10"/>
  <c r="M2874" i="10"/>
  <c r="Q2874" i="10"/>
  <c r="Q2877" i="10"/>
  <c r="S2948" i="10"/>
  <c r="U2952" i="10"/>
  <c r="C2972" i="10"/>
  <c r="S3012" i="10"/>
  <c r="F3012" i="10"/>
  <c r="R3027" i="10"/>
  <c r="T3037" i="10"/>
  <c r="D3081" i="10"/>
  <c r="E3081" i="10"/>
  <c r="S3076" i="10"/>
  <c r="F3076" i="10"/>
  <c r="U3077" i="10"/>
  <c r="T3077" i="10"/>
  <c r="C3080" i="10"/>
  <c r="U3091" i="10"/>
  <c r="U3092" i="10"/>
  <c r="T3102" i="10"/>
  <c r="F3116" i="10"/>
  <c r="S3145" i="10"/>
  <c r="F3145" i="10"/>
  <c r="T3146" i="10"/>
  <c r="T3158" i="10"/>
  <c r="U3329" i="10"/>
  <c r="T3329" i="10"/>
  <c r="C2986" i="10"/>
  <c r="S2980" i="10"/>
  <c r="D2987" i="10"/>
  <c r="F2980" i="10"/>
  <c r="S3011" i="10"/>
  <c r="F3011" i="10"/>
  <c r="S3026" i="10"/>
  <c r="R3092" i="10"/>
  <c r="R3131" i="10"/>
  <c r="Z3168" i="10"/>
  <c r="U3161" i="10"/>
  <c r="T3161" i="10"/>
  <c r="C3205" i="10"/>
  <c r="S3201" i="10"/>
  <c r="D3207" i="10"/>
  <c r="E3227" i="10"/>
  <c r="U3221" i="10"/>
  <c r="T3221" i="10"/>
  <c r="F3221" i="10"/>
  <c r="F3225" i="10"/>
  <c r="F3226" i="10"/>
  <c r="F3218" i="10"/>
  <c r="F3224" i="10"/>
  <c r="F3223" i="10"/>
  <c r="F3222" i="10"/>
  <c r="D3257" i="10"/>
  <c r="S3251" i="10"/>
  <c r="F3251" i="10"/>
  <c r="S3281" i="10"/>
  <c r="T2967" i="10"/>
  <c r="D3042" i="10"/>
  <c r="F3051" i="10"/>
  <c r="D3055" i="10"/>
  <c r="E3068" i="10"/>
  <c r="C3055" i="10"/>
  <c r="C3054" i="10"/>
  <c r="S3050" i="10"/>
  <c r="T3052" i="10"/>
  <c r="U3064" i="10"/>
  <c r="T3064" i="10"/>
  <c r="T3089" i="10"/>
  <c r="F3103" i="10"/>
  <c r="T3116" i="10"/>
  <c r="U3130" i="10"/>
  <c r="C3170" i="10"/>
  <c r="U3165" i="10"/>
  <c r="T3165" i="10"/>
  <c r="U3219" i="10"/>
  <c r="T3219" i="10"/>
  <c r="F3220" i="10"/>
  <c r="U3343" i="10"/>
  <c r="T3343" i="10"/>
  <c r="D3362" i="10"/>
  <c r="F2964" i="10"/>
  <c r="R2985" i="10"/>
  <c r="F2999" i="10"/>
  <c r="D3002" i="10"/>
  <c r="S3010" i="10"/>
  <c r="F3010" i="10"/>
  <c r="C3015" i="10"/>
  <c r="S3025" i="10"/>
  <c r="AA3141" i="10"/>
  <c r="AB3147" i="10"/>
  <c r="AC3147" i="10"/>
  <c r="AD3147" i="10"/>
  <c r="AA3147" i="10"/>
  <c r="AA3168" i="10"/>
  <c r="S3180" i="10"/>
  <c r="C3189" i="10"/>
  <c r="Z3187" i="10"/>
  <c r="U3198" i="10"/>
  <c r="F3216" i="10"/>
  <c r="C3016" i="10"/>
  <c r="U3063" i="10"/>
  <c r="U3066" i="10"/>
  <c r="T3063" i="10"/>
  <c r="F3102" i="10"/>
  <c r="C3149" i="10"/>
  <c r="S3141" i="10"/>
  <c r="F3141" i="10"/>
  <c r="C3150" i="10"/>
  <c r="D3170" i="10"/>
  <c r="F3162" i="10"/>
  <c r="S3159" i="10"/>
  <c r="U3220" i="10"/>
  <c r="T3220" i="10"/>
  <c r="S3313" i="10"/>
  <c r="S3181" i="10"/>
  <c r="T3185" i="10"/>
  <c r="R3205" i="10"/>
  <c r="R3225" i="10"/>
  <c r="C3317" i="10"/>
  <c r="S3312" i="10"/>
  <c r="C3316" i="10"/>
  <c r="D3120" i="10"/>
  <c r="F3167" i="10"/>
  <c r="C3187" i="10"/>
  <c r="U3186" i="10"/>
  <c r="T3186" i="10"/>
  <c r="U3199" i="10"/>
  <c r="S3204" i="10"/>
  <c r="S3217" i="10"/>
  <c r="F3217" i="10"/>
  <c r="L3214" i="10"/>
  <c r="C3225" i="10"/>
  <c r="R3226" i="10"/>
  <c r="S3222" i="10"/>
  <c r="U3224" i="10"/>
  <c r="F3144" i="10"/>
  <c r="C3188" i="10"/>
  <c r="R3240" i="10"/>
  <c r="U3236" i="10"/>
  <c r="T3236" i="10"/>
  <c r="S3297" i="10"/>
  <c r="D3302" i="10"/>
  <c r="F3296" i="10"/>
  <c r="D3317" i="10"/>
  <c r="F3313" i="10"/>
  <c r="R3330" i="10"/>
  <c r="R3360" i="10"/>
  <c r="U3356" i="10"/>
  <c r="T3356" i="10"/>
  <c r="AA3187" i="10"/>
  <c r="U3182" i="10"/>
  <c r="T3182" i="10"/>
  <c r="U3200" i="10"/>
  <c r="T3200" i="10"/>
  <c r="C3227" i="10"/>
  <c r="S3216" i="10"/>
  <c r="C3226" i="10"/>
  <c r="U3254" i="10"/>
  <c r="F3267" i="10"/>
  <c r="U3326" i="10"/>
  <c r="T3326" i="10"/>
  <c r="E3376" i="10"/>
  <c r="R3168" i="10"/>
  <c r="T3166" i="10"/>
  <c r="C3207" i="10"/>
  <c r="S3197" i="10"/>
  <c r="C3206" i="10"/>
  <c r="S3238" i="10"/>
  <c r="C3302" i="10"/>
  <c r="U3298" i="10"/>
  <c r="U3299" i="10"/>
  <c r="T3299" i="10"/>
  <c r="U3341" i="10"/>
  <c r="D3189" i="10"/>
  <c r="F3180" i="10"/>
  <c r="S3311" i="10"/>
  <c r="C3256" i="10"/>
  <c r="C3271" i="10"/>
  <c r="C3332" i="10"/>
  <c r="T3203" i="10"/>
  <c r="F3219" i="10"/>
  <c r="E3269" i="10"/>
  <c r="S3282" i="10"/>
  <c r="D3284" i="10"/>
  <c r="D3287" i="10"/>
  <c r="T3296" i="10"/>
  <c r="T3357" i="10"/>
  <c r="D3377" i="10"/>
  <c r="S3183" i="10"/>
  <c r="F3254" i="10"/>
  <c r="F3269" i="10"/>
  <c r="C3347" i="10"/>
  <c r="T3373" i="10"/>
  <c r="D3347" i="10"/>
  <c r="F3342" i="10"/>
  <c r="S3342" i="10"/>
  <c r="S3345" i="10"/>
  <c r="F2694" i="10"/>
  <c r="F2698" i="10"/>
  <c r="T2379" i="10"/>
  <c r="E2524" i="10"/>
  <c r="U2196" i="10"/>
  <c r="E1871" i="10"/>
  <c r="I1873" i="10"/>
  <c r="S1833" i="10"/>
  <c r="S1567" i="10"/>
  <c r="F1464" i="10"/>
  <c r="F2044" i="10"/>
  <c r="I1488" i="10"/>
  <c r="I1185" i="10"/>
  <c r="F1444" i="10"/>
  <c r="F322" i="10"/>
  <c r="F524" i="10"/>
  <c r="E656" i="10"/>
  <c r="E542" i="10"/>
  <c r="H91" i="10"/>
  <c r="U2513" i="10"/>
  <c r="U2522" i="10"/>
  <c r="T2513" i="10"/>
  <c r="F2371" i="10"/>
  <c r="AF626" i="10"/>
  <c r="AD641" i="10"/>
  <c r="F2374" i="10"/>
  <c r="T3267" i="10"/>
  <c r="U3267" i="10"/>
  <c r="AF632" i="10"/>
  <c r="AK617" i="10"/>
  <c r="AR636" i="10"/>
  <c r="AF621" i="10"/>
  <c r="T1936" i="10"/>
  <c r="S1936" i="10"/>
  <c r="R2005" i="10"/>
  <c r="E2005" i="10"/>
  <c r="F462" i="10"/>
  <c r="F467" i="10"/>
  <c r="F460" i="10"/>
  <c r="F465" i="10"/>
  <c r="F508" i="10"/>
  <c r="F1466" i="10"/>
  <c r="S2504" i="10"/>
  <c r="S2505" i="10"/>
  <c r="T2496" i="10"/>
  <c r="U2287" i="10"/>
  <c r="T2287" i="10"/>
  <c r="U3330" i="10"/>
  <c r="F3024" i="10"/>
  <c r="F2701" i="10"/>
  <c r="F2825" i="10"/>
  <c r="F3054" i="10"/>
  <c r="F3014" i="10"/>
  <c r="F2695" i="10"/>
  <c r="S1765" i="10"/>
  <c r="F1449" i="10"/>
  <c r="E3377" i="10"/>
  <c r="AM616" i="10"/>
  <c r="S3330" i="10"/>
  <c r="F3328" i="10"/>
  <c r="F3331" i="10"/>
  <c r="F3159" i="10"/>
  <c r="F3115" i="10"/>
  <c r="E3094" i="10"/>
  <c r="F2696" i="10"/>
  <c r="U3118" i="10"/>
  <c r="S2770" i="10"/>
  <c r="S2771" i="10"/>
  <c r="F2853" i="10"/>
  <c r="F2841" i="10"/>
  <c r="F2954" i="10"/>
  <c r="F2867" i="10"/>
  <c r="F3080" i="10"/>
  <c r="F3105" i="10"/>
  <c r="F2690" i="10"/>
  <c r="F2483" i="10"/>
  <c r="S2636" i="10"/>
  <c r="S2637" i="10"/>
  <c r="U2496" i="10"/>
  <c r="F2703" i="10"/>
  <c r="T2266" i="10"/>
  <c r="D2292" i="10"/>
  <c r="F2310" i="10"/>
  <c r="T2119" i="10"/>
  <c r="F2516" i="10"/>
  <c r="F1910" i="10"/>
  <c r="F2040" i="10"/>
  <c r="F1406" i="10"/>
  <c r="F1945" i="10"/>
  <c r="F1434" i="10"/>
  <c r="S1776" i="10"/>
  <c r="F1579" i="10"/>
  <c r="F1219" i="10"/>
  <c r="F1568" i="10"/>
  <c r="S1629" i="10"/>
  <c r="F1350" i="10"/>
  <c r="F1364" i="10"/>
  <c r="F884" i="10"/>
  <c r="I654" i="10"/>
  <c r="F510" i="10"/>
  <c r="AA618" i="10"/>
  <c r="F175" i="10"/>
  <c r="F243" i="10"/>
  <c r="F485" i="10"/>
  <c r="F139" i="10"/>
  <c r="H596" i="10"/>
  <c r="F219" i="10"/>
  <c r="F32" i="10"/>
  <c r="F2717" i="10"/>
  <c r="AI618" i="10"/>
  <c r="T2510" i="10"/>
  <c r="AB635" i="10"/>
  <c r="AD621" i="10"/>
  <c r="T1866" i="10"/>
  <c r="S1866" i="10"/>
  <c r="AN636" i="10"/>
  <c r="Z621" i="10"/>
  <c r="AA621" i="10"/>
  <c r="AM636" i="10"/>
  <c r="F2823" i="10"/>
  <c r="F3160" i="10"/>
  <c r="U2857" i="10"/>
  <c r="F2513" i="10"/>
  <c r="F2872" i="10"/>
  <c r="F2842" i="10"/>
  <c r="F3028" i="10"/>
  <c r="F2985" i="10"/>
  <c r="F3093" i="10"/>
  <c r="F3118" i="10"/>
  <c r="F2700" i="10"/>
  <c r="F2398" i="10"/>
  <c r="T2238" i="10"/>
  <c r="F2518" i="10"/>
  <c r="F1784" i="10"/>
  <c r="E1859" i="10"/>
  <c r="F1295" i="10"/>
  <c r="F1578" i="10"/>
  <c r="F1215" i="10"/>
  <c r="F1583" i="10"/>
  <c r="I642" i="10"/>
  <c r="F1049" i="10"/>
  <c r="E515" i="10"/>
  <c r="J392" i="10"/>
  <c r="F379" i="10"/>
  <c r="F969" i="10"/>
  <c r="F344" i="10"/>
  <c r="F520" i="10"/>
  <c r="E491" i="10"/>
  <c r="F17" i="10"/>
  <c r="F542" i="10"/>
  <c r="F3327" i="10"/>
  <c r="F3330" i="10"/>
  <c r="F3344" i="10"/>
  <c r="F3312" i="10"/>
  <c r="E3332" i="10"/>
  <c r="T3327" i="10"/>
  <c r="F3041" i="10"/>
  <c r="E3133" i="10"/>
  <c r="H3133" i="10"/>
  <c r="U2779" i="10"/>
  <c r="T2646" i="10"/>
  <c r="F2692" i="10"/>
  <c r="F2857" i="10"/>
  <c r="F2906" i="10"/>
  <c r="F2868" i="10"/>
  <c r="F3132" i="10"/>
  <c r="F3106" i="10"/>
  <c r="F2971" i="10"/>
  <c r="T2470" i="10"/>
  <c r="F2702" i="10"/>
  <c r="F2401" i="10"/>
  <c r="U2338" i="10"/>
  <c r="F2348" i="10"/>
  <c r="F2467" i="10"/>
  <c r="F2313" i="10"/>
  <c r="F2377" i="10"/>
  <c r="F2100" i="10"/>
  <c r="F2520" i="10"/>
  <c r="F2146" i="10"/>
  <c r="F1853" i="10"/>
  <c r="F2094" i="10"/>
  <c r="F2021" i="10"/>
  <c r="R1660" i="10"/>
  <c r="R1661" i="10"/>
  <c r="F1962" i="10"/>
  <c r="F1933" i="10"/>
  <c r="T1930" i="10"/>
  <c r="F1949" i="10"/>
  <c r="F1582" i="10"/>
  <c r="F1498" i="10"/>
  <c r="F1355" i="10"/>
  <c r="S1952" i="10"/>
  <c r="F1514" i="10"/>
  <c r="R1776" i="10"/>
  <c r="R1777" i="10"/>
  <c r="F1577" i="10"/>
  <c r="F1569" i="10"/>
  <c r="F900" i="10"/>
  <c r="AQ636" i="10"/>
  <c r="E1585" i="10"/>
  <c r="F1072" i="10"/>
  <c r="F863" i="10"/>
  <c r="F1048" i="10"/>
  <c r="I513" i="10"/>
  <c r="F509" i="10"/>
  <c r="F221" i="10"/>
  <c r="F341" i="10"/>
  <c r="F345" i="10"/>
  <c r="I256" i="10"/>
  <c r="F417" i="10"/>
  <c r="F484" i="10"/>
  <c r="F76" i="10"/>
  <c r="F141" i="10"/>
  <c r="U2995" i="10"/>
  <c r="U3000" i="10"/>
  <c r="T2995" i="10"/>
  <c r="T3000" i="10"/>
  <c r="T1865" i="10"/>
  <c r="S1865" i="10"/>
  <c r="S1869" i="10"/>
  <c r="AU635" i="10"/>
  <c r="T2504" i="10"/>
  <c r="F3326" i="10"/>
  <c r="F3341" i="10"/>
  <c r="F3343" i="10"/>
  <c r="F3161" i="10"/>
  <c r="F3371" i="10"/>
  <c r="E3331" i="10"/>
  <c r="F3025" i="10"/>
  <c r="F2840" i="10"/>
  <c r="F2869" i="10"/>
  <c r="T2938" i="10"/>
  <c r="U3375" i="10"/>
  <c r="F3090" i="10"/>
  <c r="S2785" i="10"/>
  <c r="S2786" i="10"/>
  <c r="F2955" i="10"/>
  <c r="F2922" i="10"/>
  <c r="F2939" i="10"/>
  <c r="F2891" i="10"/>
  <c r="F2871" i="10"/>
  <c r="F3119" i="10"/>
  <c r="F3001" i="10"/>
  <c r="F2517" i="10"/>
  <c r="F2463" i="10"/>
  <c r="F2704" i="10"/>
  <c r="F2402" i="10"/>
  <c r="F2486" i="10"/>
  <c r="F2519" i="10"/>
  <c r="F1888" i="10"/>
  <c r="F2084" i="10"/>
  <c r="F2020" i="10"/>
  <c r="F1562" i="10"/>
  <c r="F1960" i="10"/>
  <c r="F1575" i="10"/>
  <c r="F1484" i="10"/>
  <c r="F1352" i="10"/>
  <c r="S1982" i="10"/>
  <c r="F1965" i="10"/>
  <c r="F1479" i="10"/>
  <c r="F1335" i="10"/>
  <c r="F1463" i="10"/>
  <c r="F1234" i="10"/>
  <c r="F1500" i="10"/>
  <c r="I1523" i="10"/>
  <c r="I726" i="10"/>
  <c r="I1205" i="10"/>
  <c r="F1585" i="10"/>
  <c r="F1010" i="10"/>
  <c r="F526" i="10"/>
  <c r="F258" i="10"/>
  <c r="F413" i="10"/>
  <c r="F419" i="10"/>
  <c r="I430" i="10"/>
  <c r="F486" i="10"/>
  <c r="F2635" i="10"/>
  <c r="F2967" i="10"/>
  <c r="F2951" i="10"/>
  <c r="T3115" i="10"/>
  <c r="T3118" i="10"/>
  <c r="U3115" i="10"/>
  <c r="F2673" i="10"/>
  <c r="AP636" i="10"/>
  <c r="E3120" i="10"/>
  <c r="H3120" i="10"/>
  <c r="F2827" i="10"/>
  <c r="F2923" i="10"/>
  <c r="F2855" i="10"/>
  <c r="F3092" i="10"/>
  <c r="S1937" i="10"/>
  <c r="I1125" i="10"/>
  <c r="R1880" i="10"/>
  <c r="R1881" i="10"/>
  <c r="S1876" i="10"/>
  <c r="S1880" i="10"/>
  <c r="F453" i="10"/>
  <c r="F343" i="10"/>
  <c r="E3256" i="10"/>
  <c r="E3362" i="10"/>
  <c r="F2824" i="10"/>
  <c r="F2838" i="10"/>
  <c r="F2839" i="10"/>
  <c r="E2845" i="10"/>
  <c r="H2859" i="10"/>
  <c r="E2756" i="10"/>
  <c r="F3131" i="10"/>
  <c r="F2830" i="10"/>
  <c r="F2986" i="10"/>
  <c r="F2907" i="10"/>
  <c r="F2970" i="10"/>
  <c r="F3040" i="10"/>
  <c r="F2515" i="10"/>
  <c r="T2522" i="10"/>
  <c r="F2693" i="10"/>
  <c r="F2399" i="10"/>
  <c r="T2594" i="10"/>
  <c r="U2245" i="10"/>
  <c r="U2252" i="10"/>
  <c r="T2103" i="10"/>
  <c r="F1951" i="10"/>
  <c r="F1574" i="10"/>
  <c r="F1469" i="10"/>
  <c r="F1304" i="10"/>
  <c r="I1157" i="10"/>
  <c r="I1109" i="10"/>
  <c r="F1472" i="10"/>
  <c r="F1576" i="10"/>
  <c r="F1261" i="10"/>
  <c r="F1497" i="10"/>
  <c r="W617" i="10"/>
  <c r="F1060" i="10"/>
  <c r="F984" i="10"/>
  <c r="F948" i="10"/>
  <c r="T610" i="10"/>
  <c r="I357" i="10"/>
  <c r="F200" i="10"/>
  <c r="F201" i="10"/>
  <c r="F522" i="10"/>
  <c r="F644" i="10"/>
  <c r="F381" i="10"/>
  <c r="U3372" i="10"/>
  <c r="T3372" i="10"/>
  <c r="T3375" i="10"/>
  <c r="R1869" i="10"/>
  <c r="R1870" i="10"/>
  <c r="S2178" i="10"/>
  <c r="S2182" i="10"/>
  <c r="T2178" i="10"/>
  <c r="T2182" i="10"/>
  <c r="J118" i="10"/>
  <c r="K118" i="10"/>
  <c r="F3286" i="10"/>
  <c r="F3283" i="10"/>
  <c r="E3287" i="10"/>
  <c r="R3286" i="10"/>
  <c r="F3285" i="10"/>
  <c r="AI627" i="10"/>
  <c r="AF642" i="10"/>
  <c r="F3281" i="10"/>
  <c r="F3282" i="10"/>
  <c r="T3282" i="10"/>
  <c r="U3282" i="10"/>
  <c r="U3222" i="10"/>
  <c r="T3222" i="10"/>
  <c r="F3181" i="10"/>
  <c r="U3159" i="10"/>
  <c r="T3159" i="10"/>
  <c r="S3168" i="10"/>
  <c r="S3255" i="10"/>
  <c r="U3251" i="10"/>
  <c r="U3255" i="10"/>
  <c r="T3251" i="10"/>
  <c r="T3255" i="10"/>
  <c r="E2802" i="10"/>
  <c r="F2800" i="10"/>
  <c r="F2799" i="10"/>
  <c r="F2802" i="10"/>
  <c r="F2801" i="10"/>
  <c r="F2798" i="10"/>
  <c r="F2795" i="10"/>
  <c r="F2796" i="10"/>
  <c r="AI619" i="10"/>
  <c r="U2869" i="10"/>
  <c r="U2871" i="10"/>
  <c r="T2869" i="10"/>
  <c r="U2901" i="10"/>
  <c r="U2906" i="10"/>
  <c r="T2901" i="10"/>
  <c r="T2906" i="10"/>
  <c r="S3270" i="10"/>
  <c r="U3266" i="10"/>
  <c r="U3270" i="10"/>
  <c r="T3266" i="10"/>
  <c r="T3270" i="10"/>
  <c r="U2722" i="10"/>
  <c r="T2722" i="10"/>
  <c r="S2723" i="10"/>
  <c r="S2724" i="10"/>
  <c r="U2811" i="10"/>
  <c r="T2811" i="10"/>
  <c r="U2570" i="10"/>
  <c r="T2570" i="10"/>
  <c r="E3242" i="10"/>
  <c r="R3241" i="10"/>
  <c r="F3240" i="10"/>
  <c r="F3241" i="10"/>
  <c r="AI626" i="10"/>
  <c r="U2692" i="10"/>
  <c r="T2692" i="10"/>
  <c r="F2888" i="10"/>
  <c r="F2889" i="10"/>
  <c r="E2893" i="10"/>
  <c r="F2886" i="10"/>
  <c r="F2887" i="10"/>
  <c r="F2905" i="10"/>
  <c r="F2890" i="10"/>
  <c r="F2882" i="10"/>
  <c r="F2881" i="10"/>
  <c r="F2883" i="10"/>
  <c r="T2537" i="10"/>
  <c r="U2537" i="10"/>
  <c r="T2586" i="10"/>
  <c r="U2586" i="10"/>
  <c r="U2503" i="10"/>
  <c r="T2503" i="10"/>
  <c r="T2571" i="10"/>
  <c r="U2571" i="10"/>
  <c r="S2663" i="10"/>
  <c r="S2664" i="10"/>
  <c r="T2660" i="10"/>
  <c r="U2660" i="10"/>
  <c r="F2567" i="10"/>
  <c r="U2431" i="10"/>
  <c r="T2431" i="10"/>
  <c r="E2392" i="10"/>
  <c r="F2388" i="10"/>
  <c r="F2386" i="10"/>
  <c r="F2384" i="10"/>
  <c r="O2391" i="10"/>
  <c r="F2387" i="10"/>
  <c r="F2385" i="10"/>
  <c r="F2392" i="10"/>
  <c r="S2593" i="10"/>
  <c r="F2292" i="10"/>
  <c r="E2292" i="10"/>
  <c r="F2420" i="10"/>
  <c r="F2240" i="10"/>
  <c r="E2240" i="10"/>
  <c r="U2249" i="10"/>
  <c r="T2249" i="10"/>
  <c r="F2217" i="10"/>
  <c r="F2219" i="10"/>
  <c r="F2297" i="10"/>
  <c r="U2322" i="10"/>
  <c r="T2322" i="10"/>
  <c r="T2326" i="10"/>
  <c r="F2225" i="10"/>
  <c r="T1730" i="10"/>
  <c r="S1730" i="10"/>
  <c r="T1655" i="10"/>
  <c r="S1655" i="10"/>
  <c r="I1539" i="10"/>
  <c r="S1701" i="10"/>
  <c r="T1701" i="10"/>
  <c r="F1745" i="10"/>
  <c r="E1745" i="10"/>
  <c r="AB640" i="10"/>
  <c r="R1567" i="10"/>
  <c r="R1568" i="10"/>
  <c r="F1924" i="10"/>
  <c r="E1924" i="10"/>
  <c r="E1110" i="10"/>
  <c r="I1097" i="10"/>
  <c r="I1096" i="10"/>
  <c r="F1110" i="10"/>
  <c r="E1407" i="10"/>
  <c r="T1840" i="10"/>
  <c r="R1845" i="10"/>
  <c r="R1846" i="10"/>
  <c r="S1840" i="10"/>
  <c r="S1845" i="10"/>
  <c r="F1238" i="10"/>
  <c r="E1238" i="10"/>
  <c r="E359" i="10"/>
  <c r="F359" i="10"/>
  <c r="AN632" i="10"/>
  <c r="AM632" i="10"/>
  <c r="AN635" i="10"/>
  <c r="AM635" i="10"/>
  <c r="F353" i="10"/>
  <c r="F527" i="10"/>
  <c r="E214" i="10"/>
  <c r="I212" i="10"/>
  <c r="F210" i="10"/>
  <c r="F211" i="10"/>
  <c r="F214" i="10"/>
  <c r="F159" i="10"/>
  <c r="E159" i="10"/>
  <c r="F155" i="10"/>
  <c r="F156" i="10"/>
  <c r="F154" i="10"/>
  <c r="F245" i="10"/>
  <c r="F3359" i="10"/>
  <c r="F3184" i="10"/>
  <c r="F3311" i="10"/>
  <c r="F3315" i="10"/>
  <c r="F3314" i="10"/>
  <c r="F3316" i="10"/>
  <c r="E3317" i="10"/>
  <c r="F3198" i="10"/>
  <c r="U3312" i="10"/>
  <c r="T3312" i="10"/>
  <c r="T3181" i="10"/>
  <c r="U3181" i="10"/>
  <c r="E3170" i="10"/>
  <c r="H3170" i="10"/>
  <c r="F3163" i="10"/>
  <c r="F3169" i="10"/>
  <c r="F3168" i="10"/>
  <c r="F3164" i="10"/>
  <c r="F3166" i="10"/>
  <c r="F3158" i="10"/>
  <c r="F3165" i="10"/>
  <c r="AI625" i="10"/>
  <c r="T3066" i="10"/>
  <c r="F3091" i="10"/>
  <c r="R3256" i="10"/>
  <c r="F3255" i="10"/>
  <c r="F3256" i="10"/>
  <c r="F3253" i="10"/>
  <c r="F3252" i="10"/>
  <c r="E3257" i="10"/>
  <c r="H3257" i="10"/>
  <c r="T3011" i="10"/>
  <c r="U3011" i="10"/>
  <c r="U3012" i="10"/>
  <c r="T3012" i="10"/>
  <c r="F3117" i="10"/>
  <c r="E2816" i="10"/>
  <c r="F2816" i="10"/>
  <c r="F2810" i="10"/>
  <c r="F2809" i="10"/>
  <c r="F2814" i="10"/>
  <c r="R3271" i="10"/>
  <c r="F3270" i="10"/>
  <c r="F3271" i="10"/>
  <c r="F3268" i="10"/>
  <c r="F3272" i="10"/>
  <c r="E3272" i="10"/>
  <c r="U2968" i="10"/>
  <c r="T2968" i="10"/>
  <c r="F2920" i="10"/>
  <c r="F2921" i="10"/>
  <c r="E2908" i="10"/>
  <c r="F2919" i="10"/>
  <c r="F2916" i="10"/>
  <c r="U2716" i="10"/>
  <c r="U2723" i="10"/>
  <c r="T2716" i="10"/>
  <c r="U2622" i="10"/>
  <c r="F2811" i="10"/>
  <c r="F2812" i="10"/>
  <c r="F2764" i="10"/>
  <c r="E2683" i="10"/>
  <c r="F2683" i="10"/>
  <c r="T2562" i="10"/>
  <c r="F2532" i="10"/>
  <c r="E2830" i="10"/>
  <c r="F2569" i="10"/>
  <c r="F2885" i="10"/>
  <c r="F2506" i="10"/>
  <c r="E2506" i="10"/>
  <c r="F2436" i="10"/>
  <c r="F2557" i="10"/>
  <c r="F2502" i="10"/>
  <c r="F2534" i="10"/>
  <c r="F2415" i="10"/>
  <c r="S2415" i="10"/>
  <c r="C2423" i="10"/>
  <c r="F2573" i="10"/>
  <c r="F2550" i="10"/>
  <c r="U2470" i="10"/>
  <c r="T2338" i="10"/>
  <c r="T2606" i="10"/>
  <c r="F2465" i="10"/>
  <c r="F2484" i="10"/>
  <c r="U2420" i="10"/>
  <c r="T2420" i="10"/>
  <c r="F2321" i="10"/>
  <c r="F2232" i="10"/>
  <c r="S2119" i="10"/>
  <c r="S2103" i="10"/>
  <c r="E2011" i="10"/>
  <c r="R2011" i="10"/>
  <c r="F2011" i="10"/>
  <c r="F2239" i="10"/>
  <c r="F2524" i="10"/>
  <c r="F2203" i="10"/>
  <c r="F2206" i="10"/>
  <c r="R1754" i="10"/>
  <c r="R1755" i="10"/>
  <c r="T1750" i="10"/>
  <c r="S1750" i="10"/>
  <c r="S1754" i="10"/>
  <c r="T2297" i="10"/>
  <c r="U2297" i="10"/>
  <c r="S2302" i="10"/>
  <c r="S2303" i="10"/>
  <c r="T2210" i="10"/>
  <c r="F2182" i="10"/>
  <c r="F2112" i="10"/>
  <c r="F2099" i="10"/>
  <c r="F2183" i="10"/>
  <c r="F2172" i="10"/>
  <c r="F2167" i="10"/>
  <c r="F2166" i="10"/>
  <c r="F2132" i="10"/>
  <c r="F2131" i="10"/>
  <c r="F2130" i="10"/>
  <c r="F2129" i="10"/>
  <c r="F2128" i="10"/>
  <c r="F2127" i="10"/>
  <c r="F2126" i="10"/>
  <c r="F2118" i="10"/>
  <c r="F2117" i="10"/>
  <c r="F2116" i="10"/>
  <c r="F2115" i="10"/>
  <c r="F2114" i="10"/>
  <c r="F2098" i="10"/>
  <c r="F2168" i="10"/>
  <c r="F2096" i="10"/>
  <c r="F2071" i="10"/>
  <c r="F2025" i="10"/>
  <c r="F1931" i="10"/>
  <c r="F1930" i="10"/>
  <c r="F1929" i="10"/>
  <c r="F1921" i="10"/>
  <c r="F1920" i="10"/>
  <c r="F1919" i="10"/>
  <c r="F1908" i="10"/>
  <c r="E1896" i="10"/>
  <c r="F2041" i="10"/>
  <c r="F2068" i="10"/>
  <c r="F2034" i="10"/>
  <c r="F1936" i="10"/>
  <c r="F1918" i="10"/>
  <c r="F2170" i="10"/>
  <c r="F1909" i="10"/>
  <c r="F2171" i="10"/>
  <c r="F2066" i="10"/>
  <c r="F2039" i="10"/>
  <c r="F2024" i="10"/>
  <c r="F1896" i="10"/>
  <c r="F2038" i="10"/>
  <c r="F2004" i="10"/>
  <c r="F1981" i="10"/>
  <c r="F2023" i="10"/>
  <c r="F1976" i="10"/>
  <c r="F1904" i="10"/>
  <c r="F1902" i="10"/>
  <c r="F1892" i="10"/>
  <c r="F2065" i="10"/>
  <c r="F1979" i="10"/>
  <c r="F1907" i="10"/>
  <c r="F2070" i="10"/>
  <c r="F1974" i="10"/>
  <c r="F1890" i="10"/>
  <c r="F1977" i="10"/>
  <c r="F1905" i="10"/>
  <c r="F1893" i="10"/>
  <c r="F1980" i="10"/>
  <c r="F1903" i="10"/>
  <c r="F1975" i="10"/>
  <c r="F1901" i="10"/>
  <c r="F1891" i="10"/>
  <c r="F1906" i="10"/>
  <c r="F1978" i="10"/>
  <c r="F1842" i="10"/>
  <c r="F1797" i="10"/>
  <c r="F1796" i="10"/>
  <c r="F1795" i="10"/>
  <c r="F1786" i="10"/>
  <c r="F1843" i="10"/>
  <c r="F1829" i="10"/>
  <c r="F1809" i="10"/>
  <c r="F1808" i="10"/>
  <c r="F1807" i="10"/>
  <c r="F1806" i="10"/>
  <c r="F1798" i="10"/>
  <c r="F1787" i="10"/>
  <c r="F1879" i="10"/>
  <c r="F1878" i="10"/>
  <c r="F1877" i="10"/>
  <c r="F1868" i="10"/>
  <c r="F1867" i="10"/>
  <c r="F1866" i="10"/>
  <c r="F1865" i="10"/>
  <c r="F1844" i="10"/>
  <c r="F1830" i="10"/>
  <c r="F1817" i="10"/>
  <c r="F1790" i="10"/>
  <c r="F1831" i="10"/>
  <c r="F1818" i="10"/>
  <c r="E1790" i="10"/>
  <c r="F1841" i="10"/>
  <c r="F1785" i="10"/>
  <c r="AB641" i="10"/>
  <c r="F1720" i="10"/>
  <c r="E1720" i="10"/>
  <c r="AC623" i="10"/>
  <c r="F2204" i="10"/>
  <c r="F1995" i="10"/>
  <c r="F1483" i="10"/>
  <c r="F1998" i="10"/>
  <c r="F1964" i="10"/>
  <c r="F1944" i="10"/>
  <c r="E1756" i="10"/>
  <c r="S1704" i="10"/>
  <c r="S2053" i="10"/>
  <c r="T2053" i="10"/>
  <c r="U1981" i="10"/>
  <c r="T1982" i="10"/>
  <c r="S1915" i="10"/>
  <c r="R1922" i="10"/>
  <c r="R1923" i="10"/>
  <c r="T1915" i="10"/>
  <c r="I1453" i="10"/>
  <c r="F1734" i="10"/>
  <c r="F1427" i="10"/>
  <c r="F1323" i="10"/>
  <c r="F2010" i="10"/>
  <c r="F1407" i="10"/>
  <c r="F1126" i="10"/>
  <c r="E1126" i="10"/>
  <c r="Z626" i="10"/>
  <c r="T1638" i="10"/>
  <c r="S1638" i="10"/>
  <c r="F1420" i="10"/>
  <c r="F1065" i="10"/>
  <c r="E1065" i="10"/>
  <c r="F1063" i="10"/>
  <c r="F1430" i="10"/>
  <c r="F1462" i="10"/>
  <c r="I1168" i="10"/>
  <c r="F1168" i="10"/>
  <c r="I1184" i="10"/>
  <c r="F1074" i="10"/>
  <c r="F877" i="10"/>
  <c r="F875" i="10"/>
  <c r="F879" i="10"/>
  <c r="E879" i="10"/>
  <c r="G879" i="10"/>
  <c r="H879" i="10"/>
  <c r="F876" i="10"/>
  <c r="F764" i="10"/>
  <c r="E764" i="10"/>
  <c r="I1370" i="10"/>
  <c r="F935" i="10"/>
  <c r="G810" i="10"/>
  <c r="H810" i="10"/>
  <c r="I678" i="10"/>
  <c r="E1206" i="10"/>
  <c r="E408" i="10"/>
  <c r="F408" i="10"/>
  <c r="I690" i="10"/>
  <c r="F1461" i="10"/>
  <c r="F924" i="10"/>
  <c r="I1253" i="10"/>
  <c r="F937" i="10"/>
  <c r="F939" i="10"/>
  <c r="E939" i="10"/>
  <c r="I702" i="10"/>
  <c r="I501" i="10"/>
  <c r="T1641" i="10"/>
  <c r="S1641" i="10"/>
  <c r="F936" i="10"/>
  <c r="F496" i="10"/>
  <c r="F352" i="10"/>
  <c r="E644" i="10"/>
  <c r="F554" i="10"/>
  <c r="F477" i="10"/>
  <c r="AM633" i="10"/>
  <c r="AN633" i="10"/>
  <c r="F426" i="10"/>
  <c r="F209" i="10"/>
  <c r="F212" i="10"/>
  <c r="E372" i="10"/>
  <c r="F372" i="10"/>
  <c r="E134" i="10"/>
  <c r="F134" i="10"/>
  <c r="H133" i="10"/>
  <c r="F130" i="10"/>
  <c r="F125" i="10"/>
  <c r="F126" i="10"/>
  <c r="I134" i="10"/>
  <c r="F128" i="10"/>
  <c r="F153" i="10"/>
  <c r="I311" i="10"/>
  <c r="I157" i="10"/>
  <c r="J75" i="10"/>
  <c r="F571" i="10"/>
  <c r="F129" i="10"/>
  <c r="F6" i="10"/>
  <c r="F61" i="10"/>
  <c r="F1548" i="10"/>
  <c r="F1386" i="10"/>
  <c r="I1141" i="10"/>
  <c r="F1471" i="10"/>
  <c r="F1269" i="10"/>
  <c r="E1269" i="10"/>
  <c r="F1047" i="10"/>
  <c r="AT631" i="10"/>
  <c r="F899" i="10"/>
  <c r="I1237" i="10"/>
  <c r="AA625" i="10"/>
  <c r="Z640" i="10"/>
  <c r="E181" i="10"/>
  <c r="F181" i="10"/>
  <c r="I179" i="10"/>
  <c r="F176" i="10"/>
  <c r="F178" i="10"/>
  <c r="V654" i="10"/>
  <c r="F403" i="10"/>
  <c r="F297" i="10"/>
  <c r="I477" i="10"/>
  <c r="F223" i="10"/>
  <c r="J125" i="10"/>
  <c r="I132" i="10"/>
  <c r="J132" i="10"/>
  <c r="K132" i="10"/>
  <c r="F203" i="10"/>
  <c r="I201" i="10"/>
  <c r="E203" i="10"/>
  <c r="F197" i="10"/>
  <c r="I441" i="10"/>
  <c r="F356" i="10"/>
  <c r="F333" i="10"/>
  <c r="F186" i="10"/>
  <c r="T618" i="10"/>
  <c r="F429" i="10"/>
  <c r="F364" i="10"/>
  <c r="F370" i="10"/>
  <c r="F189" i="10"/>
  <c r="F127" i="10"/>
  <c r="I406" i="10"/>
  <c r="F5" i="10"/>
  <c r="F104" i="10"/>
  <c r="E3302" i="10"/>
  <c r="H3302" i="10"/>
  <c r="F3301" i="10"/>
  <c r="F3298" i="10"/>
  <c r="F3299" i="10"/>
  <c r="F3300" i="10"/>
  <c r="F2981" i="10"/>
  <c r="E2987" i="10"/>
  <c r="U2812" i="10"/>
  <c r="T2812" i="10"/>
  <c r="E2665" i="10"/>
  <c r="F2665" i="10"/>
  <c r="F2447" i="10"/>
  <c r="F2432" i="10"/>
  <c r="F2423" i="10"/>
  <c r="E2423" i="10"/>
  <c r="F2449" i="10"/>
  <c r="F2414" i="10"/>
  <c r="F2418" i="10"/>
  <c r="F2451" i="10"/>
  <c r="F2448" i="10"/>
  <c r="F2453" i="10"/>
  <c r="F2431" i="10"/>
  <c r="F2433" i="10"/>
  <c r="F2416" i="10"/>
  <c r="F2350" i="10"/>
  <c r="F2349" i="10"/>
  <c r="F2334" i="10"/>
  <c r="F2302" i="10"/>
  <c r="F2301" i="10"/>
  <c r="F2338" i="10"/>
  <c r="F2314" i="10"/>
  <c r="F2357" i="10"/>
  <c r="F2347" i="10"/>
  <c r="F2336" i="10"/>
  <c r="F2359" i="10"/>
  <c r="F2346" i="10"/>
  <c r="F2345" i="10"/>
  <c r="F2339" i="10"/>
  <c r="F2335" i="10"/>
  <c r="F2326" i="10"/>
  <c r="F2325" i="10"/>
  <c r="F2315" i="10"/>
  <c r="F2351" i="10"/>
  <c r="F2286" i="10"/>
  <c r="F2266" i="10"/>
  <c r="F2259" i="10"/>
  <c r="F2253" i="10"/>
  <c r="F2231" i="10"/>
  <c r="F2218" i="10"/>
  <c r="F2211" i="10"/>
  <c r="F2303" i="10"/>
  <c r="F2291" i="10"/>
  <c r="F2279" i="10"/>
  <c r="F2362" i="10"/>
  <c r="F2251" i="10"/>
  <c r="F2245" i="10"/>
  <c r="F2234" i="10"/>
  <c r="F2224" i="10"/>
  <c r="F2221" i="10"/>
  <c r="F2360" i="10"/>
  <c r="F2358" i="10"/>
  <c r="F2311" i="10"/>
  <c r="F2298" i="10"/>
  <c r="F2252" i="10"/>
  <c r="F2250" i="10"/>
  <c r="F2233" i="10"/>
  <c r="F2210" i="10"/>
  <c r="F2198" i="10"/>
  <c r="F2361" i="10"/>
  <c r="F2327" i="10"/>
  <c r="F2277" i="10"/>
  <c r="F2276" i="10"/>
  <c r="F2275" i="10"/>
  <c r="F2267" i="10"/>
  <c r="E2198" i="10"/>
  <c r="F2196" i="10"/>
  <c r="F2323" i="10"/>
  <c r="F2290" i="10"/>
  <c r="F2278" i="10"/>
  <c r="F2264" i="10"/>
  <c r="F2263" i="10"/>
  <c r="F2262" i="10"/>
  <c r="F2261" i="10"/>
  <c r="F2238" i="10"/>
  <c r="F2265" i="10"/>
  <c r="F2208" i="10"/>
  <c r="F2260" i="10"/>
  <c r="F2247" i="10"/>
  <c r="F2209" i="10"/>
  <c r="F2197" i="10"/>
  <c r="F2207" i="10"/>
  <c r="F2273" i="10"/>
  <c r="F2192" i="10"/>
  <c r="AF622" i="10"/>
  <c r="F2160" i="10"/>
  <c r="E2160" i="10"/>
  <c r="S2169" i="10"/>
  <c r="S2171" i="10"/>
  <c r="T2169" i="10"/>
  <c r="T1711" i="10"/>
  <c r="S1711" i="10"/>
  <c r="T1901" i="10"/>
  <c r="S1901" i="10"/>
  <c r="S1908" i="10"/>
  <c r="R1908" i="10"/>
  <c r="R1909" i="10"/>
  <c r="F2304" i="10"/>
  <c r="E2304" i="10"/>
  <c r="AF624" i="10"/>
  <c r="T1783" i="10"/>
  <c r="R1788" i="10"/>
  <c r="R1789" i="10"/>
  <c r="S1783" i="10"/>
  <c r="S1788" i="10"/>
  <c r="F1662" i="10"/>
  <c r="E1662" i="10"/>
  <c r="AC622" i="10"/>
  <c r="F3238" i="10"/>
  <c r="F3297" i="10"/>
  <c r="F3302" i="10"/>
  <c r="U3025" i="10"/>
  <c r="T3025" i="10"/>
  <c r="U3050" i="10"/>
  <c r="T3050" i="10"/>
  <c r="T2980" i="10"/>
  <c r="U2980" i="10"/>
  <c r="U3145" i="10"/>
  <c r="T3145" i="10"/>
  <c r="T3162" i="10"/>
  <c r="U3162" i="10"/>
  <c r="E3150" i="10"/>
  <c r="AA3142" i="10"/>
  <c r="F3148" i="10"/>
  <c r="AA3143" i="10"/>
  <c r="F3149" i="10"/>
  <c r="F3143" i="10"/>
  <c r="S2843" i="10"/>
  <c r="U2838" i="10"/>
  <c r="U2843" i="10"/>
  <c r="T2838" i="10"/>
  <c r="T2843" i="10"/>
  <c r="F2767" i="10"/>
  <c r="U3358" i="10"/>
  <c r="T3358" i="10"/>
  <c r="T3360" i="10"/>
  <c r="H2873" i="10"/>
  <c r="T2965" i="10"/>
  <c r="T2970" i="10"/>
  <c r="U2965" i="10"/>
  <c r="U2970" i="10"/>
  <c r="U2696" i="10"/>
  <c r="T2696" i="10"/>
  <c r="T2714" i="10"/>
  <c r="U2714" i="10"/>
  <c r="U2538" i="10"/>
  <c r="T2538" i="10"/>
  <c r="T2528" i="10"/>
  <c r="F2466" i="10"/>
  <c r="U2504" i="10"/>
  <c r="U2397" i="10"/>
  <c r="U2404" i="10"/>
  <c r="T2397" i="10"/>
  <c r="T2573" i="10"/>
  <c r="T2564" i="10"/>
  <c r="U2573" i="10"/>
  <c r="F2328" i="10"/>
  <c r="E2328" i="10"/>
  <c r="F2413" i="10"/>
  <c r="E2340" i="10"/>
  <c r="F2236" i="10"/>
  <c r="F2300" i="10"/>
  <c r="F2226" i="10"/>
  <c r="E2226" i="10"/>
  <c r="F2450" i="10"/>
  <c r="F2382" i="10"/>
  <c r="F2437" i="10"/>
  <c r="F2254" i="10"/>
  <c r="E2254" i="10"/>
  <c r="AF623" i="10"/>
  <c r="F2480" i="10"/>
  <c r="F2191" i="10"/>
  <c r="F2205" i="10"/>
  <c r="E1969" i="10"/>
  <c r="F1969" i="10"/>
  <c r="E1984" i="10"/>
  <c r="F2009" i="10"/>
  <c r="E2009" i="10"/>
  <c r="R2009" i="10"/>
  <c r="S2289" i="10"/>
  <c r="F2289" i="10"/>
  <c r="F2309" i="10"/>
  <c r="F1939" i="10"/>
  <c r="S1643" i="10"/>
  <c r="T1643" i="10"/>
  <c r="T2036" i="10"/>
  <c r="T2042" i="10"/>
  <c r="S2036" i="10"/>
  <c r="S2042" i="10"/>
  <c r="R1644" i="10"/>
  <c r="R1645" i="10"/>
  <c r="T1636" i="10"/>
  <c r="S1636" i="10"/>
  <c r="F1600" i="10"/>
  <c r="F1385" i="10"/>
  <c r="S1994" i="10"/>
  <c r="T1994" i="10"/>
  <c r="U2220" i="10"/>
  <c r="T2220" i="10"/>
  <c r="F1487" i="10"/>
  <c r="F1489" i="10"/>
  <c r="F1506" i="10"/>
  <c r="E1489" i="10"/>
  <c r="F1505" i="10"/>
  <c r="F1481" i="10"/>
  <c r="F1499" i="10"/>
  <c r="F1485" i="10"/>
  <c r="F1478" i="10"/>
  <c r="F1496" i="10"/>
  <c r="F1502" i="10"/>
  <c r="F1482" i="10"/>
  <c r="F1488" i="10"/>
  <c r="U1951" i="10"/>
  <c r="T1952" i="10"/>
  <c r="F1889" i="10"/>
  <c r="F1546" i="10"/>
  <c r="F1383" i="10"/>
  <c r="E1569" i="10"/>
  <c r="F1523" i="10"/>
  <c r="F1522" i="10"/>
  <c r="F1520" i="10"/>
  <c r="F1539" i="10"/>
  <c r="F1538" i="10"/>
  <c r="F1524" i="10"/>
  <c r="E1524" i="10"/>
  <c r="F1536" i="10"/>
  <c r="F1531" i="10"/>
  <c r="F1519" i="10"/>
  <c r="F1532" i="10"/>
  <c r="F1540" i="10"/>
  <c r="F1512" i="10"/>
  <c r="F1516" i="10"/>
  <c r="F1142" i="10"/>
  <c r="E1142" i="10"/>
  <c r="I1128" i="10"/>
  <c r="I1129" i="10"/>
  <c r="K1142" i="10"/>
  <c r="F2059" i="10"/>
  <c r="E2059" i="10"/>
  <c r="F1250" i="10"/>
  <c r="F1537" i="10"/>
  <c r="F1073" i="10"/>
  <c r="F1062" i="10"/>
  <c r="F1061" i="10"/>
  <c r="F1057" i="10"/>
  <c r="F1022" i="10"/>
  <c r="F1018" i="10"/>
  <c r="F1008" i="10"/>
  <c r="F1005" i="10"/>
  <c r="F994" i="10"/>
  <c r="F983" i="10"/>
  <c r="F972" i="10"/>
  <c r="F957" i="10"/>
  <c r="F947" i="10"/>
  <c r="F911" i="10"/>
  <c r="F897" i="10"/>
  <c r="F1044" i="10"/>
  <c r="F1033" i="10"/>
  <c r="F1032" i="10"/>
  <c r="F1031" i="10"/>
  <c r="F1023" i="10"/>
  <c r="F1019" i="10"/>
  <c r="F1009" i="10"/>
  <c r="F1006" i="10"/>
  <c r="F995" i="10"/>
  <c r="F958" i="10"/>
  <c r="F933" i="10"/>
  <c r="F912" i="10"/>
  <c r="F901" i="10"/>
  <c r="F1075" i="10"/>
  <c r="F1071" i="10"/>
  <c r="F1059" i="10"/>
  <c r="F1035" i="10"/>
  <c r="F1034" i="10"/>
  <c r="F1020" i="10"/>
  <c r="F980" i="10"/>
  <c r="F970" i="10"/>
  <c r="F945" i="10"/>
  <c r="F921" i="10"/>
  <c r="F910" i="10"/>
  <c r="F903" i="10"/>
  <c r="F895" i="10"/>
  <c r="E903" i="10"/>
  <c r="F968" i="10"/>
  <c r="Z637" i="10"/>
  <c r="F996" i="10"/>
  <c r="F932" i="10"/>
  <c r="F922" i="10"/>
  <c r="F896" i="10"/>
  <c r="F1046" i="10"/>
  <c r="F982" i="10"/>
  <c r="F874" i="10"/>
  <c r="E868" i="10"/>
  <c r="F866" i="10"/>
  <c r="F868" i="10"/>
  <c r="T1639" i="10"/>
  <c r="S1639" i="10"/>
  <c r="F1058" i="10"/>
  <c r="F925" i="10"/>
  <c r="F927" i="10"/>
  <c r="E927" i="10"/>
  <c r="J276" i="10"/>
  <c r="F946" i="10"/>
  <c r="F632" i="10"/>
  <c r="E632" i="10"/>
  <c r="F427" i="10"/>
  <c r="F1564" i="10"/>
  <c r="F898" i="10"/>
  <c r="F311" i="10"/>
  <c r="I370" i="10"/>
  <c r="E120" i="10"/>
  <c r="H119" i="10"/>
  <c r="H120" i="10"/>
  <c r="I120" i="10"/>
  <c r="F120" i="10"/>
  <c r="F394" i="10"/>
  <c r="F152" i="10"/>
  <c r="F2771" i="10"/>
  <c r="F2768" i="10"/>
  <c r="F2772" i="10"/>
  <c r="F2765" i="10"/>
  <c r="E2772" i="10"/>
  <c r="F2770" i="10"/>
  <c r="F2763" i="10"/>
  <c r="U2675" i="10"/>
  <c r="T2675" i="10"/>
  <c r="F2551" i="10"/>
  <c r="F2542" i="10"/>
  <c r="E2542" i="10"/>
  <c r="F2533" i="10"/>
  <c r="F2556" i="10"/>
  <c r="F2554" i="10"/>
  <c r="F2552" i="10"/>
  <c r="F2549" i="10"/>
  <c r="F2568" i="10"/>
  <c r="F2572" i="10"/>
  <c r="T2299" i="10"/>
  <c r="T2302" i="10"/>
  <c r="U2299" i="10"/>
  <c r="U2358" i="10"/>
  <c r="U2361" i="10"/>
  <c r="T2358" i="10"/>
  <c r="F2193" i="10"/>
  <c r="T2084" i="10"/>
  <c r="S2084" i="10"/>
  <c r="S1819" i="10"/>
  <c r="R1821" i="10"/>
  <c r="R1822" i="10"/>
  <c r="T1819" i="10"/>
  <c r="S2049" i="10"/>
  <c r="T2049" i="10"/>
  <c r="R2057" i="10"/>
  <c r="R2058" i="10"/>
  <c r="D1174" i="10"/>
  <c r="F1190" i="10"/>
  <c r="I1163" i="10"/>
  <c r="F1163" i="10"/>
  <c r="F821" i="10"/>
  <c r="E821" i="10"/>
  <c r="G821" i="10"/>
  <c r="H821" i="10"/>
  <c r="F819" i="10"/>
  <c r="F354" i="10"/>
  <c r="AN634" i="10"/>
  <c r="AM634" i="10"/>
  <c r="F2599" i="10"/>
  <c r="F608" i="10"/>
  <c r="E608" i="10"/>
  <c r="E302" i="10"/>
  <c r="F302" i="10"/>
  <c r="I300" i="10"/>
  <c r="F997" i="10"/>
  <c r="AA617" i="10"/>
  <c r="F401" i="10"/>
  <c r="F118" i="10"/>
  <c r="F298" i="10"/>
  <c r="I394" i="10"/>
  <c r="E147" i="10"/>
  <c r="F140" i="10"/>
  <c r="F142" i="10"/>
  <c r="F144" i="10"/>
  <c r="F147" i="10"/>
  <c r="I76" i="10"/>
  <c r="J68" i="10"/>
  <c r="E225" i="10"/>
  <c r="U3051" i="10"/>
  <c r="T3051" i="10"/>
  <c r="U2435" i="10"/>
  <c r="T2435" i="10"/>
  <c r="F2452" i="10"/>
  <c r="F1801" i="10"/>
  <c r="E1801" i="10"/>
  <c r="U2210" i="10"/>
  <c r="E1692" i="10"/>
  <c r="F1692" i="10"/>
  <c r="S1995" i="10"/>
  <c r="T1995" i="10"/>
  <c r="F1284" i="10"/>
  <c r="E1284" i="10"/>
  <c r="T3217" i="10"/>
  <c r="U3217" i="10"/>
  <c r="E3207" i="10"/>
  <c r="F3205" i="10"/>
  <c r="F3206" i="10"/>
  <c r="F3203" i="10"/>
  <c r="F3200" i="10"/>
  <c r="F3202" i="10"/>
  <c r="T3076" i="10"/>
  <c r="U3076" i="10"/>
  <c r="U3142" i="10"/>
  <c r="T3142" i="10"/>
  <c r="U2827" i="10"/>
  <c r="T2827" i="10"/>
  <c r="U2785" i="10"/>
  <c r="U2680" i="10"/>
  <c r="T2680" i="10"/>
  <c r="U3078" i="10"/>
  <c r="T3078" i="10"/>
  <c r="F2787" i="10"/>
  <c r="U2748" i="10"/>
  <c r="U2754" i="10"/>
  <c r="T2748" i="10"/>
  <c r="S2754" i="10"/>
  <c r="S2755" i="10"/>
  <c r="U2649" i="10"/>
  <c r="T2649" i="10"/>
  <c r="U2536" i="10"/>
  <c r="T2536" i="10"/>
  <c r="AA3144" i="10"/>
  <c r="U2659" i="10"/>
  <c r="T2659" i="10"/>
  <c r="U2813" i="10"/>
  <c r="T2813" i="10"/>
  <c r="F2538" i="10"/>
  <c r="T2578" i="10"/>
  <c r="U2382" i="10"/>
  <c r="T2382" i="10"/>
  <c r="T2390" i="10"/>
  <c r="F2560" i="10"/>
  <c r="E2406" i="10"/>
  <c r="T2430" i="10"/>
  <c r="U2430" i="10"/>
  <c r="U2438" i="10"/>
  <c r="S2438" i="10"/>
  <c r="S2439" i="10"/>
  <c r="F2235" i="10"/>
  <c r="F2222" i="10"/>
  <c r="F2337" i="10"/>
  <c r="T2479" i="10"/>
  <c r="T2487" i="10"/>
  <c r="U2479" i="10"/>
  <c r="S2487" i="10"/>
  <c r="S2488" i="10"/>
  <c r="F2212" i="10"/>
  <c r="E2212" i="10"/>
  <c r="U2480" i="10"/>
  <c r="T2480" i="10"/>
  <c r="T2476" i="10"/>
  <c r="F2287" i="10"/>
  <c r="F2190" i="10"/>
  <c r="F2324" i="10"/>
  <c r="T2004" i="10"/>
  <c r="S2004" i="10"/>
  <c r="T2171" i="10"/>
  <c r="S2147" i="10"/>
  <c r="T2309" i="10"/>
  <c r="T2314" i="10"/>
  <c r="U2309" i="10"/>
  <c r="U2314" i="10"/>
  <c r="S2314" i="10"/>
  <c r="S2315" i="10"/>
  <c r="S1992" i="10"/>
  <c r="T1992" i="10"/>
  <c r="S1810" i="10"/>
  <c r="T1820" i="10"/>
  <c r="S1820" i="10"/>
  <c r="F2173" i="10"/>
  <c r="F1358" i="10"/>
  <c r="E1358" i="10"/>
  <c r="F1381" i="10"/>
  <c r="T1889" i="10"/>
  <c r="S1889" i="10"/>
  <c r="S1894" i="10"/>
  <c r="E1371" i="10"/>
  <c r="F1371" i="10"/>
  <c r="F949" i="10"/>
  <c r="F951" i="10"/>
  <c r="E951" i="10"/>
  <c r="Z638" i="10"/>
  <c r="Z623" i="10"/>
  <c r="F1379" i="10"/>
  <c r="E3206" i="10"/>
  <c r="U3216" i="10"/>
  <c r="T3216" i="10"/>
  <c r="S3225" i="10"/>
  <c r="F3239" i="10"/>
  <c r="F3332" i="10"/>
  <c r="F3204" i="10"/>
  <c r="S3148" i="10"/>
  <c r="T3141" i="10"/>
  <c r="U3141" i="10"/>
  <c r="U3148" i="10"/>
  <c r="F3201" i="10"/>
  <c r="U3201" i="10"/>
  <c r="T3201" i="10"/>
  <c r="T3105" i="10"/>
  <c r="H3081" i="10"/>
  <c r="F3147" i="10"/>
  <c r="U2824" i="10"/>
  <c r="T2824" i="10"/>
  <c r="T2769" i="10"/>
  <c r="U2769" i="10"/>
  <c r="E3016" i="10"/>
  <c r="T2871" i="10"/>
  <c r="U3024" i="10"/>
  <c r="T3024" i="10"/>
  <c r="F2797" i="10"/>
  <c r="U2534" i="10"/>
  <c r="T2534" i="10"/>
  <c r="U2606" i="10"/>
  <c r="T2738" i="10"/>
  <c r="F2531" i="10"/>
  <c r="F2570" i="10"/>
  <c r="F2482" i="10"/>
  <c r="F2555" i="10"/>
  <c r="F2456" i="10"/>
  <c r="E2456" i="10"/>
  <c r="F2406" i="10"/>
  <c r="S2375" i="10"/>
  <c r="S2376" i="10"/>
  <c r="U2368" i="10"/>
  <c r="V2366" i="10"/>
  <c r="T2368" i="10"/>
  <c r="S2290" i="10"/>
  <c r="S2291" i="10"/>
  <c r="U2285" i="10"/>
  <c r="T2285" i="10"/>
  <c r="T2486" i="10"/>
  <c r="U2486" i="10"/>
  <c r="U2372" i="10"/>
  <c r="U2375" i="10"/>
  <c r="T2372" i="10"/>
  <c r="F2223" i="10"/>
  <c r="S2419" i="10"/>
  <c r="T2419" i="10"/>
  <c r="F2419" i="10"/>
  <c r="F2333" i="10"/>
  <c r="F2430" i="10"/>
  <c r="F2149" i="10"/>
  <c r="E2149" i="10"/>
  <c r="F2363" i="10"/>
  <c r="E2363" i="10"/>
  <c r="AF625" i="10"/>
  <c r="F2189" i="10"/>
  <c r="U2288" i="10"/>
  <c r="T2288" i="10"/>
  <c r="F2274" i="10"/>
  <c r="S1729" i="10"/>
  <c r="S1732" i="10"/>
  <c r="T1729" i="10"/>
  <c r="U2324" i="10"/>
  <c r="T2324" i="10"/>
  <c r="X2324" i="10"/>
  <c r="T2019" i="10"/>
  <c r="S2019" i="10"/>
  <c r="S2027" i="10"/>
  <c r="R2027" i="10"/>
  <c r="R2028" i="10"/>
  <c r="T2158" i="10"/>
  <c r="R2171" i="10"/>
  <c r="R2172" i="10"/>
  <c r="T2224" i="10"/>
  <c r="T2147" i="10"/>
  <c r="E2316" i="10"/>
  <c r="F2316" i="10"/>
  <c r="T2196" i="10"/>
  <c r="S1990" i="10"/>
  <c r="T1990" i="10"/>
  <c r="E1910" i="10"/>
  <c r="T2069" i="10"/>
  <c r="S2069" i="10"/>
  <c r="S2072" i="10"/>
  <c r="F1948" i="10"/>
  <c r="F1563" i="10"/>
  <c r="T2133" i="10"/>
  <c r="F1984" i="10"/>
  <c r="F1916" i="10"/>
  <c r="F1438" i="10"/>
  <c r="E1438" i="10"/>
  <c r="F1437" i="10"/>
  <c r="F1436" i="10"/>
  <c r="F1432" i="10"/>
  <c r="F1428" i="10"/>
  <c r="F1429" i="10"/>
  <c r="S1989" i="10"/>
  <c r="S1997" i="10"/>
  <c r="R1997" i="10"/>
  <c r="R1998" i="10"/>
  <c r="T1989" i="10"/>
  <c r="F1222" i="10"/>
  <c r="I1208" i="10"/>
  <c r="I1209" i="10"/>
  <c r="F1351" i="10"/>
  <c r="F1340" i="10"/>
  <c r="F1325" i="10"/>
  <c r="F1306" i="10"/>
  <c r="E1222" i="10"/>
  <c r="F1349" i="10"/>
  <c r="F1341" i="10"/>
  <c r="F1334" i="10"/>
  <c r="F1326" i="10"/>
  <c r="F1311" i="10"/>
  <c r="F1296" i="10"/>
  <c r="F1291" i="10"/>
  <c r="F1280" i="10"/>
  <c r="F1266" i="10"/>
  <c r="F1308" i="10"/>
  <c r="F1277" i="10"/>
  <c r="F1262" i="10"/>
  <c r="F1251" i="10"/>
  <c r="F1230" i="10"/>
  <c r="F1365" i="10"/>
  <c r="F1274" i="10"/>
  <c r="F1265" i="10"/>
  <c r="F1259" i="10"/>
  <c r="F1211" i="10"/>
  <c r="F1233" i="10"/>
  <c r="F1227" i="10"/>
  <c r="F1368" i="10"/>
  <c r="F1289" i="10"/>
  <c r="F1244" i="10"/>
  <c r="F1218" i="10"/>
  <c r="F2007" i="10"/>
  <c r="F1459" i="10"/>
  <c r="F1454" i="10"/>
  <c r="F1470" i="10"/>
  <c r="E1454" i="10"/>
  <c r="F1467" i="10"/>
  <c r="F1460" i="10"/>
  <c r="F1453" i="10"/>
  <c r="F1445" i="10"/>
  <c r="F1452" i="10"/>
  <c r="F1465" i="10"/>
  <c r="F1448" i="10"/>
  <c r="F1443" i="10"/>
  <c r="AC619" i="10"/>
  <c r="F1293" i="10"/>
  <c r="E2173" i="10"/>
  <c r="F1991" i="10"/>
  <c r="F1947" i="10"/>
  <c r="F1959" i="10"/>
  <c r="F1934" i="10"/>
  <c r="F1486" i="10"/>
  <c r="F1320" i="10"/>
  <c r="T1606" i="10"/>
  <c r="S1606" i="10"/>
  <c r="S1614" i="10"/>
  <c r="R1614" i="10"/>
  <c r="R1615" i="10"/>
  <c r="S1583" i="10"/>
  <c r="I1221" i="10"/>
  <c r="F1468" i="10"/>
  <c r="F1337" i="10"/>
  <c r="F2013" i="10"/>
  <c r="F1243" i="10"/>
  <c r="F1515" i="10"/>
  <c r="F1367" i="10"/>
  <c r="F1426" i="10"/>
  <c r="T656" i="10"/>
  <c r="Z627" i="10"/>
  <c r="F2049" i="10"/>
  <c r="F1263" i="10"/>
  <c r="F1235" i="10"/>
  <c r="F960" i="10"/>
  <c r="F752" i="10"/>
  <c r="E752" i="10"/>
  <c r="G752" i="10"/>
  <c r="Z619" i="10"/>
  <c r="AA619" i="10"/>
  <c r="E788" i="10"/>
  <c r="F788" i="10"/>
  <c r="AO635" i="10"/>
  <c r="T1686" i="10"/>
  <c r="R1690" i="10"/>
  <c r="R1691" i="10"/>
  <c r="S1686" i="10"/>
  <c r="S1690" i="10"/>
  <c r="F1447" i="10"/>
  <c r="F865" i="10"/>
  <c r="F1045" i="10"/>
  <c r="T1637" i="10"/>
  <c r="S1637" i="10"/>
  <c r="D270" i="10"/>
  <c r="I267" i="10"/>
  <c r="F269" i="10"/>
  <c r="E269" i="10"/>
  <c r="F443" i="10"/>
  <c r="F817" i="10"/>
  <c r="F497" i="10"/>
  <c r="F274" i="10"/>
  <c r="F1521" i="10"/>
  <c r="E421" i="10"/>
  <c r="F421" i="10"/>
  <c r="E799" i="10"/>
  <c r="F382" i="10"/>
  <c r="F776" i="10"/>
  <c r="F864" i="10"/>
  <c r="F620" i="10"/>
  <c r="H134" i="10"/>
  <c r="F3" i="10"/>
  <c r="J131" i="10"/>
  <c r="F396" i="10"/>
  <c r="E396" i="10"/>
  <c r="D20" i="10"/>
  <c r="F90" i="10"/>
  <c r="F225" i="10"/>
  <c r="E48" i="10"/>
  <c r="T602" i="10"/>
  <c r="F3179" i="10"/>
  <c r="E3189" i="10"/>
  <c r="F3183" i="10"/>
  <c r="F3188" i="10"/>
  <c r="F3187" i="10"/>
  <c r="F3186" i="10"/>
  <c r="F3185" i="10"/>
  <c r="R3188" i="10"/>
  <c r="U3180" i="10"/>
  <c r="S3187" i="10"/>
  <c r="T3180" i="10"/>
  <c r="H3107" i="10"/>
  <c r="H3094" i="10"/>
  <c r="U3237" i="10"/>
  <c r="T3237" i="10"/>
  <c r="S3240" i="10"/>
  <c r="S2540" i="10"/>
  <c r="S2541" i="10"/>
  <c r="U2531" i="10"/>
  <c r="T2531" i="10"/>
  <c r="T2569" i="10"/>
  <c r="T2563" i="10"/>
  <c r="U2569" i="10"/>
  <c r="U3342" i="10"/>
  <c r="U3345" i="10"/>
  <c r="T3342" i="10"/>
  <c r="T3345" i="10"/>
  <c r="F3197" i="10"/>
  <c r="T3204" i="10"/>
  <c r="U3204" i="10"/>
  <c r="AA3146" i="10"/>
  <c r="E3055" i="10"/>
  <c r="AI623" i="10"/>
  <c r="T3040" i="10"/>
  <c r="T3147" i="10"/>
  <c r="U3147" i="10"/>
  <c r="E2924" i="10"/>
  <c r="H2924" i="10"/>
  <c r="AI621" i="10"/>
  <c r="F2982" i="10"/>
  <c r="F2769" i="10"/>
  <c r="T2828" i="10"/>
  <c r="T3013" i="10"/>
  <c r="U3013" i="10"/>
  <c r="T2797" i="10"/>
  <c r="T2800" i="10"/>
  <c r="U2797" i="10"/>
  <c r="U2800" i="10"/>
  <c r="F2576" i="10"/>
  <c r="E2576" i="10"/>
  <c r="H2576" i="10"/>
  <c r="U2885" i="10"/>
  <c r="U2891" i="10"/>
  <c r="T2885" i="10"/>
  <c r="T2891" i="10"/>
  <c r="T2633" i="10"/>
  <c r="U2633" i="10"/>
  <c r="S2590" i="10"/>
  <c r="S2591" i="10"/>
  <c r="F2481" i="10"/>
  <c r="F2299" i="10"/>
  <c r="E2440" i="10"/>
  <c r="H2440" i="10"/>
  <c r="F2440" i="10"/>
  <c r="F2105" i="10"/>
  <c r="E2105" i="10"/>
  <c r="F2288" i="10"/>
  <c r="U2274" i="10"/>
  <c r="U2278" i="10"/>
  <c r="T2274" i="10"/>
  <c r="T2278" i="10"/>
  <c r="F2312" i="10"/>
  <c r="T2082" i="10"/>
  <c r="S2082" i="10"/>
  <c r="U2224" i="10"/>
  <c r="F2237" i="10"/>
  <c r="S1916" i="10"/>
  <c r="T1916" i="10"/>
  <c r="R1704" i="10"/>
  <c r="R1705" i="10"/>
  <c r="F2148" i="10"/>
  <c r="F2104" i="10"/>
  <c r="F2088" i="10"/>
  <c r="F2134" i="10"/>
  <c r="F2120" i="10"/>
  <c r="F2043" i="10"/>
  <c r="F1881" i="10"/>
  <c r="F1870" i="10"/>
  <c r="F1846" i="10"/>
  <c r="F1766" i="10"/>
  <c r="F1938" i="10"/>
  <c r="F1858" i="10"/>
  <c r="F1777" i="10"/>
  <c r="F2058" i="10"/>
  <c r="F1983" i="10"/>
  <c r="F1834" i="10"/>
  <c r="F1822" i="10"/>
  <c r="F1733" i="10"/>
  <c r="F2159" i="10"/>
  <c r="F1895" i="10"/>
  <c r="F1705" i="10"/>
  <c r="F1744" i="10"/>
  <c r="F1719" i="10"/>
  <c r="F2028" i="10"/>
  <c r="F1677" i="10"/>
  <c r="F1800" i="10"/>
  <c r="F1554" i="10"/>
  <c r="F1811" i="10"/>
  <c r="F1691" i="10"/>
  <c r="F1630" i="10"/>
  <c r="F1615" i="10"/>
  <c r="F1584" i="10"/>
  <c r="E1554" i="10"/>
  <c r="F1755" i="10"/>
  <c r="F1645" i="10"/>
  <c r="F1953" i="10"/>
  <c r="F1789" i="10"/>
  <c r="F1553" i="10"/>
  <c r="F1566" i="10"/>
  <c r="F1552" i="10"/>
  <c r="F1550" i="10"/>
  <c r="F1545" i="10"/>
  <c r="F1560" i="10"/>
  <c r="F1561" i="10"/>
  <c r="F1567" i="10"/>
  <c r="F1661" i="10"/>
  <c r="F1565" i="10"/>
  <c r="T2079" i="10"/>
  <c r="S2079" i="10"/>
  <c r="R2087" i="10"/>
  <c r="R2088" i="10"/>
  <c r="S2007" i="10"/>
  <c r="T2007" i="10"/>
  <c r="S1991" i="10"/>
  <c r="T1991" i="10"/>
  <c r="T1670" i="10"/>
  <c r="S1670" i="10"/>
  <c r="S1676" i="10"/>
  <c r="F1299" i="10"/>
  <c r="R1583" i="10"/>
  <c r="R1584" i="10"/>
  <c r="F1384" i="10"/>
  <c r="F1646" i="10"/>
  <c r="E1646" i="10"/>
  <c r="U622" i="10"/>
  <c r="E1344" i="10"/>
  <c r="F1344" i="10"/>
  <c r="S1599" i="10"/>
  <c r="I1166" i="10"/>
  <c r="F1166" i="10"/>
  <c r="I1182" i="10"/>
  <c r="F1547" i="10"/>
  <c r="AP635" i="10"/>
  <c r="E1678" i="10"/>
  <c r="F1036" i="10"/>
  <c r="F981" i="10"/>
  <c r="F815" i="10"/>
  <c r="F2006" i="10"/>
  <c r="F1338" i="10"/>
  <c r="F1007" i="10"/>
  <c r="F441" i="10"/>
  <c r="F265" i="10"/>
  <c r="E192" i="10"/>
  <c r="I190" i="10"/>
  <c r="F188" i="10"/>
  <c r="F190" i="10"/>
  <c r="F192" i="10"/>
  <c r="I419" i="10"/>
  <c r="F299" i="10"/>
  <c r="F525" i="10"/>
  <c r="F529" i="10"/>
  <c r="E529" i="10"/>
  <c r="F296" i="10"/>
  <c r="E384" i="10"/>
  <c r="T608" i="10"/>
  <c r="F384" i="10"/>
  <c r="E620" i="10"/>
  <c r="F266" i="10"/>
  <c r="F489" i="10"/>
  <c r="F131" i="10"/>
  <c r="F404" i="10"/>
  <c r="F540" i="10"/>
  <c r="J97" i="10"/>
  <c r="I104" i="10"/>
  <c r="I223" i="10"/>
  <c r="U2764" i="10"/>
  <c r="T2764" i="10"/>
  <c r="T2557" i="10"/>
  <c r="U2557" i="10"/>
  <c r="U2550" i="10"/>
  <c r="U2558" i="10"/>
  <c r="T2550" i="10"/>
  <c r="T2558" i="10"/>
  <c r="S2558" i="10"/>
  <c r="S2559" i="10"/>
  <c r="F2195" i="10"/>
  <c r="F1999" i="10"/>
  <c r="E1999" i="10"/>
  <c r="AF619" i="10"/>
  <c r="S1654" i="10"/>
  <c r="T1654" i="10"/>
  <c r="F1507" i="10"/>
  <c r="E1507" i="10"/>
  <c r="F2220" i="10"/>
  <c r="T1713" i="10"/>
  <c r="R1718" i="10"/>
  <c r="R1719" i="10"/>
  <c r="S1713" i="10"/>
  <c r="S1718" i="10"/>
  <c r="F1387" i="10"/>
  <c r="F1389" i="10"/>
  <c r="F1380" i="10"/>
  <c r="E1389" i="10"/>
  <c r="F1376" i="10"/>
  <c r="F1382" i="10"/>
  <c r="AB633" i="10"/>
  <c r="U3238" i="10"/>
  <c r="T3238" i="10"/>
  <c r="E3226" i="10"/>
  <c r="U3297" i="10"/>
  <c r="U3300" i="10"/>
  <c r="S3300" i="10"/>
  <c r="T3297" i="10"/>
  <c r="U3313" i="10"/>
  <c r="T3313" i="10"/>
  <c r="F3227" i="10"/>
  <c r="U2948" i="10"/>
  <c r="U2954" i="10"/>
  <c r="T2948" i="10"/>
  <c r="T2954" i="10"/>
  <c r="F3199" i="10"/>
  <c r="T3300" i="10"/>
  <c r="S3360" i="10"/>
  <c r="U3360" i="10"/>
  <c r="U3010" i="10"/>
  <c r="U3014" i="10"/>
  <c r="T3010" i="10"/>
  <c r="U3281" i="10"/>
  <c r="T3281" i="10"/>
  <c r="R3206" i="10"/>
  <c r="F3026" i="10"/>
  <c r="AC3148" i="10"/>
  <c r="AD3141" i="10"/>
  <c r="F2740" i="10"/>
  <c r="E2740" i="10"/>
  <c r="U2918" i="10"/>
  <c r="U2922" i="10"/>
  <c r="T2918" i="10"/>
  <c r="T2922" i="10"/>
  <c r="T2785" i="10"/>
  <c r="F2624" i="10"/>
  <c r="F2682" i="10"/>
  <c r="F2637" i="10"/>
  <c r="E2624" i="10"/>
  <c r="F2617" i="10"/>
  <c r="F2616" i="10"/>
  <c r="F2651" i="10"/>
  <c r="F2623" i="10"/>
  <c r="F2664" i="10"/>
  <c r="F2615" i="10"/>
  <c r="E2787" i="10"/>
  <c r="U2587" i="10"/>
  <c r="T2587" i="10"/>
  <c r="U2635" i="10"/>
  <c r="T2635" i="10"/>
  <c r="U2690" i="10"/>
  <c r="T2690" i="10"/>
  <c r="S2702" i="10"/>
  <c r="E2472" i="10"/>
  <c r="F2503" i="10"/>
  <c r="F2496" i="10"/>
  <c r="F2468" i="10"/>
  <c r="F2501" i="10"/>
  <c r="F2497" i="10"/>
  <c r="F2464" i="10"/>
  <c r="F2472" i="10"/>
  <c r="F2469" i="10"/>
  <c r="F2499" i="10"/>
  <c r="F2539" i="10"/>
  <c r="F2535" i="10"/>
  <c r="F2553" i="10"/>
  <c r="U2661" i="10"/>
  <c r="T2661" i="10"/>
  <c r="S2361" i="10"/>
  <c r="S2362" i="10"/>
  <c r="F2194" i="10"/>
  <c r="E2489" i="10"/>
  <c r="F2489" i="10"/>
  <c r="AF627" i="10"/>
  <c r="U2246" i="10"/>
  <c r="T2246" i="10"/>
  <c r="T2252" i="10"/>
  <c r="F2434" i="10"/>
  <c r="U1966" i="10"/>
  <c r="T1967" i="10"/>
  <c r="F1823" i="10"/>
  <c r="E1835" i="10"/>
  <c r="E1823" i="10"/>
  <c r="F3372" i="10"/>
  <c r="F3377" i="10"/>
  <c r="F3356" i="10"/>
  <c r="E3347" i="10"/>
  <c r="H3347" i="10"/>
  <c r="F3360" i="10"/>
  <c r="F3375" i="10"/>
  <c r="F3374" i="10"/>
  <c r="F3361" i="10"/>
  <c r="F3376" i="10"/>
  <c r="F3345" i="10"/>
  <c r="F3347" i="10"/>
  <c r="F3373" i="10"/>
  <c r="F3346" i="10"/>
  <c r="F3357" i="10"/>
  <c r="U3183" i="10"/>
  <c r="T3183" i="10"/>
  <c r="C3286" i="10"/>
  <c r="F3284" i="10"/>
  <c r="S3284" i="10"/>
  <c r="U3311" i="10"/>
  <c r="T3311" i="10"/>
  <c r="T3315" i="10"/>
  <c r="S3315" i="10"/>
  <c r="U3197" i="10"/>
  <c r="U3205" i="10"/>
  <c r="S3205" i="10"/>
  <c r="T3197" i="10"/>
  <c r="T3205" i="10"/>
  <c r="T3330" i="10"/>
  <c r="U3240" i="10"/>
  <c r="H3332" i="10"/>
  <c r="F3182" i="10"/>
  <c r="AA3145" i="10"/>
  <c r="E3002" i="10"/>
  <c r="H3002" i="10"/>
  <c r="F2995" i="10"/>
  <c r="F2996" i="10"/>
  <c r="F2998" i="10"/>
  <c r="F2997" i="10"/>
  <c r="AI622" i="10"/>
  <c r="T3092" i="10"/>
  <c r="E3042" i="10"/>
  <c r="H3042" i="10"/>
  <c r="F3130" i="10"/>
  <c r="F3050" i="10"/>
  <c r="F3037" i="10"/>
  <c r="F3038" i="10"/>
  <c r="F3063" i="10"/>
  <c r="F3039" i="10"/>
  <c r="F3129" i="10"/>
  <c r="F3065" i="10"/>
  <c r="F3077" i="10"/>
  <c r="F3128" i="10"/>
  <c r="F3064" i="10"/>
  <c r="F3052" i="10"/>
  <c r="F3257" i="10"/>
  <c r="T3026" i="10"/>
  <c r="U3026" i="10"/>
  <c r="F3236" i="10"/>
  <c r="F3089" i="10"/>
  <c r="U3128" i="10"/>
  <c r="U3131" i="10"/>
  <c r="T3128" i="10"/>
  <c r="T3131" i="10"/>
  <c r="F2794" i="10"/>
  <c r="F3104" i="10"/>
  <c r="F2884" i="10"/>
  <c r="U2982" i="10"/>
  <c r="E2982" i="10"/>
  <c r="T2982" i="10"/>
  <c r="S2828" i="10"/>
  <c r="U2766" i="10"/>
  <c r="T2766" i="10"/>
  <c r="T2754" i="10"/>
  <c r="S2650" i="10"/>
  <c r="S2651" i="10"/>
  <c r="U2647" i="10"/>
  <c r="T2647" i="10"/>
  <c r="F2608" i="10"/>
  <c r="E2608" i="10"/>
  <c r="F2607" i="10"/>
  <c r="U2738" i="10"/>
  <c r="S2681" i="10"/>
  <c r="S2682" i="10"/>
  <c r="U2672" i="10"/>
  <c r="T2672" i="10"/>
  <c r="U2572" i="10"/>
  <c r="T2572" i="10"/>
  <c r="F3237" i="10"/>
  <c r="U2721" i="10"/>
  <c r="T2721" i="10"/>
  <c r="T2723" i="10"/>
  <c r="F2537" i="10"/>
  <c r="F2592" i="10"/>
  <c r="E2592" i="10"/>
  <c r="T2460" i="10"/>
  <c r="E2638" i="10"/>
  <c r="H2652" i="10"/>
  <c r="F2571" i="10"/>
  <c r="T2539" i="10"/>
  <c r="U2539" i="10"/>
  <c r="F2618" i="10"/>
  <c r="S2574" i="10"/>
  <c r="S2575" i="10"/>
  <c r="T2535" i="10"/>
  <c r="U2535" i="10"/>
  <c r="E2704" i="10"/>
  <c r="F2246" i="10"/>
  <c r="F2417" i="10"/>
  <c r="S2417" i="10"/>
  <c r="F2383" i="10"/>
  <c r="F2479" i="10"/>
  <c r="T2361" i="10"/>
  <c r="F2285" i="10"/>
  <c r="F2389" i="10"/>
  <c r="F2536" i="10"/>
  <c r="F2249" i="10"/>
  <c r="E2121" i="10"/>
  <c r="H2135" i="10"/>
  <c r="F2280" i="10"/>
  <c r="E2280" i="10"/>
  <c r="T2072" i="10"/>
  <c r="U2434" i="10"/>
  <c r="T2434" i="10"/>
  <c r="E2268" i="10"/>
  <c r="F1954" i="10"/>
  <c r="E1954" i="10"/>
  <c r="F2008" i="10"/>
  <c r="E2008" i="10"/>
  <c r="R2008" i="10"/>
  <c r="S1967" i="10"/>
  <c r="U2326" i="10"/>
  <c r="F2322" i="10"/>
  <c r="U2237" i="10"/>
  <c r="U2238" i="10"/>
  <c r="T2237" i="10"/>
  <c r="E2074" i="10"/>
  <c r="F2074" i="10"/>
  <c r="AD635" i="10"/>
  <c r="AF620" i="10"/>
  <c r="T1653" i="10"/>
  <c r="S1653" i="10"/>
  <c r="S1660" i="10"/>
  <c r="D2014" i="10"/>
  <c r="F1923" i="10"/>
  <c r="E1706" i="10"/>
  <c r="F1706" i="10"/>
  <c r="E1812" i="10"/>
  <c r="E2089" i="10"/>
  <c r="F2089" i="10"/>
  <c r="T1739" i="10"/>
  <c r="S1739" i="10"/>
  <c r="S1743" i="10"/>
  <c r="R1743" i="10"/>
  <c r="R1744" i="10"/>
  <c r="F1501" i="10"/>
  <c r="S1996" i="10"/>
  <c r="T1996" i="10"/>
  <c r="F1915" i="10"/>
  <c r="D2001" i="10"/>
  <c r="D2016" i="10"/>
  <c r="D2031" i="10"/>
  <c r="D2046" i="10"/>
  <c r="D2061" i="10"/>
  <c r="I1999" i="10"/>
  <c r="F1559" i="10"/>
  <c r="F1377" i="10"/>
  <c r="F1433" i="10"/>
  <c r="E1314" i="10"/>
  <c r="F1314" i="10"/>
  <c r="AB632" i="10"/>
  <c r="AC617" i="10"/>
  <c r="T1640" i="10"/>
  <c r="S1640" i="10"/>
  <c r="F1451" i="10"/>
  <c r="F1254" i="10"/>
  <c r="E1254" i="10"/>
  <c r="AB631" i="10"/>
  <c r="AC616" i="10"/>
  <c r="S1993" i="10"/>
  <c r="T1993" i="10"/>
  <c r="E1472" i="10"/>
  <c r="F1322" i="10"/>
  <c r="F1213" i="10"/>
  <c r="E1078" i="10"/>
  <c r="T1656" i="10"/>
  <c r="S1656" i="10"/>
  <c r="F1533" i="10"/>
  <c r="I1268" i="10"/>
  <c r="E740" i="10"/>
  <c r="T619" i="10"/>
  <c r="F740" i="10"/>
  <c r="E963" i="10"/>
  <c r="T624" i="10"/>
  <c r="F963" i="10"/>
  <c r="F961" i="10"/>
  <c r="E833" i="10"/>
  <c r="G833" i="10"/>
  <c r="H833" i="10"/>
  <c r="F831" i="10"/>
  <c r="F828" i="10"/>
  <c r="F826" i="10"/>
  <c r="F833" i="10"/>
  <c r="I750" i="10"/>
  <c r="I1388" i="10"/>
  <c r="E845" i="10"/>
  <c r="G845" i="10"/>
  <c r="H845" i="10"/>
  <c r="F1678" i="10"/>
  <c r="E1299" i="10"/>
  <c r="E890" i="10"/>
  <c r="F888" i="10"/>
  <c r="F890" i="10"/>
  <c r="F885" i="10"/>
  <c r="F886" i="10"/>
  <c r="F816" i="10"/>
  <c r="F830" i="10"/>
  <c r="Z639" i="10"/>
  <c r="AA624" i="10"/>
  <c r="F975" i="10"/>
  <c r="F845" i="10"/>
  <c r="F1847" i="10"/>
  <c r="E1847" i="10"/>
  <c r="H1859" i="10"/>
  <c r="F1229" i="10"/>
  <c r="F1021" i="10"/>
  <c r="F971" i="10"/>
  <c r="I714" i="10"/>
  <c r="I618" i="10"/>
  <c r="S2006" i="10"/>
  <c r="T2006" i="10"/>
  <c r="F1307" i="10"/>
  <c r="E1013" i="10"/>
  <c r="T625" i="10"/>
  <c r="F1011" i="10"/>
  <c r="F1013" i="10"/>
  <c r="F829" i="10"/>
  <c r="F432" i="10"/>
  <c r="E432" i="10"/>
  <c r="T616" i="10"/>
  <c r="F405" i="10"/>
  <c r="F247" i="10"/>
  <c r="E247" i="10"/>
  <c r="E258" i="10"/>
  <c r="I245" i="10"/>
  <c r="AN631" i="10"/>
  <c r="Z646" i="10"/>
  <c r="AM631" i="10"/>
  <c r="F503" i="10"/>
  <c r="E503" i="10"/>
  <c r="F515" i="10"/>
  <c r="F277" i="10"/>
  <c r="F278" i="10"/>
  <c r="F280" i="10"/>
  <c r="I278" i="10"/>
  <c r="I289" i="10"/>
  <c r="E280" i="10"/>
  <c r="F291" i="10"/>
  <c r="E291" i="10"/>
  <c r="I382" i="10"/>
  <c r="F267" i="10"/>
  <c r="F355" i="10"/>
  <c r="J234" i="10"/>
  <c r="F233" i="10"/>
  <c r="F236" i="10"/>
  <c r="E236" i="10"/>
  <c r="F232" i="10"/>
  <c r="F234" i="10"/>
  <c r="I234" i="10"/>
  <c r="F208" i="10"/>
  <c r="J117" i="10"/>
  <c r="E106" i="10"/>
  <c r="F106" i="10"/>
  <c r="H105" i="10"/>
  <c r="E313" i="10"/>
  <c r="I168" i="10"/>
  <c r="F166" i="10"/>
  <c r="F168" i="10"/>
  <c r="E170" i="10"/>
  <c r="F164" i="10"/>
  <c r="F170" i="10"/>
  <c r="S2087" i="10"/>
  <c r="H2725" i="10"/>
  <c r="F3207" i="10"/>
  <c r="U2681" i="10"/>
  <c r="U2574" i="10"/>
  <c r="H1939" i="10"/>
  <c r="F3150" i="10"/>
  <c r="H2972" i="10"/>
  <c r="T3168" i="10"/>
  <c r="AJ618" i="10"/>
  <c r="AF633" i="10"/>
  <c r="AK618" i="10"/>
  <c r="W618" i="10"/>
  <c r="T2005" i="10"/>
  <c r="S2005" i="10"/>
  <c r="S2012" i="10"/>
  <c r="T2814" i="10"/>
  <c r="AV642" i="10"/>
  <c r="AU642" i="10"/>
  <c r="AD616" i="10"/>
  <c r="T2590" i="10"/>
  <c r="U2580" i="10"/>
  <c r="T3014" i="10"/>
  <c r="H3189" i="10"/>
  <c r="E1190" i="10"/>
  <c r="U2814" i="10"/>
  <c r="H3377" i="10"/>
  <c r="F513" i="10"/>
  <c r="AN616" i="10"/>
  <c r="T611" i="10"/>
  <c r="H2608" i="10"/>
  <c r="H2489" i="10"/>
  <c r="U2590" i="10"/>
  <c r="U618" i="10"/>
  <c r="T623" i="10"/>
  <c r="U2487" i="10"/>
  <c r="H2908" i="10"/>
  <c r="T2770" i="10"/>
  <c r="AA3148" i="10"/>
  <c r="U621" i="10"/>
  <c r="T605" i="10"/>
  <c r="T606" i="10"/>
  <c r="U2636" i="10"/>
  <c r="T3240" i="10"/>
  <c r="T3225" i="10"/>
  <c r="H2254" i="10"/>
  <c r="H3150" i="10"/>
  <c r="AT632" i="10"/>
  <c r="AS632" i="10"/>
  <c r="AU632" i="10"/>
  <c r="AV632" i="10"/>
  <c r="H2787" i="10"/>
  <c r="H2592" i="10"/>
  <c r="U2650" i="10"/>
  <c r="T2702" i="10"/>
  <c r="I1189" i="10"/>
  <c r="T2636" i="10"/>
  <c r="U2828" i="10"/>
  <c r="H3207" i="10"/>
  <c r="T2057" i="10"/>
  <c r="AR641" i="10"/>
  <c r="V602" i="10"/>
  <c r="U602" i="10"/>
  <c r="U2546" i="10"/>
  <c r="U2545" i="10"/>
  <c r="T2008" i="10"/>
  <c r="S2008" i="10"/>
  <c r="T2650" i="10"/>
  <c r="F3242" i="10"/>
  <c r="U2702" i="10"/>
  <c r="S2703" i="10"/>
  <c r="AD634" i="10"/>
  <c r="AG619" i="10"/>
  <c r="V619" i="10"/>
  <c r="AJ623" i="10"/>
  <c r="AJ624" i="10"/>
  <c r="W623" i="10"/>
  <c r="AK623" i="10"/>
  <c r="AF638" i="10"/>
  <c r="AK624" i="10"/>
  <c r="G542" i="10"/>
  <c r="T609" i="10"/>
  <c r="T3148" i="10"/>
  <c r="U3225" i="10"/>
  <c r="H2406" i="10"/>
  <c r="T617" i="10"/>
  <c r="S2057" i="10"/>
  <c r="H2940" i="10"/>
  <c r="V622" i="10"/>
  <c r="AD637" i="10"/>
  <c r="AG622" i="10"/>
  <c r="H2987" i="10"/>
  <c r="H2830" i="10"/>
  <c r="H2816" i="10"/>
  <c r="F3170" i="10"/>
  <c r="F3317" i="10"/>
  <c r="U624" i="10"/>
  <c r="H2893" i="10"/>
  <c r="V620" i="10"/>
  <c r="AG620" i="10"/>
  <c r="AG621" i="10"/>
  <c r="V621" i="10"/>
  <c r="AQ633" i="10"/>
  <c r="AO633" i="10"/>
  <c r="AR633" i="10"/>
  <c r="AC618" i="10"/>
  <c r="AD618" i="10"/>
  <c r="AP633" i="10"/>
  <c r="H1999" i="10"/>
  <c r="H3055" i="10"/>
  <c r="H2456" i="10"/>
  <c r="T3027" i="10"/>
  <c r="T2663" i="10"/>
  <c r="H3068" i="10"/>
  <c r="G515" i="10"/>
  <c r="U2289" i="10"/>
  <c r="U2290" i="10"/>
  <c r="T2289" i="10"/>
  <c r="T2290" i="10"/>
  <c r="H2328" i="10"/>
  <c r="E2980" i="10"/>
  <c r="U2985" i="10"/>
  <c r="F357" i="10"/>
  <c r="U616" i="10"/>
  <c r="AQ641" i="10"/>
  <c r="G1026" i="10"/>
  <c r="J145" i="10"/>
  <c r="K145" i="10"/>
  <c r="U656" i="10"/>
  <c r="U657" i="10"/>
  <c r="AF637" i="10"/>
  <c r="W622" i="10"/>
  <c r="AK622" i="10"/>
  <c r="AJ622" i="10"/>
  <c r="U3315" i="10"/>
  <c r="F3362" i="10"/>
  <c r="U623" i="10"/>
  <c r="T2087" i="10"/>
  <c r="T2027" i="10"/>
  <c r="U2026" i="10"/>
  <c r="T2527" i="10"/>
  <c r="U3027" i="10"/>
  <c r="U3079" i="10"/>
  <c r="F406" i="10"/>
  <c r="G868" i="10"/>
  <c r="H868" i="10"/>
  <c r="T622" i="10"/>
  <c r="AN637" i="10"/>
  <c r="Z622" i="10"/>
  <c r="AA622" i="10"/>
  <c r="AM637" i="10"/>
  <c r="T2009" i="10"/>
  <c r="S2009" i="10"/>
  <c r="T2985" i="10"/>
  <c r="T604" i="10"/>
  <c r="U617" i="10"/>
  <c r="F132" i="10"/>
  <c r="F501" i="10"/>
  <c r="AA626" i="10"/>
  <c r="Z641" i="10"/>
  <c r="AP641" i="10"/>
  <c r="U2302" i="10"/>
  <c r="H2392" i="10"/>
  <c r="H3242" i="10"/>
  <c r="F3287" i="10"/>
  <c r="H2624" i="10"/>
  <c r="AD620" i="10"/>
  <c r="AB634" i="10"/>
  <c r="AD619" i="10"/>
  <c r="H2280" i="10"/>
  <c r="T2681" i="10"/>
  <c r="E2014" i="10"/>
  <c r="I2406" i="10"/>
  <c r="F2014" i="10"/>
  <c r="E2029" i="10"/>
  <c r="H2074" i="10"/>
  <c r="F2029" i="10"/>
  <c r="U3284" i="10"/>
  <c r="T3284" i="10"/>
  <c r="T3285" i="10"/>
  <c r="S3285" i="10"/>
  <c r="F1388" i="10"/>
  <c r="U2770" i="10"/>
  <c r="AA620" i="10"/>
  <c r="H2845" i="10"/>
  <c r="AK621" i="10"/>
  <c r="W621" i="10"/>
  <c r="AF636" i="10"/>
  <c r="AJ621" i="10"/>
  <c r="T2540" i="10"/>
  <c r="U2528" i="10"/>
  <c r="T2526" i="10"/>
  <c r="T3187" i="10"/>
  <c r="H2316" i="10"/>
  <c r="U2390" i="10"/>
  <c r="E2382" i="10"/>
  <c r="T3079" i="10"/>
  <c r="S1821" i="10"/>
  <c r="J2542" i="10"/>
  <c r="H2542" i="10"/>
  <c r="H2772" i="10"/>
  <c r="T3053" i="10"/>
  <c r="V624" i="10"/>
  <c r="AG624" i="10"/>
  <c r="AD639" i="10"/>
  <c r="H2198" i="10"/>
  <c r="F300" i="10"/>
  <c r="AN640" i="10"/>
  <c r="AM640" i="10"/>
  <c r="F430" i="10"/>
  <c r="T621" i="10"/>
  <c r="T1922" i="10"/>
  <c r="AB638" i="10"/>
  <c r="AD623" i="10"/>
  <c r="AD624" i="10"/>
  <c r="S2561" i="10"/>
  <c r="AF634" i="10"/>
  <c r="AK619" i="10"/>
  <c r="AK620" i="10"/>
  <c r="AJ619" i="10"/>
  <c r="AJ620" i="10"/>
  <c r="W620" i="10"/>
  <c r="W619" i="10"/>
  <c r="H2802" i="10"/>
  <c r="U3168" i="10"/>
  <c r="AO631" i="10"/>
  <c r="AR631" i="10"/>
  <c r="AQ631" i="10"/>
  <c r="AP631" i="10"/>
  <c r="AN639" i="10"/>
  <c r="AM639" i="10"/>
  <c r="AP639" i="10"/>
  <c r="AO639" i="10"/>
  <c r="AD617" i="10"/>
  <c r="D2076" i="10"/>
  <c r="D2091" i="10"/>
  <c r="D2107" i="10"/>
  <c r="D2123" i="10"/>
  <c r="I2074" i="10"/>
  <c r="T2417" i="10"/>
  <c r="U2417" i="10"/>
  <c r="AD642" i="10"/>
  <c r="AT642" i="10"/>
  <c r="AG627" i="10"/>
  <c r="V627" i="10"/>
  <c r="AK616" i="10"/>
  <c r="W616" i="10"/>
  <c r="AJ616" i="10"/>
  <c r="U2540" i="10"/>
  <c r="U1996" i="10"/>
  <c r="AG625" i="10"/>
  <c r="AD640" i="10"/>
  <c r="V625" i="10"/>
  <c r="AG626" i="10"/>
  <c r="V626" i="10"/>
  <c r="T2544" i="10"/>
  <c r="H3016" i="10"/>
  <c r="AA623" i="10"/>
  <c r="U2578" i="10"/>
  <c r="F145" i="10"/>
  <c r="I1173" i="10"/>
  <c r="U620" i="10"/>
  <c r="U3053" i="10"/>
  <c r="H2304" i="10"/>
  <c r="H2665" i="10"/>
  <c r="T2011" i="10"/>
  <c r="S2011" i="10"/>
  <c r="H2506" i="10"/>
  <c r="T2574" i="10"/>
  <c r="U2562" i="10"/>
  <c r="H3317" i="10"/>
  <c r="AK627" i="10"/>
  <c r="AJ627" i="10"/>
  <c r="AO616" i="10"/>
  <c r="T607" i="10"/>
  <c r="AP632" i="10"/>
  <c r="AR632" i="10"/>
  <c r="AO632" i="10"/>
  <c r="AQ632" i="10"/>
  <c r="H2268" i="10"/>
  <c r="E3286" i="10"/>
  <c r="E3301" i="10"/>
  <c r="H2740" i="10"/>
  <c r="U3285" i="10"/>
  <c r="U3187" i="10"/>
  <c r="F3189" i="10"/>
  <c r="AA627" i="10"/>
  <c r="Z642" i="10"/>
  <c r="H2363" i="10"/>
  <c r="V2367" i="10"/>
  <c r="T2375" i="10"/>
  <c r="T2365" i="10"/>
  <c r="U2379" i="10"/>
  <c r="AN638" i="10"/>
  <c r="AM638" i="10"/>
  <c r="F1174" i="10"/>
  <c r="E1174" i="10"/>
  <c r="T627" i="10"/>
  <c r="T628" i="10"/>
  <c r="H2377" i="10"/>
  <c r="V623" i="10"/>
  <c r="AD638" i="10"/>
  <c r="AG623" i="10"/>
  <c r="H3362" i="10"/>
  <c r="AB637" i="10"/>
  <c r="AD622" i="10"/>
  <c r="T626" i="10"/>
  <c r="S1922" i="10"/>
  <c r="H3272" i="10"/>
  <c r="F157" i="10"/>
  <c r="I159" i="10"/>
  <c r="H2560" i="10"/>
  <c r="U2415" i="10"/>
  <c r="U2421" i="10"/>
  <c r="T2415" i="10"/>
  <c r="S2421" i="10"/>
  <c r="S2422" i="10"/>
  <c r="H2683" i="10"/>
  <c r="AK625" i="10"/>
  <c r="AJ625" i="10"/>
  <c r="AF640" i="10"/>
  <c r="H2292" i="10"/>
  <c r="U2663" i="10"/>
  <c r="T2579" i="10"/>
  <c r="U2579" i="10"/>
  <c r="AF641" i="10"/>
  <c r="AK626" i="10"/>
  <c r="AJ626" i="10"/>
  <c r="H2956" i="10"/>
  <c r="T2394" i="10"/>
  <c r="U2394" i="10"/>
  <c r="T2404" i="10"/>
  <c r="AQ635" i="10"/>
  <c r="AS635" i="10"/>
  <c r="AR635" i="10"/>
  <c r="AT635" i="10"/>
  <c r="H2704" i="10"/>
  <c r="H2638" i="10"/>
  <c r="H2472" i="10"/>
  <c r="R2012" i="10"/>
  <c r="R2013" i="10"/>
  <c r="T2438" i="10"/>
  <c r="T2427" i="10"/>
  <c r="S1644" i="10"/>
  <c r="H2340" i="10"/>
  <c r="H2352" i="10"/>
  <c r="H3029" i="10"/>
  <c r="H2423" i="10"/>
  <c r="H2756" i="10"/>
  <c r="F179" i="10"/>
  <c r="T603" i="10"/>
  <c r="G764" i="10"/>
  <c r="T620" i="10"/>
  <c r="T614" i="10"/>
  <c r="U619" i="10"/>
  <c r="AP640" i="10"/>
  <c r="AO640" i="10"/>
  <c r="H2524" i="10"/>
  <c r="H3287" i="10"/>
  <c r="H3227" i="10"/>
  <c r="J2254" i="10"/>
  <c r="AV638" i="10"/>
  <c r="AU638" i="10"/>
  <c r="AV640" i="10"/>
  <c r="AU640" i="10"/>
  <c r="W628" i="10"/>
  <c r="AU636" i="10"/>
  <c r="AV636" i="10"/>
  <c r="T2012" i="10"/>
  <c r="U2564" i="10"/>
  <c r="U614" i="10"/>
  <c r="AS633" i="10"/>
  <c r="AT633" i="10"/>
  <c r="AV633" i="10"/>
  <c r="AU633" i="10"/>
  <c r="AU634" i="10"/>
  <c r="AV634" i="10"/>
  <c r="AV637" i="10"/>
  <c r="AU637" i="10"/>
  <c r="AD614" i="10"/>
  <c r="AA628" i="10"/>
  <c r="V610" i="10"/>
  <c r="AV641" i="10"/>
  <c r="AU641" i="10"/>
  <c r="U2444" i="10"/>
  <c r="J157" i="10"/>
  <c r="AR639" i="10"/>
  <c r="AT639" i="10"/>
  <c r="AQ639" i="10"/>
  <c r="AS639" i="10"/>
  <c r="AF644" i="10"/>
  <c r="AT640" i="10"/>
  <c r="AS640" i="10"/>
  <c r="S2577" i="10"/>
  <c r="V656" i="10"/>
  <c r="V657" i="10"/>
  <c r="AQ634" i="10"/>
  <c r="AR634" i="10"/>
  <c r="V603" i="10"/>
  <c r="U606" i="10"/>
  <c r="AP637" i="10"/>
  <c r="AO637" i="10"/>
  <c r="AD644" i="10"/>
  <c r="AR642" i="10"/>
  <c r="AQ642" i="10"/>
  <c r="T658" i="10"/>
  <c r="U658" i="10"/>
  <c r="V658" i="10"/>
  <c r="AS642" i="10"/>
  <c r="AS636" i="10"/>
  <c r="AT636" i="10"/>
  <c r="AN641" i="10"/>
  <c r="AM641" i="10"/>
  <c r="AT638" i="10"/>
  <c r="AS638" i="10"/>
  <c r="U2012" i="10"/>
  <c r="U604" i="10"/>
  <c r="U609" i="10"/>
  <c r="I170" i="10"/>
  <c r="I160" i="10"/>
  <c r="AS634" i="10"/>
  <c r="AT634" i="10"/>
  <c r="AO634" i="10"/>
  <c r="AP634" i="10"/>
  <c r="U2527" i="10"/>
  <c r="U603" i="10"/>
  <c r="U605" i="10"/>
  <c r="V606" i="10"/>
  <c r="AT641" i="10"/>
  <c r="AS641" i="10"/>
  <c r="Z644" i="10"/>
  <c r="AB644" i="10"/>
  <c r="AN642" i="10"/>
  <c r="AM642" i="10"/>
  <c r="AO642" i="10"/>
  <c r="AP642" i="10"/>
  <c r="U2544" i="10"/>
  <c r="V2546" i="10"/>
  <c r="S2543" i="10"/>
  <c r="V607" i="10"/>
  <c r="U610" i="10"/>
  <c r="V609" i="10"/>
  <c r="AJ628" i="10"/>
  <c r="U628" i="10"/>
  <c r="V611" i="10"/>
  <c r="T612" i="10"/>
  <c r="T2421" i="10"/>
  <c r="T2410" i="10"/>
  <c r="U2427" i="10"/>
  <c r="U2595" i="10"/>
  <c r="U2594" i="10"/>
  <c r="D2137" i="10"/>
  <c r="D2151" i="10"/>
  <c r="D2162" i="10"/>
  <c r="D2175" i="10"/>
  <c r="D2186" i="10"/>
  <c r="D2200" i="10"/>
  <c r="D2214" i="10"/>
  <c r="D2228" i="10"/>
  <c r="D2242" i="10"/>
  <c r="D2256" i="10"/>
  <c r="D2270" i="10"/>
  <c r="D2282" i="10"/>
  <c r="D2294" i="10"/>
  <c r="D2306" i="10"/>
  <c r="D2318" i="10"/>
  <c r="D2330" i="10"/>
  <c r="D2342" i="10"/>
  <c r="D2354" i="10"/>
  <c r="D2365" i="10"/>
  <c r="D2379" i="10"/>
  <c r="D2394" i="10"/>
  <c r="D2410" i="10"/>
  <c r="D2427" i="10"/>
  <c r="D2444" i="10"/>
  <c r="D2460" i="10"/>
  <c r="D2476" i="10"/>
  <c r="D2493" i="10"/>
  <c r="D2510" i="10"/>
  <c r="D2528" i="10"/>
  <c r="D2546" i="10"/>
  <c r="D2564" i="10"/>
  <c r="D2580" i="10"/>
  <c r="D2596" i="10"/>
  <c r="D2612" i="10"/>
  <c r="D2628" i="10"/>
  <c r="D2642" i="10"/>
  <c r="D2656" i="10"/>
  <c r="D2669" i="10"/>
  <c r="D2687" i="10"/>
  <c r="D2708" i="10"/>
  <c r="D2729" i="10"/>
  <c r="D2744" i="10"/>
  <c r="D2760" i="10"/>
  <c r="D2776" i="10"/>
  <c r="D2791" i="10"/>
  <c r="D2806" i="10"/>
  <c r="D2820" i="10"/>
  <c r="D2835" i="10"/>
  <c r="D2850" i="10"/>
  <c r="D2864" i="10"/>
  <c r="D2878" i="10"/>
  <c r="D2898" i="10"/>
  <c r="D2913" i="10"/>
  <c r="D2929" i="10"/>
  <c r="D2945" i="10"/>
  <c r="D2961" i="10"/>
  <c r="D2977" i="10"/>
  <c r="D2992" i="10"/>
  <c r="D3007" i="10"/>
  <c r="D3021" i="10"/>
  <c r="D3034" i="10"/>
  <c r="D3047" i="10"/>
  <c r="D3060" i="10"/>
  <c r="D3073" i="10"/>
  <c r="D3086" i="10"/>
  <c r="D3099" i="10"/>
  <c r="D3112" i="10"/>
  <c r="D3125" i="10"/>
  <c r="D3138" i="10"/>
  <c r="I2135" i="10"/>
  <c r="AA613" i="10"/>
  <c r="U2563" i="10"/>
  <c r="T659" i="10"/>
  <c r="U660" i="10"/>
  <c r="AT637" i="10"/>
  <c r="AS637" i="10"/>
  <c r="AR637" i="10"/>
  <c r="AQ637" i="10"/>
  <c r="V608" i="10"/>
  <c r="V604" i="10"/>
  <c r="U607" i="10"/>
  <c r="AR638" i="10"/>
  <c r="AQ638" i="10"/>
  <c r="AK628" i="10"/>
  <c r="AD628" i="10"/>
  <c r="U2526" i="10"/>
  <c r="S2525" i="10"/>
  <c r="V628" i="10"/>
  <c r="U611" i="10"/>
  <c r="V605" i="10"/>
  <c r="U608" i="10"/>
  <c r="AO641" i="10"/>
  <c r="AR640" i="10"/>
  <c r="AQ640" i="10"/>
  <c r="AP638" i="10"/>
  <c r="AO638" i="10"/>
  <c r="AG628" i="10"/>
  <c r="I181" i="10"/>
  <c r="I171" i="10"/>
  <c r="J171" i="10"/>
  <c r="V2410" i="10"/>
  <c r="V2427" i="10"/>
  <c r="V2444" i="10"/>
  <c r="U2410" i="10"/>
  <c r="AD645" i="10"/>
  <c r="AF645" i="10"/>
  <c r="Z645" i="10"/>
  <c r="U659" i="10"/>
  <c r="V659" i="10"/>
  <c r="D3155" i="10"/>
  <c r="K3138" i="10"/>
  <c r="L3138" i="10"/>
  <c r="R3138" i="10"/>
  <c r="S3138" i="10"/>
  <c r="T3138" i="10"/>
  <c r="K157" i="10"/>
  <c r="J168" i="10"/>
  <c r="V660" i="10"/>
  <c r="I192" i="10"/>
  <c r="I182" i="10"/>
  <c r="J182" i="10"/>
  <c r="D3176" i="10"/>
  <c r="K3155" i="10"/>
  <c r="L3155" i="10"/>
  <c r="R3155" i="10"/>
  <c r="S3155" i="10"/>
  <c r="T3155" i="10"/>
  <c r="K168" i="10"/>
  <c r="J179" i="10"/>
  <c r="K179" i="10"/>
  <c r="I203" i="10"/>
  <c r="I193" i="10"/>
  <c r="J193" i="10"/>
  <c r="D3194" i="10"/>
  <c r="K3176" i="10"/>
  <c r="L3176" i="10"/>
  <c r="R3176" i="10"/>
  <c r="S3176" i="10"/>
  <c r="T3176" i="10"/>
  <c r="I204" i="10"/>
  <c r="J204" i="10"/>
  <c r="I214" i="10"/>
  <c r="D3213" i="10"/>
  <c r="K3194" i="10"/>
  <c r="L3194" i="10"/>
  <c r="R3194" i="10"/>
  <c r="S3194" i="10"/>
  <c r="T3194" i="10"/>
  <c r="I225" i="10"/>
  <c r="I215" i="10"/>
  <c r="J215" i="10"/>
  <c r="K3213" i="10"/>
  <c r="L3213" i="10"/>
  <c r="R3213" i="10"/>
  <c r="S3213" i="10"/>
  <c r="T3213" i="10"/>
  <c r="D3233" i="10"/>
  <c r="I236" i="10"/>
  <c r="I226" i="10"/>
  <c r="J226" i="10"/>
  <c r="K3233" i="10"/>
  <c r="L3233" i="10"/>
  <c r="R3233" i="10"/>
  <c r="S3233" i="10"/>
  <c r="T3233" i="10"/>
  <c r="D3248" i="10"/>
  <c r="I237" i="10"/>
  <c r="J237" i="10"/>
  <c r="I247" i="10"/>
  <c r="D3263" i="10"/>
  <c r="K3248" i="10"/>
  <c r="L3248" i="10"/>
  <c r="R3248" i="10"/>
  <c r="S3248" i="10"/>
  <c r="T3248" i="10"/>
  <c r="I258" i="10"/>
  <c r="I248" i="10"/>
  <c r="J248" i="10"/>
  <c r="K3263" i="10"/>
  <c r="L3263" i="10"/>
  <c r="R3263" i="10"/>
  <c r="S3263" i="10"/>
  <c r="T3263" i="10"/>
  <c r="D3278" i="10"/>
  <c r="I269" i="10"/>
  <c r="I259" i="10"/>
  <c r="J259" i="10"/>
  <c r="D3293" i="10"/>
  <c r="K3278" i="10"/>
  <c r="L3278" i="10"/>
  <c r="R3278" i="10"/>
  <c r="S3278" i="10"/>
  <c r="T3278" i="10"/>
  <c r="I280" i="10"/>
  <c r="I270" i="10"/>
  <c r="J270" i="10"/>
  <c r="K3293" i="10"/>
  <c r="L3293" i="10"/>
  <c r="R3293" i="10"/>
  <c r="S3293" i="10"/>
  <c r="T3293" i="10"/>
  <c r="D3308" i="10"/>
  <c r="K3308" i="10"/>
  <c r="L3308" i="10"/>
  <c r="R3308" i="10"/>
  <c r="S3308" i="10"/>
  <c r="T3308" i="10"/>
  <c r="D3323" i="10"/>
  <c r="I291" i="10"/>
  <c r="I281" i="10"/>
  <c r="J281" i="10"/>
  <c r="I302" i="10"/>
  <c r="I292" i="10"/>
  <c r="J292" i="10"/>
  <c r="K3323" i="10"/>
  <c r="L3323" i="10"/>
  <c r="R3323" i="10"/>
  <c r="S3323" i="10"/>
  <c r="T3323" i="10"/>
  <c r="D3338" i="10"/>
  <c r="D3353" i="10"/>
  <c r="K3338" i="10"/>
  <c r="L3338" i="10"/>
  <c r="R3338" i="10"/>
  <c r="S3338" i="10"/>
  <c r="T3338" i="10"/>
  <c r="I313" i="10"/>
  <c r="I303" i="10"/>
  <c r="J303" i="10"/>
  <c r="I324" i="10"/>
  <c r="I314" i="10"/>
  <c r="J314" i="10"/>
  <c r="K3353" i="10"/>
  <c r="L3353" i="10"/>
  <c r="R3353" i="10"/>
  <c r="S3353" i="10"/>
  <c r="T3353" i="10"/>
  <c r="D3368" i="10"/>
  <c r="K3368" i="10"/>
  <c r="L3368" i="10"/>
  <c r="R3368" i="10"/>
  <c r="S3368" i="10"/>
  <c r="T3368" i="10"/>
  <c r="I335" i="10"/>
  <c r="I336" i="10"/>
  <c r="J336" i="10"/>
  <c r="I325" i="10"/>
  <c r="J325" i="10"/>
  <c r="AM617" i="10"/>
  <c r="AO617" i="10"/>
  <c r="AO628" i="10"/>
  <c r="AM618" i="10"/>
  <c r="AO618" i="10"/>
  <c r="AN618" i="10"/>
  <c r="AN617" i="10"/>
  <c r="AN628" i="10"/>
  <c r="AH632" i="10"/>
  <c r="AH644" i="10"/>
  <c r="AH645" i="10"/>
  <c r="AH647" i="10"/>
  <c r="AB10" i="34"/>
  <c r="AO10" i="34"/>
  <c r="BJ91" i="34"/>
  <c r="BJ92" i="34"/>
  <c r="BI91" i="34"/>
  <c r="BK91" i="34" s="1"/>
  <c r="BJ93" i="34"/>
  <c r="BI92" i="34"/>
  <c r="BK92" i="34" s="1"/>
  <c r="BI93" i="34"/>
  <c r="BK93" i="34" s="1"/>
  <c r="BJ94" i="34"/>
  <c r="BI94" i="34"/>
  <c r="BK94" i="34" s="1"/>
  <c r="BJ95" i="34"/>
  <c r="BJ96" i="34"/>
  <c r="BI95" i="34"/>
  <c r="BK95" i="34" s="1"/>
  <c r="BI96" i="34"/>
  <c r="BK96" i="34" s="1"/>
  <c r="BJ97" i="34"/>
  <c r="BI97" i="34"/>
  <c r="BK97" i="34" s="1"/>
  <c r="BJ98" i="34"/>
  <c r="BJ99" i="34"/>
  <c r="BI98" i="34"/>
  <c r="BK98" i="34" s="1"/>
  <c r="BJ100" i="34"/>
  <c r="BI99" i="34"/>
  <c r="BK99" i="34" s="1"/>
  <c r="BJ101" i="34"/>
  <c r="BI100" i="34"/>
  <c r="BK100" i="34" s="1"/>
  <c r="BI101" i="34"/>
  <c r="BK101" i="34" s="1"/>
  <c r="BJ102" i="34"/>
  <c r="BI102" i="34"/>
  <c r="BK102" i="34" s="1"/>
  <c r="BJ103" i="34"/>
  <c r="BJ104" i="34"/>
  <c r="BI103" i="34"/>
  <c r="BK103" i="34" s="1"/>
  <c r="BI104" i="34"/>
  <c r="BK104" i="34" s="1"/>
  <c r="BJ105" i="34"/>
  <c r="BJ106" i="34"/>
  <c r="BI105" i="34"/>
  <c r="BK105" i="34" s="1"/>
  <c r="BI106" i="34"/>
  <c r="BK106" i="34" s="1"/>
  <c r="BJ107" i="34"/>
  <c r="BJ108" i="34"/>
  <c r="BI107" i="34"/>
  <c r="BK107" i="34" s="1"/>
  <c r="BJ109" i="34"/>
  <c r="BI109" i="34"/>
  <c r="BK109" i="34" s="1"/>
  <c r="BI108" i="34"/>
  <c r="BK108" i="34" s="1"/>
  <c r="AL10" i="34"/>
  <c r="AM10" i="34"/>
  <c r="AI11" i="31"/>
  <c r="B11" i="34"/>
  <c r="BO11" i="34" s="1"/>
  <c r="BB10" i="34"/>
  <c r="BD10" i="34"/>
  <c r="J10" i="34"/>
  <c r="O10" i="34"/>
  <c r="H10" i="34"/>
  <c r="K10" i="34"/>
  <c r="Q10" i="34"/>
  <c r="AC10" i="34"/>
  <c r="L10" i="34"/>
  <c r="S10" i="34"/>
  <c r="AP10" i="34"/>
  <c r="M10" i="34"/>
  <c r="AI10" i="34"/>
  <c r="AE10" i="34"/>
  <c r="E10" i="34"/>
  <c r="F10" i="34"/>
  <c r="AJ10" i="34"/>
  <c r="AY10" i="34"/>
  <c r="Y10" i="34"/>
  <c r="AN10" i="34"/>
  <c r="AX10" i="34"/>
  <c r="AZ10" i="34"/>
  <c r="BO10" i="34"/>
  <c r="G10" i="34"/>
  <c r="P10" i="34"/>
  <c r="AG10" i="34"/>
  <c r="AV10" i="34"/>
  <c r="AH10" i="34"/>
  <c r="T10" i="34"/>
  <c r="AF10" i="34"/>
  <c r="AA10" i="34"/>
  <c r="Z10" i="34"/>
  <c r="BA10" i="34"/>
  <c r="AQ10" i="34"/>
  <c r="X10" i="34"/>
  <c r="AR10" i="34"/>
  <c r="BC10" i="34"/>
  <c r="AS10" i="34"/>
  <c r="AK10" i="34"/>
  <c r="W10" i="34"/>
  <c r="I10" i="34"/>
  <c r="AT10" i="34"/>
  <c r="R10" i="34"/>
  <c r="AW10" i="34"/>
  <c r="AD10" i="34"/>
  <c r="B12" i="34"/>
  <c r="BO12" i="34" s="1"/>
  <c r="M167" i="35"/>
  <c r="O172" i="35"/>
  <c r="F168" i="35"/>
  <c r="N97" i="35"/>
  <c r="F97" i="35"/>
  <c r="O62" i="35"/>
  <c r="E62" i="35"/>
  <c r="G67" i="35"/>
  <c r="F62" i="35"/>
  <c r="E63" i="35"/>
  <c r="H67" i="35"/>
  <c r="M27" i="35"/>
  <c r="O32" i="35"/>
  <c r="N27" i="35"/>
  <c r="E168" i="35"/>
  <c r="H172" i="35"/>
  <c r="O28" i="35"/>
  <c r="M168" i="35"/>
  <c r="P172" i="35"/>
  <c r="N167" i="35"/>
  <c r="M28" i="35"/>
  <c r="P32" i="35"/>
  <c r="M62" i="35"/>
  <c r="O67" i="35"/>
  <c r="N132" i="35"/>
  <c r="M132" i="35"/>
  <c r="O137" i="35"/>
  <c r="G171" i="35"/>
  <c r="O31" i="35"/>
  <c r="E132" i="35"/>
  <c r="G137" i="35"/>
  <c r="P168" i="35"/>
  <c r="F132" i="35"/>
  <c r="E27" i="35"/>
  <c r="G32" i="35"/>
  <c r="F27" i="35"/>
  <c r="G27" i="35"/>
  <c r="G167" i="35"/>
  <c r="E167" i="35"/>
  <c r="G172" i="35"/>
  <c r="F167" i="35"/>
  <c r="H168" i="35"/>
  <c r="E28" i="35"/>
  <c r="H32" i="35"/>
  <c r="F133" i="35"/>
  <c r="G136" i="35"/>
  <c r="O168" i="35"/>
  <c r="F63" i="35"/>
  <c r="G66" i="35"/>
  <c r="G97" i="35"/>
  <c r="E97" i="35"/>
  <c r="G102" i="35"/>
  <c r="P28" i="35"/>
  <c r="G98" i="35"/>
  <c r="F98" i="35"/>
  <c r="G101" i="35"/>
  <c r="M133" i="35"/>
  <c r="P137" i="35"/>
  <c r="N133" i="35"/>
  <c r="O136" i="35"/>
  <c r="H63" i="35"/>
  <c r="O171" i="35"/>
  <c r="M97" i="35"/>
  <c r="O102" i="35"/>
  <c r="O97" i="35"/>
  <c r="O98" i="35"/>
  <c r="N98" i="35"/>
  <c r="O63" i="35"/>
  <c r="N63" i="35"/>
  <c r="O66" i="35"/>
  <c r="G133" i="35"/>
  <c r="F28" i="35"/>
  <c r="G31" i="35"/>
  <c r="H28" i="35"/>
  <c r="H133" i="35"/>
  <c r="P133" i="35"/>
  <c r="O101" i="35"/>
  <c r="P98" i="35"/>
  <c r="P63" i="35"/>
  <c r="H98" i="35"/>
  <c r="N147" i="35"/>
  <c r="M147" i="35"/>
  <c r="L148" i="35"/>
  <c r="O147" i="35"/>
  <c r="F147" i="35"/>
  <c r="E147" i="35"/>
  <c r="D148" i="35"/>
  <c r="G147" i="35"/>
  <c r="N112" i="35"/>
  <c r="M112" i="35"/>
  <c r="L113" i="35"/>
  <c r="O112" i="35"/>
  <c r="F112" i="35"/>
  <c r="E112" i="35"/>
  <c r="D113" i="35"/>
  <c r="G112" i="35"/>
  <c r="N77" i="35"/>
  <c r="M77" i="35"/>
  <c r="L78" i="35"/>
  <c r="O77" i="35"/>
  <c r="F77" i="35"/>
  <c r="E77" i="35"/>
  <c r="D78" i="35"/>
  <c r="G77" i="35"/>
  <c r="N42" i="35"/>
  <c r="M42" i="35"/>
  <c r="L43" i="35"/>
  <c r="O42" i="35"/>
  <c r="F42" i="35"/>
  <c r="E42" i="35"/>
  <c r="D43" i="35"/>
  <c r="G42" i="35"/>
  <c r="N7" i="35"/>
  <c r="O7" i="35"/>
  <c r="M7" i="35"/>
  <c r="L8" i="35"/>
  <c r="O148" i="35"/>
  <c r="N148" i="35"/>
  <c r="M148" i="35"/>
  <c r="L149" i="35"/>
  <c r="G148" i="35"/>
  <c r="F148" i="35"/>
  <c r="E148" i="35"/>
  <c r="D149" i="35"/>
  <c r="O113" i="35"/>
  <c r="N113" i="35"/>
  <c r="M113" i="35"/>
  <c r="L114" i="35"/>
  <c r="G113" i="35"/>
  <c r="F113" i="35"/>
  <c r="E113" i="35"/>
  <c r="D114" i="35"/>
  <c r="O78" i="35"/>
  <c r="N78" i="35"/>
  <c r="M78" i="35"/>
  <c r="L79" i="35"/>
  <c r="G78" i="35"/>
  <c r="F78" i="35"/>
  <c r="E78" i="35"/>
  <c r="D79" i="35"/>
  <c r="O43" i="35"/>
  <c r="N43" i="35"/>
  <c r="M43" i="35"/>
  <c r="L44" i="35"/>
  <c r="G43" i="35"/>
  <c r="F43" i="35"/>
  <c r="E43" i="35"/>
  <c r="D44" i="35"/>
  <c r="O8" i="35"/>
  <c r="N8" i="35"/>
  <c r="M8" i="35"/>
  <c r="L9" i="35"/>
  <c r="G7" i="35"/>
  <c r="N149" i="35"/>
  <c r="M149" i="35"/>
  <c r="L150" i="35"/>
  <c r="O149" i="35"/>
  <c r="F149" i="35"/>
  <c r="H149" i="35"/>
  <c r="E149" i="35"/>
  <c r="D150" i="35"/>
  <c r="G149" i="35"/>
  <c r="N114" i="35"/>
  <c r="M114" i="35"/>
  <c r="L115" i="35"/>
  <c r="O114" i="35"/>
  <c r="F114" i="35"/>
  <c r="H114" i="35"/>
  <c r="E114" i="35"/>
  <c r="D115" i="35"/>
  <c r="G114" i="35"/>
  <c r="N79" i="35"/>
  <c r="P79" i="35"/>
  <c r="M79" i="35"/>
  <c r="L80" i="35"/>
  <c r="O79" i="35"/>
  <c r="F79" i="35"/>
  <c r="H79" i="35"/>
  <c r="G79" i="35"/>
  <c r="E79" i="35"/>
  <c r="D80" i="35"/>
  <c r="P44" i="35"/>
  <c r="N44" i="35"/>
  <c r="M44" i="35"/>
  <c r="L45" i="35"/>
  <c r="O44" i="35"/>
  <c r="F44" i="35"/>
  <c r="E44" i="35"/>
  <c r="D45" i="35"/>
  <c r="G44" i="35"/>
  <c r="N9" i="35"/>
  <c r="M9" i="35"/>
  <c r="L10" i="35"/>
  <c r="O9" i="35"/>
  <c r="O150" i="35"/>
  <c r="N150" i="35"/>
  <c r="M150" i="35"/>
  <c r="L151" i="35"/>
  <c r="P149" i="35"/>
  <c r="G150" i="35"/>
  <c r="F150" i="35"/>
  <c r="E150" i="35"/>
  <c r="D151" i="35"/>
  <c r="O115" i="35"/>
  <c r="N115" i="35"/>
  <c r="M115" i="35"/>
  <c r="L116" i="35"/>
  <c r="P114" i="35"/>
  <c r="G115" i="35"/>
  <c r="F115" i="35"/>
  <c r="E115" i="35"/>
  <c r="D116" i="35"/>
  <c r="O80" i="35"/>
  <c r="N80" i="35"/>
  <c r="M80" i="35"/>
  <c r="L81" i="35"/>
  <c r="G80" i="35"/>
  <c r="F80" i="35"/>
  <c r="E80" i="35"/>
  <c r="D81" i="35"/>
  <c r="O45" i="35"/>
  <c r="N45" i="35"/>
  <c r="M45" i="35"/>
  <c r="L46" i="35"/>
  <c r="H44" i="35"/>
  <c r="G45" i="35"/>
  <c r="F45" i="35"/>
  <c r="E45" i="35"/>
  <c r="D46" i="35"/>
  <c r="O10" i="35"/>
  <c r="N10" i="35"/>
  <c r="M10" i="35"/>
  <c r="L11" i="35"/>
  <c r="P9" i="35"/>
  <c r="M151" i="35"/>
  <c r="O151" i="35"/>
  <c r="N151" i="35"/>
  <c r="E151" i="35"/>
  <c r="G151" i="35"/>
  <c r="F151" i="35"/>
  <c r="M116" i="35"/>
  <c r="O116" i="35"/>
  <c r="N116" i="35"/>
  <c r="E116" i="35"/>
  <c r="F116" i="35"/>
  <c r="G116" i="35"/>
  <c r="M81" i="35"/>
  <c r="N81" i="35"/>
  <c r="O81" i="35"/>
  <c r="E81" i="35"/>
  <c r="F81" i="35"/>
  <c r="G81" i="35"/>
  <c r="M46" i="35"/>
  <c r="N46" i="35"/>
  <c r="O46" i="35"/>
  <c r="E46" i="35"/>
  <c r="F46" i="35"/>
  <c r="G46" i="35"/>
  <c r="M11" i="35"/>
  <c r="N11" i="35"/>
  <c r="O11" i="35"/>
  <c r="M152" i="35"/>
  <c r="L153" i="35"/>
  <c r="L152" i="35"/>
  <c r="E152" i="35"/>
  <c r="D153" i="35"/>
  <c r="D152" i="35"/>
  <c r="M117" i="35"/>
  <c r="L118" i="35"/>
  <c r="L117" i="35"/>
  <c r="E117" i="35"/>
  <c r="D118" i="35"/>
  <c r="D117" i="35"/>
  <c r="M82" i="35"/>
  <c r="L83" i="35"/>
  <c r="L82" i="35"/>
  <c r="E82" i="35"/>
  <c r="D83" i="35"/>
  <c r="D82" i="35"/>
  <c r="M47" i="35"/>
  <c r="L48" i="35"/>
  <c r="L47" i="35"/>
  <c r="E47" i="35"/>
  <c r="D48" i="35"/>
  <c r="D47" i="35"/>
  <c r="M12" i="35"/>
  <c r="L13" i="35"/>
  <c r="L12" i="35"/>
  <c r="O152" i="35"/>
  <c r="N152" i="35"/>
  <c r="P152" i="35"/>
  <c r="N153" i="35"/>
  <c r="O153" i="35"/>
  <c r="M153" i="35"/>
  <c r="L154" i="35"/>
  <c r="G152" i="35"/>
  <c r="F152" i="35"/>
  <c r="H152" i="35"/>
  <c r="F153" i="35"/>
  <c r="G153" i="35"/>
  <c r="E153" i="35"/>
  <c r="D154" i="35"/>
  <c r="N118" i="35"/>
  <c r="M118" i="35"/>
  <c r="L119" i="35"/>
  <c r="O118" i="35"/>
  <c r="O117" i="35"/>
  <c r="N117" i="35"/>
  <c r="E118" i="35"/>
  <c r="D119" i="35"/>
  <c r="G118" i="35"/>
  <c r="F118" i="35"/>
  <c r="G117" i="35"/>
  <c r="F117" i="35"/>
  <c r="H117" i="35"/>
  <c r="O82" i="35"/>
  <c r="N82" i="35"/>
  <c r="P82" i="35"/>
  <c r="M83" i="35"/>
  <c r="L84" i="35"/>
  <c r="N83" i="35"/>
  <c r="O83" i="35"/>
  <c r="G82" i="35"/>
  <c r="F82" i="35"/>
  <c r="H82" i="35"/>
  <c r="E83" i="35"/>
  <c r="D84" i="35"/>
  <c r="G83" i="35"/>
  <c r="F83" i="35"/>
  <c r="O47" i="35"/>
  <c r="N47" i="35"/>
  <c r="P47" i="35"/>
  <c r="M48" i="35"/>
  <c r="L49" i="35"/>
  <c r="O48" i="35"/>
  <c r="N48" i="35"/>
  <c r="E48" i="35"/>
  <c r="D49" i="35"/>
  <c r="G48" i="35"/>
  <c r="F48" i="35"/>
  <c r="G47" i="35"/>
  <c r="F47" i="35"/>
  <c r="O12" i="35"/>
  <c r="N12" i="35"/>
  <c r="P12" i="35"/>
  <c r="M13" i="35"/>
  <c r="L14" i="35"/>
  <c r="O13" i="35"/>
  <c r="N13" i="35"/>
  <c r="O154" i="35"/>
  <c r="N154" i="35"/>
  <c r="M154" i="35"/>
  <c r="L155" i="35"/>
  <c r="G154" i="35"/>
  <c r="F154" i="35"/>
  <c r="E154" i="35"/>
  <c r="D155" i="35"/>
  <c r="P117" i="35"/>
  <c r="O119" i="35"/>
  <c r="N119" i="35"/>
  <c r="M119" i="35"/>
  <c r="L120" i="35"/>
  <c r="G119" i="35"/>
  <c r="F119" i="35"/>
  <c r="E119" i="35"/>
  <c r="D120" i="35"/>
  <c r="O84" i="35"/>
  <c r="N84" i="35"/>
  <c r="M84" i="35"/>
  <c r="L85" i="35"/>
  <c r="G84" i="35"/>
  <c r="F84" i="35"/>
  <c r="E84" i="35"/>
  <c r="D85" i="35"/>
  <c r="O49" i="35"/>
  <c r="N49" i="35"/>
  <c r="M49" i="35"/>
  <c r="L50" i="35"/>
  <c r="H47" i="35"/>
  <c r="G49" i="35"/>
  <c r="F49" i="35"/>
  <c r="E49" i="35"/>
  <c r="D50" i="35"/>
  <c r="O14" i="35"/>
  <c r="N14" i="35"/>
  <c r="M14" i="35"/>
  <c r="L15" i="35"/>
  <c r="P155" i="35"/>
  <c r="N155" i="35"/>
  <c r="N157" i="35"/>
  <c r="O155" i="35"/>
  <c r="M155" i="35"/>
  <c r="E155" i="35"/>
  <c r="F155" i="35"/>
  <c r="F157" i="35"/>
  <c r="G155" i="35"/>
  <c r="N120" i="35"/>
  <c r="M120" i="35"/>
  <c r="O120" i="35"/>
  <c r="H120" i="35"/>
  <c r="G120" i="35"/>
  <c r="E120" i="35"/>
  <c r="F120" i="35"/>
  <c r="F122" i="35"/>
  <c r="N85" i="35"/>
  <c r="N87" i="35"/>
  <c r="O85" i="35"/>
  <c r="M85" i="35"/>
  <c r="G85" i="35"/>
  <c r="E85" i="35"/>
  <c r="F85" i="35"/>
  <c r="F87" i="35"/>
  <c r="O50" i="35"/>
  <c r="M50" i="35"/>
  <c r="N50" i="35"/>
  <c r="N52" i="35"/>
  <c r="G50" i="35"/>
  <c r="E50" i="35"/>
  <c r="F50" i="35"/>
  <c r="F52" i="35"/>
  <c r="O15" i="35"/>
  <c r="M15" i="35"/>
  <c r="N15" i="35"/>
  <c r="L156" i="35"/>
  <c r="O157" i="35"/>
  <c r="P157" i="35"/>
  <c r="D156" i="35"/>
  <c r="G157" i="35"/>
  <c r="H157" i="35"/>
  <c r="H155" i="35"/>
  <c r="L121" i="35"/>
  <c r="O122" i="35"/>
  <c r="P122" i="35"/>
  <c r="N122" i="35"/>
  <c r="P120" i="35"/>
  <c r="D121" i="35"/>
  <c r="G122" i="35"/>
  <c r="H122" i="35"/>
  <c r="L86" i="35"/>
  <c r="O87" i="35"/>
  <c r="P87" i="35"/>
  <c r="P85" i="35"/>
  <c r="D86" i="35"/>
  <c r="G87" i="35"/>
  <c r="H87" i="35"/>
  <c r="H85" i="35"/>
  <c r="P50" i="35"/>
  <c r="L51" i="35"/>
  <c r="O52" i="35"/>
  <c r="P52" i="35"/>
  <c r="H50" i="35"/>
  <c r="D51" i="35"/>
  <c r="G52" i="35"/>
  <c r="H52" i="35"/>
  <c r="N17" i="35"/>
  <c r="P15" i="35"/>
  <c r="L16" i="35"/>
  <c r="O17" i="35"/>
  <c r="P17" i="35"/>
  <c r="O156" i="35"/>
  <c r="N156" i="35"/>
  <c r="M156" i="35"/>
  <c r="L163" i="35"/>
  <c r="M163" i="35"/>
  <c r="G156" i="35"/>
  <c r="F156" i="35"/>
  <c r="E156" i="35"/>
  <c r="O121" i="35"/>
  <c r="N121" i="35"/>
  <c r="M121" i="35"/>
  <c r="G121" i="35"/>
  <c r="F121" i="35"/>
  <c r="E121" i="35"/>
  <c r="O86" i="35"/>
  <c r="N86" i="35"/>
  <c r="M86" i="35"/>
  <c r="L93" i="35"/>
  <c r="G86" i="35"/>
  <c r="F86" i="35"/>
  <c r="E86" i="35"/>
  <c r="D93" i="35"/>
  <c r="G93" i="35"/>
  <c r="O51" i="35"/>
  <c r="N51" i="35"/>
  <c r="M51" i="35"/>
  <c r="G51" i="35"/>
  <c r="F51" i="35"/>
  <c r="E51" i="35"/>
  <c r="O16" i="35"/>
  <c r="N16" i="35"/>
  <c r="M16" i="35"/>
  <c r="L23" i="35"/>
  <c r="N163" i="35"/>
  <c r="O163" i="35"/>
  <c r="L128" i="35"/>
  <c r="O128" i="35"/>
  <c r="D58" i="35"/>
  <c r="G58" i="35"/>
  <c r="O93" i="35"/>
  <c r="N93" i="35"/>
  <c r="M93" i="35"/>
  <c r="E58" i="35"/>
  <c r="D163" i="35"/>
  <c r="F58" i="35"/>
  <c r="M23" i="35"/>
  <c r="O23" i="35"/>
  <c r="M128" i="35"/>
  <c r="N128" i="35"/>
  <c r="D128" i="35"/>
  <c r="E93" i="35"/>
  <c r="F93" i="35"/>
  <c r="N23" i="35"/>
  <c r="L58" i="35"/>
  <c r="G163" i="35"/>
  <c r="E163" i="35"/>
  <c r="F163" i="35"/>
  <c r="E128" i="35"/>
  <c r="F128" i="35"/>
  <c r="G128" i="35"/>
  <c r="M58" i="35"/>
  <c r="O58" i="35"/>
  <c r="N58" i="35"/>
  <c r="I81" i="34" l="1"/>
  <c r="F3" i="37"/>
  <c r="BD95" i="34"/>
  <c r="B3" i="31"/>
  <c r="A3" i="37" s="1"/>
  <c r="AS48" i="34"/>
  <c r="G76" i="34"/>
  <c r="BB38" i="34"/>
  <c r="L58" i="34"/>
  <c r="AC74" i="34"/>
  <c r="AH58" i="34"/>
  <c r="AH106" i="34"/>
  <c r="J47" i="34"/>
  <c r="BD92" i="34"/>
  <c r="AN104" i="34"/>
  <c r="E7" i="35"/>
  <c r="D8" i="35" s="1"/>
  <c r="I89" i="34"/>
  <c r="AM66" i="34"/>
  <c r="AJ44" i="34"/>
  <c r="AT64" i="34"/>
  <c r="BA85" i="34"/>
  <c r="BD15" i="34"/>
  <c r="AY26" i="34"/>
  <c r="L100" i="34"/>
  <c r="AQ84" i="34"/>
  <c r="AQ46" i="34"/>
  <c r="AL56" i="34"/>
  <c r="BA22" i="34"/>
  <c r="AR55" i="34"/>
  <c r="S11" i="34"/>
  <c r="AP73" i="34"/>
  <c r="Z92" i="34"/>
  <c r="AI40" i="34"/>
  <c r="S101" i="34"/>
  <c r="AG91" i="34"/>
  <c r="I12" i="34"/>
  <c r="AI47" i="34"/>
  <c r="AZ24" i="34"/>
  <c r="BB52" i="34"/>
  <c r="AN16" i="34"/>
  <c r="E16" i="34"/>
  <c r="M33" i="34"/>
  <c r="W75" i="34"/>
  <c r="M97" i="34"/>
  <c r="AL18" i="34"/>
  <c r="L101" i="34"/>
  <c r="R78" i="34"/>
  <c r="AJ80" i="34"/>
  <c r="AT78" i="34"/>
  <c r="AQ67" i="34"/>
  <c r="J102" i="34"/>
  <c r="S74" i="34"/>
  <c r="AA89" i="34"/>
  <c r="V50" i="34"/>
  <c r="AH50" i="34"/>
  <c r="AJ90" i="34"/>
  <c r="R99" i="34"/>
  <c r="AL13" i="34"/>
  <c r="AC62" i="34"/>
  <c r="W70" i="34"/>
  <c r="K12" i="34"/>
  <c r="AG46" i="34"/>
  <c r="AF29" i="34"/>
  <c r="J15" i="34"/>
  <c r="AX12" i="34"/>
  <c r="AQ47" i="34"/>
  <c r="S23" i="34"/>
  <c r="Q29" i="34"/>
  <c r="AS53" i="34"/>
  <c r="K54" i="34"/>
  <c r="AT48" i="34"/>
  <c r="AF77" i="34"/>
  <c r="AG33" i="34"/>
  <c r="AL40" i="34"/>
  <c r="AP45" i="34"/>
  <c r="J77" i="34"/>
  <c r="AU77" i="34"/>
  <c r="AX34" i="34"/>
  <c r="J93" i="34"/>
  <c r="G62" i="34"/>
  <c r="AE19" i="34"/>
  <c r="AG104" i="34"/>
  <c r="AA108" i="34"/>
  <c r="Q100" i="34"/>
  <c r="L22" i="34"/>
  <c r="U33" i="34"/>
  <c r="L57" i="34"/>
  <c r="Q38" i="34"/>
  <c r="BA16" i="34"/>
  <c r="AK33" i="34"/>
  <c r="E63" i="34"/>
  <c r="O86" i="34"/>
  <c r="P107" i="34"/>
  <c r="AR78" i="34"/>
  <c r="U20" i="34"/>
  <c r="AO69" i="34"/>
  <c r="AN44" i="34"/>
  <c r="E82" i="34"/>
  <c r="AJ33" i="34"/>
  <c r="S83" i="34"/>
  <c r="X41" i="34"/>
  <c r="Q85" i="34"/>
  <c r="BA67" i="34"/>
  <c r="AH88" i="34"/>
  <c r="L108" i="34"/>
  <c r="H24" i="34"/>
  <c r="AB43" i="34"/>
  <c r="T46" i="34"/>
  <c r="BD40" i="34"/>
  <c r="AX31" i="34"/>
  <c r="BD43" i="34"/>
  <c r="AN61" i="34"/>
  <c r="AI66" i="34"/>
  <c r="AZ40" i="34"/>
  <c r="AL39" i="34"/>
  <c r="AR33" i="34"/>
  <c r="AI13" i="34"/>
  <c r="AJ73" i="34"/>
  <c r="AD29" i="34"/>
  <c r="AG53" i="34"/>
  <c r="AR74" i="34"/>
  <c r="AX16" i="34"/>
  <c r="J30" i="34"/>
  <c r="AT102" i="34"/>
  <c r="AS61" i="34"/>
  <c r="K17" i="34"/>
  <c r="AL65" i="34"/>
  <c r="AK41" i="34"/>
  <c r="BB58" i="34"/>
  <c r="O53" i="34"/>
  <c r="AO66" i="34"/>
  <c r="U109" i="34"/>
  <c r="AR97" i="34"/>
  <c r="AC26" i="34"/>
  <c r="BA27" i="34"/>
  <c r="AV24" i="34"/>
  <c r="Q83" i="34"/>
  <c r="G44" i="34"/>
  <c r="T64" i="34"/>
  <c r="AK73" i="34"/>
  <c r="R85" i="34"/>
  <c r="AZ46" i="34"/>
  <c r="AT43" i="34"/>
  <c r="H45" i="34"/>
  <c r="AP40" i="34"/>
  <c r="AH83" i="34"/>
  <c r="AC93" i="34"/>
  <c r="AF52" i="34"/>
  <c r="R44" i="34"/>
  <c r="AO15" i="34"/>
  <c r="AF95" i="34"/>
  <c r="S58" i="34"/>
  <c r="AN97" i="34"/>
  <c r="AD48" i="34"/>
  <c r="AP92" i="34"/>
  <c r="G17" i="34"/>
  <c r="AH69" i="34"/>
  <c r="H49" i="34"/>
  <c r="BD51" i="34"/>
  <c r="Q56" i="34"/>
  <c r="AI26" i="34"/>
  <c r="AW34" i="34"/>
  <c r="AM62" i="34"/>
  <c r="G23" i="34"/>
  <c r="T36" i="34"/>
  <c r="O109" i="34"/>
  <c r="AA72" i="34"/>
  <c r="G83" i="34"/>
  <c r="V79" i="34"/>
  <c r="BA25" i="34"/>
  <c r="F54" i="34"/>
  <c r="P44" i="34"/>
  <c r="AL19" i="34"/>
  <c r="G21" i="34"/>
  <c r="Y76" i="34"/>
  <c r="AF94" i="34"/>
  <c r="AB79" i="34"/>
  <c r="AC48" i="34"/>
  <c r="AF63" i="34"/>
  <c r="F92" i="34"/>
  <c r="BC38" i="34"/>
  <c r="BB60" i="34"/>
  <c r="AS91" i="34"/>
  <c r="E18" i="34"/>
  <c r="AU73" i="34"/>
  <c r="T23" i="34"/>
  <c r="H52" i="34"/>
  <c r="AD97" i="34"/>
  <c r="AX75" i="34"/>
  <c r="G32" i="34"/>
  <c r="H22" i="34"/>
  <c r="M65" i="34"/>
  <c r="AO32" i="34"/>
  <c r="AX20" i="34"/>
  <c r="AW74" i="34"/>
  <c r="AV107" i="34"/>
  <c r="AF20" i="34"/>
  <c r="F33" i="34"/>
  <c r="G33" i="34"/>
  <c r="AQ30" i="34"/>
  <c r="Z106" i="34"/>
  <c r="AH21" i="34"/>
  <c r="S106" i="34"/>
  <c r="AI57" i="34"/>
  <c r="X63" i="34"/>
  <c r="AQ99" i="34"/>
  <c r="BB44" i="34"/>
  <c r="AG70" i="34"/>
  <c r="I37" i="34"/>
  <c r="E104" i="34"/>
  <c r="L88" i="34"/>
  <c r="AK51" i="34"/>
  <c r="AX84" i="34"/>
  <c r="AV37" i="34"/>
  <c r="AA54" i="34"/>
  <c r="AS109" i="34"/>
  <c r="AS80" i="34"/>
  <c r="J74" i="34"/>
  <c r="AR24" i="34"/>
  <c r="AH56" i="34"/>
  <c r="AR84" i="34"/>
  <c r="AS101" i="34"/>
  <c r="S97" i="34"/>
  <c r="AA29" i="34"/>
  <c r="AP91" i="34"/>
  <c r="AD66" i="34"/>
  <c r="U59" i="34"/>
  <c r="AR76" i="34"/>
  <c r="AW53" i="34"/>
  <c r="AM88" i="34"/>
  <c r="AA100" i="34"/>
  <c r="Q86" i="34"/>
  <c r="G80" i="34"/>
  <c r="AM46" i="34"/>
  <c r="Z74" i="34"/>
  <c r="Y50" i="34"/>
  <c r="AQ101" i="34"/>
  <c r="AQ73" i="34"/>
  <c r="J24" i="34"/>
  <c r="U13" i="34"/>
  <c r="AH107" i="34"/>
  <c r="AM79" i="34"/>
  <c r="BD26" i="34"/>
  <c r="M83" i="34"/>
  <c r="Z45" i="34"/>
  <c r="L61" i="34"/>
  <c r="H89" i="34"/>
  <c r="AQ56" i="34"/>
  <c r="H40" i="34"/>
  <c r="S53" i="34"/>
  <c r="R91" i="34"/>
  <c r="AL79" i="34"/>
  <c r="E57" i="34"/>
  <c r="L84" i="34"/>
  <c r="M89" i="34"/>
  <c r="P56" i="34"/>
  <c r="AM18" i="34"/>
  <c r="W37" i="34"/>
  <c r="AD28" i="34"/>
  <c r="AG62" i="34"/>
  <c r="AH105" i="34"/>
  <c r="AO19" i="34"/>
  <c r="AZ25" i="34"/>
  <c r="L37" i="34"/>
  <c r="V47" i="34"/>
  <c r="V15" i="34"/>
  <c r="X106" i="34"/>
  <c r="E12" i="34"/>
  <c r="I13" i="34"/>
  <c r="E48" i="34"/>
  <c r="AE75" i="34"/>
  <c r="V57" i="34"/>
  <c r="J65" i="34"/>
  <c r="AC72" i="34"/>
  <c r="AQ12" i="34"/>
  <c r="K40" i="34"/>
  <c r="AH76" i="34"/>
  <c r="AC34" i="34"/>
  <c r="AB33" i="34"/>
  <c r="L54" i="34"/>
  <c r="T38" i="34"/>
  <c r="AX87" i="34"/>
  <c r="K33" i="34"/>
  <c r="N46" i="34"/>
  <c r="AQ64" i="34"/>
  <c r="AE76" i="34"/>
  <c r="N47" i="34"/>
  <c r="AI106" i="34"/>
  <c r="Y70" i="34"/>
  <c r="AL45" i="34"/>
  <c r="H54" i="34"/>
  <c r="AP43" i="34"/>
  <c r="W109" i="34"/>
  <c r="AA32" i="34"/>
  <c r="AV33" i="34"/>
  <c r="AH17" i="34"/>
  <c r="AX90" i="34"/>
  <c r="AZ33" i="34"/>
  <c r="J56" i="34"/>
  <c r="X17" i="34"/>
  <c r="BB80" i="34"/>
  <c r="AU27" i="34"/>
  <c r="AP63" i="34"/>
  <c r="L55" i="34"/>
  <c r="AA38" i="34"/>
  <c r="AX94" i="34"/>
  <c r="V32" i="34"/>
  <c r="V46" i="34"/>
  <c r="AD34" i="34"/>
  <c r="BD18" i="34"/>
  <c r="I78" i="34"/>
  <c r="AH104" i="34"/>
  <c r="AB55" i="34"/>
  <c r="BB64" i="34"/>
  <c r="AW56" i="34"/>
  <c r="W52" i="34"/>
  <c r="AN31" i="34"/>
  <c r="T66" i="34"/>
  <c r="AH53" i="34"/>
  <c r="AE88" i="34"/>
  <c r="AT100" i="34"/>
  <c r="AU56" i="34"/>
  <c r="AG25" i="34"/>
  <c r="E69" i="34"/>
  <c r="S87" i="34"/>
  <c r="U40" i="34"/>
  <c r="V93" i="34"/>
  <c r="X26" i="34"/>
  <c r="BC100" i="34"/>
  <c r="AC27" i="34"/>
  <c r="AM51" i="34"/>
  <c r="AC25" i="34"/>
  <c r="AV77" i="34"/>
  <c r="F79" i="34"/>
  <c r="AP74" i="34"/>
  <c r="F94" i="34"/>
  <c r="N31" i="34"/>
  <c r="M102" i="34"/>
  <c r="AH30" i="34"/>
  <c r="BD105" i="34"/>
  <c r="P101" i="34"/>
  <c r="AZ109" i="34"/>
  <c r="M47" i="34"/>
  <c r="J36" i="34"/>
  <c r="N20" i="34"/>
  <c r="AC22" i="34"/>
  <c r="AG88" i="34"/>
  <c r="AI63" i="34"/>
  <c r="AZ95" i="34"/>
  <c r="AE25" i="34"/>
  <c r="AY22" i="34"/>
  <c r="AR36" i="34"/>
  <c r="AZ55" i="34"/>
  <c r="F22" i="34"/>
  <c r="AK80" i="34"/>
  <c r="AJ37" i="34"/>
  <c r="AG107" i="34"/>
  <c r="K95" i="34"/>
  <c r="Z32" i="34"/>
  <c r="BD99" i="34"/>
  <c r="AS58" i="34"/>
  <c r="AF21" i="34"/>
  <c r="AN72" i="34"/>
  <c r="T60" i="34"/>
  <c r="AI11" i="34"/>
  <c r="AP37" i="34"/>
  <c r="F27" i="34"/>
  <c r="U41" i="34"/>
  <c r="R102" i="34"/>
  <c r="E109" i="34"/>
  <c r="Q88" i="34"/>
  <c r="V74" i="34"/>
  <c r="S37" i="34"/>
  <c r="AP36" i="34"/>
  <c r="AF105" i="34"/>
  <c r="AC102" i="34"/>
  <c r="Q27" i="34"/>
  <c r="BB41" i="34"/>
  <c r="AU50" i="34"/>
  <c r="AK106" i="34"/>
  <c r="BB26" i="34"/>
  <c r="AN78" i="34"/>
  <c r="G51" i="34"/>
  <c r="AP82" i="34"/>
  <c r="I57" i="34"/>
  <c r="AA99" i="34"/>
  <c r="BA55" i="34"/>
  <c r="BA19" i="34"/>
  <c r="H46" i="34"/>
  <c r="M61" i="34"/>
  <c r="J37" i="34"/>
  <c r="AJ52" i="34"/>
  <c r="AE44" i="34"/>
  <c r="R70" i="34"/>
  <c r="H80" i="34"/>
  <c r="P79" i="34"/>
  <c r="I53" i="34"/>
  <c r="R47" i="34"/>
  <c r="AW69" i="34"/>
  <c r="U83" i="34"/>
  <c r="W73" i="34"/>
  <c r="AT81" i="34"/>
  <c r="H76" i="34"/>
  <c r="AG93" i="34"/>
  <c r="N81" i="34"/>
  <c r="N83" i="34"/>
  <c r="AD44" i="34"/>
  <c r="AR90" i="34"/>
  <c r="I93" i="34"/>
  <c r="R49" i="34"/>
  <c r="P29" i="34"/>
  <c r="Z95" i="34"/>
  <c r="G82" i="34"/>
  <c r="AW107" i="34"/>
  <c r="U46" i="34"/>
  <c r="AY58" i="34"/>
  <c r="AU19" i="34"/>
  <c r="W92" i="34"/>
  <c r="AI12" i="34"/>
  <c r="M17" i="34"/>
  <c r="AN79" i="34"/>
  <c r="V13" i="34"/>
  <c r="AN84" i="34"/>
  <c r="K97" i="34"/>
  <c r="O99" i="34"/>
  <c r="BA74" i="34"/>
  <c r="AM74" i="34"/>
  <c r="AG101" i="34"/>
  <c r="AJ49" i="34"/>
  <c r="J44" i="34"/>
  <c r="K30" i="34"/>
  <c r="BB62" i="34"/>
  <c r="U90" i="34"/>
  <c r="Y27" i="34"/>
  <c r="O69" i="34"/>
  <c r="BC23" i="34"/>
  <c r="BB33" i="34"/>
  <c r="Q20" i="34"/>
  <c r="F88" i="34"/>
  <c r="M27" i="34"/>
  <c r="J75" i="34"/>
  <c r="AD56" i="34"/>
  <c r="AS46" i="34"/>
  <c r="AL93" i="34"/>
  <c r="K86" i="34"/>
  <c r="W94" i="34"/>
  <c r="AL81" i="34"/>
  <c r="AL53" i="34"/>
  <c r="AG58" i="34"/>
  <c r="O100" i="34"/>
  <c r="Y44" i="34"/>
  <c r="AJ31" i="34"/>
  <c r="AW104" i="34"/>
  <c r="AJ84" i="34"/>
  <c r="I45" i="34"/>
  <c r="AU13" i="34"/>
  <c r="AK84" i="34"/>
  <c r="AP53" i="34"/>
  <c r="AQ66" i="34"/>
  <c r="BB105" i="34"/>
  <c r="AS15" i="34"/>
  <c r="BD13" i="34"/>
  <c r="T13" i="34"/>
  <c r="U57" i="34"/>
  <c r="AS47" i="34"/>
  <c r="AZ69" i="34"/>
  <c r="AE52" i="34"/>
  <c r="L16" i="34"/>
  <c r="S45" i="34"/>
  <c r="G109" i="34"/>
  <c r="AG24" i="34"/>
  <c r="W46" i="34"/>
  <c r="E55" i="34"/>
  <c r="AO52" i="34"/>
  <c r="Z73" i="34"/>
  <c r="AD32" i="34"/>
  <c r="AK32" i="34"/>
  <c r="AH24" i="34"/>
  <c r="Z38" i="34"/>
  <c r="AC61" i="34"/>
  <c r="BA56" i="34"/>
  <c r="AU76" i="34"/>
  <c r="AZ30" i="34"/>
  <c r="AG64" i="34"/>
  <c r="AH18" i="34"/>
  <c r="Y65" i="34"/>
  <c r="AJ46" i="34"/>
  <c r="AI36" i="34"/>
  <c r="S99" i="34"/>
  <c r="T44" i="34"/>
  <c r="AH99" i="34"/>
  <c r="BD28" i="34"/>
  <c r="AV44" i="34"/>
  <c r="X12" i="34"/>
  <c r="I102" i="34"/>
  <c r="J78" i="34"/>
  <c r="E44" i="34"/>
  <c r="L82" i="34"/>
  <c r="AG94" i="34"/>
  <c r="I60" i="34"/>
  <c r="X34" i="34"/>
  <c r="BB99" i="34"/>
  <c r="P18" i="34"/>
  <c r="L56" i="34"/>
  <c r="AO85" i="34"/>
  <c r="AE58" i="34"/>
  <c r="AR72" i="34"/>
  <c r="W55" i="34"/>
  <c r="Y32" i="34"/>
  <c r="AG90" i="34"/>
  <c r="AS64" i="34"/>
  <c r="AF106" i="34"/>
  <c r="BC67" i="34"/>
  <c r="AS102" i="34"/>
  <c r="P84" i="34"/>
  <c r="AJ36" i="34"/>
  <c r="AS55" i="34"/>
  <c r="E91" i="34"/>
  <c r="Z107" i="34"/>
  <c r="AK25" i="34"/>
  <c r="F102" i="34"/>
  <c r="AX25" i="34"/>
  <c r="V52" i="34"/>
  <c r="AR41" i="34"/>
  <c r="BD59" i="34"/>
  <c r="AV60" i="34"/>
  <c r="AG48" i="34"/>
  <c r="AK15" i="34"/>
  <c r="H92" i="34"/>
  <c r="T70" i="34"/>
  <c r="M59" i="34"/>
  <c r="P54" i="34"/>
  <c r="AE39" i="34"/>
  <c r="AF88" i="34"/>
  <c r="P94" i="34"/>
  <c r="E24" i="34"/>
  <c r="AA33" i="34"/>
  <c r="G69" i="34"/>
  <c r="T56" i="34"/>
  <c r="AY80" i="34"/>
  <c r="AJ65" i="34"/>
  <c r="AF82" i="34"/>
  <c r="AS13" i="34"/>
  <c r="AW26" i="34"/>
  <c r="J49" i="34"/>
  <c r="V12" i="34"/>
  <c r="AY59" i="34"/>
  <c r="Z104" i="34"/>
  <c r="U107" i="34"/>
  <c r="AF65" i="34"/>
  <c r="AM17" i="34"/>
  <c r="AH28" i="34"/>
  <c r="X45" i="34"/>
  <c r="AM32" i="34"/>
  <c r="G105" i="34"/>
  <c r="X73" i="34"/>
  <c r="AY31" i="34"/>
  <c r="AO61" i="34"/>
  <c r="BC72" i="34"/>
  <c r="E22" i="34"/>
  <c r="AS57" i="34"/>
  <c r="AL66" i="34"/>
  <c r="AY33" i="34"/>
  <c r="Z26" i="34"/>
  <c r="E37" i="34"/>
  <c r="AD59" i="34"/>
  <c r="F23" i="34"/>
  <c r="H48" i="34"/>
  <c r="AF59" i="34"/>
  <c r="AZ58" i="34"/>
  <c r="E79" i="34"/>
  <c r="AK99" i="34"/>
  <c r="BD78" i="34"/>
  <c r="AN15" i="34"/>
  <c r="BC88" i="34"/>
  <c r="AU52" i="34"/>
  <c r="AF50" i="34"/>
  <c r="K77" i="34"/>
  <c r="S43" i="34"/>
  <c r="AC101" i="34"/>
  <c r="AY95" i="34"/>
  <c r="I101" i="34"/>
  <c r="AE34" i="34"/>
  <c r="AO80" i="34"/>
  <c r="Z89" i="34"/>
  <c r="AP78" i="34"/>
  <c r="Y60" i="34"/>
  <c r="T83" i="34"/>
  <c r="Z101" i="34"/>
  <c r="Q79" i="34"/>
  <c r="J106" i="34"/>
  <c r="AC33" i="34"/>
  <c r="P45" i="34"/>
  <c r="AF19" i="34"/>
  <c r="Z12" i="34"/>
  <c r="E28" i="34"/>
  <c r="K80" i="34"/>
  <c r="AT72" i="34"/>
  <c r="Y72" i="34"/>
  <c r="I87" i="34"/>
  <c r="AO100" i="34"/>
  <c r="O82" i="34"/>
  <c r="AB15" i="34"/>
  <c r="AS82" i="34"/>
  <c r="Z77" i="34"/>
  <c r="AT99" i="34"/>
  <c r="H82" i="34"/>
  <c r="P66" i="34"/>
  <c r="I31" i="34"/>
  <c r="BD20" i="34"/>
  <c r="AO23" i="34"/>
  <c r="H47" i="34"/>
  <c r="N40" i="34"/>
  <c r="S65" i="34"/>
  <c r="L27" i="34"/>
  <c r="AR61" i="34"/>
  <c r="AU54" i="34"/>
  <c r="O47" i="34"/>
  <c r="AW48" i="34"/>
  <c r="AP81" i="34"/>
  <c r="BC81" i="34"/>
  <c r="E101" i="34"/>
  <c r="AK78" i="34"/>
  <c r="G79" i="34"/>
  <c r="AP61" i="34"/>
  <c r="W43" i="34"/>
  <c r="AR65" i="34"/>
  <c r="AX93" i="34"/>
  <c r="N80" i="34"/>
  <c r="AU107" i="34"/>
  <c r="BC65" i="34"/>
  <c r="AE95" i="34"/>
  <c r="I36" i="34"/>
  <c r="AC83" i="34"/>
  <c r="AG79" i="34"/>
  <c r="AT69" i="34"/>
  <c r="AJ57" i="34"/>
  <c r="AZ102" i="34"/>
  <c r="F44" i="34"/>
  <c r="AF55" i="34"/>
  <c r="N59" i="34"/>
  <c r="X31" i="34"/>
  <c r="AG97" i="34"/>
  <c r="Y11" i="34"/>
  <c r="AU66" i="34"/>
  <c r="AV21" i="34"/>
  <c r="AE78" i="34"/>
  <c r="AZ52" i="34"/>
  <c r="AU80" i="34"/>
  <c r="V63" i="34"/>
  <c r="AQ40" i="34"/>
  <c r="AZ100" i="34"/>
  <c r="O74" i="34"/>
  <c r="AN60" i="34"/>
  <c r="Q12" i="34"/>
  <c r="AM97" i="34"/>
  <c r="L90" i="34"/>
  <c r="K19" i="34"/>
  <c r="P81" i="34"/>
  <c r="L67" i="34"/>
  <c r="R50" i="34"/>
  <c r="O64" i="34"/>
  <c r="P49" i="34"/>
  <c r="T27" i="34"/>
  <c r="N30" i="34"/>
  <c r="AX70" i="34"/>
  <c r="AW23" i="34"/>
  <c r="AO36" i="34"/>
  <c r="AH15" i="34"/>
  <c r="AL21" i="34"/>
  <c r="AL51" i="34"/>
  <c r="K46" i="34"/>
  <c r="AW91" i="34"/>
  <c r="BC50" i="34"/>
  <c r="AU36" i="34"/>
  <c r="AD107" i="34"/>
  <c r="AB54" i="34"/>
  <c r="AJ88" i="34"/>
  <c r="N85" i="34"/>
  <c r="W57" i="34"/>
  <c r="N65" i="34"/>
  <c r="AA101" i="34"/>
  <c r="E21" i="34"/>
  <c r="AV53" i="34"/>
  <c r="AY84" i="34"/>
  <c r="G84" i="34"/>
  <c r="N18" i="34"/>
  <c r="AU51" i="34"/>
  <c r="Y104" i="34"/>
  <c r="M11" i="34"/>
  <c r="AU82" i="34"/>
  <c r="W85" i="34"/>
  <c r="L53" i="34"/>
  <c r="F77" i="34"/>
  <c r="F62" i="34"/>
  <c r="F38" i="34"/>
  <c r="I84" i="34"/>
  <c r="AA24" i="34"/>
  <c r="AL63" i="34"/>
  <c r="X32" i="34"/>
  <c r="AS54" i="34"/>
  <c r="AS105" i="34"/>
  <c r="AJ81" i="34"/>
  <c r="AL69" i="34"/>
  <c r="O97" i="34"/>
  <c r="AD77" i="34"/>
  <c r="AW15" i="34"/>
  <c r="AJ21" i="34"/>
  <c r="Z70" i="34"/>
  <c r="Z105" i="34"/>
  <c r="AC18" i="34"/>
  <c r="M28" i="34"/>
  <c r="R25" i="34"/>
  <c r="AO48" i="34"/>
  <c r="AQ26" i="34"/>
  <c r="M94" i="34"/>
  <c r="K75" i="34"/>
  <c r="AO16" i="34"/>
  <c r="AI28" i="34"/>
  <c r="BA88" i="34"/>
  <c r="AD49" i="34"/>
  <c r="W79" i="34"/>
  <c r="J28" i="34"/>
  <c r="AE87" i="34"/>
  <c r="Q48" i="34"/>
  <c r="AJ74" i="34"/>
  <c r="M69" i="34"/>
  <c r="T11" i="34"/>
  <c r="AE80" i="34"/>
  <c r="BD21" i="34"/>
  <c r="BB66" i="34"/>
  <c r="AM50" i="34"/>
  <c r="Y84" i="34"/>
  <c r="AS26" i="34"/>
  <c r="O17" i="34"/>
  <c r="AC70" i="34"/>
  <c r="AP51" i="34"/>
  <c r="AR67" i="34"/>
  <c r="W107" i="34"/>
  <c r="AK48" i="34"/>
  <c r="AC38" i="34"/>
  <c r="AD31" i="34"/>
  <c r="AE26" i="34"/>
  <c r="AE69" i="34"/>
  <c r="U23" i="34"/>
  <c r="T54" i="34"/>
  <c r="E19" i="34"/>
  <c r="BC104" i="34"/>
  <c r="AR46" i="34"/>
  <c r="AW13" i="34"/>
  <c r="Z80" i="34"/>
  <c r="M40" i="34"/>
  <c r="N82" i="34"/>
  <c r="X52" i="34"/>
  <c r="P31" i="34"/>
  <c r="U92" i="34"/>
  <c r="Z56" i="34"/>
  <c r="AV57" i="34"/>
  <c r="AQ85" i="34"/>
  <c r="AJ92" i="34"/>
  <c r="AD95" i="34"/>
  <c r="AM31" i="34"/>
  <c r="V55" i="34"/>
  <c r="AT29" i="34"/>
  <c r="AQ18" i="34"/>
  <c r="AX47" i="34"/>
  <c r="E17" i="34"/>
  <c r="AX27" i="34"/>
  <c r="W40" i="34"/>
  <c r="AH49" i="34"/>
  <c r="AY17" i="34"/>
  <c r="AR104" i="34"/>
  <c r="AA41" i="34"/>
  <c r="AK17" i="34"/>
  <c r="AP107" i="34"/>
  <c r="AA105" i="34"/>
  <c r="R15" i="34"/>
  <c r="AG29" i="34"/>
  <c r="AC105" i="34"/>
  <c r="O25" i="34"/>
  <c r="AC97" i="34"/>
  <c r="Z67" i="34"/>
  <c r="AJ106" i="34"/>
  <c r="BB97" i="34"/>
  <c r="H38" i="34"/>
  <c r="AR13" i="34"/>
  <c r="AQ60" i="34"/>
  <c r="AV63" i="34"/>
  <c r="P95" i="34"/>
  <c r="N94" i="34"/>
  <c r="BA79" i="34"/>
  <c r="AK88" i="34"/>
  <c r="AW44" i="34"/>
  <c r="L31" i="34"/>
  <c r="P36" i="34"/>
  <c r="AR92" i="34"/>
  <c r="L50" i="34"/>
  <c r="AC66" i="34"/>
  <c r="L25" i="34"/>
  <c r="AO109" i="34"/>
  <c r="AT21" i="34"/>
  <c r="G95" i="34"/>
  <c r="AA53" i="34"/>
  <c r="AG84" i="34"/>
  <c r="AE57" i="34"/>
  <c r="R105" i="34"/>
  <c r="BC69" i="34"/>
  <c r="AT63" i="34"/>
  <c r="AA83" i="34"/>
  <c r="Z99" i="34"/>
  <c r="AF104" i="34"/>
  <c r="BD19" i="34"/>
  <c r="Z63" i="34"/>
  <c r="BD102" i="34"/>
  <c r="AV74" i="34"/>
  <c r="T39" i="34"/>
  <c r="AO34" i="34"/>
  <c r="BD57" i="34"/>
  <c r="S66" i="34"/>
  <c r="AX91" i="34"/>
  <c r="AQ70" i="34"/>
  <c r="Q32" i="34"/>
  <c r="AQ51" i="34"/>
  <c r="V58" i="34"/>
  <c r="X48" i="34"/>
  <c r="Y38" i="34"/>
  <c r="AF53" i="34"/>
  <c r="M106" i="34"/>
  <c r="I48" i="34"/>
  <c r="S17" i="34"/>
  <c r="K25" i="34"/>
  <c r="O60" i="34"/>
  <c r="S67" i="34"/>
  <c r="AK64" i="34"/>
  <c r="AT51" i="34"/>
  <c r="AK95" i="34"/>
  <c r="AQ27" i="34"/>
  <c r="P93" i="34"/>
  <c r="F76" i="34"/>
  <c r="O36" i="34"/>
  <c r="H78" i="34"/>
  <c r="X84" i="34"/>
  <c r="AX63" i="34"/>
  <c r="H70" i="34"/>
  <c r="BB37" i="34"/>
  <c r="L70" i="34"/>
  <c r="AT91" i="34"/>
  <c r="AF22" i="34"/>
  <c r="AZ67" i="34"/>
  <c r="BC28" i="34"/>
  <c r="W16" i="34"/>
  <c r="E32" i="34"/>
  <c r="AK22" i="34"/>
  <c r="Y18" i="34"/>
  <c r="X107" i="34"/>
  <c r="AO21" i="34"/>
  <c r="E70" i="34"/>
  <c r="AA80" i="34"/>
  <c r="AY67" i="34"/>
  <c r="Y90" i="34"/>
  <c r="BD66" i="34"/>
  <c r="AW36" i="34"/>
  <c r="X18" i="34"/>
  <c r="AU30" i="34"/>
  <c r="G50" i="34"/>
  <c r="AW89" i="34"/>
  <c r="Y97" i="34"/>
  <c r="AD94" i="34"/>
  <c r="AZ80" i="34"/>
  <c r="AX49" i="34"/>
  <c r="H51" i="34"/>
  <c r="AT37" i="34"/>
  <c r="H43" i="34"/>
  <c r="AM61" i="34"/>
  <c r="L52" i="34"/>
  <c r="Z22" i="34"/>
  <c r="E87" i="34"/>
  <c r="AC28" i="34"/>
  <c r="O55" i="34"/>
  <c r="X22" i="34"/>
  <c r="AT79" i="34"/>
  <c r="AK63" i="34"/>
  <c r="G18" i="34"/>
  <c r="AP66" i="34"/>
  <c r="N104" i="34"/>
  <c r="R107" i="34"/>
  <c r="P73" i="34"/>
  <c r="AW66" i="34"/>
  <c r="AZ51" i="34"/>
  <c r="L97" i="34"/>
  <c r="H86" i="34"/>
  <c r="Y99" i="34"/>
  <c r="F46" i="34"/>
  <c r="AX66" i="34"/>
  <c r="W83" i="34"/>
  <c r="U45" i="34"/>
  <c r="AA31" i="34"/>
  <c r="Z109" i="34"/>
  <c r="AJ69" i="34"/>
  <c r="AJ83" i="34"/>
  <c r="AN17" i="34"/>
  <c r="AL80" i="34"/>
  <c r="AW21" i="34"/>
  <c r="AG52" i="34"/>
  <c r="BB79" i="34"/>
  <c r="AJ91" i="34"/>
  <c r="E49" i="34"/>
  <c r="P58" i="34"/>
  <c r="AW85" i="34"/>
  <c r="BA95" i="34"/>
  <c r="AI95" i="34"/>
  <c r="AJ59" i="34"/>
  <c r="Q60" i="34"/>
  <c r="I33" i="34"/>
  <c r="X38" i="34"/>
  <c r="Z19" i="34"/>
  <c r="K23" i="34"/>
  <c r="AC19" i="34"/>
  <c r="S107" i="34"/>
  <c r="AV109" i="34"/>
  <c r="AY76" i="34"/>
  <c r="P20" i="34"/>
  <c r="Y13" i="34"/>
  <c r="AN41" i="34"/>
  <c r="S46" i="34"/>
  <c r="AS22" i="34"/>
  <c r="BD27" i="34"/>
  <c r="AX51" i="34"/>
  <c r="AD109" i="34"/>
  <c r="X86" i="34"/>
  <c r="M101" i="34"/>
  <c r="AA26" i="34"/>
  <c r="R13" i="34"/>
  <c r="Z31" i="34"/>
  <c r="R100" i="34"/>
  <c r="AT38" i="34"/>
  <c r="AY79" i="34"/>
  <c r="BA41" i="34"/>
  <c r="AK36" i="34"/>
  <c r="R45" i="34"/>
  <c r="AW50" i="34"/>
  <c r="U58" i="34"/>
  <c r="AH32" i="34"/>
  <c r="T12" i="34"/>
  <c r="BA26" i="34"/>
  <c r="H59" i="34"/>
  <c r="H99" i="34"/>
  <c r="BC106" i="34"/>
  <c r="AD17" i="34"/>
  <c r="R53" i="34"/>
  <c r="AC92" i="34"/>
  <c r="AB97" i="34"/>
  <c r="AV70" i="34"/>
  <c r="M78" i="34"/>
  <c r="AX107" i="34"/>
  <c r="AY38" i="34"/>
  <c r="AX82" i="34"/>
  <c r="E100" i="34"/>
  <c r="BA65" i="34"/>
  <c r="F86" i="34"/>
  <c r="AP30" i="34"/>
  <c r="AD18" i="34"/>
  <c r="X95" i="34"/>
  <c r="F18" i="34"/>
  <c r="AB91" i="34"/>
  <c r="AE92" i="34"/>
  <c r="AL12" i="34"/>
  <c r="Y89" i="34"/>
  <c r="P77" i="34"/>
  <c r="AT54" i="34"/>
  <c r="AA69" i="34"/>
  <c r="Z58" i="34"/>
  <c r="W30" i="34"/>
  <c r="AY37" i="34"/>
  <c r="J82" i="34"/>
  <c r="BB36" i="34"/>
  <c r="AK67" i="34"/>
  <c r="AS85" i="34"/>
  <c r="AU40" i="34"/>
  <c r="R89" i="34"/>
  <c r="AT11" i="34"/>
  <c r="T90" i="34"/>
  <c r="AO73" i="34"/>
  <c r="AA44" i="34"/>
  <c r="AO13" i="34"/>
  <c r="H107" i="34"/>
  <c r="AK13" i="34"/>
  <c r="AC23" i="34"/>
  <c r="L93" i="34"/>
  <c r="AV27" i="34"/>
  <c r="AX89" i="34"/>
  <c r="AK19" i="34"/>
  <c r="X58" i="34"/>
  <c r="X19" i="34"/>
  <c r="O87" i="34"/>
  <c r="AQ55" i="34"/>
  <c r="AA70" i="34"/>
  <c r="AQ45" i="34"/>
  <c r="N107" i="34"/>
  <c r="AX38" i="34"/>
  <c r="V64" i="34"/>
  <c r="AC11" i="34"/>
  <c r="N93" i="34"/>
  <c r="AC80" i="34"/>
  <c r="AL70" i="34"/>
  <c r="AV29" i="34"/>
  <c r="H35" i="34"/>
  <c r="AB104" i="34"/>
  <c r="AS100" i="34"/>
  <c r="AX50" i="34"/>
  <c r="AG75" i="34"/>
  <c r="AB94" i="34"/>
  <c r="AJ78" i="34"/>
  <c r="AL30" i="34"/>
  <c r="AO107" i="34"/>
  <c r="J86" i="34"/>
  <c r="AE62" i="34"/>
  <c r="AI58" i="34"/>
  <c r="BA54" i="34"/>
  <c r="AH41" i="34"/>
  <c r="AW40" i="34"/>
  <c r="AP11" i="34"/>
  <c r="S88" i="34"/>
  <c r="BC49" i="34"/>
  <c r="AF66" i="34"/>
  <c r="N13" i="34"/>
  <c r="AX17" i="34"/>
  <c r="R56" i="34"/>
  <c r="AN45" i="34"/>
  <c r="F16" i="34"/>
  <c r="AO53" i="34"/>
  <c r="AC73" i="34"/>
  <c r="AV80" i="34"/>
  <c r="AI81" i="34"/>
  <c r="Y28" i="34"/>
  <c r="AP32" i="34"/>
  <c r="AQ53" i="34"/>
  <c r="AN64" i="34"/>
  <c r="U100" i="34"/>
  <c r="N64" i="34"/>
  <c r="AJ76" i="34"/>
  <c r="AN93" i="34"/>
  <c r="M41" i="34"/>
  <c r="AV17" i="34"/>
  <c r="AW35" i="34"/>
  <c r="AP16" i="34"/>
  <c r="AI49" i="34"/>
  <c r="U87" i="34"/>
  <c r="Q67" i="34"/>
  <c r="AW37" i="34"/>
  <c r="AO67" i="34"/>
  <c r="AZ15" i="34"/>
  <c r="AV19" i="34"/>
  <c r="Z50" i="34"/>
  <c r="AR30" i="34"/>
  <c r="AE41" i="34"/>
  <c r="V105" i="34"/>
  <c r="AD92" i="34"/>
  <c r="BC34" i="34"/>
  <c r="AD78" i="34"/>
  <c r="J20" i="34"/>
  <c r="AT49" i="34"/>
  <c r="L38" i="34"/>
  <c r="AL85" i="34"/>
  <c r="AP48" i="34"/>
  <c r="AU64" i="34"/>
  <c r="AV12" i="34"/>
  <c r="BD34" i="34"/>
  <c r="AH26" i="34"/>
  <c r="H50" i="34"/>
  <c r="R69" i="34"/>
  <c r="AQ29" i="34"/>
  <c r="AI45" i="34"/>
  <c r="AF101" i="34"/>
  <c r="K106" i="34"/>
  <c r="AH100" i="34"/>
  <c r="AB75" i="34"/>
  <c r="AD58" i="34"/>
  <c r="AU88" i="34"/>
  <c r="AG72" i="34"/>
  <c r="AG26" i="34"/>
  <c r="BD86" i="34"/>
  <c r="AJ47" i="34"/>
  <c r="M92" i="34"/>
  <c r="AH102" i="34"/>
  <c r="Z59" i="34"/>
  <c r="AA17" i="34"/>
  <c r="AW65" i="34"/>
  <c r="AY101" i="34"/>
  <c r="AQ107" i="34"/>
  <c r="AP69" i="34"/>
  <c r="U53" i="34"/>
  <c r="AI51" i="34"/>
  <c r="AC88" i="34"/>
  <c r="AS63" i="34"/>
  <c r="AC29" i="34"/>
  <c r="AR21" i="34"/>
  <c r="AF13" i="34"/>
  <c r="AH95" i="34"/>
  <c r="U91" i="34"/>
  <c r="Z84" i="34"/>
  <c r="P99" i="34"/>
  <c r="AE23" i="34"/>
  <c r="L86" i="34"/>
  <c r="BB49" i="34"/>
  <c r="BA45" i="34"/>
  <c r="AB60" i="34"/>
  <c r="AS41" i="34"/>
  <c r="S70" i="34"/>
  <c r="AP41" i="34"/>
  <c r="F41" i="34"/>
  <c r="AI82" i="34"/>
  <c r="AX55" i="34"/>
  <c r="AH51" i="34"/>
  <c r="AU92" i="34"/>
  <c r="AQ92" i="34"/>
  <c r="Q25" i="34"/>
  <c r="F87" i="34"/>
  <c r="AB85" i="34"/>
  <c r="BC20" i="34"/>
  <c r="AB77" i="34"/>
  <c r="AO94" i="34"/>
  <c r="E89" i="34"/>
  <c r="J11" i="34"/>
  <c r="J54" i="34"/>
  <c r="AN109" i="34"/>
  <c r="N70" i="34"/>
  <c r="F56" i="34"/>
  <c r="AL83" i="34"/>
  <c r="AR60" i="34"/>
  <c r="U51" i="34"/>
  <c r="AV95" i="34"/>
  <c r="Y49" i="34"/>
  <c r="AJ26" i="34"/>
  <c r="AP72" i="34"/>
  <c r="AR11" i="34"/>
  <c r="AN32" i="34"/>
  <c r="AE97" i="34"/>
  <c r="Q106" i="34"/>
  <c r="Z65" i="34"/>
  <c r="BC93" i="34"/>
  <c r="Y33" i="34"/>
  <c r="AJ60" i="34"/>
  <c r="BD49" i="34"/>
  <c r="AH22" i="34"/>
  <c r="W38" i="34"/>
  <c r="M44" i="34"/>
  <c r="BD82" i="34"/>
  <c r="AF15" i="34"/>
  <c r="AO89" i="34"/>
  <c r="Q33" i="34"/>
  <c r="AF89" i="34"/>
  <c r="L80" i="34"/>
  <c r="AV22" i="34"/>
  <c r="AT41" i="34"/>
  <c r="AT61" i="34"/>
  <c r="N100" i="34"/>
  <c r="AT97" i="34"/>
  <c r="AQ44" i="34"/>
  <c r="X77" i="34"/>
  <c r="AI23" i="34"/>
  <c r="AP12" i="34"/>
  <c r="T33" i="34"/>
  <c r="Z49" i="34"/>
  <c r="E13" i="34"/>
  <c r="BA18" i="34"/>
  <c r="Z36" i="34"/>
  <c r="AY97" i="34"/>
  <c r="AC12" i="34"/>
  <c r="R94" i="34"/>
  <c r="AI37" i="34"/>
  <c r="AK21" i="34"/>
  <c r="O37" i="34"/>
  <c r="M37" i="34"/>
  <c r="AF100" i="34"/>
  <c r="AI30" i="34"/>
  <c r="Z100" i="34"/>
  <c r="AW84" i="34"/>
  <c r="E56" i="34"/>
  <c r="BA66" i="34"/>
  <c r="BD73" i="34"/>
  <c r="AU91" i="34"/>
  <c r="AB18" i="34"/>
  <c r="AZ37" i="34"/>
  <c r="AG85" i="34"/>
  <c r="AT104" i="34"/>
  <c r="Y64" i="34"/>
  <c r="AR80" i="34"/>
  <c r="AO105" i="34"/>
  <c r="W60" i="34"/>
  <c r="AS40" i="34"/>
  <c r="BB54" i="34"/>
  <c r="AB22" i="34"/>
  <c r="AF47" i="34"/>
  <c r="AT60" i="34"/>
  <c r="AL49" i="34"/>
  <c r="AV78" i="34"/>
  <c r="BA89" i="34"/>
  <c r="K41" i="34"/>
  <c r="AS65" i="34"/>
  <c r="P59" i="34"/>
  <c r="AB38" i="34"/>
  <c r="E65" i="34"/>
  <c r="AM85" i="34"/>
  <c r="AU74" i="34"/>
  <c r="X101" i="34"/>
  <c r="AI21" i="34"/>
  <c r="BB47" i="34"/>
  <c r="V28" i="34"/>
  <c r="AI88" i="34"/>
  <c r="AL107" i="34"/>
  <c r="H97" i="34"/>
  <c r="E75" i="34"/>
  <c r="G52" i="34"/>
  <c r="I73" i="34"/>
  <c r="AQ62" i="34"/>
  <c r="BC73" i="34"/>
  <c r="BC83" i="34"/>
  <c r="BC94" i="34"/>
  <c r="L17" i="34"/>
  <c r="AM16" i="34"/>
  <c r="AF23" i="34"/>
  <c r="AI32" i="34"/>
  <c r="AC50" i="34"/>
  <c r="AG86" i="34"/>
  <c r="AD91" i="34"/>
  <c r="AU24" i="34"/>
  <c r="Y100" i="34"/>
  <c r="T80" i="34"/>
  <c r="AZ83" i="34"/>
  <c r="AI19" i="34"/>
  <c r="AZ48" i="34"/>
  <c r="Y37" i="34"/>
  <c r="F30" i="34"/>
  <c r="AY48" i="34"/>
  <c r="AS81" i="34"/>
  <c r="BC48" i="34"/>
  <c r="BD101" i="34"/>
  <c r="R26" i="34"/>
  <c r="AP54" i="34"/>
  <c r="AF33" i="34"/>
  <c r="Y46" i="34"/>
  <c r="AT66" i="34"/>
  <c r="AH57" i="34"/>
  <c r="K22" i="34"/>
  <c r="M12" i="34"/>
  <c r="M63" i="34"/>
  <c r="AV85" i="34"/>
  <c r="V22" i="34"/>
  <c r="AY54" i="34"/>
  <c r="AY45" i="34"/>
  <c r="AK53" i="34"/>
  <c r="BD80" i="34"/>
  <c r="W84" i="34"/>
  <c r="AP100" i="34"/>
  <c r="Y73" i="34"/>
  <c r="H30" i="34"/>
  <c r="AA90" i="34"/>
  <c r="Q18" i="34"/>
  <c r="G49" i="34"/>
  <c r="AE59" i="34"/>
  <c r="J40" i="34"/>
  <c r="G12" i="34"/>
  <c r="Y66" i="34"/>
  <c r="I20" i="34"/>
  <c r="AN52" i="34"/>
  <c r="AL77" i="34"/>
  <c r="AN37" i="34"/>
  <c r="AW29" i="34"/>
  <c r="P60" i="34"/>
  <c r="AE33" i="34"/>
  <c r="E51" i="34"/>
  <c r="BC15" i="34"/>
  <c r="X57" i="34"/>
  <c r="AR50" i="34"/>
  <c r="M43" i="34"/>
  <c r="AC91" i="34"/>
  <c r="BB74" i="34"/>
  <c r="U77" i="34"/>
  <c r="S27" i="34"/>
  <c r="AD11" i="34"/>
  <c r="V56" i="34"/>
  <c r="AO57" i="34"/>
  <c r="I99" i="34"/>
  <c r="AR12" i="34"/>
  <c r="AJ77" i="34"/>
  <c r="V101" i="34"/>
  <c r="X78" i="34"/>
  <c r="AF34" i="34"/>
  <c r="AC59" i="34"/>
  <c r="H62" i="34"/>
  <c r="T88" i="34"/>
  <c r="V29" i="34"/>
  <c r="AR17" i="34"/>
  <c r="AZ13" i="34"/>
  <c r="G30" i="34"/>
  <c r="AO62" i="34"/>
  <c r="AD22" i="34"/>
  <c r="Z102" i="34"/>
  <c r="F52" i="34"/>
  <c r="AG82" i="34"/>
  <c r="E94" i="34"/>
  <c r="V17" i="34"/>
  <c r="AN27" i="34"/>
  <c r="AI61" i="34"/>
  <c r="AO74" i="34"/>
  <c r="AT27" i="34"/>
  <c r="AG32" i="34"/>
  <c r="AK43" i="34"/>
  <c r="AW102" i="34"/>
  <c r="AN80" i="34"/>
  <c r="W78" i="34"/>
  <c r="I65" i="34"/>
  <c r="AI50" i="34"/>
  <c r="BC76" i="34"/>
  <c r="AB56" i="34"/>
  <c r="L69" i="34"/>
  <c r="AN76" i="34"/>
  <c r="AM47" i="34"/>
  <c r="N78" i="34"/>
  <c r="H95" i="34"/>
  <c r="AM40" i="34"/>
  <c r="M87" i="34"/>
  <c r="AZ86" i="34"/>
  <c r="AR106" i="34"/>
  <c r="AT33" i="34"/>
  <c r="AP83" i="34"/>
  <c r="M30" i="34"/>
  <c r="AS69" i="34"/>
  <c r="AI27" i="34"/>
  <c r="AQ72" i="34"/>
  <c r="K38" i="34"/>
  <c r="O51" i="34"/>
  <c r="AF45" i="34"/>
  <c r="X27" i="34"/>
  <c r="AO102" i="34"/>
  <c r="R74" i="34"/>
  <c r="Y102" i="34"/>
  <c r="O63" i="34"/>
  <c r="I90" i="34"/>
  <c r="T97" i="34"/>
  <c r="S55" i="34"/>
  <c r="J59" i="34"/>
  <c r="V83" i="34"/>
  <c r="AS89" i="34"/>
  <c r="P13" i="34"/>
  <c r="AN57" i="34"/>
  <c r="AG69" i="34"/>
  <c r="AW87" i="34"/>
  <c r="BC66" i="34"/>
  <c r="AS11" i="34"/>
  <c r="U61" i="34"/>
  <c r="Q89" i="34"/>
  <c r="AU41" i="34"/>
  <c r="BC44" i="34"/>
  <c r="AY107" i="34"/>
  <c r="M31" i="34"/>
  <c r="N75" i="34"/>
  <c r="AR69" i="34"/>
  <c r="AK23" i="34"/>
  <c r="AH40" i="34"/>
  <c r="K11" i="34"/>
  <c r="Z40" i="34"/>
  <c r="W88" i="34"/>
  <c r="Y24" i="34"/>
  <c r="X94" i="34"/>
  <c r="I95" i="34"/>
  <c r="AI73" i="34"/>
  <c r="I15" i="34"/>
  <c r="BA43" i="34"/>
  <c r="AL27" i="34"/>
  <c r="AT20" i="34"/>
  <c r="BD89" i="34"/>
  <c r="AK62" i="34"/>
  <c r="O34" i="34"/>
  <c r="AQ58" i="34"/>
  <c r="O89" i="34"/>
  <c r="AA49" i="34"/>
  <c r="E46" i="34"/>
  <c r="T55" i="34"/>
  <c r="K87" i="34"/>
  <c r="AC75" i="34"/>
  <c r="R97" i="34"/>
  <c r="M104" i="34"/>
  <c r="AY12" i="34"/>
  <c r="T59" i="34"/>
  <c r="AX41" i="34"/>
  <c r="Y61" i="34"/>
  <c r="AF86" i="34"/>
  <c r="AV106" i="34"/>
  <c r="M52" i="34"/>
  <c r="AB106" i="34"/>
  <c r="P11" i="34"/>
  <c r="AW63" i="34"/>
  <c r="AL101" i="34"/>
  <c r="AS86" i="34"/>
  <c r="Z54" i="34"/>
  <c r="T20" i="34"/>
  <c r="AH55" i="34"/>
  <c r="AH85" i="34"/>
  <c r="AO59" i="34"/>
  <c r="AI54" i="34"/>
  <c r="G26" i="34"/>
  <c r="AS27" i="34"/>
  <c r="M49" i="34"/>
  <c r="BA15" i="34"/>
  <c r="AL34" i="34"/>
  <c r="AM34" i="34"/>
  <c r="AX97" i="34"/>
  <c r="AU49" i="34"/>
  <c r="L92" i="34"/>
  <c r="T67" i="34"/>
  <c r="AC54" i="34"/>
  <c r="AG55" i="34"/>
  <c r="BB84" i="34"/>
  <c r="BA61" i="34"/>
  <c r="K58" i="34"/>
  <c r="L104" i="34"/>
  <c r="Y55" i="34"/>
  <c r="W89" i="34"/>
  <c r="AR53" i="34"/>
  <c r="BB107" i="34"/>
  <c r="N49" i="34"/>
  <c r="L109" i="34"/>
  <c r="Y101" i="34"/>
  <c r="V62" i="34"/>
  <c r="AR16" i="34"/>
  <c r="O21" i="34"/>
  <c r="AV75" i="34"/>
  <c r="U80" i="34"/>
  <c r="S41" i="34"/>
  <c r="AV32" i="34"/>
  <c r="I109" i="34"/>
  <c r="H69" i="34"/>
  <c r="BD30" i="34"/>
  <c r="R101" i="34"/>
  <c r="K83" i="34"/>
  <c r="AE101" i="34"/>
  <c r="BD79" i="34"/>
  <c r="AG17" i="34"/>
  <c r="P90" i="34"/>
  <c r="AS97" i="34"/>
  <c r="Z66" i="34"/>
  <c r="K53" i="34"/>
  <c r="AE55" i="34"/>
  <c r="X69" i="34"/>
  <c r="W49" i="34"/>
  <c r="AU85" i="34"/>
  <c r="AM33" i="34"/>
  <c r="U64" i="34"/>
  <c r="AO93" i="34"/>
  <c r="P88" i="34"/>
  <c r="K79" i="34"/>
  <c r="AV84" i="34"/>
  <c r="BB27" i="34"/>
  <c r="AD60" i="34"/>
  <c r="R73" i="34"/>
  <c r="AD64" i="34"/>
  <c r="AP80" i="34"/>
  <c r="BB12" i="34"/>
  <c r="AK45" i="34"/>
  <c r="K70" i="34"/>
  <c r="AQ41" i="34"/>
  <c r="AZ62" i="34"/>
  <c r="AM57" i="34"/>
  <c r="BC25" i="34"/>
  <c r="X24" i="34"/>
  <c r="AQ91" i="34"/>
  <c r="S29" i="34"/>
  <c r="L74" i="34"/>
  <c r="AZ20" i="34"/>
  <c r="AL38" i="34"/>
  <c r="Q15" i="34"/>
  <c r="AU48" i="34"/>
  <c r="AY64" i="34"/>
  <c r="E61" i="34"/>
  <c r="V20" i="34"/>
  <c r="N45" i="34"/>
  <c r="AH67" i="34"/>
  <c r="AI76" i="34"/>
  <c r="R19" i="34"/>
  <c r="J83" i="34"/>
  <c r="T58" i="34"/>
  <c r="AA25" i="34"/>
  <c r="AA77" i="34"/>
  <c r="AA109" i="34"/>
  <c r="J81" i="34"/>
  <c r="AR101" i="34"/>
  <c r="AH91" i="34"/>
  <c r="F101" i="34"/>
  <c r="AW11" i="34"/>
  <c r="W62" i="34"/>
  <c r="AO40" i="34"/>
  <c r="AG76" i="34"/>
  <c r="AJ86" i="34"/>
  <c r="AK60" i="34"/>
  <c r="AY55" i="34"/>
  <c r="W27" i="34"/>
  <c r="AO30" i="34"/>
  <c r="U17" i="34"/>
  <c r="AL16" i="34"/>
  <c r="AM64" i="34"/>
  <c r="F43" i="34"/>
  <c r="BB89" i="34"/>
  <c r="AS75" i="34"/>
  <c r="V23" i="34"/>
  <c r="R29" i="34"/>
  <c r="AW28" i="34"/>
  <c r="AT58" i="34"/>
  <c r="AZ54" i="34"/>
  <c r="AC51" i="34"/>
  <c r="AC64" i="34"/>
  <c r="AI29" i="34"/>
  <c r="Y77" i="34"/>
  <c r="AT23" i="34"/>
  <c r="Q109" i="34"/>
  <c r="AN58" i="34"/>
  <c r="AV58" i="34"/>
  <c r="AF83" i="34"/>
  <c r="L72" i="34"/>
  <c r="L51" i="34"/>
  <c r="U104" i="34"/>
  <c r="AN11" i="34"/>
  <c r="H19" i="34"/>
  <c r="BD23" i="34"/>
  <c r="AG105" i="34"/>
  <c r="AK66" i="34"/>
  <c r="AJ64" i="34"/>
  <c r="AQ80" i="34"/>
  <c r="BB11" i="34"/>
  <c r="L46" i="34"/>
  <c r="X29" i="34"/>
  <c r="AE65" i="34"/>
  <c r="J89" i="34"/>
  <c r="E29" i="34"/>
  <c r="Y56" i="34"/>
  <c r="M100" i="34"/>
  <c r="AE77" i="34"/>
  <c r="AG11" i="34"/>
  <c r="AT90" i="34"/>
  <c r="AJ50" i="34"/>
  <c r="AD52" i="34"/>
  <c r="AZ107" i="34"/>
  <c r="AL20" i="34"/>
  <c r="AL31" i="34"/>
  <c r="AQ57" i="34"/>
  <c r="AM49" i="34"/>
  <c r="L40" i="34"/>
  <c r="R55" i="34"/>
  <c r="AG87" i="34"/>
  <c r="T94" i="34"/>
  <c r="V73" i="34"/>
  <c r="T22" i="34"/>
  <c r="Q91" i="34"/>
  <c r="N24" i="34"/>
  <c r="AI101" i="34"/>
  <c r="U74" i="34"/>
  <c r="G89" i="34"/>
  <c r="M50" i="34"/>
  <c r="AI84" i="34"/>
  <c r="E11" i="34"/>
  <c r="T19" i="34"/>
  <c r="AG109" i="34"/>
  <c r="AT82" i="34"/>
  <c r="AC76" i="34"/>
  <c r="U94" i="34"/>
  <c r="I72" i="34"/>
  <c r="AG27" i="34"/>
  <c r="N44" i="34"/>
  <c r="AG80" i="34"/>
  <c r="AS44" i="34"/>
  <c r="Y20" i="34"/>
  <c r="S75" i="34"/>
  <c r="AP105" i="34"/>
  <c r="X61" i="34"/>
  <c r="AF56" i="34"/>
  <c r="AJ27" i="34"/>
  <c r="AF25" i="34"/>
  <c r="L28" i="34"/>
  <c r="J33" i="34"/>
  <c r="O106" i="34"/>
  <c r="AT56" i="34"/>
  <c r="AA84" i="34"/>
  <c r="AD87" i="34"/>
  <c r="AW38" i="34"/>
  <c r="M45" i="34"/>
  <c r="H27" i="34"/>
  <c r="AR59" i="34"/>
  <c r="S52" i="34"/>
  <c r="AT88" i="34"/>
  <c r="BA92" i="34"/>
  <c r="BC36" i="34"/>
  <c r="N17" i="34"/>
  <c r="AT89" i="34"/>
  <c r="AQ49" i="34"/>
  <c r="F82" i="34"/>
  <c r="AE74" i="34"/>
  <c r="AQ94" i="34"/>
  <c r="M74" i="34"/>
  <c r="AV11" i="34"/>
  <c r="I76" i="34"/>
  <c r="AX15" i="34"/>
  <c r="G11" i="34"/>
  <c r="AM12" i="34"/>
  <c r="Z93" i="34"/>
  <c r="F45" i="34"/>
  <c r="Q70" i="34"/>
  <c r="W32" i="34"/>
  <c r="AS79" i="34"/>
  <c r="AC40" i="34"/>
  <c r="AI22" i="34"/>
  <c r="BA105" i="34"/>
  <c r="AY18" i="34"/>
  <c r="AZ106" i="34"/>
  <c r="AW92" i="34"/>
  <c r="AF69" i="34"/>
  <c r="M56" i="34"/>
  <c r="AI92" i="34"/>
  <c r="V91" i="34"/>
  <c r="P16" i="34"/>
  <c r="AV97" i="34"/>
  <c r="AC89" i="34"/>
  <c r="AO104" i="34"/>
  <c r="AC87" i="34"/>
  <c r="AV83" i="34"/>
  <c r="AL97" i="34"/>
  <c r="L79" i="34"/>
  <c r="I11" i="34"/>
  <c r="AU47" i="34"/>
  <c r="AK101" i="34"/>
  <c r="W63" i="34"/>
  <c r="AT47" i="34"/>
  <c r="AP15" i="34"/>
  <c r="AN82" i="34"/>
  <c r="Y45" i="34"/>
  <c r="H32" i="34"/>
  <c r="AW43" i="34"/>
  <c r="AZ45" i="34"/>
  <c r="AE16" i="34"/>
  <c r="AY106" i="34"/>
  <c r="AG51" i="34"/>
  <c r="AX11" i="34"/>
  <c r="G48" i="34"/>
  <c r="AA58" i="34"/>
  <c r="N106" i="34"/>
  <c r="AJ45" i="34"/>
  <c r="AH92" i="34"/>
  <c r="AM91" i="34"/>
  <c r="AW78" i="34"/>
  <c r="AR44" i="34"/>
  <c r="BA58" i="34"/>
  <c r="I83" i="34"/>
  <c r="L73" i="34"/>
  <c r="AB73" i="34"/>
  <c r="AK59" i="34"/>
  <c r="U63" i="34"/>
  <c r="BD107" i="34"/>
  <c r="AP44" i="34"/>
  <c r="Z13" i="34"/>
  <c r="X85" i="34"/>
  <c r="AE11" i="34"/>
  <c r="N101" i="34"/>
  <c r="N57" i="34"/>
  <c r="AD73" i="34"/>
  <c r="AE60" i="34"/>
  <c r="AZ85" i="34"/>
  <c r="H16" i="34"/>
  <c r="AW99" i="34"/>
  <c r="J19" i="34"/>
  <c r="AG28" i="34"/>
  <c r="AS12" i="34"/>
  <c r="BB39" i="34"/>
  <c r="AF73" i="34"/>
  <c r="V49" i="34"/>
  <c r="W36" i="34"/>
  <c r="AH59" i="34"/>
  <c r="G3" i="31"/>
  <c r="AB26" i="31"/>
  <c r="AD26" i="31" s="1"/>
  <c r="AB34" i="31"/>
  <c r="AD34" i="31" s="1"/>
  <c r="AB42" i="31"/>
  <c r="AD42" i="31" s="1"/>
  <c r="AB44" i="31"/>
  <c r="AD44" i="31" s="1"/>
  <c r="Z3" i="31"/>
  <c r="AB3" i="31" s="1"/>
  <c r="AD3" i="31" s="1"/>
  <c r="AH38" i="34"/>
  <c r="AY65" i="34"/>
  <c r="N37" i="34"/>
  <c r="AL88" i="34"/>
  <c r="G45" i="34"/>
  <c r="BB82" i="34"/>
  <c r="AN65" i="34"/>
  <c r="S49" i="34"/>
  <c r="AG41" i="34"/>
  <c r="AE29" i="34"/>
  <c r="W99" i="34"/>
  <c r="AA74" i="34"/>
  <c r="J97" i="34"/>
  <c r="AI99" i="34"/>
  <c r="AU67" i="34"/>
  <c r="BC90" i="34"/>
  <c r="AI25" i="34"/>
  <c r="Y83" i="34"/>
  <c r="AL67" i="34"/>
  <c r="AJ85" i="34"/>
  <c r="AJ48" i="34"/>
  <c r="AW70" i="34"/>
  <c r="AK38" i="34"/>
  <c r="AL60" i="34"/>
  <c r="AD50" i="34"/>
  <c r="AD85" i="34"/>
  <c r="U26" i="34"/>
  <c r="AH19" i="34"/>
  <c r="AZ75" i="34"/>
  <c r="W95" i="34"/>
  <c r="F24" i="34"/>
  <c r="AY66" i="34"/>
  <c r="AV88" i="34"/>
  <c r="W31" i="34"/>
  <c r="AM26" i="34"/>
  <c r="J72" i="34"/>
  <c r="X81" i="34"/>
  <c r="AR48" i="34"/>
  <c r="F34" i="34"/>
  <c r="P25" i="34"/>
  <c r="BB72" i="34"/>
  <c r="M32" i="34"/>
  <c r="AM55" i="34"/>
  <c r="X37" i="34"/>
  <c r="W41" i="34"/>
  <c r="AX101" i="34"/>
  <c r="AN85" i="34"/>
  <c r="AJ11" i="34"/>
  <c r="AX53" i="34"/>
  <c r="AP17" i="34"/>
  <c r="AX21" i="34"/>
  <c r="P47" i="34"/>
  <c r="M82" i="34"/>
  <c r="AU26" i="34"/>
  <c r="AZ91" i="34"/>
  <c r="O90" i="34"/>
  <c r="AY29" i="34"/>
  <c r="V27" i="34"/>
  <c r="Q41" i="34"/>
  <c r="AU70" i="34"/>
  <c r="AK81" i="34"/>
  <c r="X33" i="34"/>
  <c r="AS70" i="34"/>
  <c r="AJ107" i="34"/>
  <c r="BD65" i="34"/>
  <c r="AF54" i="34"/>
  <c r="AB92" i="34"/>
  <c r="AP70" i="34"/>
  <c r="BD47" i="34"/>
  <c r="F60" i="34"/>
  <c r="BA107" i="34"/>
  <c r="R84" i="34"/>
  <c r="AF102" i="34"/>
  <c r="X92" i="34"/>
  <c r="P78" i="34"/>
  <c r="AQ50" i="34"/>
  <c r="AR56" i="34"/>
  <c r="X65" i="34"/>
  <c r="Z53" i="34"/>
  <c r="AB29" i="34"/>
  <c r="BB18" i="34"/>
  <c r="AK70" i="34"/>
  <c r="Y15" i="34"/>
  <c r="G94" i="34"/>
  <c r="Y36" i="34"/>
  <c r="I86" i="34"/>
  <c r="AO12" i="34"/>
  <c r="AA92" i="34"/>
  <c r="K63" i="34"/>
  <c r="AM13" i="34"/>
  <c r="AS29" i="34"/>
  <c r="F15" i="34"/>
  <c r="G58" i="34"/>
  <c r="AN75" i="34"/>
  <c r="AL29" i="34"/>
  <c r="R31" i="34"/>
  <c r="AE13" i="34"/>
  <c r="R12" i="34"/>
  <c r="X59" i="34"/>
  <c r="AB47" i="34"/>
  <c r="AV36" i="34"/>
  <c r="AL86" i="34"/>
  <c r="V40" i="34"/>
  <c r="Q52" i="34"/>
  <c r="BA97" i="34"/>
  <c r="AD82" i="34"/>
  <c r="BD93" i="34"/>
  <c r="K105" i="34"/>
  <c r="Q72" i="34"/>
  <c r="AB83" i="34"/>
  <c r="BB76" i="34"/>
  <c r="AE86" i="34"/>
  <c r="J27" i="34"/>
  <c r="BD17" i="34"/>
  <c r="H56" i="34"/>
  <c r="K15" i="34"/>
  <c r="AL22" i="34"/>
  <c r="AL17" i="34"/>
  <c r="P38" i="34"/>
  <c r="AX13" i="34"/>
  <c r="E105" i="34"/>
  <c r="U89" i="34"/>
  <c r="E25" i="34"/>
  <c r="W69" i="34"/>
  <c r="AA73" i="34"/>
  <c r="G60" i="34"/>
  <c r="AH108" i="34"/>
  <c r="AG102" i="34"/>
  <c r="AQ83" i="34"/>
  <c r="R21" i="34"/>
  <c r="P100" i="34"/>
  <c r="G91" i="34"/>
  <c r="AT62" i="34"/>
  <c r="AU55" i="34"/>
  <c r="G28" i="34"/>
  <c r="BB15" i="34"/>
  <c r="AF90" i="34"/>
  <c r="AU57" i="34"/>
  <c r="M29" i="34"/>
  <c r="Q30" i="34"/>
  <c r="AP13" i="34"/>
  <c r="F21" i="34"/>
  <c r="U48" i="34"/>
  <c r="AP57" i="34"/>
  <c r="K52" i="34"/>
  <c r="AV92" i="34"/>
  <c r="AG73" i="34"/>
  <c r="AX65" i="34"/>
  <c r="AZ99" i="34"/>
  <c r="AL73" i="34"/>
  <c r="H36" i="34"/>
  <c r="AR26" i="34"/>
  <c r="Y30" i="34"/>
  <c r="H85" i="34"/>
  <c r="I29" i="34"/>
  <c r="AA63" i="34"/>
  <c r="AV26" i="34"/>
  <c r="Y57" i="34"/>
  <c r="H21" i="34"/>
  <c r="AY19" i="34"/>
  <c r="V100" i="34"/>
  <c r="AA34" i="34"/>
  <c r="J91" i="34"/>
  <c r="AB67" i="34"/>
  <c r="AG81" i="34"/>
  <c r="S100" i="34"/>
  <c r="N95" i="34"/>
  <c r="AG54" i="34"/>
  <c r="V81" i="34"/>
  <c r="AK65" i="34"/>
  <c r="H58" i="34"/>
  <c r="AN49" i="34"/>
  <c r="BB100" i="34"/>
  <c r="E50" i="34"/>
  <c r="AZ61" i="34"/>
  <c r="AA81" i="34"/>
  <c r="W77" i="34"/>
  <c r="S63" i="34"/>
  <c r="AA22" i="34"/>
  <c r="P12" i="34"/>
  <c r="E74" i="34"/>
  <c r="AZ101" i="34"/>
  <c r="T75" i="34"/>
  <c r="Y29" i="34"/>
  <c r="S40" i="34"/>
  <c r="AO27" i="34"/>
  <c r="X21" i="34"/>
  <c r="AY23" i="34"/>
  <c r="AZ77" i="34"/>
  <c r="AA47" i="34"/>
  <c r="Q94" i="34"/>
  <c r="AY74" i="34"/>
  <c r="AS99" i="34"/>
  <c r="AY89" i="34"/>
  <c r="AU61" i="34"/>
  <c r="AT59" i="34"/>
  <c r="N88" i="34"/>
  <c r="AS78" i="34"/>
  <c r="V60" i="34"/>
  <c r="AY99" i="34"/>
  <c r="R24" i="34"/>
  <c r="AN74" i="34"/>
  <c r="AC45" i="34"/>
  <c r="AS60" i="34"/>
  <c r="F19" i="34"/>
  <c r="T109" i="34"/>
  <c r="BC92" i="34"/>
  <c r="X75" i="34"/>
  <c r="AM19" i="34"/>
  <c r="G37" i="34"/>
  <c r="Q65" i="34"/>
  <c r="I75" i="34"/>
  <c r="AX86" i="34"/>
  <c r="AT65" i="34"/>
  <c r="Q77" i="34"/>
  <c r="AV38" i="34"/>
  <c r="AD53" i="34"/>
  <c r="BB83" i="34"/>
  <c r="N48" i="34"/>
  <c r="J64" i="34"/>
  <c r="BB57" i="34"/>
  <c r="L77" i="34"/>
  <c r="N38" i="34"/>
  <c r="AG65" i="34"/>
  <c r="BB22" i="34"/>
  <c r="BA82" i="34"/>
  <c r="AO99" i="34"/>
  <c r="AD36" i="34"/>
  <c r="AN30" i="34"/>
  <c r="AE54" i="34"/>
  <c r="AA12" i="34"/>
  <c r="K69" i="34"/>
  <c r="O84" i="34"/>
  <c r="L44" i="34"/>
  <c r="AF75" i="34"/>
  <c r="AX74" i="34"/>
  <c r="AE17" i="34"/>
  <c r="AN100" i="34"/>
  <c r="AX26" i="34"/>
  <c r="Z48" i="34"/>
  <c r="AH70" i="34"/>
  <c r="T68" i="34"/>
  <c r="I40" i="34"/>
  <c r="AC79" i="34"/>
  <c r="X56" i="34"/>
  <c r="V34" i="34"/>
  <c r="K78" i="34"/>
  <c r="M90" i="34"/>
  <c r="AG47" i="34"/>
  <c r="AQ93" i="34"/>
  <c r="J73" i="34"/>
  <c r="AX48" i="34"/>
  <c r="J12" i="34"/>
  <c r="V104" i="34"/>
  <c r="O40" i="34"/>
  <c r="AD39" i="34"/>
  <c r="AQ86" i="34"/>
  <c r="AM53" i="34"/>
  <c r="AB17" i="34"/>
  <c r="AL78" i="34"/>
  <c r="W34" i="34"/>
  <c r="AU65" i="34"/>
  <c r="AY75" i="34"/>
  <c r="AH33" i="34"/>
  <c r="BA52" i="34"/>
  <c r="AN29" i="34"/>
  <c r="P75" i="34"/>
  <c r="E76" i="34"/>
  <c r="W51" i="34"/>
  <c r="AR79" i="34"/>
  <c r="Z60" i="34"/>
  <c r="Q53" i="34"/>
  <c r="I69" i="34"/>
  <c r="R66" i="34"/>
  <c r="Q78" i="34"/>
  <c r="X93" i="34"/>
  <c r="AB27" i="34"/>
  <c r="R59" i="34"/>
  <c r="AF91" i="34"/>
  <c r="AZ76" i="34"/>
  <c r="AZ63" i="34"/>
  <c r="AQ95" i="34"/>
  <c r="AB70" i="34"/>
  <c r="AI31" i="34"/>
  <c r="AK102" i="34"/>
  <c r="M93" i="34"/>
  <c r="W80" i="34"/>
  <c r="Q97" i="34"/>
  <c r="N26" i="34"/>
  <c r="AZ56" i="34"/>
  <c r="Q45" i="34"/>
  <c r="AP85" i="34"/>
  <c r="J41" i="34"/>
  <c r="Z34" i="34"/>
  <c r="AM105" i="34"/>
  <c r="AB59" i="34"/>
  <c r="S91" i="34"/>
  <c r="AB53" i="34"/>
  <c r="AQ36" i="34"/>
  <c r="E77" i="34"/>
  <c r="AT50" i="34"/>
  <c r="AH89" i="34"/>
  <c r="AS50" i="34"/>
  <c r="AM107" i="34"/>
  <c r="AW67" i="34"/>
  <c r="AQ37" i="34"/>
  <c r="U29" i="34"/>
  <c r="X76" i="34"/>
  <c r="E67" i="34"/>
  <c r="AH73" i="34"/>
  <c r="P82" i="34"/>
  <c r="N21" i="34"/>
  <c r="W82" i="34"/>
  <c r="AT73" i="34"/>
  <c r="R82" i="34"/>
  <c r="AB25" i="34"/>
  <c r="BD56" i="34"/>
  <c r="I67" i="34"/>
  <c r="AM81" i="34"/>
  <c r="V85" i="34"/>
  <c r="AG66" i="34"/>
  <c r="N15" i="34"/>
  <c r="AO60" i="34"/>
  <c r="AI102" i="34"/>
  <c r="AA21" i="34"/>
  <c r="AT77" i="34"/>
  <c r="P35" i="34"/>
  <c r="AD84" i="34"/>
  <c r="H23" i="34"/>
  <c r="I23" i="34"/>
  <c r="AW45" i="34"/>
  <c r="R81" i="34"/>
  <c r="AV89" i="34"/>
  <c r="T84" i="34"/>
  <c r="AG78" i="34"/>
  <c r="AM37" i="34"/>
  <c r="R60" i="34"/>
  <c r="AB26" i="34"/>
  <c r="O48" i="34"/>
  <c r="R106" i="34"/>
  <c r="AH25" i="34"/>
  <c r="AS94" i="34"/>
  <c r="N97" i="34"/>
  <c r="AI69" i="34"/>
  <c r="F91" i="34"/>
  <c r="AN83" i="34"/>
  <c r="X35" i="34"/>
  <c r="J32" i="34"/>
  <c r="Z55" i="34"/>
  <c r="BA81" i="34"/>
  <c r="L83" i="34"/>
  <c r="Q39" i="34"/>
  <c r="AX44" i="34"/>
  <c r="Z87" i="34"/>
  <c r="F37" i="34"/>
  <c r="BC26" i="34"/>
  <c r="N25" i="34"/>
  <c r="T50" i="34"/>
  <c r="V70" i="34"/>
  <c r="AN54" i="34"/>
  <c r="AX64" i="34"/>
  <c r="BC58" i="34"/>
  <c r="AN20" i="34"/>
  <c r="V95" i="34"/>
  <c r="O57" i="34"/>
  <c r="Y23" i="34"/>
  <c r="AK83" i="34"/>
  <c r="AF78" i="34"/>
  <c r="AD45" i="34"/>
  <c r="N28" i="34"/>
  <c r="AB80" i="34"/>
  <c r="AP86" i="34"/>
  <c r="AU87" i="34"/>
  <c r="S77" i="34"/>
  <c r="AM59" i="34"/>
  <c r="AN105" i="34"/>
  <c r="X102" i="34"/>
  <c r="K89" i="34"/>
  <c r="AY62" i="34"/>
  <c r="AB13" i="34"/>
  <c r="AZ87" i="34"/>
  <c r="AA18" i="34"/>
  <c r="AU84" i="34"/>
  <c r="N105" i="34"/>
  <c r="AY57" i="34"/>
  <c r="BA102" i="34"/>
  <c r="BD29" i="34"/>
  <c r="N54" i="34"/>
  <c r="AW33" i="34"/>
  <c r="AV105" i="34"/>
  <c r="AE53" i="34"/>
  <c r="AE99" i="34"/>
  <c r="F58" i="34"/>
  <c r="J66" i="34"/>
  <c r="AP52" i="34"/>
  <c r="AC56" i="34"/>
  <c r="J21" i="34"/>
  <c r="AD37" i="34"/>
  <c r="AR89" i="34"/>
  <c r="AU22" i="34"/>
  <c r="P1717" i="10"/>
  <c r="Z13" i="31"/>
  <c r="AB38" i="31"/>
  <c r="AD38" i="31" s="1"/>
  <c r="Z7" i="31"/>
  <c r="AB7" i="31" s="1"/>
  <c r="AD7" i="31" s="1"/>
  <c r="Z12" i="31"/>
  <c r="Z8" i="31"/>
  <c r="AB8" i="31" s="1"/>
  <c r="AD8" i="31" s="1"/>
  <c r="AB4" i="31"/>
  <c r="AD4" i="31" s="1"/>
  <c r="AB43" i="31"/>
  <c r="AD43" i="31" s="1"/>
  <c r="Z16" i="31"/>
  <c r="AB16" i="31" s="1"/>
  <c r="AD16" i="31" s="1"/>
  <c r="AB27" i="31"/>
  <c r="AD27" i="31" s="1"/>
  <c r="AB35" i="31"/>
  <c r="AD35" i="31" s="1"/>
  <c r="AB37" i="31"/>
  <c r="AD37" i="31" s="1"/>
  <c r="Z15" i="31"/>
  <c r="AB15" i="31" s="1"/>
  <c r="AD15" i="31" s="1"/>
  <c r="AB31" i="31"/>
  <c r="AD31" i="31" s="1"/>
  <c r="AD79" i="34"/>
  <c r="AI105" i="34"/>
  <c r="Z83" i="34"/>
  <c r="X11" i="34"/>
  <c r="AK69" i="34"/>
  <c r="T105" i="34"/>
  <c r="BA17" i="34"/>
  <c r="AN25" i="34"/>
  <c r="F25" i="34"/>
  <c r="F67" i="34"/>
  <c r="AU81" i="34"/>
  <c r="AI80" i="34"/>
  <c r="AC13" i="34"/>
  <c r="AI68" i="34"/>
  <c r="AB44" i="34"/>
  <c r="U18" i="34"/>
  <c r="I21" i="34"/>
  <c r="H94" i="34"/>
  <c r="AU44" i="34"/>
  <c r="AG13" i="34"/>
  <c r="Q58" i="34"/>
  <c r="AD83" i="34"/>
  <c r="W102" i="34"/>
  <c r="U44" i="34"/>
  <c r="V36" i="34"/>
  <c r="O73" i="34"/>
  <c r="AW100" i="34"/>
  <c r="L66" i="34"/>
  <c r="S85" i="34"/>
  <c r="AX104" i="34"/>
  <c r="AO65" i="34"/>
  <c r="AO78" i="34"/>
  <c r="S105" i="34"/>
  <c r="Y41" i="34"/>
  <c r="AO37" i="34"/>
  <c r="BD33" i="34"/>
  <c r="AN22" i="34"/>
  <c r="AE36" i="34"/>
  <c r="L18" i="34"/>
  <c r="J67" i="34"/>
  <c r="AK57" i="34"/>
  <c r="AG100" i="34"/>
  <c r="AD26" i="34"/>
  <c r="J38" i="34"/>
  <c r="K90" i="34"/>
  <c r="P74" i="34"/>
  <c r="AO97" i="34"/>
  <c r="AA13" i="34"/>
  <c r="AX105" i="34"/>
  <c r="AT12" i="34"/>
  <c r="BB48" i="34"/>
  <c r="AQ59" i="34"/>
  <c r="BB13" i="34"/>
  <c r="AR47" i="34"/>
  <c r="AE56" i="34"/>
  <c r="AY105" i="34"/>
  <c r="R41" i="34"/>
  <c r="AO81" i="34"/>
  <c r="AG36" i="34"/>
  <c r="AW19" i="34"/>
  <c r="AC82" i="34"/>
  <c r="AL32" i="34"/>
  <c r="F29" i="34"/>
  <c r="AP50" i="34"/>
  <c r="Z69" i="34"/>
  <c r="BC74" i="34"/>
  <c r="BB65" i="34"/>
  <c r="F40" i="34"/>
  <c r="AV90" i="34"/>
  <c r="AC21" i="34"/>
  <c r="AH45" i="34"/>
  <c r="U38" i="34"/>
  <c r="F109" i="34"/>
  <c r="BA40" i="34"/>
  <c r="AF41" i="34"/>
  <c r="AH97" i="34"/>
  <c r="AB58" i="34"/>
  <c r="AL57" i="34"/>
  <c r="T77" i="34"/>
  <c r="AJ56" i="34"/>
  <c r="AJ67" i="34"/>
  <c r="P48" i="34"/>
  <c r="AJ32" i="34"/>
  <c r="M18" i="34"/>
  <c r="AE105" i="34"/>
  <c r="U69" i="34"/>
  <c r="E107" i="34"/>
  <c r="K76" i="34"/>
  <c r="S19" i="34"/>
  <c r="G41" i="34"/>
  <c r="AM11" i="34"/>
  <c r="AX33" i="34"/>
  <c r="J34" i="34"/>
  <c r="I70" i="34"/>
  <c r="L76" i="34"/>
  <c r="Z25" i="34"/>
  <c r="X15" i="34"/>
  <c r="AY52" i="34"/>
  <c r="AN21" i="34"/>
  <c r="U79" i="34"/>
  <c r="AC44" i="34"/>
  <c r="U82" i="34"/>
  <c r="J31" i="34"/>
  <c r="I22" i="34"/>
  <c r="Y40" i="34"/>
  <c r="W13" i="34"/>
  <c r="AZ22" i="34"/>
  <c r="AL82" i="34"/>
  <c r="M70" i="34"/>
  <c r="AN56" i="34"/>
  <c r="AP89" i="34"/>
  <c r="BB91" i="34"/>
  <c r="T17" i="34"/>
  <c r="P89" i="34"/>
  <c r="O38" i="34"/>
  <c r="BB53" i="34"/>
  <c r="AP65" i="34"/>
  <c r="V66" i="34"/>
  <c r="AF74" i="34"/>
  <c r="M22" i="34"/>
  <c r="AU33" i="34"/>
  <c r="N34" i="34"/>
  <c r="BA90" i="34"/>
  <c r="J100" i="34"/>
  <c r="W76" i="34"/>
  <c r="BD11" i="34"/>
  <c r="BC77" i="34"/>
  <c r="AH60" i="34"/>
  <c r="AK30" i="34"/>
  <c r="AC36" i="34"/>
  <c r="AV102" i="34"/>
  <c r="O41" i="34"/>
  <c r="Q36" i="34"/>
  <c r="V33" i="34"/>
  <c r="AL33" i="34"/>
  <c r="BD91" i="34"/>
  <c r="S21" i="34"/>
  <c r="X36" i="34"/>
  <c r="N66" i="34"/>
  <c r="K26" i="34"/>
  <c r="AE81" i="34"/>
  <c r="AX56" i="34"/>
  <c r="AG45" i="34"/>
  <c r="AJ23" i="34"/>
  <c r="Y69" i="34"/>
  <c r="AT45" i="34"/>
  <c r="E15" i="34"/>
  <c r="H17" i="34"/>
  <c r="AK27" i="34"/>
  <c r="AD75" i="34"/>
  <c r="I77" i="34"/>
  <c r="Q75" i="34"/>
  <c r="AO72" i="34"/>
  <c r="AW22" i="34"/>
  <c r="AA48" i="34"/>
  <c r="BA73" i="34"/>
  <c r="X90" i="34"/>
  <c r="AU17" i="34"/>
  <c r="AF36" i="34"/>
  <c r="AG40" i="34"/>
  <c r="H100" i="34"/>
  <c r="AR99" i="34"/>
  <c r="F11" i="34"/>
  <c r="S32" i="34"/>
  <c r="AA30" i="34"/>
  <c r="BB102" i="34"/>
  <c r="BC102" i="34"/>
  <c r="AC77" i="34"/>
  <c r="AI15" i="34"/>
  <c r="N32" i="34"/>
  <c r="AE83" i="34"/>
  <c r="AR70" i="34"/>
  <c r="BB45" i="34"/>
  <c r="AH78" i="34"/>
  <c r="AY56" i="34"/>
  <c r="N22" i="34"/>
  <c r="AB107" i="34"/>
  <c r="AH86" i="34"/>
  <c r="Y52" i="34"/>
  <c r="F57" i="34"/>
  <c r="AE70" i="34"/>
  <c r="AB66" i="34"/>
  <c r="E72" i="34"/>
  <c r="AQ76" i="34"/>
  <c r="AT85" i="34"/>
  <c r="E102" i="34"/>
  <c r="AA37" i="34"/>
  <c r="P70" i="34"/>
  <c r="H44" i="34"/>
  <c r="X70" i="34"/>
  <c r="W11" i="34"/>
  <c r="AQ52" i="34"/>
  <c r="V92" i="34"/>
  <c r="U47" i="34"/>
  <c r="M60" i="34"/>
  <c r="N77" i="34"/>
  <c r="AK74" i="34"/>
  <c r="AN67" i="34"/>
  <c r="P102" i="34"/>
  <c r="AY63" i="34"/>
  <c r="AX99" i="34"/>
  <c r="G40" i="34"/>
  <c r="V19" i="34"/>
  <c r="AM22" i="34"/>
  <c r="L12" i="34"/>
  <c r="AA50" i="34"/>
  <c r="U37" i="34"/>
  <c r="O81" i="34"/>
  <c r="F32" i="34"/>
  <c r="F49" i="34"/>
  <c r="AX85" i="34"/>
  <c r="L105" i="34"/>
  <c r="AC58" i="34"/>
  <c r="N29" i="34"/>
  <c r="AG30" i="34"/>
  <c r="M88" i="34"/>
  <c r="I63" i="34"/>
  <c r="AN23" i="34"/>
  <c r="P39" i="34"/>
  <c r="AH54" i="34"/>
  <c r="Y34" i="34"/>
  <c r="M84" i="34"/>
  <c r="Q92" i="34"/>
  <c r="AG19" i="34"/>
  <c r="V82" i="34"/>
  <c r="T48" i="34"/>
  <c r="H60" i="34"/>
  <c r="AN19" i="34"/>
  <c r="P50" i="34"/>
  <c r="AP102" i="34"/>
  <c r="H13" i="34"/>
  <c r="Y82" i="34"/>
  <c r="AJ30" i="34"/>
  <c r="T73" i="34"/>
  <c r="L23" i="34"/>
  <c r="P40" i="34"/>
  <c r="S51" i="34"/>
  <c r="AR64" i="34"/>
  <c r="N12" i="34"/>
  <c r="Y47" i="34"/>
  <c r="AV45" i="34"/>
  <c r="AA107" i="34"/>
  <c r="O12" i="34"/>
  <c r="AI17" i="34"/>
  <c r="BB32" i="34"/>
  <c r="T93" i="34"/>
  <c r="F93" i="34"/>
  <c r="Q64" i="34"/>
  <c r="U108" i="34"/>
  <c r="AZ65" i="34"/>
  <c r="AA88" i="34"/>
  <c r="V86" i="34"/>
  <c r="I41" i="34"/>
  <c r="AP97" i="34"/>
  <c r="AL74" i="34"/>
  <c r="G81" i="34"/>
  <c r="AI75" i="34"/>
  <c r="S47" i="34"/>
  <c r="Y88" i="34"/>
  <c r="BC87" i="34"/>
  <c r="AQ35" i="34"/>
  <c r="AB14" i="31"/>
  <c r="AD14" i="31" s="1"/>
  <c r="AB9" i="31"/>
  <c r="AD9" i="31" s="1"/>
  <c r="AB5" i="31"/>
  <c r="AD5" i="31" s="1"/>
  <c r="AB28" i="31"/>
  <c r="AD28" i="31" s="1"/>
  <c r="AB36" i="31"/>
  <c r="AD36" i="31" s="1"/>
  <c r="AB39" i="31"/>
  <c r="AD39" i="31" s="1"/>
  <c r="Z6" i="31"/>
  <c r="AB6" i="31" s="1"/>
  <c r="AD6" i="31" s="1"/>
  <c r="Z11" i="31"/>
  <c r="AB11" i="31" s="1"/>
  <c r="AD11" i="31" s="1"/>
  <c r="AB30" i="31"/>
  <c r="AD30" i="31" s="1"/>
  <c r="AB33" i="31"/>
  <c r="AD33" i="31" s="1"/>
  <c r="AB41" i="31"/>
  <c r="AD41" i="31" s="1"/>
  <c r="AB24" i="31"/>
  <c r="AD24" i="31" s="1"/>
  <c r="AB32" i="31"/>
  <c r="AD32" i="31" s="1"/>
  <c r="AB29" i="31"/>
  <c r="AD29" i="31" s="1"/>
  <c r="AB40" i="31"/>
  <c r="AD40" i="31" s="1"/>
  <c r="Z10" i="31"/>
  <c r="X13" i="31"/>
  <c r="AQ32" i="34"/>
  <c r="AB90" i="34"/>
  <c r="AG31" i="34"/>
  <c r="AJ70" i="34"/>
  <c r="AV50" i="34"/>
  <c r="AB78" i="34"/>
  <c r="M19" i="34"/>
  <c r="AO17" i="34"/>
  <c r="V59" i="34"/>
  <c r="AT19" i="34"/>
  <c r="M91" i="34"/>
  <c r="BD54" i="34"/>
  <c r="AG57" i="34"/>
  <c r="AY73" i="34"/>
  <c r="S25" i="34"/>
  <c r="AO90" i="34"/>
  <c r="V89" i="34"/>
  <c r="AZ19" i="34"/>
  <c r="AA91" i="34"/>
  <c r="AK49" i="34"/>
  <c r="Q23" i="34"/>
  <c r="P21" i="34"/>
  <c r="AI90" i="34"/>
  <c r="AE84" i="34"/>
  <c r="S73" i="34"/>
  <c r="BC40" i="34"/>
  <c r="V31" i="34"/>
  <c r="AA66" i="34"/>
  <c r="O70" i="34"/>
  <c r="AD88" i="34"/>
  <c r="AU37" i="34"/>
  <c r="AQ13" i="34"/>
  <c r="AR45" i="34"/>
  <c r="Y25" i="34"/>
  <c r="AC47" i="34"/>
  <c r="AV94" i="34"/>
  <c r="AI41" i="34"/>
  <c r="K73" i="34"/>
  <c r="X83" i="34"/>
  <c r="V54" i="34"/>
  <c r="O77" i="34"/>
  <c r="AU99" i="34"/>
  <c r="AD102" i="34"/>
  <c r="BC47" i="34"/>
  <c r="AB99" i="34"/>
  <c r="AA23" i="34"/>
  <c r="AO76" i="34"/>
  <c r="AU100" i="34"/>
  <c r="Y19" i="34"/>
  <c r="BD25" i="34"/>
  <c r="BD76" i="34"/>
  <c r="S12" i="34"/>
  <c r="AM76" i="34"/>
  <c r="I49" i="34"/>
  <c r="AN47" i="34"/>
  <c r="AR40" i="34"/>
  <c r="G92" i="34"/>
  <c r="Z91" i="34"/>
  <c r="AB30" i="34"/>
  <c r="AU59" i="34"/>
  <c r="L30" i="34"/>
  <c r="AD100" i="34"/>
  <c r="AD12" i="34"/>
  <c r="M81" i="34"/>
  <c r="AY100" i="34"/>
  <c r="R54" i="34"/>
  <c r="AD51" i="34"/>
  <c r="U73" i="34"/>
  <c r="AD80" i="34"/>
  <c r="AV66" i="34"/>
  <c r="N99" i="34"/>
  <c r="W45" i="34"/>
  <c r="AG37" i="34"/>
  <c r="L63" i="34"/>
  <c r="AA57" i="34"/>
  <c r="I74" i="34"/>
  <c r="AC85" i="34"/>
  <c r="AD13" i="34"/>
  <c r="BB59" i="34"/>
  <c r="AL50" i="34"/>
  <c r="K88" i="34"/>
  <c r="H18" i="34"/>
  <c r="AZ73" i="34"/>
  <c r="R11" i="34"/>
  <c r="AV48" i="34"/>
  <c r="AV81" i="34"/>
  <c r="O66" i="34"/>
  <c r="X49" i="34"/>
  <c r="AS45" i="34"/>
  <c r="AT75" i="34"/>
  <c r="G75" i="34"/>
  <c r="AY25" i="34"/>
  <c r="X44" i="34"/>
  <c r="AJ66" i="34"/>
  <c r="AO41" i="34"/>
  <c r="AG74" i="34"/>
  <c r="AW97" i="34"/>
  <c r="W56" i="34"/>
  <c r="F50" i="34"/>
  <c r="G36" i="34"/>
  <c r="N79" i="34"/>
  <c r="E60" i="34"/>
  <c r="P83" i="34"/>
  <c r="AL23" i="34"/>
  <c r="AN81" i="34"/>
  <c r="AZ32" i="34"/>
  <c r="G65" i="34"/>
  <c r="AS49" i="34"/>
  <c r="G100" i="34"/>
  <c r="E4" i="34"/>
  <c r="D10" i="39" s="1"/>
  <c r="AS37" i="34"/>
  <c r="O65" i="34"/>
  <c r="K65" i="34"/>
  <c r="I25" i="34"/>
  <c r="I82" i="34"/>
  <c r="AR38" i="34"/>
  <c r="AR94" i="34"/>
  <c r="X54" i="34"/>
  <c r="K92" i="34"/>
  <c r="AF67" i="34"/>
  <c r="J29" i="34"/>
  <c r="BB63" i="34"/>
  <c r="AF79" i="34"/>
  <c r="AT40" i="34"/>
  <c r="AU69" i="34"/>
  <c r="BC41" i="34"/>
  <c r="W64" i="34"/>
  <c r="AW58" i="34"/>
  <c r="N56" i="34"/>
  <c r="I80" i="34"/>
  <c r="P17" i="34"/>
  <c r="L13" i="34"/>
  <c r="AO84" i="34"/>
  <c r="AY94" i="34"/>
  <c r="AG77" i="34"/>
  <c r="AX78" i="34"/>
  <c r="X105" i="34"/>
  <c r="BD88" i="34"/>
  <c r="J53" i="34"/>
  <c r="AM27" i="34"/>
  <c r="AM23" i="34"/>
  <c r="R38" i="34"/>
  <c r="BA59" i="34"/>
  <c r="AZ47" i="34"/>
  <c r="V48" i="34"/>
  <c r="X80" i="34"/>
  <c r="K100" i="34"/>
  <c r="P85" i="34"/>
  <c r="AS25" i="34"/>
  <c r="L48" i="34"/>
  <c r="Z78" i="34"/>
  <c r="AC37" i="34"/>
  <c r="AM67" i="34"/>
  <c r="G66" i="34"/>
  <c r="S94" i="34"/>
  <c r="S82" i="34"/>
  <c r="BD52" i="34"/>
  <c r="AP22" i="34"/>
  <c r="L60" i="34"/>
  <c r="J22" i="34"/>
  <c r="AZ79" i="34"/>
  <c r="G63" i="34"/>
  <c r="Q74" i="34"/>
  <c r="N41" i="34"/>
  <c r="AL37" i="34"/>
  <c r="AO44" i="34"/>
  <c r="K44" i="34"/>
  <c r="M99" i="34"/>
  <c r="E83" i="34"/>
  <c r="AX69" i="34"/>
  <c r="AP29" i="34"/>
  <c r="AE89" i="34"/>
  <c r="E3" i="34"/>
  <c r="D9" i="39" s="1"/>
  <c r="J76" i="34"/>
  <c r="F17" i="34"/>
  <c r="U52" i="34"/>
  <c r="AM65" i="34"/>
  <c r="Q13" i="34"/>
  <c r="AK26" i="34"/>
  <c r="AC49" i="34"/>
  <c r="I30" i="34"/>
  <c r="Z75" i="34"/>
  <c r="I88" i="34"/>
  <c r="AK47" i="34"/>
  <c r="I54" i="34"/>
  <c r="BB77" i="34"/>
  <c r="U105" i="34"/>
  <c r="W65" i="34"/>
  <c r="H63" i="34"/>
  <c r="AP75" i="34"/>
  <c r="P34" i="34"/>
  <c r="O15" i="34"/>
  <c r="BB29" i="34"/>
  <c r="X47" i="34"/>
  <c r="O83" i="34"/>
  <c r="T69" i="34"/>
  <c r="AU21" i="34"/>
  <c r="W23" i="34"/>
  <c r="BC54" i="34"/>
  <c r="BC80" i="34"/>
  <c r="AF76" i="34"/>
  <c r="AK97" i="34"/>
  <c r="AJ15" i="34"/>
  <c r="AY53" i="34"/>
  <c r="AG12" i="34"/>
  <c r="Y63" i="34"/>
  <c r="AJ100" i="34"/>
  <c r="AC57" i="34"/>
  <c r="T85" i="34"/>
  <c r="AN40" i="34"/>
  <c r="AR19" i="34"/>
  <c r="AD38" i="34"/>
  <c r="AI85" i="34"/>
  <c r="L29" i="34"/>
  <c r="G90" i="34"/>
  <c r="E58" i="34"/>
  <c r="AX67" i="34"/>
  <c r="AJ99" i="34"/>
  <c r="I79" i="34"/>
  <c r="AZ64" i="34"/>
  <c r="H20" i="34"/>
  <c r="AB12" i="31"/>
  <c r="AD12" i="31" s="1"/>
  <c r="AW88" i="34"/>
  <c r="BD67" i="34"/>
  <c r="BB73" i="34"/>
  <c r="V80" i="34"/>
  <c r="V69" i="34"/>
  <c r="V90" i="34"/>
  <c r="T34" i="34"/>
  <c r="L91" i="34"/>
  <c r="BA21" i="34"/>
  <c r="BA38" i="34"/>
  <c r="Z88" i="34"/>
  <c r="AZ59" i="34"/>
  <c r="BD36" i="34"/>
  <c r="AX30" i="34"/>
  <c r="AQ90" i="34"/>
  <c r="W18" i="34"/>
  <c r="BC56" i="34"/>
  <c r="BA70" i="34"/>
  <c r="AS83" i="34"/>
  <c r="Q63" i="34"/>
  <c r="AF37" i="34"/>
  <c r="F12" i="34"/>
  <c r="BA30" i="34"/>
  <c r="W81" i="34"/>
  <c r="AF26" i="34"/>
  <c r="Q57" i="34"/>
  <c r="O67" i="34"/>
  <c r="AU32" i="34"/>
  <c r="AR54" i="34"/>
  <c r="O92" i="34"/>
  <c r="AB11" i="34"/>
  <c r="AW41" i="34"/>
  <c r="AY27" i="34"/>
  <c r="AI83" i="34"/>
  <c r="U19" i="34"/>
  <c r="AT74" i="34"/>
  <c r="S92" i="34"/>
  <c r="T91" i="34"/>
  <c r="M23" i="34"/>
  <c r="AE48" i="34"/>
  <c r="BD37" i="34"/>
  <c r="BD70" i="34"/>
  <c r="BA34" i="34"/>
  <c r="J90" i="34"/>
  <c r="AH65" i="34"/>
  <c r="V102" i="34"/>
  <c r="M107" i="34"/>
  <c r="N58" i="34"/>
  <c r="AE100" i="34"/>
  <c r="H66" i="34"/>
  <c r="AF49" i="34"/>
  <c r="T30" i="34"/>
  <c r="AJ58" i="34"/>
  <c r="BD60" i="34"/>
  <c r="BA69" i="34"/>
  <c r="AL105" i="34"/>
  <c r="BA44" i="34"/>
  <c r="AE63" i="34"/>
  <c r="R27" i="34"/>
  <c r="AC100" i="34"/>
  <c r="Z90" i="34"/>
  <c r="AW18" i="34"/>
  <c r="AV25" i="34"/>
  <c r="AT105" i="34"/>
  <c r="P57" i="34"/>
  <c r="T76" i="34"/>
  <c r="AN90" i="34"/>
  <c r="AH80" i="34"/>
  <c r="AZ94" i="34"/>
  <c r="AZ39" i="34"/>
  <c r="E54" i="34"/>
  <c r="P15" i="34"/>
  <c r="AA65" i="34"/>
  <c r="AB37" i="34"/>
  <c r="AZ78" i="34"/>
  <c r="AP88" i="34"/>
  <c r="M48" i="34"/>
  <c r="AL92" i="34"/>
  <c r="K31" i="34"/>
  <c r="F107" i="34"/>
  <c r="BC84" i="34"/>
  <c r="AH31" i="34"/>
  <c r="AG18" i="34"/>
  <c r="AJ79" i="34"/>
  <c r="BD48" i="34"/>
  <c r="E33" i="34"/>
  <c r="AB63" i="34"/>
  <c r="AU75" i="34"/>
  <c r="AD27" i="34"/>
  <c r="V65" i="34"/>
  <c r="AD67" i="34"/>
  <c r="J84" i="34"/>
  <c r="Y105" i="34"/>
  <c r="AW54" i="34"/>
  <c r="F99" i="34"/>
  <c r="BC105" i="34"/>
  <c r="G38" i="34"/>
  <c r="AC30" i="34"/>
  <c r="AK18" i="34"/>
  <c r="X23" i="34"/>
  <c r="AO33" i="34"/>
  <c r="Q73" i="34"/>
  <c r="AC84" i="34"/>
  <c r="AI34" i="34"/>
  <c r="AL99" i="34"/>
  <c r="AJ54" i="34"/>
  <c r="J25" i="34"/>
  <c r="U97" i="34"/>
  <c r="O102" i="34"/>
  <c r="AN92" i="34"/>
  <c r="M73" i="34"/>
  <c r="O56" i="34"/>
  <c r="AT70" i="34"/>
  <c r="BC70" i="34"/>
  <c r="P97" i="34"/>
  <c r="AF84" i="34"/>
  <c r="I66" i="34"/>
  <c r="AM44" i="34"/>
  <c r="J107" i="34"/>
  <c r="O44" i="34"/>
  <c r="AU105" i="34"/>
  <c r="I59" i="34"/>
  <c r="AV82" i="34"/>
  <c r="O13" i="34"/>
  <c r="AM25" i="34"/>
  <c r="AM82" i="34"/>
  <c r="AK76" i="34"/>
  <c r="AT80" i="34"/>
  <c r="AO70" i="34"/>
  <c r="BC18" i="34"/>
  <c r="AZ18" i="34"/>
  <c r="G70" i="34"/>
  <c r="Z18" i="34"/>
  <c r="AQ65" i="34"/>
  <c r="AU18" i="34"/>
  <c r="AF31" i="34"/>
  <c r="AZ57" i="34"/>
  <c r="AD21" i="34"/>
  <c r="AO79" i="34"/>
  <c r="K37" i="34"/>
  <c r="T18" i="34"/>
  <c r="O80" i="34"/>
  <c r="AS59" i="34"/>
  <c r="L21" i="34"/>
  <c r="AQ22" i="34"/>
  <c r="AX60" i="34"/>
  <c r="BC29" i="34"/>
  <c r="E34" i="34"/>
  <c r="E92" i="34"/>
  <c r="AC63" i="34"/>
  <c r="L102" i="34"/>
  <c r="M34" i="34"/>
  <c r="AY70" i="34"/>
  <c r="AR100" i="34"/>
  <c r="BB88" i="34"/>
  <c r="BA80" i="34"/>
  <c r="AO31" i="34"/>
  <c r="AT22" i="34"/>
  <c r="AF58" i="34"/>
  <c r="U32" i="34"/>
  <c r="AD47" i="34"/>
  <c r="AH90" i="34"/>
  <c r="W58" i="34"/>
  <c r="E52" i="34"/>
  <c r="AO18" i="34"/>
  <c r="AB88" i="34"/>
  <c r="K107" i="34"/>
  <c r="AO88" i="34"/>
  <c r="AX40" i="34"/>
  <c r="N69" i="34"/>
  <c r="AR34" i="34"/>
  <c r="H31" i="34"/>
  <c r="AC81" i="34"/>
  <c r="AB105" i="34"/>
  <c r="AK40" i="34"/>
  <c r="R77" i="34"/>
  <c r="I94" i="34"/>
  <c r="H33" i="34"/>
  <c r="AE73" i="34"/>
  <c r="AV99" i="34"/>
  <c r="BB85" i="34"/>
  <c r="L75" i="34"/>
  <c r="BA50" i="34"/>
  <c r="U36" i="34"/>
  <c r="BA36" i="34"/>
  <c r="AI107" i="34"/>
  <c r="Q105" i="34"/>
  <c r="AE12" i="34"/>
  <c r="J23" i="34"/>
  <c r="V77" i="34"/>
  <c r="AU12" i="34"/>
  <c r="F73" i="34"/>
  <c r="AT76" i="34"/>
  <c r="BC97" i="34"/>
  <c r="Q102" i="34"/>
  <c r="BA77" i="34"/>
  <c r="N91" i="34"/>
  <c r="AB19" i="34"/>
  <c r="H57" i="34"/>
  <c r="AQ79" i="34"/>
  <c r="N50" i="34"/>
  <c r="AO11" i="34"/>
  <c r="O26" i="34"/>
  <c r="AK94" i="34"/>
  <c r="BC27" i="34"/>
  <c r="T37" i="34"/>
  <c r="R34" i="34"/>
  <c r="X74" i="34"/>
  <c r="AM38" i="34"/>
  <c r="AB69" i="34"/>
  <c r="J52" i="34"/>
  <c r="Q50" i="34"/>
  <c r="AZ89" i="34"/>
  <c r="BB94" i="34"/>
  <c r="N102" i="34"/>
  <c r="AA59" i="34"/>
  <c r="S34" i="34"/>
  <c r="L94" i="34"/>
  <c r="K36" i="34"/>
  <c r="AE79" i="34"/>
  <c r="AV49" i="34"/>
  <c r="AL89" i="34"/>
  <c r="Y22" i="34"/>
  <c r="AX77" i="34"/>
  <c r="R40" i="34"/>
  <c r="AQ102" i="34"/>
  <c r="BD32" i="34"/>
  <c r="AR85" i="34"/>
  <c r="I58" i="34"/>
  <c r="BB67" i="34"/>
  <c r="AH36" i="34"/>
  <c r="F89" i="34"/>
  <c r="T47" i="34"/>
  <c r="AD70" i="34"/>
  <c r="BC59" i="34"/>
  <c r="AH23" i="34"/>
  <c r="U49" i="34"/>
  <c r="O27" i="34"/>
  <c r="AP23" i="34"/>
  <c r="AO38" i="34"/>
  <c r="E45" i="34"/>
  <c r="F66" i="34"/>
  <c r="AF40" i="34"/>
  <c r="AG59" i="34"/>
  <c r="AC32" i="34"/>
  <c r="AU31" i="34"/>
  <c r="AM73" i="34"/>
  <c r="AE27" i="34"/>
  <c r="H29" i="34"/>
  <c r="N36" i="34"/>
  <c r="AG99" i="34"/>
  <c r="AP31" i="34"/>
  <c r="AC67" i="34"/>
  <c r="AC107" i="34"/>
  <c r="U30" i="34"/>
  <c r="AB50" i="34"/>
  <c r="T79" i="34"/>
  <c r="AV73" i="34"/>
  <c r="AX76" i="34"/>
  <c r="AS56" i="34"/>
  <c r="AU78" i="34"/>
  <c r="U84" i="34"/>
  <c r="BD100" i="34"/>
  <c r="I17" i="34"/>
  <c r="AY83" i="34"/>
  <c r="BB17" i="34"/>
  <c r="AM100" i="34"/>
  <c r="AP49" i="34"/>
  <c r="S79" i="34"/>
  <c r="Y81" i="34"/>
  <c r="AF30" i="34"/>
  <c r="S15" i="34"/>
  <c r="Y78" i="34"/>
  <c r="S26" i="34"/>
  <c r="V67" i="34"/>
  <c r="S18" i="34"/>
  <c r="AY32" i="34"/>
  <c r="BA13" i="34"/>
  <c r="Z52" i="34"/>
  <c r="G67" i="34"/>
  <c r="X68" i="34"/>
  <c r="J48" i="34"/>
  <c r="K13" i="34"/>
  <c r="AX32" i="34"/>
  <c r="AD25" i="34"/>
  <c r="J63" i="34"/>
  <c r="AM41" i="34"/>
  <c r="AD33" i="34"/>
  <c r="AM69" i="34"/>
  <c r="AM89" i="34"/>
  <c r="R63" i="34"/>
  <c r="AE66" i="34"/>
  <c r="AM70" i="34"/>
  <c r="I34" i="34"/>
  <c r="AU60" i="34"/>
  <c r="AW81" i="34"/>
  <c r="AS67" i="34"/>
  <c r="M54" i="34"/>
  <c r="AJ25" i="34"/>
  <c r="AM36" i="34"/>
  <c r="N19" i="34"/>
  <c r="BA11" i="34"/>
  <c r="H65" i="34"/>
  <c r="J17" i="34"/>
  <c r="O32" i="34"/>
  <c r="AR18" i="34"/>
  <c r="AY21" i="34"/>
  <c r="AK105" i="34"/>
  <c r="AA45" i="34"/>
  <c r="AH82" i="34"/>
  <c r="AQ88" i="34"/>
  <c r="P33" i="34"/>
  <c r="AH75" i="34"/>
  <c r="W74" i="34"/>
  <c r="AQ97" i="34"/>
  <c r="AX100" i="34"/>
  <c r="E88" i="34"/>
  <c r="W105" i="34"/>
  <c r="M26" i="34"/>
  <c r="AP35" i="34"/>
  <c r="AR25" i="34"/>
  <c r="M38" i="34"/>
  <c r="AO92" i="34"/>
  <c r="AR66" i="34"/>
  <c r="BA33" i="34"/>
  <c r="E59" i="34"/>
  <c r="AG60" i="34"/>
  <c r="AP67" i="34"/>
  <c r="AB41" i="34"/>
  <c r="L26" i="34"/>
  <c r="O58" i="34"/>
  <c r="AF81" i="34"/>
  <c r="J26" i="34"/>
  <c r="P19" i="34"/>
  <c r="E73" i="34"/>
  <c r="AV23" i="34"/>
  <c r="AT26" i="34"/>
  <c r="J69" i="34"/>
  <c r="AN88" i="34"/>
  <c r="AG56" i="34"/>
  <c r="AQ78" i="34"/>
  <c r="AZ36" i="34"/>
  <c r="AB32" i="34"/>
  <c r="N60" i="34"/>
  <c r="AP38" i="34"/>
  <c r="AN50" i="34"/>
  <c r="W25" i="34"/>
  <c r="R32" i="34"/>
  <c r="AJ12" i="34"/>
  <c r="AS33" i="34"/>
  <c r="AW79" i="34"/>
  <c r="AP19" i="34"/>
  <c r="AU23" i="34"/>
  <c r="O91" i="34"/>
  <c r="BB50" i="34"/>
  <c r="AI100" i="34"/>
  <c r="Q22" i="34"/>
  <c r="AF44" i="34"/>
  <c r="P63" i="34"/>
  <c r="BC63" i="34"/>
  <c r="Q17" i="34"/>
  <c r="BC45" i="34"/>
  <c r="AP58" i="34"/>
  <c r="AI59" i="34"/>
  <c r="Z37" i="34"/>
  <c r="AZ82" i="34"/>
  <c r="R52" i="34"/>
  <c r="F74" i="34"/>
  <c r="K81" i="34"/>
  <c r="O11" i="34"/>
  <c r="AM83" i="34"/>
  <c r="W54" i="34"/>
  <c r="AD40" i="34"/>
  <c r="F100" i="34"/>
  <c r="AA67" i="34"/>
  <c r="AM56" i="34"/>
  <c r="S78" i="34"/>
  <c r="R22" i="34"/>
  <c r="N84" i="34"/>
  <c r="AL59" i="34"/>
  <c r="Z82" i="34"/>
  <c r="AH77" i="34"/>
  <c r="AC60" i="34"/>
  <c r="X30" i="34"/>
  <c r="AE21" i="34"/>
  <c r="E81" i="34"/>
  <c r="AK92" i="34"/>
  <c r="T40" i="34"/>
  <c r="BD58" i="34"/>
  <c r="BB90" i="34"/>
  <c r="AJ40" i="34"/>
  <c r="AD54" i="34"/>
  <c r="Q66" i="34"/>
  <c r="AK77" i="34"/>
  <c r="AH84" i="34"/>
  <c r="O45" i="34"/>
  <c r="AZ34" i="34"/>
  <c r="AB23" i="34"/>
  <c r="Z23" i="34"/>
  <c r="W12" i="34"/>
  <c r="F81" i="34"/>
  <c r="AS36" i="34"/>
  <c r="J58" i="34"/>
  <c r="AA52" i="34"/>
  <c r="U60" i="34"/>
  <c r="P41" i="34"/>
  <c r="H67" i="34"/>
  <c r="AZ26" i="34"/>
  <c r="R58" i="34"/>
  <c r="U66" i="34"/>
  <c r="Z76" i="34"/>
  <c r="AK85" i="34"/>
  <c r="AR82" i="34"/>
  <c r="AD23" i="34"/>
  <c r="G57" i="34"/>
  <c r="AU38" i="34"/>
  <c r="O33" i="34"/>
  <c r="F31" i="34"/>
  <c r="AK58" i="34"/>
  <c r="F36" i="34"/>
  <c r="F13" i="34"/>
  <c r="M105" i="34"/>
  <c r="AH37" i="34"/>
  <c r="AX52" i="34"/>
  <c r="W29" i="34"/>
  <c r="J70" i="34"/>
  <c r="BD22" i="34"/>
  <c r="AI56" i="34"/>
  <c r="P105" i="34"/>
  <c r="AJ19" i="34"/>
  <c r="G99" i="34"/>
  <c r="AM54" i="34"/>
  <c r="Z27" i="34"/>
  <c r="AD30" i="34"/>
  <c r="AQ19" i="34"/>
  <c r="K50" i="34"/>
  <c r="AP76" i="34"/>
  <c r="K18" i="34"/>
  <c r="G59" i="34"/>
  <c r="H90" i="34"/>
  <c r="H73" i="34"/>
  <c r="T89" i="34"/>
  <c r="H91" i="34"/>
  <c r="U81" i="34"/>
  <c r="AP60" i="34"/>
  <c r="AE37" i="34"/>
  <c r="AL15" i="34"/>
  <c r="AA82" i="34"/>
  <c r="AC65" i="34"/>
  <c r="AG67" i="34"/>
  <c r="Q107" i="34"/>
  <c r="S102" i="34"/>
  <c r="P67" i="34"/>
  <c r="P65" i="34"/>
  <c r="AG63" i="34"/>
  <c r="I27" i="34"/>
  <c r="AT57" i="34"/>
  <c r="AM102" i="34"/>
  <c r="AJ89" i="34"/>
  <c r="G31" i="34"/>
  <c r="AK37" i="34"/>
  <c r="AQ69" i="34"/>
  <c r="X99" i="34"/>
  <c r="Q80" i="34"/>
  <c r="K94" i="34"/>
  <c r="AE107" i="34"/>
  <c r="AV52" i="34"/>
  <c r="T57" i="34"/>
  <c r="AQ63" i="34"/>
  <c r="AX58" i="34"/>
  <c r="K29" i="34"/>
  <c r="J85" i="34"/>
  <c r="W50" i="34"/>
  <c r="AI52" i="34"/>
  <c r="AA27" i="34"/>
  <c r="Z44" i="34"/>
  <c r="AA78" i="34"/>
  <c r="AG23" i="34"/>
  <c r="AV59" i="34"/>
  <c r="K85" i="34"/>
  <c r="AH47" i="34"/>
  <c r="AO91" i="34"/>
  <c r="G22" i="34"/>
  <c r="O76" i="34"/>
  <c r="AP90" i="34"/>
  <c r="AL11" i="34"/>
  <c r="BC85" i="34"/>
  <c r="BB21" i="34"/>
  <c r="BD97" i="34"/>
  <c r="AX19" i="34"/>
  <c r="J60" i="34"/>
  <c r="M13" i="34"/>
  <c r="Q81" i="34"/>
  <c r="BD94" i="34"/>
  <c r="AN38" i="34"/>
  <c r="I92" i="34"/>
  <c r="H83" i="34"/>
  <c r="AY47" i="34"/>
  <c r="AR73" i="34"/>
  <c r="G29" i="34"/>
  <c r="AS88" i="34"/>
  <c r="AV54" i="34"/>
  <c r="AN59" i="34"/>
  <c r="F83" i="34"/>
  <c r="M67" i="34"/>
  <c r="X91" i="34"/>
  <c r="AX80" i="34"/>
  <c r="AC39" i="34"/>
  <c r="AB102" i="34"/>
  <c r="G102" i="34"/>
  <c r="AJ63" i="34"/>
  <c r="AM45" i="34"/>
  <c r="S90" i="34"/>
  <c r="Z30" i="34"/>
  <c r="BC91" i="34"/>
  <c r="AF60" i="34"/>
  <c r="P37" i="34"/>
  <c r="J79" i="34"/>
  <c r="BD77" i="34"/>
  <c r="E27" i="34"/>
  <c r="AT18" i="34"/>
  <c r="S22" i="34"/>
  <c r="L99" i="34"/>
  <c r="O19" i="34"/>
  <c r="M21" i="34"/>
  <c r="BA57" i="34"/>
  <c r="G85" i="34"/>
  <c r="Y74" i="34"/>
  <c r="T45" i="34"/>
  <c r="AW59" i="34"/>
  <c r="L85" i="34"/>
  <c r="AT52" i="34"/>
  <c r="BC19" i="34"/>
  <c r="AP59" i="34"/>
  <c r="AV65" i="34"/>
  <c r="AV76" i="34"/>
  <c r="AH52" i="34"/>
  <c r="AC31" i="34"/>
  <c r="AY36" i="34"/>
  <c r="AM77" i="34"/>
  <c r="AE85" i="34"/>
  <c r="S36" i="34"/>
  <c r="AM60" i="34"/>
  <c r="L15" i="34"/>
  <c r="AQ33" i="34"/>
  <c r="AQ21" i="34"/>
  <c r="AR15" i="34"/>
  <c r="BD84" i="34"/>
  <c r="H102" i="34"/>
  <c r="AN69" i="34"/>
  <c r="AC90" i="34"/>
  <c r="AY81" i="34"/>
  <c r="AZ41" i="34"/>
  <c r="O105" i="34"/>
  <c r="M66" i="34"/>
  <c r="O30" i="34"/>
  <c r="AR102" i="34"/>
  <c r="K57" i="34"/>
  <c r="V76" i="34"/>
  <c r="E66" i="34"/>
  <c r="AK34" i="34"/>
  <c r="AN34" i="34"/>
  <c r="R92" i="34"/>
  <c r="AO82" i="34"/>
  <c r="AH34" i="34"/>
  <c r="AW82" i="34"/>
  <c r="R83" i="34"/>
  <c r="AJ105" i="34"/>
  <c r="AU102" i="34"/>
  <c r="X50" i="34"/>
  <c r="AZ50" i="34"/>
  <c r="AY30" i="34"/>
  <c r="BC30" i="34"/>
  <c r="Z85" i="34"/>
  <c r="U102" i="34"/>
  <c r="AY78" i="34"/>
  <c r="V97" i="34"/>
  <c r="AY44" i="34"/>
  <c r="V30" i="34"/>
  <c r="BB34" i="34"/>
  <c r="AW73" i="34"/>
  <c r="AK31" i="34"/>
  <c r="Q19" i="34"/>
  <c r="AY69" i="34"/>
  <c r="BB31" i="34"/>
  <c r="AA76" i="34"/>
  <c r="K21" i="34"/>
  <c r="AE40" i="34"/>
  <c r="AZ49" i="34"/>
  <c r="AS74" i="34"/>
  <c r="T26" i="34"/>
  <c r="S33" i="34"/>
  <c r="AW31" i="34"/>
  <c r="BC22" i="34"/>
  <c r="I26" i="34"/>
  <c r="AD76" i="34"/>
  <c r="AQ34" i="34"/>
  <c r="AW47" i="34"/>
  <c r="AU63" i="34"/>
  <c r="AK44" i="34"/>
  <c r="M36" i="34"/>
  <c r="I32" i="34"/>
  <c r="AI60" i="34"/>
  <c r="BB78" i="34"/>
  <c r="O31" i="34"/>
  <c r="AO58" i="34"/>
  <c r="U21" i="34"/>
  <c r="BC60" i="34"/>
  <c r="AD15" i="34"/>
  <c r="AO54" i="34"/>
  <c r="H79" i="34"/>
  <c r="AS77" i="34"/>
  <c r="AX36" i="34"/>
  <c r="F78" i="34"/>
  <c r="AJ41" i="34"/>
  <c r="AW83" i="34"/>
  <c r="AR23" i="34"/>
  <c r="AN33" i="34"/>
  <c r="E97" i="34"/>
  <c r="S31" i="34"/>
  <c r="H105" i="34"/>
  <c r="AI67" i="34"/>
  <c r="Z17" i="34"/>
  <c r="AH48" i="34"/>
  <c r="R17" i="34"/>
  <c r="W90" i="34"/>
  <c r="BD74" i="34"/>
  <c r="BD81" i="34"/>
  <c r="AK75" i="34"/>
  <c r="S56" i="34"/>
  <c r="K60" i="34"/>
  <c r="AS18" i="34"/>
  <c r="AQ74" i="34"/>
  <c r="E30" i="34"/>
  <c r="BB92" i="34"/>
  <c r="Z33" i="34"/>
  <c r="AE50" i="34"/>
  <c r="AH63" i="34"/>
  <c r="Q34" i="34"/>
  <c r="AN89" i="34"/>
  <c r="AL76" i="34"/>
  <c r="BA75" i="34"/>
  <c r="AF32" i="34"/>
  <c r="U70" i="34"/>
  <c r="AR49" i="34"/>
  <c r="AT13" i="34"/>
  <c r="V41" i="34"/>
  <c r="AP47" i="34"/>
  <c r="AB34" i="34"/>
  <c r="AF48" i="34"/>
  <c r="AF99" i="34"/>
  <c r="V78" i="34"/>
  <c r="AK56" i="34"/>
  <c r="AG89" i="34"/>
  <c r="AV18" i="34"/>
  <c r="AP18" i="34"/>
  <c r="BD35" i="34"/>
  <c r="AK90" i="34"/>
  <c r="I47" i="34"/>
  <c r="AE18" i="34"/>
  <c r="AF11" i="34"/>
  <c r="Q47" i="34"/>
  <c r="AP26" i="34"/>
  <c r="L78" i="34"/>
  <c r="AB57" i="34"/>
  <c r="AU11" i="34"/>
  <c r="S84" i="34"/>
  <c r="AB31" i="34"/>
  <c r="K67" i="34"/>
  <c r="AM84" i="34"/>
  <c r="H11" i="34"/>
  <c r="AU94" i="34"/>
  <c r="Y54" i="34"/>
  <c r="W100" i="34"/>
  <c r="AZ17" i="34"/>
  <c r="AS34" i="34"/>
  <c r="AM99" i="34"/>
  <c r="BB69" i="34"/>
  <c r="AT44" i="34"/>
  <c r="AP34" i="34"/>
  <c r="K49" i="34"/>
  <c r="AB89" i="34"/>
  <c r="V99" i="34"/>
  <c r="AM58" i="34"/>
  <c r="AZ70" i="34"/>
  <c r="S57" i="34"/>
  <c r="AJ18" i="34"/>
  <c r="U76" i="34"/>
  <c r="BC17" i="34"/>
  <c r="BB25" i="34"/>
  <c r="AM63" i="34"/>
  <c r="BA76" i="34"/>
  <c r="AZ38" i="34"/>
  <c r="Y12" i="34"/>
  <c r="AI91" i="34"/>
  <c r="AO45" i="34"/>
  <c r="AU29" i="34"/>
  <c r="W66" i="34"/>
  <c r="AK29" i="34"/>
  <c r="AA75" i="34"/>
  <c r="X13" i="34"/>
  <c r="K102" i="34"/>
  <c r="AB21" i="34"/>
  <c r="BB70" i="34"/>
  <c r="AX22" i="34"/>
  <c r="Y31" i="34"/>
  <c r="AV13" i="34"/>
  <c r="T65" i="34"/>
  <c r="AE31" i="34"/>
  <c r="AH44" i="34"/>
  <c r="F48" i="34"/>
  <c r="AQ75" i="34"/>
  <c r="AN73" i="34"/>
  <c r="AV41" i="34"/>
  <c r="AS21" i="34"/>
  <c r="AZ84" i="34"/>
  <c r="BD12" i="34"/>
  <c r="BC21" i="34"/>
  <c r="Z29" i="34"/>
  <c r="S48" i="34"/>
  <c r="AR75" i="34"/>
  <c r="AN66" i="34"/>
  <c r="R88" i="34"/>
  <c r="BA32" i="34"/>
  <c r="S76" i="34"/>
  <c r="AI74" i="34"/>
  <c r="AJ75" i="34"/>
  <c r="AB82" i="34"/>
  <c r="AN36" i="34"/>
  <c r="AR29" i="34"/>
  <c r="N76" i="34"/>
  <c r="AP56" i="34"/>
  <c r="R67" i="34"/>
  <c r="AC99" i="34"/>
  <c r="BD41" i="34"/>
  <c r="BC79" i="34"/>
  <c r="AI89" i="34"/>
  <c r="AO63" i="34"/>
  <c r="AM92" i="34"/>
  <c r="Z21" i="34"/>
  <c r="T25" i="34"/>
  <c r="AR22" i="34"/>
  <c r="AG21" i="34"/>
  <c r="AE22" i="34"/>
  <c r="AL90" i="34"/>
  <c r="Y79" i="34"/>
  <c r="AH29" i="34"/>
  <c r="X66" i="34"/>
  <c r="AM48" i="34"/>
  <c r="AN13" i="34"/>
  <c r="Q82" i="34"/>
  <c r="T100" i="34"/>
  <c r="AX73" i="34"/>
  <c r="BA31" i="34"/>
  <c r="Z47" i="34"/>
  <c r="M25" i="34"/>
  <c r="K34" i="34"/>
  <c r="AS30" i="34"/>
  <c r="AY91" i="34"/>
  <c r="V84" i="34"/>
  <c r="AD74" i="34"/>
  <c r="T21" i="34"/>
  <c r="AO25" i="34"/>
  <c r="BC11" i="34"/>
  <c r="H37" i="34"/>
  <c r="G74" i="34"/>
  <c r="AV15" i="34"/>
  <c r="AE47" i="34"/>
  <c r="AV31" i="34"/>
  <c r="AR77" i="34"/>
  <c r="O52" i="34"/>
  <c r="AN48" i="34"/>
  <c r="AB52" i="34"/>
  <c r="K27" i="34"/>
  <c r="AI18" i="34"/>
  <c r="AG38" i="34"/>
  <c r="V21" i="34"/>
  <c r="E26" i="34"/>
  <c r="J50" i="34"/>
  <c r="G15" i="34"/>
  <c r="AZ31" i="34"/>
  <c r="AM30" i="34"/>
  <c r="AQ25" i="34"/>
  <c r="H34" i="34"/>
  <c r="Q69" i="34"/>
  <c r="AS52" i="34"/>
  <c r="N11" i="34"/>
  <c r="T32" i="34"/>
  <c r="H25" i="34"/>
  <c r="W47" i="34"/>
  <c r="AN12" i="34"/>
  <c r="AV79" i="34"/>
  <c r="W33" i="34"/>
  <c r="J105" i="34"/>
  <c r="AF17" i="34"/>
  <c r="AW60" i="34"/>
  <c r="AP79" i="34"/>
  <c r="AW77" i="34"/>
  <c r="Y91" i="34"/>
  <c r="I50" i="34"/>
  <c r="Q99" i="34"/>
  <c r="G77" i="34"/>
  <c r="V45" i="34"/>
  <c r="AI97" i="34"/>
  <c r="AA19" i="34"/>
  <c r="AE30" i="34"/>
  <c r="T92" i="34"/>
  <c r="AB36" i="34"/>
  <c r="AW80" i="34"/>
  <c r="AN26" i="34"/>
  <c r="AO29" i="34"/>
  <c r="Y75" i="34"/>
  <c r="AB48" i="34"/>
  <c r="W97" i="34"/>
  <c r="AL58" i="34"/>
  <c r="AZ12" i="34"/>
  <c r="AA97" i="34"/>
  <c r="R18" i="34"/>
  <c r="H84" i="34"/>
  <c r="AR52" i="34"/>
  <c r="BB75" i="34"/>
  <c r="AH81" i="34"/>
  <c r="R90" i="34"/>
  <c r="K47" i="34"/>
  <c r="AC41" i="34"/>
  <c r="AW17" i="34"/>
  <c r="E23" i="34"/>
  <c r="O54" i="34"/>
  <c r="AH27" i="34"/>
  <c r="AF70" i="34"/>
  <c r="AK12" i="34"/>
  <c r="AD89" i="34"/>
  <c r="R57" i="34"/>
  <c r="F63" i="34"/>
  <c r="AQ89" i="34"/>
  <c r="S54" i="34"/>
  <c r="M77" i="34"/>
  <c r="Z57" i="34"/>
  <c r="U78" i="34"/>
  <c r="L89" i="34"/>
  <c r="AS84" i="34"/>
  <c r="Y94" i="34"/>
  <c r="AR83" i="34"/>
  <c r="AM78" i="34"/>
  <c r="AE102" i="34"/>
  <c r="T49" i="34"/>
  <c r="AT83" i="34"/>
  <c r="AF92" i="34"/>
  <c r="L81" i="34"/>
  <c r="AB81" i="34"/>
  <c r="N33" i="34"/>
  <c r="BD69" i="34"/>
  <c r="T52" i="34"/>
  <c r="F97" i="34"/>
  <c r="X2549" i="10"/>
  <c r="X2568" i="10"/>
  <c r="P1501" i="10"/>
  <c r="P1548" i="10"/>
  <c r="P1514" i="10"/>
  <c r="P1576" i="10"/>
  <c r="Y80" i="34"/>
  <c r="I52" i="34"/>
  <c r="BD90" i="34"/>
  <c r="AK52" i="34"/>
  <c r="J88" i="34"/>
  <c r="Y67" i="34"/>
  <c r="X67" i="34"/>
  <c r="BD50" i="34"/>
  <c r="BA49" i="34"/>
  <c r="O88" i="34"/>
  <c r="F26" i="34"/>
  <c r="AH74" i="34"/>
  <c r="T41" i="34"/>
  <c r="AQ17" i="34"/>
  <c r="AT15" i="34"/>
  <c r="BB40" i="34"/>
  <c r="BD38" i="34"/>
  <c r="BD83" i="34"/>
  <c r="AN63" i="34"/>
  <c r="V88" i="34"/>
  <c r="X40" i="34"/>
  <c r="H26" i="34"/>
  <c r="P76" i="34"/>
  <c r="AP99" i="34"/>
  <c r="AN102" i="34"/>
  <c r="AT94" i="34"/>
  <c r="AZ66" i="34"/>
  <c r="AO50" i="34"/>
  <c r="AB39" i="34"/>
  <c r="BC35" i="34"/>
  <c r="Z11" i="34"/>
  <c r="AW76" i="34"/>
  <c r="AW105" i="34"/>
  <c r="AI70" i="34"/>
  <c r="BD75" i="34"/>
  <c r="R33" i="34"/>
  <c r="E38" i="34"/>
  <c r="R30" i="34"/>
  <c r="F105" i="34"/>
  <c r="L41" i="34"/>
  <c r="AS66" i="34"/>
  <c r="T81" i="34"/>
  <c r="N67" i="34"/>
  <c r="S50" i="34"/>
  <c r="AY82" i="34"/>
  <c r="AE82" i="34"/>
  <c r="AN91" i="34"/>
  <c r="AV91" i="34"/>
  <c r="AK89" i="34"/>
  <c r="R23" i="34"/>
  <c r="AD69" i="34"/>
  <c r="AJ34" i="34"/>
  <c r="M57" i="34"/>
  <c r="AL26" i="34"/>
  <c r="AR63" i="34"/>
  <c r="I38" i="34"/>
  <c r="BD45" i="34"/>
  <c r="AU45" i="34"/>
  <c r="AM15" i="34"/>
  <c r="AV67" i="34"/>
  <c r="AT34" i="34"/>
  <c r="M75" i="34"/>
  <c r="L65" i="34"/>
  <c r="AJ97" i="34"/>
  <c r="N23" i="34"/>
  <c r="R75" i="34"/>
  <c r="X88" i="34"/>
  <c r="AS73" i="34"/>
  <c r="AS38" i="34"/>
  <c r="AX59" i="34"/>
  <c r="AO26" i="34"/>
  <c r="E90" i="34"/>
  <c r="AF107" i="34"/>
  <c r="W67" i="34"/>
  <c r="P69" i="34"/>
  <c r="BC32" i="34"/>
  <c r="J80" i="34"/>
  <c r="H74" i="34"/>
  <c r="AD81" i="34"/>
  <c r="U50" i="34"/>
  <c r="Q76" i="34"/>
  <c r="AY41" i="34"/>
  <c r="AF18" i="34"/>
  <c r="L33" i="34"/>
  <c r="AW12" i="34"/>
  <c r="I105" i="34"/>
  <c r="T74" i="34"/>
  <c r="AI79" i="34"/>
  <c r="AR81" i="34"/>
  <c r="N73" i="34"/>
  <c r="V44" i="34"/>
  <c r="AA60" i="34"/>
  <c r="BB19" i="34"/>
  <c r="AX83" i="34"/>
  <c r="F70" i="34"/>
  <c r="T78" i="34"/>
  <c r="AO75" i="34"/>
  <c r="BA100" i="34"/>
  <c r="M80" i="34"/>
  <c r="I18" i="34"/>
  <c r="N52" i="34"/>
  <c r="F90" i="34"/>
  <c r="AC78" i="34"/>
  <c r="AW52" i="34"/>
  <c r="E78" i="34"/>
  <c r="BC78" i="34"/>
  <c r="AX18" i="34"/>
  <c r="V18" i="34"/>
  <c r="AY60" i="34"/>
  <c r="W17" i="34"/>
  <c r="AD65" i="34"/>
  <c r="T29" i="34"/>
  <c r="AF80" i="34"/>
  <c r="K45" i="34"/>
  <c r="AA79" i="34"/>
  <c r="AV69" i="34"/>
  <c r="AW49" i="34"/>
  <c r="G34" i="34"/>
  <c r="P52" i="34"/>
  <c r="L34" i="34"/>
  <c r="AL84" i="34"/>
  <c r="BA60" i="34"/>
  <c r="J13" i="34"/>
  <c r="G27" i="34"/>
  <c r="AT92" i="34"/>
  <c r="AM75" i="34"/>
  <c r="AM80" i="34"/>
  <c r="AX54" i="34"/>
  <c r="F65" i="34"/>
  <c r="AQ15" i="34"/>
  <c r="AQ54" i="34"/>
  <c r="G47" i="34"/>
  <c r="F85" i="34"/>
  <c r="W91" i="34"/>
  <c r="AX68" i="34"/>
  <c r="AI33" i="34"/>
  <c r="BA12" i="34"/>
  <c r="BA99" i="34"/>
  <c r="AR107" i="34"/>
  <c r="U11" i="34"/>
  <c r="AF38" i="34"/>
  <c r="E47" i="34"/>
  <c r="AU89" i="34"/>
  <c r="AJ38" i="34"/>
  <c r="AO83" i="34"/>
  <c r="N74" i="34"/>
  <c r="U65" i="34"/>
  <c r="AS32" i="34"/>
  <c r="AV30" i="34"/>
  <c r="AL91" i="34"/>
  <c r="AH12" i="34"/>
  <c r="AN99" i="34"/>
  <c r="L45" i="34"/>
  <c r="Y17" i="34"/>
  <c r="AZ74" i="34"/>
  <c r="AO49" i="34"/>
  <c r="AW75" i="34"/>
  <c r="AU90" i="34"/>
  <c r="AF12" i="34"/>
  <c r="AV47" i="34"/>
  <c r="F75" i="34"/>
  <c r="AU83" i="34"/>
  <c r="AR88" i="34"/>
  <c r="BC89" i="34"/>
  <c r="BA63" i="34"/>
  <c r="AK11" i="34"/>
  <c r="AP33" i="34"/>
  <c r="AV34" i="34"/>
  <c r="T82" i="34"/>
  <c r="AJ29" i="34"/>
  <c r="AK42" i="34"/>
  <c r="BB42" i="34"/>
  <c r="F42" i="34"/>
  <c r="J42" i="34"/>
  <c r="AR42" i="34"/>
  <c r="U42" i="34"/>
  <c r="AA42" i="34"/>
  <c r="Y42" i="34"/>
  <c r="BD42" i="34"/>
  <c r="Q42" i="34"/>
  <c r="V42" i="34"/>
  <c r="AY42" i="34"/>
  <c r="AP42" i="34"/>
  <c r="K42" i="34"/>
  <c r="G42" i="34"/>
  <c r="AB42" i="34"/>
  <c r="P42" i="34"/>
  <c r="O42" i="34"/>
  <c r="I42" i="34"/>
  <c r="AX42" i="34"/>
  <c r="AI42" i="34"/>
  <c r="BC42" i="34"/>
  <c r="AT42" i="34"/>
  <c r="AO42" i="34"/>
  <c r="M42" i="34"/>
  <c r="AU42" i="34"/>
  <c r="S42" i="34"/>
  <c r="AQ42" i="34"/>
  <c r="X42" i="34"/>
  <c r="W42" i="34"/>
  <c r="BA42" i="34"/>
  <c r="R42" i="34"/>
  <c r="AD42" i="34"/>
  <c r="AL42" i="34"/>
  <c r="T42" i="34"/>
  <c r="AF42" i="34"/>
  <c r="AW42" i="34"/>
  <c r="AC42" i="34"/>
  <c r="AV42" i="34"/>
  <c r="N42" i="34"/>
  <c r="AS42" i="34"/>
  <c r="AE42" i="34"/>
  <c r="AH42" i="34"/>
  <c r="H42" i="34"/>
  <c r="AM42" i="34"/>
  <c r="AG14" i="34"/>
  <c r="BB14" i="34"/>
  <c r="AL14" i="34"/>
  <c r="J14" i="34"/>
  <c r="H14" i="34"/>
  <c r="K14" i="34"/>
  <c r="E14" i="34"/>
  <c r="I14" i="34"/>
  <c r="AJ14" i="34"/>
  <c r="AM14" i="34"/>
  <c r="AD14" i="34"/>
  <c r="AV14" i="34"/>
  <c r="AQ14" i="34"/>
  <c r="AW14" i="34"/>
  <c r="Z14" i="34"/>
  <c r="L14" i="34"/>
  <c r="AF14" i="34"/>
  <c r="AR14" i="34"/>
  <c r="AT14" i="34"/>
  <c r="Q14" i="34"/>
  <c r="AC14" i="34"/>
  <c r="AU14" i="34"/>
  <c r="M14" i="34"/>
  <c r="BC14" i="34"/>
  <c r="P14" i="34"/>
  <c r="S14" i="34"/>
  <c r="AX14" i="34"/>
  <c r="G14" i="34"/>
  <c r="AH14" i="34"/>
  <c r="R14" i="34"/>
  <c r="N14" i="34"/>
  <c r="AO14" i="34"/>
  <c r="BD14" i="34"/>
  <c r="AN14" i="34"/>
  <c r="V14" i="34"/>
  <c r="U14" i="34"/>
  <c r="AE14" i="34"/>
  <c r="AA14" i="34"/>
  <c r="T14" i="34"/>
  <c r="F14" i="34"/>
  <c r="X14" i="34"/>
  <c r="AB14" i="34"/>
  <c r="AS14" i="34"/>
  <c r="O14" i="34"/>
  <c r="AP14" i="34"/>
  <c r="AY14" i="34"/>
  <c r="W14" i="34"/>
  <c r="AI14" i="34"/>
  <c r="Q103" i="34"/>
  <c r="AI103" i="34"/>
  <c r="AQ103" i="34"/>
  <c r="W103" i="34"/>
  <c r="P103" i="34"/>
  <c r="R103" i="34"/>
  <c r="AV103" i="34"/>
  <c r="I103" i="34"/>
  <c r="V103" i="34"/>
  <c r="AZ103" i="34"/>
  <c r="BB103" i="34"/>
  <c r="E103" i="34"/>
  <c r="Z103" i="34"/>
  <c r="T103" i="34"/>
  <c r="S103" i="34"/>
  <c r="AK103" i="34"/>
  <c r="J103" i="34"/>
  <c r="U103" i="34"/>
  <c r="AL103" i="34"/>
  <c r="AA103" i="34"/>
  <c r="O103" i="34"/>
  <c r="AE103" i="34"/>
  <c r="AO103" i="34"/>
  <c r="N103" i="34"/>
  <c r="G103" i="34"/>
  <c r="L103" i="34"/>
  <c r="AW103" i="34"/>
  <c r="F103" i="34"/>
  <c r="AT103" i="34"/>
  <c r="AJ103" i="34"/>
  <c r="AB103" i="34"/>
  <c r="AC103" i="34"/>
  <c r="AU103" i="34"/>
  <c r="AM103" i="34"/>
  <c r="BC103" i="34"/>
  <c r="AD103" i="34"/>
  <c r="AH103" i="34"/>
  <c r="AS103" i="34"/>
  <c r="BA103" i="34"/>
  <c r="AG103" i="34"/>
  <c r="AR103" i="34"/>
  <c r="BD103" i="34"/>
  <c r="AN103" i="34"/>
  <c r="M103" i="34"/>
  <c r="K103" i="34"/>
  <c r="AP103" i="34"/>
  <c r="F98" i="34"/>
  <c r="AB98" i="34"/>
  <c r="O98" i="34"/>
  <c r="AH98" i="34"/>
  <c r="AQ98" i="34"/>
  <c r="BA98" i="34"/>
  <c r="BC98" i="34"/>
  <c r="BB98" i="34"/>
  <c r="G98" i="34"/>
  <c r="BD98" i="34"/>
  <c r="AS98" i="34"/>
  <c r="AI98" i="34"/>
  <c r="T98" i="34"/>
  <c r="Y98" i="34"/>
  <c r="E98" i="34"/>
  <c r="AC98" i="34"/>
  <c r="AO98" i="34"/>
  <c r="AR98" i="34"/>
  <c r="AZ98" i="34"/>
  <c r="H98" i="34"/>
  <c r="M98" i="34"/>
  <c r="AW98" i="34"/>
  <c r="V98" i="34"/>
  <c r="AT98" i="34"/>
  <c r="I98" i="34"/>
  <c r="AG98" i="34"/>
  <c r="AA98" i="34"/>
  <c r="AL98" i="34"/>
  <c r="Z98" i="34"/>
  <c r="AN98" i="34"/>
  <c r="AJ98" i="34"/>
  <c r="J98" i="34"/>
  <c r="N98" i="34"/>
  <c r="AD98" i="34"/>
  <c r="AV98" i="34"/>
  <c r="AY98" i="34"/>
  <c r="AU98" i="34"/>
  <c r="AF98" i="34"/>
  <c r="U98" i="34"/>
  <c r="W98" i="34"/>
  <c r="P98" i="34"/>
  <c r="AM98" i="34"/>
  <c r="S98" i="34"/>
  <c r="AZ71" i="34"/>
  <c r="BB71" i="34"/>
  <c r="BC71" i="34"/>
  <c r="Y71" i="34"/>
  <c r="H71" i="34"/>
  <c r="E71" i="34"/>
  <c r="F71" i="34"/>
  <c r="Q71" i="34"/>
  <c r="AA71" i="34"/>
  <c r="AQ71" i="34"/>
  <c r="M71" i="34"/>
  <c r="AO71" i="34"/>
  <c r="P71" i="34"/>
  <c r="K71" i="34"/>
  <c r="U71" i="34"/>
  <c r="R71" i="34"/>
  <c r="AW71" i="34"/>
  <c r="AN71" i="34"/>
  <c r="BA71" i="34"/>
  <c r="O71" i="34"/>
  <c r="AC71" i="34"/>
  <c r="G71" i="34"/>
  <c r="AD71" i="34"/>
  <c r="X71" i="34"/>
  <c r="L71" i="34"/>
  <c r="AH71" i="34"/>
  <c r="BD71" i="34"/>
  <c r="W71" i="34"/>
  <c r="AP71" i="34"/>
  <c r="AX71" i="34"/>
  <c r="AS71" i="34"/>
  <c r="AF71" i="34"/>
  <c r="I71" i="34"/>
  <c r="AG71" i="34"/>
  <c r="AU71" i="34"/>
  <c r="N71" i="34"/>
  <c r="AK71" i="34"/>
  <c r="V71" i="34"/>
  <c r="J71" i="34"/>
  <c r="T71" i="34"/>
  <c r="Z71" i="34"/>
  <c r="AL71" i="34"/>
  <c r="AJ71" i="34"/>
  <c r="AV71" i="34"/>
  <c r="AI71" i="34"/>
  <c r="AT71" i="34"/>
  <c r="AY71" i="34"/>
  <c r="X2571" i="10"/>
  <c r="AR62" i="34"/>
  <c r="I62" i="34"/>
  <c r="AV62" i="34"/>
  <c r="AI62" i="34"/>
  <c r="AB62" i="34"/>
  <c r="AA62" i="34"/>
  <c r="AU62" i="34"/>
  <c r="Z62" i="34"/>
  <c r="AS62" i="34"/>
  <c r="N62" i="34"/>
  <c r="U62" i="34"/>
  <c r="AJ62" i="34"/>
  <c r="AP62" i="34"/>
  <c r="AD62" i="34"/>
  <c r="BD62" i="34"/>
  <c r="L62" i="34"/>
  <c r="K62" i="34"/>
  <c r="BC62" i="34"/>
  <c r="BA62" i="34"/>
  <c r="E62" i="34"/>
  <c r="S62" i="34"/>
  <c r="AN62" i="34"/>
  <c r="M62" i="34"/>
  <c r="X62" i="34"/>
  <c r="Y62" i="34"/>
  <c r="R62" i="34"/>
  <c r="AU46" i="34"/>
  <c r="AY46" i="34"/>
  <c r="AE46" i="34"/>
  <c r="AV46" i="34"/>
  <c r="I46" i="34"/>
  <c r="G46" i="34"/>
  <c r="O46" i="34"/>
  <c r="AX46" i="34"/>
  <c r="Z46" i="34"/>
  <c r="BA46" i="34"/>
  <c r="AH46" i="34"/>
  <c r="AL46" i="34"/>
  <c r="AF46" i="34"/>
  <c r="AI46" i="34"/>
  <c r="AD46" i="34"/>
  <c r="AA46" i="34"/>
  <c r="BB46" i="34"/>
  <c r="AP46" i="34"/>
  <c r="M46" i="34"/>
  <c r="AK46" i="34"/>
  <c r="AO46" i="34"/>
  <c r="AB46" i="34"/>
  <c r="AT46" i="34"/>
  <c r="Q46" i="34"/>
  <c r="BC46" i="34"/>
  <c r="J46" i="34"/>
  <c r="X46" i="34"/>
  <c r="BD46" i="34"/>
  <c r="BC43" i="34"/>
  <c r="AQ43" i="34"/>
  <c r="O43" i="34"/>
  <c r="AX43" i="34"/>
  <c r="AR43" i="34"/>
  <c r="AY43" i="34"/>
  <c r="V43" i="34"/>
  <c r="AZ43" i="34"/>
  <c r="BB43" i="34"/>
  <c r="U43" i="34"/>
  <c r="P43" i="34"/>
  <c r="AU43" i="34"/>
  <c r="AS43" i="34"/>
  <c r="AH43" i="34"/>
  <c r="AM43" i="34"/>
  <c r="AD43" i="34"/>
  <c r="E43" i="34"/>
  <c r="AC43" i="34"/>
  <c r="I43" i="34"/>
  <c r="AJ43" i="34"/>
  <c r="J43" i="34"/>
  <c r="G43" i="34"/>
  <c r="Y43" i="34"/>
  <c r="AV43" i="34"/>
  <c r="Z43" i="34"/>
  <c r="R43" i="34"/>
  <c r="Q43" i="34"/>
  <c r="AN43" i="34"/>
  <c r="AG43" i="34"/>
  <c r="K43" i="34"/>
  <c r="AA43" i="34"/>
  <c r="X43" i="34"/>
  <c r="AO43" i="34"/>
  <c r="F28" i="34"/>
  <c r="H28" i="34"/>
  <c r="R28" i="34"/>
  <c r="AN28" i="34"/>
  <c r="AJ28" i="34"/>
  <c r="T28" i="34"/>
  <c r="AT28" i="34"/>
  <c r="AQ28" i="34"/>
  <c r="Z28" i="34"/>
  <c r="AB28" i="34"/>
  <c r="AL28" i="34"/>
  <c r="AV28" i="34"/>
  <c r="AZ28" i="34"/>
  <c r="AX28" i="34"/>
  <c r="S28" i="34"/>
  <c r="BB28" i="34"/>
  <c r="Q28" i="34"/>
  <c r="AP28" i="34"/>
  <c r="AF28" i="34"/>
  <c r="AR28" i="34"/>
  <c r="K28" i="34"/>
  <c r="BA28" i="34"/>
  <c r="AO28" i="34"/>
  <c r="AS28" i="34"/>
  <c r="I28" i="34"/>
  <c r="Q24" i="34"/>
  <c r="AE24" i="34"/>
  <c r="AN24" i="34"/>
  <c r="BB24" i="34"/>
  <c r="O24" i="34"/>
  <c r="AM24" i="34"/>
  <c r="K24" i="34"/>
  <c r="AF24" i="34"/>
  <c r="BD24" i="34"/>
  <c r="AK24" i="34"/>
  <c r="Z24" i="34"/>
  <c r="P24" i="34"/>
  <c r="AY24" i="34"/>
  <c r="AI24" i="34"/>
  <c r="M24" i="34"/>
  <c r="AL24" i="34"/>
  <c r="G24" i="34"/>
  <c r="U24" i="34"/>
  <c r="T24" i="34"/>
  <c r="AD24" i="34"/>
  <c r="BA24" i="34"/>
  <c r="AS24" i="34"/>
  <c r="L24" i="34"/>
  <c r="BC24" i="34"/>
  <c r="AQ24" i="34"/>
  <c r="AX24" i="34"/>
  <c r="AP24" i="34"/>
  <c r="AC24" i="34"/>
  <c r="S24" i="34"/>
  <c r="V24" i="34"/>
  <c r="AO24" i="34"/>
  <c r="W24" i="34"/>
  <c r="F20" i="34"/>
  <c r="X20" i="34"/>
  <c r="AM20" i="34"/>
  <c r="AV20" i="34"/>
  <c r="AO20" i="34"/>
  <c r="K20" i="34"/>
  <c r="AG20" i="34"/>
  <c r="AB20" i="34"/>
  <c r="AH20" i="34"/>
  <c r="AP20" i="34"/>
  <c r="AS20" i="34"/>
  <c r="AI20" i="34"/>
  <c r="AW20" i="34"/>
  <c r="AU20" i="34"/>
  <c r="S20" i="34"/>
  <c r="AQ20" i="34"/>
  <c r="BA20" i="34"/>
  <c r="AY20" i="34"/>
  <c r="E20" i="34"/>
  <c r="L20" i="34"/>
  <c r="AA20" i="34"/>
  <c r="G20" i="34"/>
  <c r="W20" i="34"/>
  <c r="M20" i="34"/>
  <c r="BB20" i="34"/>
  <c r="AJ20" i="34"/>
  <c r="O16" i="34"/>
  <c r="Y16" i="34"/>
  <c r="U16" i="34"/>
  <c r="AZ16" i="34"/>
  <c r="AI16" i="34"/>
  <c r="I16" i="34"/>
  <c r="AJ16" i="34"/>
  <c r="J16" i="34"/>
  <c r="AS16" i="34"/>
  <c r="AH16" i="34"/>
  <c r="AF16" i="34"/>
  <c r="BD16" i="34"/>
  <c r="AA16" i="34"/>
  <c r="X16" i="34"/>
  <c r="AG16" i="34"/>
  <c r="AT16" i="34"/>
  <c r="R16" i="34"/>
  <c r="AK16" i="34"/>
  <c r="BC16" i="34"/>
  <c r="K16" i="34"/>
  <c r="N16" i="34"/>
  <c r="Z16" i="34"/>
  <c r="AC16" i="34"/>
  <c r="BB16" i="34"/>
  <c r="S16" i="34"/>
  <c r="T16" i="34"/>
  <c r="AQ16" i="34"/>
  <c r="AD16" i="34"/>
  <c r="M16" i="34"/>
  <c r="I24" i="34"/>
  <c r="AU28" i="34"/>
  <c r="AB24" i="34"/>
  <c r="AA28" i="34"/>
  <c r="N43" i="34"/>
  <c r="Q16" i="34"/>
  <c r="AE43" i="34"/>
  <c r="AJ24" i="34"/>
  <c r="AY16" i="34"/>
  <c r="AE20" i="34"/>
  <c r="AG95" i="34"/>
  <c r="AS95" i="34"/>
  <c r="AJ95" i="34"/>
  <c r="S95" i="34"/>
  <c r="AC95" i="34"/>
  <c r="AX95" i="34"/>
  <c r="AW95" i="34"/>
  <c r="E95" i="34"/>
  <c r="T95" i="34"/>
  <c r="AM95" i="34"/>
  <c r="F95" i="34"/>
  <c r="J95" i="34"/>
  <c r="M95" i="34"/>
  <c r="BC95" i="34"/>
  <c r="AB95" i="34"/>
  <c r="AP95" i="34"/>
  <c r="R95" i="34"/>
  <c r="AR95" i="34"/>
  <c r="U95" i="34"/>
  <c r="BB95" i="34"/>
  <c r="AU95" i="34"/>
  <c r="AO95" i="34"/>
  <c r="AN95" i="34"/>
  <c r="Y95" i="34"/>
  <c r="AL95" i="34"/>
  <c r="O95" i="34"/>
  <c r="AI53" i="34"/>
  <c r="BD53" i="34"/>
  <c r="F53" i="34"/>
  <c r="V53" i="34"/>
  <c r="AN53" i="34"/>
  <c r="T53" i="34"/>
  <c r="G53" i="34"/>
  <c r="N53" i="34"/>
  <c r="AZ53" i="34"/>
  <c r="H53" i="34"/>
  <c r="W53" i="34"/>
  <c r="AT53" i="34"/>
  <c r="AJ53" i="34"/>
  <c r="M53" i="34"/>
  <c r="BA53" i="34"/>
  <c r="BC53" i="34"/>
  <c r="AC53" i="34"/>
  <c r="X53" i="34"/>
  <c r="AU53" i="34"/>
  <c r="E53" i="34"/>
  <c r="Y53" i="34"/>
  <c r="AK20" i="34"/>
  <c r="P62" i="34"/>
  <c r="AC20" i="34"/>
  <c r="O20" i="34"/>
  <c r="AD106" i="34"/>
  <c r="AC106" i="34"/>
  <c r="Y106" i="34"/>
  <c r="AM106" i="34"/>
  <c r="F106" i="34"/>
  <c r="AS106" i="34"/>
  <c r="AQ106" i="34"/>
  <c r="AT106" i="34"/>
  <c r="U106" i="34"/>
  <c r="BD106" i="34"/>
  <c r="AG106" i="34"/>
  <c r="AA106" i="34"/>
  <c r="AN106" i="34"/>
  <c r="W106" i="34"/>
  <c r="P106" i="34"/>
  <c r="E106" i="34"/>
  <c r="AE106" i="34"/>
  <c r="AU106" i="34"/>
  <c r="AX106" i="34"/>
  <c r="H106" i="34"/>
  <c r="AL106" i="34"/>
  <c r="AP106" i="34"/>
  <c r="T106" i="34"/>
  <c r="BA106" i="34"/>
  <c r="L106" i="34"/>
  <c r="V106" i="34"/>
  <c r="G106" i="34"/>
  <c r="S61" i="34"/>
  <c r="W61" i="34"/>
  <c r="Q61" i="34"/>
  <c r="AE61" i="34"/>
  <c r="BD61" i="34"/>
  <c r="F61" i="34"/>
  <c r="AY61" i="34"/>
  <c r="P61" i="34"/>
  <c r="R61" i="34"/>
  <c r="T61" i="34"/>
  <c r="AG61" i="34"/>
  <c r="AB61" i="34"/>
  <c r="AD61" i="34"/>
  <c r="O61" i="34"/>
  <c r="AW61" i="34"/>
  <c r="H61" i="34"/>
  <c r="AA61" i="34"/>
  <c r="V61" i="34"/>
  <c r="G61" i="34"/>
  <c r="AV61" i="34"/>
  <c r="AK61" i="34"/>
  <c r="BB61" i="34"/>
  <c r="I61" i="34"/>
  <c r="BC61" i="34"/>
  <c r="AB16" i="34"/>
  <c r="AN87" i="34"/>
  <c r="AP87" i="34"/>
  <c r="AH87" i="34"/>
  <c r="AR87" i="34"/>
  <c r="V87" i="34"/>
  <c r="N87" i="34"/>
  <c r="R87" i="34"/>
  <c r="G87" i="34"/>
  <c r="AS87" i="34"/>
  <c r="AY87" i="34"/>
  <c r="W87" i="34"/>
  <c r="AT87" i="34"/>
  <c r="AO87" i="34"/>
  <c r="AI87" i="34"/>
  <c r="BD87" i="34"/>
  <c r="J87" i="34"/>
  <c r="AJ87" i="34"/>
  <c r="X87" i="34"/>
  <c r="AM87" i="34"/>
  <c r="AF87" i="34"/>
  <c r="T87" i="34"/>
  <c r="L87" i="34"/>
  <c r="AV87" i="34"/>
  <c r="H87" i="34"/>
  <c r="AB87" i="34"/>
  <c r="AA87" i="34"/>
  <c r="P87" i="34"/>
  <c r="AK87" i="34"/>
  <c r="Y87" i="34"/>
  <c r="AI72" i="34"/>
  <c r="AM72" i="34"/>
  <c r="AK72" i="34"/>
  <c r="AV72" i="34"/>
  <c r="P72" i="34"/>
  <c r="AX72" i="34"/>
  <c r="X72" i="34"/>
  <c r="F72" i="34"/>
  <c r="M72" i="34"/>
  <c r="AY72" i="34"/>
  <c r="AE72" i="34"/>
  <c r="AD72" i="34"/>
  <c r="N72" i="34"/>
  <c r="O72" i="34"/>
  <c r="AL72" i="34"/>
  <c r="AW72" i="34"/>
  <c r="AZ72" i="34"/>
  <c r="G72" i="34"/>
  <c r="H72" i="34"/>
  <c r="S72" i="34"/>
  <c r="V72" i="34"/>
  <c r="AU72" i="34"/>
  <c r="R72" i="34"/>
  <c r="AB72" i="34"/>
  <c r="P28" i="34"/>
  <c r="G16" i="34"/>
  <c r="AV16" i="34"/>
  <c r="AU16" i="34"/>
  <c r="L43" i="34"/>
  <c r="AF62" i="34"/>
  <c r="AB108" i="34"/>
  <c r="R108" i="34"/>
  <c r="AY108" i="34"/>
  <c r="AF108" i="34"/>
  <c r="AC108" i="34"/>
  <c r="AI108" i="34"/>
  <c r="AI86" i="34"/>
  <c r="G86" i="34"/>
  <c r="Z86" i="34"/>
  <c r="AB86" i="34"/>
  <c r="AW86" i="34"/>
  <c r="U86" i="34"/>
  <c r="AD86" i="34"/>
  <c r="AU86" i="34"/>
  <c r="R86" i="34"/>
  <c r="P86" i="34"/>
  <c r="AM86" i="34"/>
  <c r="AV86" i="34"/>
  <c r="AK86" i="34"/>
  <c r="AR86" i="34"/>
  <c r="BA86" i="34"/>
  <c r="S86" i="34"/>
  <c r="AY86" i="34"/>
  <c r="E86" i="34"/>
  <c r="I64" i="34"/>
  <c r="AI64" i="34"/>
  <c r="AE64" i="34"/>
  <c r="R64" i="34"/>
  <c r="P64" i="34"/>
  <c r="M64" i="34"/>
  <c r="AF64" i="34"/>
  <c r="AA64" i="34"/>
  <c r="AO64" i="34"/>
  <c r="AH64" i="34"/>
  <c r="Z64" i="34"/>
  <c r="H64" i="34"/>
  <c r="AB64" i="34"/>
  <c r="S64" i="34"/>
  <c r="K64" i="34"/>
  <c r="X64" i="34"/>
  <c r="BC64" i="34"/>
  <c r="E64" i="34"/>
  <c r="AP64" i="34"/>
  <c r="AW64" i="34"/>
  <c r="F64" i="34"/>
  <c r="AL64" i="34"/>
  <c r="L64" i="34"/>
  <c r="G64" i="34"/>
  <c r="AV64" i="34"/>
  <c r="BD64" i="34"/>
  <c r="O62" i="34"/>
  <c r="AR20" i="34"/>
  <c r="J62" i="34"/>
  <c r="AQ109" i="34"/>
  <c r="X109" i="34"/>
  <c r="AT109" i="34"/>
  <c r="N109" i="34"/>
  <c r="P109" i="34"/>
  <c r="AJ109" i="34"/>
  <c r="AX109" i="34"/>
  <c r="M109" i="34"/>
  <c r="BC109" i="34"/>
  <c r="AK109" i="34"/>
  <c r="AY109" i="34"/>
  <c r="Y109" i="34"/>
  <c r="BD109" i="34"/>
  <c r="H109" i="34"/>
  <c r="J109" i="34"/>
  <c r="AI109" i="34"/>
  <c r="AR109" i="34"/>
  <c r="AP109" i="34"/>
  <c r="K109" i="34"/>
  <c r="BB109" i="34"/>
  <c r="AL109" i="34"/>
  <c r="AU109" i="34"/>
  <c r="AB109" i="34"/>
  <c r="AW109" i="34"/>
  <c r="AM109" i="34"/>
  <c r="AT101" i="34"/>
  <c r="O101" i="34"/>
  <c r="K101" i="34"/>
  <c r="AM101" i="34"/>
  <c r="W101" i="34"/>
  <c r="G101" i="34"/>
  <c r="T101" i="34"/>
  <c r="AU101" i="34"/>
  <c r="AD101" i="34"/>
  <c r="AJ101" i="34"/>
  <c r="J101" i="34"/>
  <c r="H101" i="34"/>
  <c r="AO101" i="34"/>
  <c r="AB101" i="34"/>
  <c r="O28" i="34"/>
  <c r="J104" i="34"/>
  <c r="H104" i="34"/>
  <c r="AK104" i="34"/>
  <c r="AV104" i="34"/>
  <c r="AI104" i="34"/>
  <c r="P104" i="34"/>
  <c r="AJ104" i="34"/>
  <c r="AA104" i="34"/>
  <c r="I104" i="34"/>
  <c r="AP104" i="34"/>
  <c r="AS104" i="34"/>
  <c r="AD104" i="34"/>
  <c r="BB104" i="34"/>
  <c r="Q104" i="34"/>
  <c r="K104" i="34"/>
  <c r="AC104" i="34"/>
  <c r="O104" i="34"/>
  <c r="AL104" i="34"/>
  <c r="AM104" i="34"/>
  <c r="W104" i="34"/>
  <c r="G104" i="34"/>
  <c r="X104" i="34"/>
  <c r="BD104" i="34"/>
  <c r="AF93" i="34"/>
  <c r="H93" i="34"/>
  <c r="G93" i="34"/>
  <c r="W93" i="34"/>
  <c r="E93" i="34"/>
  <c r="K93" i="34"/>
  <c r="AW93" i="34"/>
  <c r="R93" i="34"/>
  <c r="AZ93" i="34"/>
  <c r="AR93" i="34"/>
  <c r="AB93" i="34"/>
  <c r="AM93" i="34"/>
  <c r="O93" i="34"/>
  <c r="AT93" i="34"/>
  <c r="AE93" i="34"/>
  <c r="AJ93" i="34"/>
  <c r="BA93" i="34"/>
  <c r="BB93" i="34"/>
  <c r="U93" i="34"/>
  <c r="AS93" i="34"/>
  <c r="AU93" i="34"/>
  <c r="AK93" i="34"/>
  <c r="S93" i="34"/>
  <c r="AP93" i="34"/>
  <c r="Y93" i="34"/>
  <c r="BD55" i="34"/>
  <c r="F55" i="34"/>
  <c r="G55" i="34"/>
  <c r="AK55" i="34"/>
  <c r="I55" i="34"/>
  <c r="AD55" i="34"/>
  <c r="BC55" i="34"/>
  <c r="P55" i="34"/>
  <c r="N55" i="34"/>
  <c r="AJ55" i="34"/>
  <c r="AV55" i="34"/>
  <c r="AN55" i="34"/>
  <c r="AP55" i="34"/>
  <c r="U55" i="34"/>
  <c r="M55" i="34"/>
  <c r="AT55" i="34"/>
  <c r="AW55" i="34"/>
  <c r="AO55" i="34"/>
  <c r="AI55" i="34"/>
  <c r="P51" i="34"/>
  <c r="X51" i="34"/>
  <c r="R51" i="34"/>
  <c r="N51" i="34"/>
  <c r="BA51" i="34"/>
  <c r="AJ51" i="34"/>
  <c r="Y51" i="34"/>
  <c r="AV51" i="34"/>
  <c r="BB51" i="34"/>
  <c r="V51" i="34"/>
  <c r="AE51" i="34"/>
  <c r="K51" i="34"/>
  <c r="AN51" i="34"/>
  <c r="AO51" i="34"/>
  <c r="J51" i="34"/>
  <c r="AR51" i="34"/>
  <c r="M51" i="34"/>
  <c r="AS51" i="34"/>
  <c r="AA51" i="34"/>
  <c r="AF51" i="34"/>
  <c r="AB51" i="34"/>
  <c r="BC51" i="34"/>
  <c r="Z51" i="34"/>
  <c r="AY51" i="34"/>
  <c r="AW51" i="34"/>
  <c r="T51" i="34"/>
  <c r="BP106" i="34"/>
  <c r="V10" i="34"/>
  <c r="U10" i="34"/>
  <c r="AU10" i="34"/>
  <c r="P1498" i="10"/>
  <c r="P1564" i="10"/>
  <c r="P1595" i="10"/>
  <c r="AK96" i="34"/>
  <c r="AN96" i="34"/>
  <c r="AT96" i="34"/>
  <c r="W96" i="34"/>
  <c r="AF96" i="34"/>
  <c r="BA96" i="34"/>
  <c r="AA96" i="34"/>
  <c r="AI96" i="34"/>
  <c r="E96" i="34"/>
  <c r="AL96" i="34"/>
  <c r="I96" i="34"/>
  <c r="AX96" i="34"/>
  <c r="AR96" i="34"/>
  <c r="AJ96" i="34"/>
  <c r="AH96" i="34"/>
  <c r="K96" i="34"/>
  <c r="M96" i="34"/>
  <c r="L96" i="34"/>
  <c r="N96" i="34"/>
  <c r="AD96" i="34"/>
  <c r="AC96" i="34"/>
  <c r="AG96" i="34"/>
  <c r="J96" i="34"/>
  <c r="AY96" i="34"/>
  <c r="V96" i="34"/>
  <c r="AO96" i="34"/>
  <c r="AW96" i="34"/>
  <c r="AQ96" i="34"/>
  <c r="AZ96" i="34"/>
  <c r="BD96" i="34"/>
  <c r="X96" i="34"/>
  <c r="AE96" i="34"/>
  <c r="AU96" i="34"/>
  <c r="S96" i="34"/>
  <c r="AV96" i="34"/>
  <c r="Z96" i="34"/>
  <c r="G96" i="34"/>
  <c r="T96" i="34"/>
  <c r="BB96" i="34"/>
  <c r="AS96" i="34"/>
  <c r="U96" i="34"/>
  <c r="BC96" i="34"/>
  <c r="P96" i="34"/>
  <c r="Y96" i="34"/>
  <c r="AP96" i="34"/>
  <c r="F96" i="34"/>
  <c r="O96" i="34"/>
  <c r="Q96" i="34"/>
  <c r="AM96" i="34"/>
  <c r="H108" i="34"/>
  <c r="AS39" i="34"/>
  <c r="AG39" i="34"/>
  <c r="I108" i="34"/>
  <c r="AT68" i="34"/>
  <c r="AB68" i="34"/>
  <c r="AC35" i="34"/>
  <c r="BD108" i="34"/>
  <c r="AS108" i="34"/>
  <c r="AO68" i="34"/>
  <c r="AU35" i="34"/>
  <c r="O108" i="34"/>
  <c r="AZ68" i="34"/>
  <c r="AZ35" i="34"/>
  <c r="Q35" i="34"/>
  <c r="S35" i="34"/>
  <c r="AL94" i="34"/>
  <c r="BA94" i="34"/>
  <c r="O94" i="34"/>
  <c r="AP94" i="34"/>
  <c r="BN11" i="34"/>
  <c r="C12" i="34"/>
  <c r="L32" i="34"/>
  <c r="P32" i="34"/>
  <c r="R39" i="34"/>
  <c r="X39" i="34"/>
  <c r="AM39" i="34"/>
  <c r="S39" i="34"/>
  <c r="AG108" i="34"/>
  <c r="T108" i="34"/>
  <c r="K39" i="34"/>
  <c r="Z39" i="34"/>
  <c r="AF68" i="34"/>
  <c r="AG35" i="34"/>
  <c r="AN108" i="34"/>
  <c r="BC68" i="34"/>
  <c r="AT108" i="34"/>
  <c r="E39" i="34"/>
  <c r="P108" i="34"/>
  <c r="AK35" i="34"/>
  <c r="AW108" i="34"/>
  <c r="AM68" i="34"/>
  <c r="AJ94" i="34"/>
  <c r="J94" i="34"/>
  <c r="F68" i="34"/>
  <c r="AL100" i="34"/>
  <c r="AI35" i="34"/>
  <c r="BA108" i="34"/>
  <c r="AJ108" i="34"/>
  <c r="B13" i="34"/>
  <c r="BC99" i="34"/>
  <c r="U99" i="34"/>
  <c r="T99" i="34"/>
  <c r="J99" i="34"/>
  <c r="AD93" i="34"/>
  <c r="AV93" i="34"/>
  <c r="AY93" i="34"/>
  <c r="S68" i="34"/>
  <c r="J68" i="34"/>
  <c r="BB68" i="34"/>
  <c r="AD68" i="34"/>
  <c r="Q68" i="34"/>
  <c r="AK108" i="34"/>
  <c r="F35" i="34"/>
  <c r="K108" i="34"/>
  <c r="AN68" i="34"/>
  <c r="AV35" i="34"/>
  <c r="AF35" i="34"/>
  <c r="AJ39" i="34"/>
  <c r="AP108" i="34"/>
  <c r="N68" i="34"/>
  <c r="AY68" i="34"/>
  <c r="BC39" i="34"/>
  <c r="AR108" i="34"/>
  <c r="E108" i="34"/>
  <c r="AA94" i="34"/>
  <c r="AZ97" i="34"/>
  <c r="AS90" i="34"/>
  <c r="AE90" i="34"/>
  <c r="AM90" i="34"/>
  <c r="BD85" i="34"/>
  <c r="I85" i="34"/>
  <c r="AJ22" i="34"/>
  <c r="AO22" i="34"/>
  <c r="W22" i="34"/>
  <c r="O22" i="34"/>
  <c r="T15" i="34"/>
  <c r="AY15" i="34"/>
  <c r="W15" i="34"/>
  <c r="AG15" i="34"/>
  <c r="Z15" i="34"/>
  <c r="AE15" i="34"/>
  <c r="BC108" i="34"/>
  <c r="E68" i="34"/>
  <c r="E35" i="34"/>
  <c r="Q108" i="34"/>
  <c r="BB35" i="34"/>
  <c r="M108" i="34"/>
  <c r="V39" i="34"/>
  <c r="J108" i="34"/>
  <c r="I35" i="34"/>
  <c r="W35" i="34"/>
  <c r="T35" i="34"/>
  <c r="G35" i="34"/>
  <c r="AH39" i="34"/>
  <c r="I39" i="34"/>
  <c r="AW39" i="34"/>
  <c r="J35" i="34"/>
  <c r="AD35" i="34"/>
  <c r="AO39" i="34"/>
  <c r="F39" i="34"/>
  <c r="H68" i="34"/>
  <c r="K35" i="34"/>
  <c r="AX108" i="34"/>
  <c r="U39" i="34"/>
  <c r="BB108" i="34"/>
  <c r="AD108" i="34"/>
  <c r="AQ39" i="34"/>
  <c r="AJ68" i="34"/>
  <c r="AC68" i="34"/>
  <c r="Y92" i="34"/>
  <c r="AZ92" i="34"/>
  <c r="N92" i="34"/>
  <c r="K59" i="34"/>
  <c r="S59" i="34"/>
  <c r="K48" i="34"/>
  <c r="W48" i="34"/>
  <c r="AQ48" i="34"/>
  <c r="AR37" i="34"/>
  <c r="BA37" i="34"/>
  <c r="AX37" i="34"/>
  <c r="AU108" i="34"/>
  <c r="AZ108" i="34"/>
  <c r="S108" i="34"/>
  <c r="AJ35" i="34"/>
  <c r="AO35" i="34"/>
  <c r="AN35" i="34"/>
  <c r="AM108" i="34"/>
  <c r="AQ108" i="34"/>
  <c r="N35" i="34"/>
  <c r="AN39" i="34"/>
  <c r="AX35" i="34"/>
  <c r="R35" i="34"/>
  <c r="AT35" i="34"/>
  <c r="H39" i="34"/>
  <c r="P68" i="34"/>
  <c r="AU68" i="34"/>
  <c r="AK68" i="34"/>
  <c r="Z35" i="34"/>
  <c r="AY35" i="34"/>
  <c r="AV68" i="34"/>
  <c r="U35" i="34"/>
  <c r="BA68" i="34"/>
  <c r="Z68" i="34"/>
  <c r="AV39" i="34"/>
  <c r="AP68" i="34"/>
  <c r="AA35" i="34"/>
  <c r="U68" i="34"/>
  <c r="J39" i="34"/>
  <c r="I68" i="34"/>
  <c r="AT39" i="34"/>
  <c r="BD68" i="34"/>
  <c r="BA35" i="34"/>
  <c r="AE108" i="34"/>
  <c r="BA84" i="34"/>
  <c r="AB84" i="34"/>
  <c r="AR58" i="34"/>
  <c r="AU58" i="34"/>
  <c r="AE68" i="34"/>
  <c r="AU39" i="34"/>
  <c r="AO108" i="34"/>
  <c r="AS35" i="34"/>
  <c r="AR68" i="34"/>
  <c r="AV108" i="34"/>
  <c r="M39" i="34"/>
  <c r="K68" i="34"/>
  <c r="BA39" i="34"/>
  <c r="AP39" i="34"/>
  <c r="AG68" i="34"/>
  <c r="G39" i="34"/>
  <c r="AM35" i="34"/>
  <c r="L39" i="34"/>
  <c r="AR35" i="34"/>
  <c r="Y68" i="34"/>
  <c r="AK39" i="34"/>
  <c r="O39" i="34"/>
  <c r="AY39" i="34"/>
  <c r="L68" i="34"/>
  <c r="N108" i="34"/>
  <c r="AI39" i="34"/>
  <c r="AS68" i="34"/>
  <c r="AW68" i="34"/>
  <c r="V35" i="34"/>
  <c r="M68" i="34"/>
  <c r="AX39" i="34"/>
  <c r="AL35" i="34"/>
  <c r="I97" i="34"/>
  <c r="AC94" i="34"/>
  <c r="AL108" i="34"/>
  <c r="G97" i="34"/>
  <c r="V107" i="34"/>
  <c r="AS107" i="34"/>
  <c r="BC107" i="34"/>
  <c r="Y107" i="34"/>
  <c r="AY104" i="34"/>
  <c r="S104" i="34"/>
  <c r="AE104" i="34"/>
  <c r="BB101" i="34"/>
  <c r="AH101" i="34"/>
  <c r="Q101" i="34"/>
  <c r="I44" i="34"/>
  <c r="Q44" i="34"/>
  <c r="AI44" i="34"/>
  <c r="W44" i="34"/>
  <c r="AP25" i="34"/>
  <c r="V25" i="34"/>
  <c r="U25" i="34"/>
  <c r="AB35" i="34"/>
  <c r="L35" i="34"/>
  <c r="AA39" i="34"/>
  <c r="AA68" i="34"/>
  <c r="F108" i="34"/>
  <c r="Y39" i="34"/>
  <c r="N39" i="34"/>
  <c r="BD39" i="34"/>
  <c r="Z108" i="34"/>
  <c r="AH35" i="34"/>
  <c r="AQ68" i="34"/>
  <c r="V108" i="34"/>
  <c r="W39" i="34"/>
  <c r="M35" i="34"/>
  <c r="W108" i="34"/>
  <c r="AH68" i="34"/>
  <c r="X100" i="34"/>
  <c r="X108" i="34"/>
  <c r="AL68" i="34"/>
  <c r="R68" i="34"/>
  <c r="X97" i="34"/>
  <c r="P1248" i="10"/>
  <c r="P1338" i="10"/>
  <c r="P1445" i="10"/>
  <c r="AU79" i="34"/>
  <c r="AK79" i="34"/>
  <c r="M79" i="34"/>
  <c r="Q11" i="34"/>
  <c r="AZ11" i="34"/>
  <c r="X2531" i="10"/>
  <c r="P1321" i="10"/>
  <c r="P1494" i="10"/>
  <c r="P1598" i="10"/>
  <c r="P1384" i="10"/>
  <c r="P1447" i="10"/>
  <c r="X2570" i="10"/>
  <c r="P1275" i="10"/>
  <c r="P1448" i="10"/>
  <c r="P1597" i="10"/>
  <c r="V37" i="34"/>
  <c r="BA109" i="34"/>
  <c r="N90" i="34"/>
  <c r="AD90" i="34"/>
  <c r="W28" i="34"/>
  <c r="AZ29" i="34"/>
  <c r="AA85" i="34"/>
  <c r="BC75" i="34"/>
  <c r="AI77" i="34"/>
  <c r="AY28" i="34"/>
  <c r="P23" i="34"/>
  <c r="AH72" i="34"/>
  <c r="AA102" i="34"/>
  <c r="AA86" i="34"/>
  <c r="AL44" i="34"/>
  <c r="AX61" i="34"/>
  <c r="AT86" i="34"/>
  <c r="S71" i="34"/>
  <c r="X25" i="34"/>
  <c r="AP27" i="34"/>
  <c r="U88" i="34"/>
  <c r="V109" i="34"/>
  <c r="AM71" i="34"/>
  <c r="S81" i="34"/>
  <c r="BB23" i="34"/>
  <c r="AE32" i="34"/>
  <c r="AY50" i="34"/>
  <c r="O23" i="34"/>
  <c r="AW57" i="34"/>
  <c r="P92" i="34"/>
  <c r="R96" i="34"/>
  <c r="S60" i="34"/>
  <c r="AG50" i="34"/>
  <c r="K82" i="34"/>
  <c r="AC15" i="34"/>
  <c r="AX98" i="34"/>
  <c r="BC52" i="34"/>
  <c r="AF27" i="34"/>
  <c r="AT67" i="34"/>
  <c r="AZ42" i="34"/>
  <c r="AT36" i="34"/>
  <c r="AN107" i="34"/>
  <c r="J61" i="34"/>
  <c r="BB106" i="34"/>
  <c r="E42" i="34"/>
  <c r="W72" i="34"/>
  <c r="Z79" i="34"/>
  <c r="AK91" i="34"/>
  <c r="AX57" i="34"/>
  <c r="U72" i="34"/>
  <c r="AC52" i="34"/>
  <c r="Q93" i="34"/>
  <c r="N27" i="34"/>
  <c r="S30" i="34"/>
  <c r="Y86" i="34"/>
  <c r="AG34" i="34"/>
  <c r="G19" i="34"/>
  <c r="U67" i="34"/>
  <c r="AQ77" i="34"/>
  <c r="T86" i="34"/>
  <c r="R79" i="34"/>
  <c r="AA40" i="34"/>
  <c r="P53" i="34"/>
  <c r="AT32" i="34"/>
  <c r="BA29" i="34"/>
  <c r="W26" i="34"/>
  <c r="E99" i="34"/>
  <c r="K72" i="34"/>
  <c r="S44" i="34"/>
  <c r="T102" i="34"/>
  <c r="AO47" i="34"/>
  <c r="AM21" i="34"/>
  <c r="AB65" i="34"/>
  <c r="P26" i="34"/>
  <c r="BA78" i="34"/>
  <c r="AE94" i="34"/>
  <c r="AB76" i="34"/>
  <c r="AY102" i="34"/>
  <c r="AW24" i="34"/>
  <c r="AJ42" i="34"/>
  <c r="Q98" i="34"/>
  <c r="G107" i="34"/>
  <c r="AD105" i="34"/>
  <c r="Q37" i="34"/>
  <c r="AS31" i="34"/>
  <c r="L95" i="34"/>
  <c r="BC82" i="34"/>
  <c r="W21" i="34"/>
  <c r="AE45" i="34"/>
  <c r="J55" i="34"/>
  <c r="AL87" i="34"/>
  <c r="G25" i="34"/>
  <c r="AR31" i="34"/>
  <c r="BA48" i="34"/>
  <c r="X89" i="34"/>
  <c r="H103" i="34"/>
  <c r="AJ102" i="34"/>
  <c r="O59" i="34"/>
  <c r="K74" i="34"/>
  <c r="AO56" i="34"/>
  <c r="AF61" i="34"/>
  <c r="F51" i="34"/>
  <c r="BC57" i="34"/>
  <c r="Q40" i="34"/>
  <c r="E85" i="34"/>
  <c r="AJ17" i="34"/>
  <c r="BB56" i="34"/>
  <c r="M86" i="34"/>
  <c r="AE38" i="34"/>
  <c r="AU104" i="34"/>
  <c r="AV100" i="34"/>
  <c r="Q95" i="34"/>
  <c r="U27" i="34"/>
  <c r="AB96" i="34"/>
  <c r="AX62" i="34"/>
  <c r="AB74" i="34"/>
  <c r="AL47" i="34"/>
  <c r="K32" i="34"/>
  <c r="Q59" i="34"/>
  <c r="AD57" i="34"/>
  <c r="AC109" i="34"/>
  <c r="Y58" i="34"/>
  <c r="AP21" i="34"/>
  <c r="H41" i="34"/>
  <c r="T43" i="34"/>
  <c r="AF103" i="34"/>
  <c r="BD63" i="34"/>
  <c r="V68" i="34"/>
  <c r="AW101" i="34"/>
  <c r="AC46" i="34"/>
  <c r="AI48" i="34"/>
  <c r="Y59" i="34"/>
  <c r="T31" i="34"/>
  <c r="X82" i="34"/>
  <c r="Y35" i="34"/>
  <c r="AE49" i="34"/>
  <c r="R104" i="34"/>
  <c r="AQ87" i="34"/>
  <c r="K99" i="34"/>
  <c r="AG44" i="34"/>
  <c r="AH79" i="34"/>
  <c r="AR71" i="34"/>
  <c r="O75" i="34"/>
  <c r="O49" i="34"/>
  <c r="S38" i="34"/>
  <c r="F104" i="34"/>
  <c r="H15" i="34"/>
  <c r="AM29" i="34"/>
  <c r="AH94" i="34"/>
  <c r="W86" i="34"/>
  <c r="R20" i="34"/>
  <c r="AB49" i="34"/>
  <c r="Z97" i="34"/>
  <c r="AP77" i="34"/>
  <c r="AA55" i="34"/>
  <c r="Z20" i="34"/>
  <c r="AY13" i="34"/>
  <c r="I51" i="34"/>
  <c r="AG92" i="34"/>
  <c r="Q49" i="34"/>
  <c r="L107" i="34"/>
  <c r="R80" i="34"/>
  <c r="T104" i="34"/>
  <c r="Y108" i="34"/>
  <c r="F59" i="34"/>
  <c r="AJ13" i="34"/>
  <c r="G68" i="34"/>
  <c r="AR91" i="34"/>
  <c r="Z41" i="34"/>
  <c r="BA83" i="34"/>
  <c r="AI38" i="34"/>
  <c r="R36" i="34"/>
  <c r="AW62" i="34"/>
  <c r="AR105" i="34"/>
  <c r="AK28" i="34"/>
  <c r="AN86" i="34"/>
  <c r="AK54" i="34"/>
  <c r="Z81" i="34"/>
  <c r="AE91" i="34"/>
  <c r="N63" i="34"/>
  <c r="AY77" i="34"/>
  <c r="AS19" i="34"/>
  <c r="AM94" i="34"/>
  <c r="AX102" i="34"/>
  <c r="Q90" i="34"/>
  <c r="AX81" i="34"/>
  <c r="AJ82" i="34"/>
  <c r="E31" i="34"/>
  <c r="AD63" i="34"/>
  <c r="V75" i="34"/>
  <c r="N86" i="34"/>
  <c r="AY40" i="34"/>
  <c r="AB45" i="34"/>
  <c r="AW30" i="34"/>
  <c r="M76" i="34"/>
  <c r="AA15" i="34"/>
  <c r="M85" i="34"/>
  <c r="AT31" i="34"/>
  <c r="F84" i="34"/>
  <c r="H88" i="34"/>
  <c r="AG22" i="34"/>
  <c r="AY49" i="34"/>
  <c r="Q54" i="34"/>
  <c r="AN46" i="34"/>
  <c r="G56" i="34"/>
  <c r="Q55" i="34"/>
  <c r="AQ38" i="34"/>
  <c r="AT95" i="34"/>
  <c r="AE35" i="34"/>
  <c r="AX79" i="34"/>
  <c r="Y85" i="34"/>
  <c r="AL75" i="34"/>
  <c r="BB55" i="34"/>
  <c r="AX92" i="34"/>
  <c r="AU25" i="34"/>
  <c r="AY90" i="34"/>
  <c r="AT25" i="34"/>
  <c r="U12" i="34"/>
  <c r="AH13" i="34"/>
  <c r="AN18" i="34"/>
  <c r="V38" i="34"/>
  <c r="J57" i="34"/>
  <c r="Z72" i="34"/>
  <c r="AV56" i="34"/>
  <c r="AD99" i="34"/>
  <c r="X79" i="34"/>
  <c r="AY85" i="34"/>
  <c r="H81" i="34"/>
  <c r="AX29" i="34"/>
  <c r="AW25" i="34"/>
  <c r="I19" i="34"/>
  <c r="AR57" i="34"/>
  <c r="H55" i="34"/>
  <c r="AV101" i="34"/>
  <c r="K55" i="34"/>
  <c r="AQ82" i="34"/>
  <c r="O85" i="34"/>
  <c r="P22" i="34"/>
  <c r="AZ104" i="34"/>
  <c r="AY34" i="34"/>
  <c r="AE109" i="34"/>
  <c r="U34" i="34"/>
  <c r="AP84" i="34"/>
  <c r="BB87" i="34"/>
  <c r="V94" i="34"/>
  <c r="Q21" i="34"/>
  <c r="Y103" i="34"/>
  <c r="AU34" i="34"/>
  <c r="AX88" i="34"/>
  <c r="BA87" i="34"/>
  <c r="BB81" i="34"/>
  <c r="E80" i="34"/>
  <c r="AA11" i="34"/>
  <c r="L49" i="34"/>
  <c r="AV40" i="34"/>
  <c r="G108" i="34"/>
  <c r="Y14" i="34"/>
  <c r="AL102" i="34"/>
  <c r="X103" i="34"/>
  <c r="AF57" i="34"/>
  <c r="BA14" i="34"/>
  <c r="R37" i="34"/>
  <c r="AQ31" i="34"/>
  <c r="AZ90" i="34"/>
  <c r="Z61" i="34"/>
  <c r="AG49" i="34"/>
  <c r="K66" i="34"/>
  <c r="T63" i="34"/>
  <c r="AL25" i="34"/>
  <c r="F69" i="34"/>
  <c r="S109" i="34"/>
  <c r="AK100" i="34"/>
  <c r="AR39" i="34"/>
  <c r="AR32" i="34"/>
  <c r="G13" i="34"/>
  <c r="AT84" i="34"/>
  <c r="U28" i="34"/>
  <c r="AD41" i="34"/>
  <c r="AY92" i="34"/>
  <c r="AN42" i="34"/>
  <c r="Y48" i="34"/>
  <c r="K56" i="34"/>
  <c r="BC37" i="34"/>
  <c r="N61" i="34"/>
  <c r="V11" i="34"/>
  <c r="G88" i="34"/>
  <c r="R46" i="34"/>
  <c r="AT107" i="34"/>
  <c r="AH109" i="34"/>
  <c r="AN101" i="34"/>
  <c r="P91" i="34"/>
  <c r="J18" i="34"/>
  <c r="AW16" i="34"/>
  <c r="U101" i="34"/>
  <c r="AG42" i="34"/>
  <c r="L36" i="34"/>
  <c r="AS76" i="34"/>
  <c r="X28" i="34"/>
  <c r="AS23" i="34"/>
  <c r="AI78" i="34"/>
  <c r="P30" i="34"/>
  <c r="U31" i="34"/>
  <c r="AH62" i="34"/>
  <c r="L11" i="34"/>
  <c r="AK82" i="34"/>
  <c r="AU15" i="34"/>
  <c r="L59" i="34"/>
  <c r="BB30" i="34"/>
  <c r="AN94" i="34"/>
  <c r="AI43" i="34"/>
  <c r="BA23" i="34"/>
  <c r="R98" i="34"/>
  <c r="F47" i="34"/>
  <c r="O79" i="34"/>
  <c r="E84" i="34"/>
  <c r="R76" i="34"/>
  <c r="AL62" i="34"/>
  <c r="P46" i="34"/>
  <c r="U85" i="34"/>
  <c r="W68" i="34"/>
  <c r="H75" i="34"/>
  <c r="I100" i="34"/>
  <c r="AC17" i="34"/>
  <c r="BA47" i="34"/>
  <c r="AX45" i="34"/>
  <c r="AQ61" i="34"/>
  <c r="AQ105" i="34"/>
  <c r="AC86" i="34"/>
  <c r="U15" i="34"/>
  <c r="J92" i="34"/>
  <c r="T107" i="34"/>
  <c r="AF72" i="34"/>
  <c r="AE28" i="34"/>
  <c r="F80" i="34"/>
  <c r="M58" i="34"/>
  <c r="AL55" i="34"/>
  <c r="K61" i="34"/>
  <c r="AS72" i="34"/>
  <c r="L47" i="34"/>
  <c r="AF109" i="34"/>
  <c r="AS17" i="34"/>
  <c r="H12" i="34"/>
  <c r="BC101" i="34"/>
  <c r="AO106" i="34"/>
  <c r="E41" i="34"/>
  <c r="I107" i="34"/>
  <c r="AZ88" i="34"/>
  <c r="AR27" i="34"/>
  <c r="Q62" i="34"/>
  <c r="T72" i="34"/>
  <c r="AZ14" i="34"/>
  <c r="AZ21" i="34"/>
  <c r="AD20" i="34"/>
  <c r="BD72" i="34"/>
  <c r="Q87" i="34"/>
  <c r="AE67" i="34"/>
  <c r="Q31" i="34"/>
  <c r="AY11" i="34"/>
  <c r="AG83" i="34"/>
  <c r="K98" i="34"/>
  <c r="AW32" i="34"/>
  <c r="I56" i="34"/>
  <c r="AN70" i="34"/>
  <c r="U22" i="34"/>
  <c r="BC33" i="34"/>
  <c r="AL41" i="34"/>
  <c r="Z94" i="34"/>
  <c r="AO86" i="34"/>
  <c r="AF85" i="34"/>
  <c r="U56" i="34"/>
  <c r="AH66" i="34"/>
  <c r="AL48" i="34"/>
  <c r="BA101" i="34"/>
  <c r="AQ11" i="34"/>
  <c r="AB71" i="34"/>
  <c r="AQ100" i="34"/>
  <c r="E36" i="34"/>
  <c r="H77" i="34"/>
  <c r="I91" i="34"/>
  <c r="AA93" i="34"/>
  <c r="AJ61" i="34"/>
  <c r="O29" i="34"/>
  <c r="BB86" i="34"/>
  <c r="AW90" i="34"/>
  <c r="AW106" i="34"/>
  <c r="AY88" i="34"/>
  <c r="V26" i="34"/>
  <c r="AL52" i="34"/>
  <c r="BC13" i="34"/>
  <c r="O35" i="34"/>
  <c r="W59" i="34"/>
  <c r="AT30" i="34"/>
  <c r="O78" i="34"/>
  <c r="AZ60" i="34"/>
  <c r="AO77" i="34"/>
  <c r="AI94" i="34"/>
  <c r="AH93" i="34"/>
  <c r="BA104" i="34"/>
  <c r="AP101" i="34"/>
  <c r="AM52" i="34"/>
  <c r="AK14" i="34"/>
  <c r="I106" i="34"/>
  <c r="BA64" i="34"/>
  <c r="S80" i="34"/>
  <c r="U54" i="34"/>
  <c r="AY103" i="34"/>
  <c r="BD44" i="34"/>
  <c r="H96" i="34"/>
  <c r="AM28" i="34"/>
  <c r="AW27" i="34"/>
  <c r="Y21" i="34"/>
  <c r="AK50" i="34"/>
  <c r="V16" i="34"/>
  <c r="AI65" i="34"/>
  <c r="L19" i="34"/>
  <c r="BD31" i="34"/>
  <c r="O68" i="34"/>
  <c r="X60" i="34"/>
  <c r="AQ81" i="34"/>
  <c r="M15" i="34"/>
  <c r="BC86" i="34"/>
  <c r="AP98" i="34"/>
  <c r="AB100" i="34"/>
  <c r="AA95" i="34"/>
  <c r="AF43" i="34"/>
  <c r="X98" i="34"/>
  <c r="G73" i="34"/>
  <c r="AL61" i="34"/>
  <c r="AZ23" i="34"/>
  <c r="BA72" i="34"/>
  <c r="AF97" i="34"/>
  <c r="O50" i="34"/>
  <c r="AL36" i="34"/>
  <c r="AZ44" i="34"/>
  <c r="AB40" i="34"/>
  <c r="W19" i="34"/>
  <c r="AA36" i="34"/>
  <c r="AE71" i="34"/>
  <c r="BC12" i="34"/>
  <c r="L98" i="34"/>
  <c r="AX23" i="34"/>
  <c r="U75" i="34"/>
  <c r="L42" i="34"/>
  <c r="AZ27" i="34"/>
  <c r="AT17" i="34"/>
  <c r="AN77" i="34"/>
  <c r="R109" i="34"/>
  <c r="AD19" i="34"/>
  <c r="AZ105" i="34"/>
  <c r="AZ81" i="34"/>
  <c r="S13" i="34"/>
  <c r="AU97" i="34"/>
  <c r="K91" i="34"/>
  <c r="Z42" i="34"/>
  <c r="S89" i="34"/>
  <c r="K84" i="34"/>
  <c r="AF39" i="34"/>
  <c r="N89" i="34"/>
  <c r="AI93" i="34"/>
  <c r="R65" i="34"/>
  <c r="AC69" i="34"/>
  <c r="AK107" i="34"/>
  <c r="E40" i="34"/>
  <c r="AW46" i="34"/>
  <c r="AA56" i="34"/>
  <c r="BA91" i="34"/>
  <c r="AH11" i="34"/>
  <c r="AT24" i="34"/>
  <c r="AS92" i="34"/>
  <c r="AB12" i="34"/>
  <c r="Q26" i="34"/>
  <c r="Q84" i="34"/>
  <c r="G78" i="34"/>
  <c r="Q51" i="34"/>
  <c r="S69" i="34"/>
  <c r="AK98" i="34"/>
  <c r="O107" i="34"/>
  <c r="AC55" i="34"/>
  <c r="P80" i="34"/>
  <c r="G54" i="34"/>
  <c r="AQ23" i="34"/>
  <c r="R48" i="34"/>
  <c r="AJ72" i="34"/>
  <c r="O18" i="34"/>
  <c r="AL54" i="34"/>
  <c r="AW94" i="34"/>
  <c r="AH61" i="34"/>
  <c r="X55" i="34"/>
  <c r="P27" i="34"/>
  <c r="T62" i="34"/>
  <c r="AL43" i="34"/>
  <c r="AQ104" i="34"/>
  <c r="AE98" i="34"/>
  <c r="AX103" i="34"/>
  <c r="BC31" i="34"/>
  <c r="Y26" i="34"/>
  <c r="X2572" i="10"/>
  <c r="P1227" i="10"/>
  <c r="P1308" i="10"/>
  <c r="P1403" i="10"/>
  <c r="P1386" i="10"/>
  <c r="P1461" i="10"/>
  <c r="P1478" i="10"/>
  <c r="P1530" i="10"/>
  <c r="P1550" i="10"/>
  <c r="P1596" i="10"/>
  <c r="X2538" i="10"/>
  <c r="P1233" i="10"/>
  <c r="P1264" i="10"/>
  <c r="P1335" i="10"/>
  <c r="P1363" i="10"/>
  <c r="P1449" i="10"/>
  <c r="P1532" i="10"/>
  <c r="G10" i="39"/>
  <c r="P1352" i="10"/>
  <c r="P1531" i="10"/>
  <c r="P1546" i="10"/>
  <c r="BP107" i="34"/>
  <c r="P1416" i="10"/>
  <c r="P1463" i="10"/>
  <c r="P1716" i="10"/>
  <c r="X2500" i="10"/>
  <c r="X2520" i="10"/>
  <c r="P1626" i="10"/>
  <c r="BP108" i="34"/>
  <c r="X2550" i="10"/>
  <c r="P9" i="39"/>
  <c r="X2479" i="10"/>
  <c r="P1337" i="10"/>
  <c r="P1413" i="10"/>
  <c r="P1484" i="10"/>
  <c r="P1435" i="10"/>
  <c r="P1394" i="10"/>
  <c r="P1434" i="10"/>
  <c r="P1274" i="10"/>
  <c r="P1622" i="10"/>
  <c r="P1396" i="10"/>
  <c r="P1467" i="10"/>
  <c r="P1545" i="10"/>
  <c r="P1465" i="10"/>
  <c r="P1310" i="10"/>
  <c r="P1443" i="10"/>
  <c r="P1249" i="10"/>
  <c r="P1334" i="10"/>
  <c r="P1319" i="10"/>
  <c r="P1229" i="10"/>
  <c r="P1499" i="10"/>
  <c r="P1592" i="10"/>
  <c r="P1218" i="10"/>
  <c r="P1712" i="10"/>
  <c r="X2513" i="10"/>
  <c r="X2486" i="10"/>
  <c r="X2516" i="10"/>
  <c r="X2553" i="10"/>
  <c r="P1259" i="10"/>
  <c r="P1212" i="10"/>
  <c r="P1713" i="10"/>
  <c r="P1217" i="10"/>
  <c r="P1462" i="10"/>
  <c r="X2517" i="10"/>
  <c r="P1234" i="10"/>
  <c r="P1580" i="10"/>
  <c r="P1246" i="10"/>
  <c r="P1376" i="10"/>
  <c r="P1431" i="10"/>
  <c r="X2484" i="10"/>
  <c r="P1243" i="10"/>
  <c r="P1549" i="10"/>
  <c r="P1263" i="10"/>
  <c r="P1551" i="10"/>
  <c r="P1412" i="10"/>
  <c r="P1382" i="10"/>
  <c r="P1469" i="10"/>
  <c r="P1518" i="10"/>
  <c r="X2534" i="10"/>
  <c r="X2536" i="10"/>
  <c r="X2569" i="10"/>
  <c r="P1547" i="10"/>
  <c r="X2499" i="10"/>
  <c r="X2502" i="10"/>
  <c r="X2485" i="10"/>
  <c r="X2483" i="10"/>
  <c r="X2498" i="10"/>
  <c r="X2518" i="10"/>
  <c r="X2503" i="10"/>
  <c r="X2519" i="10"/>
  <c r="X2482" i="10"/>
  <c r="X2496" i="10"/>
  <c r="X2521" i="10"/>
  <c r="X2555" i="10"/>
  <c r="X2556" i="10"/>
  <c r="P1627" i="10"/>
  <c r="P1621" i="10"/>
  <c r="P1624" i="10"/>
  <c r="P1628" i="10"/>
  <c r="X2554" i="10"/>
  <c r="X2552" i="10"/>
  <c r="X2551" i="10"/>
  <c r="X2557" i="10"/>
  <c r="X2497" i="10"/>
  <c r="P1230" i="10"/>
  <c r="P1232" i="10"/>
  <c r="P1262" i="10"/>
  <c r="P1278" i="10"/>
  <c r="P1351" i="10"/>
  <c r="P1350" i="10"/>
  <c r="P1366" i="10"/>
  <c r="P1353" i="10"/>
  <c r="P1322" i="10"/>
  <c r="P1323" i="10"/>
  <c r="P1364" i="10"/>
  <c r="P1320" i="10"/>
  <c r="P1336" i="10"/>
  <c r="P1339" i="10"/>
  <c r="P1432" i="10"/>
  <c r="P1496" i="10"/>
  <c r="P1495" i="10"/>
  <c r="P1497" i="10"/>
  <c r="P1504" i="10"/>
  <c r="P1581" i="10"/>
  <c r="P1579" i="10"/>
  <c r="P1582" i="10"/>
  <c r="X2501" i="10"/>
  <c r="X2481" i="10"/>
  <c r="P1714" i="10"/>
  <c r="X2480" i="10"/>
  <c r="P1219" i="10"/>
  <c r="P1211" i="10"/>
  <c r="P1231" i="10"/>
  <c r="P1235" i="10"/>
  <c r="P1213" i="10"/>
  <c r="P1215" i="10"/>
  <c r="P1216" i="10"/>
  <c r="P1214" i="10"/>
  <c r="P1228" i="10"/>
  <c r="P1280" i="10"/>
  <c r="P1247" i="10"/>
  <c r="P1260" i="10"/>
  <c r="P1309" i="10"/>
  <c r="P1245" i="10"/>
  <c r="P1305" i="10"/>
  <c r="P1304" i="10"/>
  <c r="P1279" i="10"/>
  <c r="P1251" i="10"/>
  <c r="P1244" i="10"/>
  <c r="P1277" i="10"/>
  <c r="P1265" i="10"/>
  <c r="P1307" i="10"/>
  <c r="P1250" i="10"/>
  <c r="P1324" i="10"/>
  <c r="P1349" i="10"/>
  <c r="P1365" i="10"/>
  <c r="P1397" i="10"/>
  <c r="P1401" i="10"/>
  <c r="P1378" i="10"/>
  <c r="P1429" i="10"/>
  <c r="P1418" i="10"/>
  <c r="P1395" i="10"/>
  <c r="P1385" i="10"/>
  <c r="P1417" i="10"/>
  <c r="P1426" i="10"/>
  <c r="P1379" i="10"/>
  <c r="P1428" i="10"/>
  <c r="P1404" i="10"/>
  <c r="P1414" i="10"/>
  <c r="P1399" i="10"/>
  <c r="P1377" i="10"/>
  <c r="P1415" i="10"/>
  <c r="P1460" i="10"/>
  <c r="P1459" i="10"/>
  <c r="P1468" i="10"/>
  <c r="P1464" i="10"/>
  <c r="P1480" i="10"/>
  <c r="P1479" i="10"/>
  <c r="P1482" i="10"/>
  <c r="P1485" i="10"/>
  <c r="P1481" i="10"/>
  <c r="P1477" i="10"/>
  <c r="P1521" i="10"/>
  <c r="P1513" i="10"/>
  <c r="P1515" i="10"/>
  <c r="P1512" i="10"/>
  <c r="P1517" i="10"/>
  <c r="P1536" i="10"/>
  <c r="P1537" i="10"/>
  <c r="P1529" i="10"/>
  <c r="P1534" i="10"/>
  <c r="P1563" i="10"/>
  <c r="P1566" i="10"/>
  <c r="P1560" i="10"/>
  <c r="P1559" i="10"/>
  <c r="P1565" i="10"/>
  <c r="X2537" i="10"/>
  <c r="X2532" i="10"/>
  <c r="X2533" i="10"/>
  <c r="X2539" i="10"/>
  <c r="X2535" i="10"/>
  <c r="C3" i="37" l="1"/>
  <c r="D3" i="37"/>
  <c r="E3" i="37"/>
  <c r="E8" i="35"/>
  <c r="D9" i="35" s="1"/>
  <c r="F8" i="35"/>
  <c r="G8" i="35"/>
  <c r="AB13" i="31"/>
  <c r="AD13" i="31" s="1"/>
  <c r="BP33" i="34"/>
  <c r="BS33" i="34" s="1"/>
  <c r="BP73" i="34"/>
  <c r="BS73" i="34" s="1"/>
  <c r="BP70" i="34"/>
  <c r="BS70" i="34" s="1"/>
  <c r="BP83" i="34"/>
  <c r="BS83" i="34" s="1"/>
  <c r="BP74" i="34"/>
  <c r="BS74" i="34" s="1"/>
  <c r="BP34" i="34"/>
  <c r="BS34" i="34" s="1"/>
  <c r="BP15" i="34"/>
  <c r="BS15" i="34" s="1"/>
  <c r="BP66" i="34"/>
  <c r="BS66" i="34" s="1"/>
  <c r="BP80" i="34"/>
  <c r="BS80" i="34" s="1"/>
  <c r="BP18" i="34"/>
  <c r="BS18" i="34" s="1"/>
  <c r="BP10" i="34"/>
  <c r="BS10" i="34" s="1"/>
  <c r="D10" i="34" s="1"/>
  <c r="BP64" i="34"/>
  <c r="BS64" i="34" s="1"/>
  <c r="BP53" i="34"/>
  <c r="BS53" i="34" s="1"/>
  <c r="BP78" i="34"/>
  <c r="BS78" i="34" s="1"/>
  <c r="BP87" i="34"/>
  <c r="BS87" i="34" s="1"/>
  <c r="BP20" i="34"/>
  <c r="BS20" i="34" s="1"/>
  <c r="BP60" i="34"/>
  <c r="BS60" i="34" s="1"/>
  <c r="BP58" i="34"/>
  <c r="BS58" i="34" s="1"/>
  <c r="BP50" i="34"/>
  <c r="BS50" i="34" s="1"/>
  <c r="BP65" i="34"/>
  <c r="BS65" i="34" s="1"/>
  <c r="BP37" i="34"/>
  <c r="BS37" i="34" s="1"/>
  <c r="BP90" i="34"/>
  <c r="BS90" i="34" s="1"/>
  <c r="BP91" i="34"/>
  <c r="BS91" i="34" s="1"/>
  <c r="BP16" i="34"/>
  <c r="BS16" i="34" s="1"/>
  <c r="BP93" i="34"/>
  <c r="BS93" i="34" s="1"/>
  <c r="BP45" i="34"/>
  <c r="BS45" i="34" s="1"/>
  <c r="BP38" i="34"/>
  <c r="BS38" i="34" s="1"/>
  <c r="BP56" i="34"/>
  <c r="BS56" i="34" s="1"/>
  <c r="BP63" i="34"/>
  <c r="BS63" i="34" s="1"/>
  <c r="BP47" i="34"/>
  <c r="BS47" i="34" s="1"/>
  <c r="BP35" i="34"/>
  <c r="BS35" i="34" s="1"/>
  <c r="BP39" i="34"/>
  <c r="BS39" i="34" s="1"/>
  <c r="BP99" i="34"/>
  <c r="BS99" i="34" s="1"/>
  <c r="BP77" i="34"/>
  <c r="BS77" i="34" s="1"/>
  <c r="BP12" i="34"/>
  <c r="BS12" i="34" s="1"/>
  <c r="BP46" i="34"/>
  <c r="BS46" i="34" s="1"/>
  <c r="BP41" i="34"/>
  <c r="BS41" i="34" s="1"/>
  <c r="BP69" i="34"/>
  <c r="BS69" i="34" s="1"/>
  <c r="BP49" i="34"/>
  <c r="BS49" i="34" s="1"/>
  <c r="BP22" i="34"/>
  <c r="BS22" i="34" s="1"/>
  <c r="BP32" i="34"/>
  <c r="BS32" i="34" s="1"/>
  <c r="BP27" i="34"/>
  <c r="BS27" i="34" s="1"/>
  <c r="BN12" i="34"/>
  <c r="C13" i="34"/>
  <c r="BP94" i="34"/>
  <c r="BS94" i="34" s="1"/>
  <c r="BP79" i="34"/>
  <c r="BS79" i="34" s="1"/>
  <c r="BP81" i="34"/>
  <c r="BS81" i="34" s="1"/>
  <c r="BP55" i="34"/>
  <c r="BS55" i="34" s="1"/>
  <c r="BP26" i="34"/>
  <c r="BS26" i="34" s="1"/>
  <c r="BP67" i="34"/>
  <c r="BS67" i="34" s="1"/>
  <c r="BP71" i="34"/>
  <c r="BS71" i="34" s="1"/>
  <c r="BO13" i="34"/>
  <c r="B14" i="34"/>
  <c r="BP97" i="34"/>
  <c r="BS97" i="34" s="1"/>
  <c r="BP19" i="34"/>
  <c r="BS19" i="34" s="1"/>
  <c r="BP68" i="34"/>
  <c r="BS68" i="34" s="1"/>
  <c r="BP31" i="34"/>
  <c r="BS31" i="34" s="1"/>
  <c r="BP17" i="34"/>
  <c r="BS17" i="34" s="1"/>
  <c r="BP28" i="34"/>
  <c r="BS28" i="34" s="1"/>
  <c r="BP85" i="34"/>
  <c r="BS85" i="34" s="1"/>
  <c r="BP23" i="34"/>
  <c r="BS23" i="34" s="1"/>
  <c r="BP62" i="34"/>
  <c r="BS62" i="34" s="1"/>
  <c r="BP30" i="34"/>
  <c r="BS30" i="34" s="1"/>
  <c r="BP25" i="34"/>
  <c r="BS25" i="34" s="1"/>
  <c r="BP59" i="34"/>
  <c r="BS59" i="34" s="1"/>
  <c r="BP44" i="34"/>
  <c r="BS44" i="34" s="1"/>
  <c r="BP42" i="34"/>
  <c r="BS42" i="34" s="1"/>
  <c r="BP24" i="34"/>
  <c r="BS24" i="34" s="1"/>
  <c r="BP52" i="34"/>
  <c r="BS52" i="34" s="1"/>
  <c r="BP76" i="34"/>
  <c r="BS76" i="34" s="1"/>
  <c r="BP61" i="34"/>
  <c r="BS61" i="34" s="1"/>
  <c r="BP82" i="34"/>
  <c r="BS82" i="34" s="1"/>
  <c r="BP29" i="34"/>
  <c r="BS29" i="34" s="1"/>
  <c r="BP86" i="34"/>
  <c r="BS86" i="34" s="1"/>
  <c r="BP72" i="34"/>
  <c r="BS72" i="34" s="1"/>
  <c r="BP54" i="34"/>
  <c r="BS54" i="34" s="1"/>
  <c r="BP11" i="34"/>
  <c r="BS11" i="34" s="1"/>
  <c r="BP14" i="34"/>
  <c r="BS14" i="34" s="1"/>
  <c r="BP13" i="34"/>
  <c r="BS13" i="34" s="1"/>
  <c r="BP43" i="34"/>
  <c r="BS43" i="34" s="1"/>
  <c r="BP51" i="34"/>
  <c r="BS51" i="34" s="1"/>
  <c r="BP89" i="34"/>
  <c r="BS89" i="34" s="1"/>
  <c r="BP48" i="34"/>
  <c r="BS48" i="34" s="1"/>
  <c r="BP75" i="34"/>
  <c r="BS75" i="34" s="1"/>
  <c r="BP92" i="34"/>
  <c r="BS92" i="34" s="1"/>
  <c r="BP84" i="34"/>
  <c r="BS84" i="34" s="1"/>
  <c r="BP98" i="34"/>
  <c r="BS98" i="34" s="1"/>
  <c r="D98" i="34" s="1"/>
  <c r="BP96" i="34"/>
  <c r="BS96" i="34" s="1"/>
  <c r="BP36" i="34"/>
  <c r="BS36" i="34" s="1"/>
  <c r="BP88" i="34"/>
  <c r="BS88" i="34" s="1"/>
  <c r="BP57" i="34"/>
  <c r="BS57" i="34" s="1"/>
  <c r="BP95" i="34"/>
  <c r="BS95" i="34" s="1"/>
  <c r="BP40" i="34"/>
  <c r="BS40" i="34" s="1"/>
  <c r="BP21" i="34"/>
  <c r="BS21" i="34" s="1"/>
  <c r="P8" i="39"/>
  <c r="G9" i="35" l="1"/>
  <c r="F9" i="35"/>
  <c r="H9" i="35" s="1"/>
  <c r="E9" i="35"/>
  <c r="D10" i="35" s="1"/>
  <c r="D93" i="34"/>
  <c r="D87" i="34"/>
  <c r="D84" i="34"/>
  <c r="D76" i="34"/>
  <c r="D83" i="34"/>
  <c r="D74" i="34"/>
  <c r="D94" i="34"/>
  <c r="D92" i="34"/>
  <c r="BP100" i="34"/>
  <c r="D97" i="34"/>
  <c r="C14" i="34"/>
  <c r="BN13" i="34"/>
  <c r="D75" i="34"/>
  <c r="D72" i="34"/>
  <c r="D90" i="34"/>
  <c r="D77" i="34"/>
  <c r="D88" i="34"/>
  <c r="D89" i="34"/>
  <c r="D86" i="34"/>
  <c r="D78" i="34"/>
  <c r="D81" i="34"/>
  <c r="D73" i="34"/>
  <c r="D95" i="34"/>
  <c r="D85" i="34"/>
  <c r="D91" i="34"/>
  <c r="D79" i="34"/>
  <c r="D22" i="34"/>
  <c r="D96" i="34"/>
  <c r="D82" i="34"/>
  <c r="BO14" i="34"/>
  <c r="B15" i="34"/>
  <c r="D80" i="34"/>
  <c r="D99" i="34"/>
  <c r="D50" i="34"/>
  <c r="D53" i="34"/>
  <c r="D16" i="34"/>
  <c r="D65" i="34"/>
  <c r="D35" i="34"/>
  <c r="D51" i="34"/>
  <c r="D64" i="34"/>
  <c r="D60" i="34"/>
  <c r="D23" i="34"/>
  <c r="D66" i="34"/>
  <c r="D59" i="34"/>
  <c r="D33" i="34"/>
  <c r="D38" i="34"/>
  <c r="D56" i="34"/>
  <c r="D49" i="34"/>
  <c r="D34" i="34"/>
  <c r="D15" i="34"/>
  <c r="D17" i="34"/>
  <c r="D26" i="34"/>
  <c r="D36" i="34"/>
  <c r="D69" i="34"/>
  <c r="D41" i="34"/>
  <c r="D25" i="34"/>
  <c r="D55" i="34"/>
  <c r="D14" i="34"/>
  <c r="D45" i="34"/>
  <c r="D31" i="34"/>
  <c r="D12" i="34"/>
  <c r="D43" i="34"/>
  <c r="D48" i="34"/>
  <c r="D58" i="34"/>
  <c r="D13" i="34"/>
  <c r="D18" i="34"/>
  <c r="D54" i="34"/>
  <c r="D62" i="34"/>
  <c r="P7" i="39"/>
  <c r="BS100" i="34"/>
  <c r="D11" i="34"/>
  <c r="D63" i="34"/>
  <c r="D44" i="34"/>
  <c r="D68" i="34"/>
  <c r="D71" i="34"/>
  <c r="D27" i="34"/>
  <c r="D29" i="34"/>
  <c r="D42" i="34"/>
  <c r="D57" i="34"/>
  <c r="D61" i="34"/>
  <c r="D46" i="34"/>
  <c r="D32" i="34"/>
  <c r="D67" i="34"/>
  <c r="D19" i="34"/>
  <c r="D20" i="34"/>
  <c r="D28" i="34"/>
  <c r="D21" i="34"/>
  <c r="D24" i="34"/>
  <c r="D40" i="34"/>
  <c r="D39" i="34"/>
  <c r="D70" i="34"/>
  <c r="D52" i="34"/>
  <c r="D47" i="34"/>
  <c r="D37" i="34"/>
  <c r="D30" i="34"/>
  <c r="F10" i="35" l="1"/>
  <c r="G10" i="35"/>
  <c r="X10" i="31"/>
  <c r="E10" i="35"/>
  <c r="D11" i="35" s="1"/>
  <c r="D4" i="31"/>
  <c r="BO15" i="34"/>
  <c r="B16" i="34"/>
  <c r="C15" i="34"/>
  <c r="BN14" i="34"/>
  <c r="P6" i="39"/>
  <c r="L4" i="34"/>
  <c r="BS101" i="34"/>
  <c r="BU100" i="34"/>
  <c r="BV100" i="34" s="1"/>
  <c r="B4" i="31" l="1"/>
  <c r="A4" i="37" s="1"/>
  <c r="E11" i="35"/>
  <c r="F11" i="35"/>
  <c r="G11" i="35"/>
  <c r="G4" i="31"/>
  <c r="F4" i="31"/>
  <c r="C4" i="31"/>
  <c r="D5" i="31"/>
  <c r="E4" i="31"/>
  <c r="C16" i="34"/>
  <c r="BN15" i="34"/>
  <c r="BO16" i="34"/>
  <c r="B17" i="34"/>
  <c r="P5" i="39"/>
  <c r="L3" i="34"/>
  <c r="BT101" i="34"/>
  <c r="BU101" i="34"/>
  <c r="BV101" i="34" s="1"/>
  <c r="E10" i="39"/>
  <c r="F10" i="39" s="1"/>
  <c r="O4" i="34"/>
  <c r="B5" i="31" l="1"/>
  <c r="A5" i="37" s="1"/>
  <c r="D12" i="35"/>
  <c r="E12" i="35"/>
  <c r="D13" i="35" s="1"/>
  <c r="D6" i="31"/>
  <c r="G5" i="31"/>
  <c r="F5" i="31"/>
  <c r="C5" i="31"/>
  <c r="E5" i="31"/>
  <c r="BO17" i="34"/>
  <c r="B18" i="34"/>
  <c r="BN16" i="34"/>
  <c r="C17" i="34"/>
  <c r="P4" i="39"/>
  <c r="O3" i="34"/>
  <c r="E9" i="39"/>
  <c r="F9" i="39" s="1"/>
  <c r="E13" i="35" l="1"/>
  <c r="D14" i="35" s="1"/>
  <c r="G13" i="35"/>
  <c r="F13" i="35"/>
  <c r="G12" i="35"/>
  <c r="Y10" i="31"/>
  <c r="AB10" i="31" s="1"/>
  <c r="AD10" i="31" s="1"/>
  <c r="F12" i="35"/>
  <c r="E6" i="31"/>
  <c r="C6" i="31"/>
  <c r="F6" i="31"/>
  <c r="G6" i="31"/>
  <c r="D7" i="31"/>
  <c r="B6" i="31"/>
  <c r="A6" i="37" s="1"/>
  <c r="C18" i="34"/>
  <c r="BN17" i="34"/>
  <c r="BO18" i="34"/>
  <c r="B19" i="34"/>
  <c r="P3" i="39"/>
  <c r="H12" i="35" l="1"/>
  <c r="E14" i="35"/>
  <c r="D15" i="35" s="1"/>
  <c r="G14" i="35"/>
  <c r="F14" i="35"/>
  <c r="E7" i="31"/>
  <c r="D8" i="31"/>
  <c r="C7" i="31"/>
  <c r="F7" i="31"/>
  <c r="G7" i="31"/>
  <c r="B7" i="31"/>
  <c r="A7" i="37" s="1"/>
  <c r="BO19" i="34"/>
  <c r="B20" i="34"/>
  <c r="BN18" i="34"/>
  <c r="C19" i="34"/>
  <c r="P2" i="39"/>
  <c r="H15" i="35" l="1"/>
  <c r="E15" i="35"/>
  <c r="F15" i="35"/>
  <c r="F17" i="35" s="1"/>
  <c r="G15" i="35"/>
  <c r="B8" i="31"/>
  <c r="A8" i="37" s="1"/>
  <c r="G8" i="31"/>
  <c r="C8" i="31"/>
  <c r="D9" i="31"/>
  <c r="E8" i="31"/>
  <c r="F8" i="31"/>
  <c r="C20" i="34"/>
  <c r="BN19" i="34"/>
  <c r="B21" i="34"/>
  <c r="BO20" i="34"/>
  <c r="G17" i="35" l="1"/>
  <c r="H17" i="35" s="1"/>
  <c r="AA10" i="31" s="1"/>
  <c r="D16" i="35"/>
  <c r="F10" i="31"/>
  <c r="C10" i="31"/>
  <c r="B10" i="31"/>
  <c r="A10" i="37" s="1"/>
  <c r="D11" i="31"/>
  <c r="B4" i="37" s="1"/>
  <c r="G10" i="31"/>
  <c r="E10" i="31"/>
  <c r="B9" i="31"/>
  <c r="A9" i="37" s="1"/>
  <c r="E9" i="31"/>
  <c r="C9" i="31"/>
  <c r="F9" i="31"/>
  <c r="G9" i="31"/>
  <c r="BO21" i="34"/>
  <c r="B22" i="34"/>
  <c r="C21" i="34"/>
  <c r="BN20" i="34"/>
  <c r="D4" i="37" l="1"/>
  <c r="E4" i="37"/>
  <c r="F4" i="37"/>
  <c r="E16" i="35"/>
  <c r="D23" i="35" s="1"/>
  <c r="F16" i="35"/>
  <c r="G16" i="35"/>
  <c r="C11" i="31"/>
  <c r="B11" i="31"/>
  <c r="A11" i="37" s="1"/>
  <c r="G11" i="31"/>
  <c r="F11" i="31"/>
  <c r="E11" i="31"/>
  <c r="D12" i="31"/>
  <c r="B5" i="37" s="1"/>
  <c r="BN21" i="34"/>
  <c r="C22" i="34"/>
  <c r="B23" i="34"/>
  <c r="BO22" i="34"/>
  <c r="C4" i="37" l="1"/>
  <c r="E23" i="35"/>
  <c r="G23" i="35"/>
  <c r="F23" i="35"/>
  <c r="B12" i="31"/>
  <c r="A12" i="37" s="1"/>
  <c r="D13" i="31"/>
  <c r="B6" i="37" s="1"/>
  <c r="E12" i="31"/>
  <c r="C12" i="31"/>
  <c r="G12" i="31"/>
  <c r="F12" i="31"/>
  <c r="BO23" i="34"/>
  <c r="B24" i="34"/>
  <c r="BN22" i="34"/>
  <c r="C23" i="34"/>
  <c r="E13" i="31" l="1"/>
  <c r="C13" i="31"/>
  <c r="G13" i="31"/>
  <c r="B13" i="31"/>
  <c r="A13" i="37" s="1"/>
  <c r="F13" i="31"/>
  <c r="D14" i="31"/>
  <c r="B7" i="37" s="1"/>
  <c r="C24" i="34"/>
  <c r="BN23" i="34"/>
  <c r="B25" i="34"/>
  <c r="BO24" i="34"/>
  <c r="G14" i="31" l="1"/>
  <c r="F14" i="31"/>
  <c r="C14" i="31"/>
  <c r="B14" i="31"/>
  <c r="A14" i="37" s="1"/>
  <c r="D15" i="31"/>
  <c r="B8" i="37" s="1"/>
  <c r="E14" i="31"/>
  <c r="B26" i="34"/>
  <c r="BO25" i="34"/>
  <c r="C25" i="34"/>
  <c r="BN24" i="34"/>
  <c r="B15" i="31" l="1"/>
  <c r="A15" i="37" s="1"/>
  <c r="F15" i="31"/>
  <c r="D16" i="31"/>
  <c r="B9" i="37" s="1"/>
  <c r="E15" i="31"/>
  <c r="G15" i="31"/>
  <c r="C15" i="31"/>
  <c r="BN25" i="34"/>
  <c r="C26" i="34"/>
  <c r="B27" i="34"/>
  <c r="BO26" i="34"/>
  <c r="E16" i="31" l="1"/>
  <c r="C16" i="31"/>
  <c r="G16" i="31"/>
  <c r="B16" i="31"/>
  <c r="A16" i="37" s="1"/>
  <c r="F16" i="31"/>
  <c r="D17" i="31"/>
  <c r="B10" i="37" s="1"/>
  <c r="C27" i="34"/>
  <c r="BN26" i="34"/>
  <c r="BO27" i="34"/>
  <c r="B28" i="34"/>
  <c r="D18" i="31" l="1"/>
  <c r="B11" i="37" s="1"/>
  <c r="C17" i="31"/>
  <c r="B17" i="31"/>
  <c r="A17" i="37" s="1"/>
  <c r="G17" i="31"/>
  <c r="F17" i="31"/>
  <c r="E17" i="31"/>
  <c r="B29" i="34"/>
  <c r="BO28" i="34"/>
  <c r="C28" i="34"/>
  <c r="BN27" i="34"/>
  <c r="D11" i="37" l="1"/>
  <c r="E11" i="37"/>
  <c r="F11" i="37"/>
  <c r="G18" i="31"/>
  <c r="D19" i="31"/>
  <c r="B12" i="37" s="1"/>
  <c r="F18" i="31"/>
  <c r="E18" i="31"/>
  <c r="C18" i="31"/>
  <c r="B18" i="31"/>
  <c r="A18" i="37" s="1"/>
  <c r="C29" i="34"/>
  <c r="BN28" i="34"/>
  <c r="B30" i="34"/>
  <c r="BO29" i="34"/>
  <c r="C11" i="37" l="1"/>
  <c r="F12" i="37"/>
  <c r="D12" i="37"/>
  <c r="E12" i="37"/>
  <c r="C19" i="31"/>
  <c r="B19" i="31"/>
  <c r="A19" i="37" s="1"/>
  <c r="G19" i="31"/>
  <c r="E19" i="31"/>
  <c r="D20" i="31"/>
  <c r="B13" i="37" s="1"/>
  <c r="F19" i="31"/>
  <c r="BO30" i="34"/>
  <c r="B31" i="34"/>
  <c r="BN29" i="34"/>
  <c r="C30" i="34"/>
  <c r="C12" i="37" l="1"/>
  <c r="C20" i="31"/>
  <c r="F20" i="31"/>
  <c r="B20" i="31"/>
  <c r="A20" i="37" s="1"/>
  <c r="G20" i="31"/>
  <c r="E20" i="31"/>
  <c r="D21" i="31"/>
  <c r="B14" i="37" s="1"/>
  <c r="C31" i="34"/>
  <c r="BN30" i="34"/>
  <c r="BO31" i="34"/>
  <c r="B32" i="34"/>
  <c r="C21" i="31" l="1"/>
  <c r="B21" i="31"/>
  <c r="A21" i="37" s="1"/>
  <c r="D22" i="31"/>
  <c r="B15" i="37" s="1"/>
  <c r="G21" i="31"/>
  <c r="F21" i="31"/>
  <c r="E21" i="31"/>
  <c r="BN31" i="34"/>
  <c r="C32" i="34"/>
  <c r="BO32" i="34"/>
  <c r="B33" i="34"/>
  <c r="E22" i="31" l="1"/>
  <c r="B22" i="31"/>
  <c r="A22" i="37" s="1"/>
  <c r="D23" i="31"/>
  <c r="B16" i="37" s="1"/>
  <c r="C22" i="31"/>
  <c r="G22" i="31"/>
  <c r="F22" i="31"/>
  <c r="B34" i="34"/>
  <c r="BO33" i="34"/>
  <c r="C33" i="34"/>
  <c r="BN32" i="34"/>
  <c r="G23" i="31" l="1"/>
  <c r="C23" i="31"/>
  <c r="F23" i="31"/>
  <c r="E23" i="31"/>
  <c r="D24" i="31"/>
  <c r="B17" i="37" s="1"/>
  <c r="B23" i="31"/>
  <c r="A23" i="37" s="1"/>
  <c r="BN33" i="34"/>
  <c r="C34" i="34"/>
  <c r="BO34" i="34"/>
  <c r="B35" i="34"/>
  <c r="D25" i="31" l="1"/>
  <c r="B18" i="37" s="1"/>
  <c r="E24" i="31"/>
  <c r="B24" i="31"/>
  <c r="A24" i="37" s="1"/>
  <c r="G24" i="31"/>
  <c r="F24" i="31"/>
  <c r="C24" i="31"/>
  <c r="B36" i="34"/>
  <c r="BO35" i="34"/>
  <c r="BN34" i="34"/>
  <c r="C35" i="34"/>
  <c r="F25" i="31" l="1"/>
  <c r="E25" i="31"/>
  <c r="B25" i="31"/>
  <c r="A25" i="37" s="1"/>
  <c r="G25" i="31"/>
  <c r="C25" i="31"/>
  <c r="D26" i="31"/>
  <c r="B19" i="37" s="1"/>
  <c r="BN35" i="34"/>
  <c r="C36" i="34"/>
  <c r="B37" i="34"/>
  <c r="BO36" i="34"/>
  <c r="D27" i="31" l="1"/>
  <c r="B20" i="37" s="1"/>
  <c r="C26" i="31"/>
  <c r="B26" i="31"/>
  <c r="A26" i="37" s="1"/>
  <c r="G26" i="31"/>
  <c r="F26" i="31"/>
  <c r="E26" i="31"/>
  <c r="BO37" i="34"/>
  <c r="B38" i="34"/>
  <c r="BN36" i="34"/>
  <c r="C37" i="34"/>
  <c r="D28" i="31" l="1"/>
  <c r="B21" i="37" s="1"/>
  <c r="G27" i="31"/>
  <c r="E27" i="31"/>
  <c r="F27" i="31"/>
  <c r="B27" i="31"/>
  <c r="A27" i="37" s="1"/>
  <c r="C27" i="31"/>
  <c r="BO38" i="34"/>
  <c r="B39" i="34"/>
  <c r="C38" i="34"/>
  <c r="BN37" i="34"/>
  <c r="B28" i="31" l="1"/>
  <c r="A28" i="37" s="1"/>
  <c r="G28" i="31"/>
  <c r="D29" i="31"/>
  <c r="B22" i="37" s="1"/>
  <c r="F28" i="31"/>
  <c r="C28" i="31"/>
  <c r="E28" i="31"/>
  <c r="C39" i="34"/>
  <c r="BN38" i="34"/>
  <c r="B40" i="34"/>
  <c r="BO39" i="34"/>
  <c r="E29" i="31" l="1"/>
  <c r="C29" i="31"/>
  <c r="F29" i="31"/>
  <c r="B29" i="31"/>
  <c r="A29" i="37" s="1"/>
  <c r="G29" i="31"/>
  <c r="D30" i="31"/>
  <c r="B23" i="37" s="1"/>
  <c r="B41" i="34"/>
  <c r="BO40" i="34"/>
  <c r="C40" i="34"/>
  <c r="BN39" i="34"/>
  <c r="E30" i="31" l="1"/>
  <c r="F30" i="31"/>
  <c r="C30" i="31"/>
  <c r="D31" i="31"/>
  <c r="B24" i="37" s="1"/>
  <c r="G30" i="31"/>
  <c r="B30" i="31"/>
  <c r="A30" i="37" s="1"/>
  <c r="C41" i="34"/>
  <c r="BN40" i="34"/>
  <c r="BO41" i="34"/>
  <c r="B42" i="34"/>
  <c r="G31" i="31" l="1"/>
  <c r="E31" i="31"/>
  <c r="B31" i="31"/>
  <c r="A31" i="37" s="1"/>
  <c r="F31" i="31"/>
  <c r="D32" i="31"/>
  <c r="B25" i="37" s="1"/>
  <c r="C31" i="31"/>
  <c r="B43" i="34"/>
  <c r="BO42" i="34"/>
  <c r="C42" i="34"/>
  <c r="BN41" i="34"/>
  <c r="G32" i="31" l="1"/>
  <c r="F32" i="31"/>
  <c r="C32" i="31"/>
  <c r="B32" i="31"/>
  <c r="A32" i="37" s="1"/>
  <c r="E32" i="31"/>
  <c r="D33" i="31"/>
  <c r="B26" i="37" s="1"/>
  <c r="C43" i="34"/>
  <c r="BN42" i="34"/>
  <c r="B44" i="34"/>
  <c r="BO43" i="34"/>
  <c r="G33" i="31" l="1"/>
  <c r="C33" i="31"/>
  <c r="D34" i="31"/>
  <c r="B27" i="37" s="1"/>
  <c r="F33" i="31"/>
  <c r="E33" i="31"/>
  <c r="B33" i="31"/>
  <c r="A33" i="37" s="1"/>
  <c r="B45" i="34"/>
  <c r="BO44" i="34"/>
  <c r="C44" i="34"/>
  <c r="BN43" i="34"/>
  <c r="D35" i="31" l="1"/>
  <c r="B28" i="37" s="1"/>
  <c r="G34" i="31"/>
  <c r="E34" i="31"/>
  <c r="F34" i="31"/>
  <c r="B34" i="31"/>
  <c r="A34" i="37" s="1"/>
  <c r="C34" i="31"/>
  <c r="C45" i="34"/>
  <c r="BN44" i="34"/>
  <c r="B46" i="34"/>
  <c r="BO45" i="34"/>
  <c r="C35" i="31" l="1"/>
  <c r="B35" i="31"/>
  <c r="A35" i="37" s="1"/>
  <c r="D36" i="31"/>
  <c r="B29" i="37" s="1"/>
  <c r="G35" i="31"/>
  <c r="E35" i="31"/>
  <c r="F35" i="31"/>
  <c r="B47" i="34"/>
  <c r="BO46" i="34"/>
  <c r="C46" i="34"/>
  <c r="BN45" i="34"/>
  <c r="F36" i="31" l="1"/>
  <c r="B36" i="31"/>
  <c r="A36" i="37" s="1"/>
  <c r="D37" i="31"/>
  <c r="B30" i="37" s="1"/>
  <c r="G36" i="31"/>
  <c r="C36" i="31"/>
  <c r="E36" i="31"/>
  <c r="BN46" i="34"/>
  <c r="C47" i="34"/>
  <c r="BO47" i="34"/>
  <c r="B48" i="34"/>
  <c r="G37" i="31" l="1"/>
  <c r="E37" i="31"/>
  <c r="C37" i="31"/>
  <c r="D38" i="31"/>
  <c r="B31" i="37" s="1"/>
  <c r="F37" i="31"/>
  <c r="B37" i="31"/>
  <c r="A37" i="37" s="1"/>
  <c r="C48" i="34"/>
  <c r="BN47" i="34"/>
  <c r="BO48" i="34"/>
  <c r="B49" i="34"/>
  <c r="C38" i="31" l="1"/>
  <c r="B38" i="31"/>
  <c r="G38" i="31"/>
  <c r="D39" i="31"/>
  <c r="B32" i="37" s="1"/>
  <c r="F38" i="31"/>
  <c r="E38" i="31"/>
  <c r="BO49" i="34"/>
  <c r="B50" i="34"/>
  <c r="C49" i="34"/>
  <c r="BN48" i="34"/>
  <c r="E39" i="31" l="1"/>
  <c r="B39" i="31"/>
  <c r="G39" i="31"/>
  <c r="C39" i="31"/>
  <c r="D40" i="31"/>
  <c r="B33" i="37" s="1"/>
  <c r="F39" i="31"/>
  <c r="BN49" i="34"/>
  <c r="C50" i="34"/>
  <c r="B51" i="34"/>
  <c r="BO50" i="34"/>
  <c r="E40" i="31" l="1"/>
  <c r="D41" i="31"/>
  <c r="B34" i="37" s="1"/>
  <c r="G40" i="31"/>
  <c r="F40" i="31"/>
  <c r="B40" i="31"/>
  <c r="C40" i="31"/>
  <c r="BO51" i="34"/>
  <c r="B52" i="34"/>
  <c r="C51" i="34"/>
  <c r="BN50" i="34"/>
  <c r="D42" i="31" l="1"/>
  <c r="B35" i="37" s="1"/>
  <c r="F41" i="31"/>
  <c r="G41" i="31"/>
  <c r="B41" i="31"/>
  <c r="C41" i="31"/>
  <c r="E41" i="31"/>
  <c r="C52" i="34"/>
  <c r="BN51" i="34"/>
  <c r="B53" i="34"/>
  <c r="BO52" i="34"/>
  <c r="G42" i="31" l="1"/>
  <c r="F42" i="31"/>
  <c r="E42" i="31"/>
  <c r="C42" i="31"/>
  <c r="D43" i="31"/>
  <c r="B36" i="37" s="1"/>
  <c r="B42" i="31"/>
  <c r="BO53" i="34"/>
  <c r="B54" i="34"/>
  <c r="BN52" i="34"/>
  <c r="C53" i="34"/>
  <c r="D44" i="31" l="1"/>
  <c r="B37" i="37" s="1"/>
  <c r="G43" i="31"/>
  <c r="F43" i="31"/>
  <c r="B43" i="31"/>
  <c r="E43" i="31"/>
  <c r="C43" i="31"/>
  <c r="BN53" i="34"/>
  <c r="C54" i="34"/>
  <c r="BO54" i="34"/>
  <c r="B55" i="34"/>
  <c r="C1" i="31" l="1"/>
  <c r="G11" i="39" s="1"/>
  <c r="F44" i="31"/>
  <c r="E44" i="31"/>
  <c r="G44" i="31"/>
  <c r="C44" i="31"/>
  <c r="B44" i="31"/>
  <c r="Q10" i="39"/>
  <c r="Q2" i="39"/>
  <c r="Q8" i="39"/>
  <c r="Q6" i="39"/>
  <c r="Q3" i="39"/>
  <c r="Q5" i="39"/>
  <c r="Q7" i="39"/>
  <c r="Q11" i="39"/>
  <c r="Q9" i="39"/>
  <c r="Q4" i="39"/>
  <c r="BO55" i="34"/>
  <c r="B56" i="34"/>
  <c r="BN54" i="34"/>
  <c r="C55" i="34"/>
  <c r="BN55" i="34" l="1"/>
  <c r="C56" i="34"/>
  <c r="B57" i="34"/>
  <c r="BO56" i="34"/>
  <c r="BO57" i="34" l="1"/>
  <c r="B58" i="34"/>
  <c r="C57" i="34"/>
  <c r="BN56" i="34"/>
  <c r="BN57" i="34" l="1"/>
  <c r="C58" i="34"/>
  <c r="B59" i="34"/>
  <c r="BO58" i="34"/>
  <c r="B60" i="34" l="1"/>
  <c r="BO59" i="34"/>
  <c r="C59" i="34"/>
  <c r="BN58" i="34"/>
  <c r="C60" i="34" l="1"/>
  <c r="BN59" i="34"/>
  <c r="BO60" i="34"/>
  <c r="B61" i="34"/>
  <c r="B62" i="34" l="1"/>
  <c r="BO61" i="34"/>
  <c r="BN60" i="34"/>
  <c r="C61" i="34"/>
  <c r="C62" i="34" l="1"/>
  <c r="BN61" i="34"/>
  <c r="B63" i="34"/>
  <c r="BO62" i="34"/>
  <c r="B64" i="34" l="1"/>
  <c r="BO63" i="34"/>
  <c r="C63" i="34"/>
  <c r="BN62" i="34"/>
  <c r="C64" i="34" l="1"/>
  <c r="BN63" i="34"/>
  <c r="BO64" i="34"/>
  <c r="B65" i="34"/>
  <c r="BO65" i="34" l="1"/>
  <c r="B66" i="34"/>
  <c r="BN64" i="34"/>
  <c r="C65" i="34"/>
  <c r="C66" i="34" l="1"/>
  <c r="BN65" i="34"/>
  <c r="B67" i="34"/>
  <c r="BO66" i="34"/>
  <c r="BO67" i="34" l="1"/>
  <c r="B68" i="34"/>
  <c r="C67" i="34"/>
  <c r="BN66" i="34"/>
  <c r="BN67" i="34" l="1"/>
  <c r="C68" i="34"/>
  <c r="BO68" i="34"/>
  <c r="B69" i="34"/>
  <c r="BO69" i="34" l="1"/>
  <c r="B70" i="34"/>
  <c r="C69" i="34"/>
  <c r="BN68" i="34"/>
  <c r="C70" i="34" l="1"/>
  <c r="BN69" i="34"/>
  <c r="BO70" i="34"/>
  <c r="B71" i="34"/>
  <c r="B72" i="34" l="1"/>
  <c r="BO71" i="34"/>
  <c r="BN70" i="34"/>
  <c r="C71" i="34"/>
  <c r="BN71" i="34" l="1"/>
  <c r="C72" i="34"/>
  <c r="B73" i="34"/>
  <c r="BO72" i="34"/>
  <c r="BN72" i="34" l="1"/>
  <c r="C73" i="34"/>
  <c r="BO73" i="34"/>
  <c r="B74" i="34"/>
  <c r="BO74" i="34" l="1"/>
  <c r="B75" i="34"/>
  <c r="C74" i="34"/>
  <c r="BN73" i="34"/>
  <c r="C75" i="34" l="1"/>
  <c r="BN74" i="34"/>
  <c r="BO75" i="34"/>
  <c r="B76" i="34"/>
  <c r="B77" i="34" l="1"/>
  <c r="BO76" i="34"/>
  <c r="BN75" i="34"/>
  <c r="C76" i="34"/>
  <c r="BN76" i="34" l="1"/>
  <c r="C77" i="34"/>
  <c r="BO77" i="34"/>
  <c r="B78" i="34"/>
  <c r="C78" i="34" l="1"/>
  <c r="BN77" i="34"/>
  <c r="B79" i="34"/>
  <c r="BO78" i="34"/>
  <c r="B80" i="34" l="1"/>
  <c r="BO79" i="34"/>
  <c r="C79" i="34"/>
  <c r="BN78" i="34"/>
  <c r="C80" i="34" l="1"/>
  <c r="BN79" i="34"/>
  <c r="BO80" i="34"/>
  <c r="B81" i="34"/>
  <c r="B82" i="34" l="1"/>
  <c r="BO81" i="34"/>
  <c r="BN80" i="34"/>
  <c r="C81" i="34"/>
  <c r="C82" i="34" l="1"/>
  <c r="BN81" i="34"/>
  <c r="BO82" i="34"/>
  <c r="B83" i="34"/>
  <c r="B84" i="34" l="1"/>
  <c r="BO83" i="34"/>
  <c r="C83" i="34"/>
  <c r="BN82" i="34"/>
  <c r="C84" i="34" l="1"/>
  <c r="BN83" i="34"/>
  <c r="B85" i="34"/>
  <c r="BO84" i="34"/>
  <c r="B86" i="34" l="1"/>
  <c r="BO85" i="34"/>
  <c r="BN84" i="34"/>
  <c r="C85" i="34"/>
  <c r="C86" i="34" l="1"/>
  <c r="BN85" i="34"/>
  <c r="B87" i="34"/>
  <c r="BO86" i="34"/>
  <c r="BO87" i="34" l="1"/>
  <c r="B88" i="34"/>
  <c r="BN86" i="34"/>
  <c r="C87" i="34"/>
  <c r="BN87" i="34" l="1"/>
  <c r="C88" i="34"/>
  <c r="BO88" i="34"/>
  <c r="B89" i="34"/>
  <c r="B90" i="34" l="1"/>
  <c r="BO89" i="34"/>
  <c r="BN88" i="34"/>
  <c r="C89" i="34"/>
  <c r="BN89" i="34" l="1"/>
  <c r="C90" i="34"/>
  <c r="BO90" i="34"/>
  <c r="B91" i="34"/>
  <c r="BN90" i="34" l="1"/>
  <c r="C91" i="34"/>
  <c r="B92" i="34"/>
  <c r="BO91" i="34"/>
  <c r="BN91" i="34" l="1"/>
  <c r="C92" i="34"/>
  <c r="B93" i="34"/>
  <c r="BO92" i="34"/>
  <c r="B94" i="34" l="1"/>
  <c r="BO93" i="34"/>
  <c r="BN92" i="34"/>
  <c r="C93" i="34"/>
  <c r="C94" i="34" l="1"/>
  <c r="BN93" i="34"/>
  <c r="BO94" i="34"/>
  <c r="B95" i="34"/>
  <c r="B96" i="34" l="1"/>
  <c r="BO95" i="34"/>
  <c r="BN94" i="34"/>
  <c r="C95" i="34"/>
  <c r="BN95" i="34" l="1"/>
  <c r="C96" i="34"/>
  <c r="B97" i="34"/>
  <c r="BO96" i="34"/>
  <c r="BO97" i="34" l="1"/>
  <c r="B98" i="34"/>
  <c r="BN96" i="34"/>
  <c r="C97" i="34"/>
  <c r="BN97" i="34" l="1"/>
  <c r="C98" i="34"/>
  <c r="BO98" i="34"/>
  <c r="B99" i="34"/>
  <c r="B100" i="34" l="1"/>
  <c r="B101" i="34" s="1"/>
  <c r="B102" i="34" s="1"/>
  <c r="B103" i="34" s="1"/>
  <c r="B104" i="34" s="1"/>
  <c r="B105" i="34" s="1"/>
  <c r="B106" i="34" s="1"/>
  <c r="B107" i="34" s="1"/>
  <c r="B108" i="34" s="1"/>
  <c r="B109" i="34" s="1"/>
  <c r="BO99" i="34"/>
  <c r="BN98" i="34"/>
  <c r="C99" i="34"/>
  <c r="BN99" i="34" l="1"/>
  <c r="C100" i="34"/>
  <c r="C101" i="34" s="1"/>
  <c r="C102" i="34" s="1"/>
  <c r="C103" i="34" s="1"/>
  <c r="C104" i="34" s="1"/>
  <c r="C105" i="34" s="1"/>
  <c r="C106" i="34" s="1"/>
  <c r="C107" i="34" s="1"/>
  <c r="C108" i="34" s="1"/>
  <c r="C109" i="34" s="1"/>
  <c r="E9" i="37"/>
  <c r="D9" i="37"/>
  <c r="D28" i="37"/>
  <c r="F28" i="37"/>
  <c r="C28" i="37" s="1"/>
  <c r="E28" i="37"/>
  <c r="E16" i="37"/>
  <c r="D16" i="37"/>
  <c r="D18" i="37"/>
  <c r="E18" i="37"/>
  <c r="D24" i="37"/>
  <c r="F24" i="37"/>
  <c r="E24" i="37"/>
  <c r="E34" i="37"/>
  <c r="F34" i="37"/>
  <c r="C34" i="37" s="1"/>
  <c r="D34" i="37"/>
  <c r="D10" i="37"/>
  <c r="F10" i="37"/>
  <c r="E10" i="37"/>
  <c r="D20" i="37"/>
  <c r="F20" i="37"/>
  <c r="E20" i="37"/>
  <c r="D30" i="37"/>
  <c r="F30" i="37"/>
  <c r="C30" i="37" s="1"/>
  <c r="E30" i="37"/>
  <c r="G1" i="37"/>
  <c r="F18" i="37"/>
  <c r="C18" i="37" s="1"/>
  <c r="D19" i="37"/>
  <c r="E19" i="37"/>
  <c r="F16" i="37"/>
  <c r="C16" i="37" s="1"/>
  <c r="D6" i="37"/>
  <c r="F6" i="37"/>
  <c r="C6" i="37" s="1"/>
  <c r="E6" i="37"/>
  <c r="D8" i="37"/>
  <c r="F8" i="37"/>
  <c r="C8" i="37" s="1"/>
  <c r="E8" i="37"/>
  <c r="E14" i="37"/>
  <c r="F14" i="37"/>
  <c r="D14" i="37"/>
  <c r="E22" i="37"/>
  <c r="F22" i="37"/>
  <c r="C22" i="37" s="1"/>
  <c r="D22" i="37"/>
  <c r="D26" i="37"/>
  <c r="F26" i="37"/>
  <c r="E26" i="37"/>
  <c r="E32" i="37"/>
  <c r="F32" i="37"/>
  <c r="D32" i="37"/>
  <c r="E36" i="37"/>
  <c r="F36" i="37"/>
  <c r="C36" i="37" s="1"/>
  <c r="D36" i="37"/>
  <c r="F9" i="37"/>
  <c r="F19" i="37"/>
  <c r="E33" i="37"/>
  <c r="F33" i="37"/>
  <c r="C33" i="37" s="1"/>
  <c r="D33" i="37"/>
  <c r="D13" i="37"/>
  <c r="F13" i="37"/>
  <c r="E13" i="37"/>
  <c r="D23" i="37"/>
  <c r="F23" i="37"/>
  <c r="C23" i="37" s="1"/>
  <c r="E23" i="37"/>
  <c r="D29" i="37"/>
  <c r="F29" i="37"/>
  <c r="E29" i="37"/>
  <c r="D5" i="37"/>
  <c r="F5" i="37"/>
  <c r="E5" i="37"/>
  <c r="D15" i="37"/>
  <c r="F15" i="37"/>
  <c r="E15" i="37"/>
  <c r="D25" i="37"/>
  <c r="F25" i="37"/>
  <c r="E25" i="37"/>
  <c r="D35" i="37"/>
  <c r="F35" i="37"/>
  <c r="C35" i="37" s="1"/>
  <c r="E35" i="37"/>
  <c r="E7" i="37"/>
  <c r="F7" i="37"/>
  <c r="D7" i="37"/>
  <c r="E17" i="37"/>
  <c r="F17" i="37"/>
  <c r="D17" i="37"/>
  <c r="D21" i="37"/>
  <c r="F21" i="37"/>
  <c r="C21" i="37" s="1"/>
  <c r="E21" i="37"/>
  <c r="E27" i="37"/>
  <c r="F27" i="37"/>
  <c r="C27" i="37" s="1"/>
  <c r="D27" i="37"/>
  <c r="D31" i="37"/>
  <c r="F31" i="37"/>
  <c r="E31" i="37"/>
  <c r="E37" i="37"/>
  <c r="F37" i="37"/>
  <c r="D37" i="37"/>
  <c r="C24" i="37" l="1"/>
  <c r="C20" i="37"/>
  <c r="C9" i="37"/>
  <c r="C13" i="37"/>
  <c r="C15" i="37"/>
  <c r="C17" i="37"/>
  <c r="C37" i="37"/>
  <c r="C25" i="37"/>
  <c r="C5" i="37"/>
  <c r="C19" i="37"/>
  <c r="C14" i="37"/>
  <c r="C7" i="37"/>
  <c r="C26" i="37"/>
  <c r="C31" i="37"/>
  <c r="C32" i="37"/>
  <c r="C29" i="37"/>
  <c r="C10"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Mike</author>
  </authors>
  <commentList>
    <comment ref="BH8" authorId="0" shapeId="0" xr:uid="{8407F7D3-7BD3-433F-A338-ED5151FC5CE0}">
      <text>
        <r>
          <rPr>
            <b/>
            <sz val="9"/>
            <color indexed="81"/>
            <rFont val="Tahoma"/>
            <family val="2"/>
          </rPr>
          <t>School or work achievements in a particular year:</t>
        </r>
        <r>
          <rPr>
            <sz val="9"/>
            <color indexed="81"/>
            <rFont val="Tahoma"/>
            <family val="2"/>
          </rPr>
          <t xml:space="preserve">
</t>
        </r>
      </text>
    </comment>
    <comment ref="C57" authorId="0" shapeId="0" xr:uid="{41BFA02B-4E5A-4B79-A274-8D514CDEC066}">
      <text>
        <r>
          <rPr>
            <sz val="9"/>
            <color indexed="81"/>
            <rFont val="Tahoma"/>
            <family val="2"/>
          </rPr>
          <t>Avg life Expectancy (Sierra Leone)</t>
        </r>
      </text>
    </comment>
    <comment ref="C87" authorId="0" shapeId="0" xr:uid="{F7ABE862-2C96-4052-B557-F9CD88981E4B}">
      <text>
        <r>
          <rPr>
            <b/>
            <sz val="9"/>
            <color indexed="81"/>
            <rFont val="Tahoma"/>
            <family val="2"/>
          </rPr>
          <t>Average American Life Span is at 77 years old.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Mike</author>
  </authors>
  <commentList>
    <comment ref="A3011" authorId="0" shapeId="0" xr:uid="{7E93CF0E-7102-4359-99E4-C15E33AF45A4}">
      <text>
        <r>
          <rPr>
            <b/>
            <sz val="9"/>
            <color indexed="81"/>
            <rFont val="Tahoma"/>
            <family val="2"/>
          </rPr>
          <t>8/4/21 3 for 1 stock split</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SnacksSalesDashboard_FINAL.xlsx!calendar" type="102" refreshedVersion="8" minRefreshableVersion="5">
    <extLst>
      <ext xmlns:x15="http://schemas.microsoft.com/office/spreadsheetml/2010/11/main" uri="{DE250136-89BD-433C-8126-D09CA5730AF9}">
        <x15:connection id="calendar-6dd3ce5a-0203-4505-a89c-99532c8fd97d">
          <x15:rangePr sourceName="_xlcn.WorksheetConnection_SnacksSalesDashboard_FINAL.xlsxcalendar1"/>
        </x15:connection>
      </ext>
    </extLst>
  </connection>
  <connection id="3" xr16:uid="{00000000-0015-0000-FFFF-FFFF02000000}" name="WorksheetConnection_SnacksSalesDashboard_FINAL.xlsx!Customers" type="102" refreshedVersion="8" minRefreshableVersion="5">
    <extLst>
      <ext xmlns:x15="http://schemas.microsoft.com/office/spreadsheetml/2010/11/main" uri="{DE250136-89BD-433C-8126-D09CA5730AF9}">
        <x15:connection id="Customers-fb2a6475-eb0e-466f-a286-a4c9dd4c3543">
          <x15:rangePr sourceName="_xlcn.WorksheetConnection_SnacksSalesDashboard_FINAL.xlsxCustomers1"/>
        </x15:connection>
      </ext>
    </extLst>
  </connection>
  <connection id="4" xr16:uid="{00000000-0015-0000-FFFF-FFFF03000000}" name="WorksheetConnection_SnacksSalesDashboard_FINAL.xlsx!products" type="102" refreshedVersion="8" minRefreshableVersion="5">
    <extLst>
      <ext xmlns:x15="http://schemas.microsoft.com/office/spreadsheetml/2010/11/main" uri="{DE250136-89BD-433C-8126-D09CA5730AF9}">
        <x15:connection id="products-bfc923d4-6fc1-46d7-9a6e-1e9ca39c8282">
          <x15:rangePr sourceName="_xlcn.WorksheetConnection_SnacksSalesDashboard_FINAL.xlsxproducts1"/>
        </x15:connection>
      </ext>
    </extLst>
  </connection>
  <connection id="5" xr16:uid="{00000000-0015-0000-FFFF-FFFF04000000}" name="WorksheetConnection_SnacksSalesDashboard_FINAL.xlsx!stores" type="102" refreshedVersion="8" minRefreshableVersion="5">
    <extLst>
      <ext xmlns:x15="http://schemas.microsoft.com/office/spreadsheetml/2010/11/main" uri="{DE250136-89BD-433C-8126-D09CA5730AF9}">
        <x15:connection id="stores-2978cd7e-4f8f-4798-93a0-08fdcc7e72b6">
          <x15:rangePr sourceName="_xlcn.WorksheetConnection_SnacksSalesDashboard_FINAL.xlsxstores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<sst xmlns="http://schemas.openxmlformats.org/spreadsheetml/2006/main" count="10002" uniqueCount="897">
  <si>
    <t>Retirement</t>
  </si>
  <si>
    <t>Career</t>
  </si>
  <si>
    <t>High School</t>
  </si>
  <si>
    <t>Middel School</t>
  </si>
  <si>
    <t>Life Time Left:</t>
  </si>
  <si>
    <t>Elementary School</t>
  </si>
  <si>
    <t>Early Years</t>
  </si>
  <si>
    <t>Kaiser</t>
  </si>
  <si>
    <t>Sleep</t>
  </si>
  <si>
    <t>Places</t>
  </si>
  <si>
    <t>Time</t>
  </si>
  <si>
    <t>IDEAS ( 2 Minutes a Day)</t>
  </si>
  <si>
    <t>Goals ( 2 Minutes a Day)</t>
  </si>
  <si>
    <t>Date</t>
  </si>
  <si>
    <t>Ideas</t>
  </si>
  <si>
    <t>Amount of Time</t>
  </si>
  <si>
    <t>Date Completed</t>
  </si>
  <si>
    <t>Goals</t>
  </si>
  <si>
    <t>Goal Date Completed</t>
  </si>
  <si>
    <t>Daily Hrs</t>
  </si>
  <si>
    <t>Consumer Price Index Data from 1913 to 2021 | US Inflation Calculator</t>
  </si>
  <si>
    <t>EV</t>
  </si>
  <si>
    <t>Year</t>
  </si>
  <si>
    <t>Amount</t>
  </si>
  <si>
    <t>Perctge</t>
  </si>
  <si>
    <t>Stocks</t>
  </si>
  <si>
    <t xml:space="preserve">Issued </t>
  </si>
  <si>
    <t>Price</t>
  </si>
  <si>
    <t>Wkl diff</t>
  </si>
  <si>
    <t>Stop Looking at your Fidelity Acct</t>
  </si>
  <si>
    <t>VIX</t>
  </si>
  <si>
    <t>Losses Looking at Acct</t>
  </si>
  <si>
    <t>DOW</t>
  </si>
  <si>
    <t>F&amp;G</t>
  </si>
  <si>
    <t>Back</t>
  </si>
  <si>
    <t>VIX: XX.XX</t>
  </si>
  <si>
    <t>NASD</t>
  </si>
  <si>
    <t>By pct</t>
  </si>
  <si>
    <t>P/E</t>
  </si>
  <si>
    <t>EARNINGS</t>
  </si>
  <si>
    <t>1 YR</t>
  </si>
  <si>
    <t>5 YR</t>
  </si>
  <si>
    <t>Notes</t>
  </si>
  <si>
    <t>Earnings</t>
  </si>
  <si>
    <t>By Rank</t>
  </si>
  <si>
    <t>Cost</t>
  </si>
  <si>
    <t>Today</t>
  </si>
  <si>
    <t>Profit</t>
  </si>
  <si>
    <t>by Pct</t>
  </si>
  <si>
    <t>NVDA</t>
  </si>
  <si>
    <t>Paid 261.73</t>
  </si>
  <si>
    <t>KLAC</t>
  </si>
  <si>
    <t>Paid 326.83</t>
  </si>
  <si>
    <t>ODFL</t>
  </si>
  <si>
    <t>Paid 321.83</t>
  </si>
  <si>
    <t>LAZR</t>
  </si>
  <si>
    <t>KLIC</t>
  </si>
  <si>
    <t>Paid 69.98</t>
  </si>
  <si>
    <t xml:space="preserve"> </t>
  </si>
  <si>
    <t>Avg P/E</t>
  </si>
  <si>
    <t>Cash</t>
  </si>
  <si>
    <t>Take Out</t>
  </si>
  <si>
    <t>Totals</t>
  </si>
  <si>
    <t>5 Wk</t>
  </si>
  <si>
    <t xml:space="preserve">Summary: Remember, Warren Buffett has $149B in cash waiting for a Market crash. </t>
  </si>
  <si>
    <t>VEEV</t>
  </si>
  <si>
    <t>TSLA</t>
  </si>
  <si>
    <t>Fear &amp; Greed Index - Investor Sentiment - CNNMoney</t>
  </si>
  <si>
    <t>Stock Market Indicators: Margin Debt (yardeni.com)</t>
  </si>
  <si>
    <t>Buffett Indicator Valuation Model (currentmarketvaluation.com)</t>
  </si>
  <si>
    <t>TRADING ECONOMICS | 20 million INDICATORS FROM 196 COUNTRIES</t>
  </si>
  <si>
    <t>Commodities Prices - Spot - Futures (tradingeconomics.com)</t>
  </si>
  <si>
    <t>December</t>
  </si>
  <si>
    <t>January</t>
  </si>
  <si>
    <t>AM</t>
  </si>
  <si>
    <t>Sleep Hours</t>
  </si>
  <si>
    <t>Bed</t>
  </si>
  <si>
    <t xml:space="preserve">Wake up/Coffee </t>
  </si>
  <si>
    <t>Meditation</t>
  </si>
  <si>
    <t>Focus Brain</t>
  </si>
  <si>
    <t>Gym</t>
  </si>
  <si>
    <t>Rowing</t>
  </si>
  <si>
    <t>Read</t>
  </si>
  <si>
    <t>Elliptical</t>
  </si>
  <si>
    <t>Memory Training</t>
  </si>
  <si>
    <t>End Time</t>
  </si>
  <si>
    <t>February</t>
  </si>
  <si>
    <t>May</t>
  </si>
  <si>
    <t>July</t>
  </si>
  <si>
    <t>August</t>
  </si>
  <si>
    <t>Fidelity</t>
  </si>
  <si>
    <t>By Pct</t>
  </si>
  <si>
    <t>AMZN</t>
  </si>
  <si>
    <t>GOOG</t>
  </si>
  <si>
    <t>BODG</t>
  </si>
  <si>
    <t>NFLX</t>
  </si>
  <si>
    <t>ISRG</t>
  </si>
  <si>
    <t>FB</t>
  </si>
  <si>
    <t>AMD</t>
  </si>
  <si>
    <t>SNAP</t>
  </si>
  <si>
    <t>Wk diff</t>
  </si>
  <si>
    <t>Lst Year</t>
  </si>
  <si>
    <t>YoY</t>
  </si>
  <si>
    <t>ADBE</t>
  </si>
  <si>
    <t>IRBT</t>
  </si>
  <si>
    <t>Easter</t>
  </si>
  <si>
    <t>N.Korea</t>
  </si>
  <si>
    <t>Gd ERN: IRBT &amp; AMZN</t>
  </si>
  <si>
    <t>5 week winning trial.</t>
  </si>
  <si>
    <t>6 week winning trial.</t>
  </si>
  <si>
    <t>7 week winning trial.</t>
  </si>
  <si>
    <t>8 week run rate</t>
  </si>
  <si>
    <t>9 week run rate</t>
  </si>
  <si>
    <t>Sold 10 AMZN share = $10K (Shannon kid)</t>
  </si>
  <si>
    <t>10 week run rate</t>
  </si>
  <si>
    <t>Mont vs pr</t>
  </si>
  <si>
    <t>YvsY</t>
  </si>
  <si>
    <t>11 week run rate</t>
  </si>
  <si>
    <t>Fell below 79 and almost sold IRBT</t>
  </si>
  <si>
    <t>12 week run rate</t>
  </si>
  <si>
    <t>Sold IRBT due to it tanking hard last two weeks)</t>
  </si>
  <si>
    <t>13 week run rate</t>
  </si>
  <si>
    <t>14 week run rate</t>
  </si>
  <si>
    <t>AMZN BAD ERNGS - worst dwn 40 pts</t>
  </si>
  <si>
    <t xml:space="preserve"> IRBT great earnings on Tuesday.</t>
  </si>
  <si>
    <t>15 week run rate</t>
  </si>
  <si>
    <t>Buy IRBT earnings on Tuesday.</t>
  </si>
  <si>
    <t>16 week run rate</t>
  </si>
  <si>
    <t>NVDA earning on 8/10/17-Okay</t>
  </si>
  <si>
    <t>North Korea issue</t>
  </si>
  <si>
    <t>17 week run rate</t>
  </si>
  <si>
    <t>-2,000 to pay mortgage</t>
  </si>
  <si>
    <t>Beth and Robert $46K loan</t>
  </si>
  <si>
    <t>18 week run rate</t>
  </si>
  <si>
    <t>19 week run rate</t>
  </si>
  <si>
    <t>LRCX</t>
  </si>
  <si>
    <t>Beth and Robert $45K payback</t>
  </si>
  <si>
    <t>ABMD</t>
  </si>
  <si>
    <t>TRXC</t>
  </si>
  <si>
    <t>ROKU</t>
  </si>
  <si>
    <t>BIDU</t>
  </si>
  <si>
    <t>MZOR.56.79</t>
  </si>
  <si>
    <t>TRXC.2.19</t>
  </si>
  <si>
    <t>beta</t>
  </si>
  <si>
    <t>Analyst</t>
  </si>
  <si>
    <t>Bullish</t>
  </si>
  <si>
    <t>Very Bullish</t>
  </si>
  <si>
    <t xml:space="preserve">Neutral </t>
  </si>
  <si>
    <t>IRBT.86.25</t>
  </si>
  <si>
    <t>Tracer</t>
  </si>
  <si>
    <t>AMZN.1304</t>
  </si>
  <si>
    <t>Tacee</t>
  </si>
  <si>
    <t>IPGP</t>
  </si>
  <si>
    <t>NVDA 2/7</t>
  </si>
  <si>
    <t>ABMD 2/1</t>
  </si>
  <si>
    <t>LRCX 1/24</t>
  </si>
  <si>
    <t>ISRG 1/25</t>
  </si>
  <si>
    <t>IPGP 2/12</t>
  </si>
  <si>
    <t xml:space="preserve">I </t>
  </si>
  <si>
    <t>Sum</t>
  </si>
  <si>
    <t>Avg</t>
  </si>
  <si>
    <t>Job Rpt - Dwn Mrkt</t>
  </si>
  <si>
    <t>Jan</t>
  </si>
  <si>
    <t>Feb</t>
  </si>
  <si>
    <t>Mr</t>
  </si>
  <si>
    <t>Ar</t>
  </si>
  <si>
    <t>Jun</t>
  </si>
  <si>
    <t>Jul</t>
  </si>
  <si>
    <t>Aug</t>
  </si>
  <si>
    <t>Sep</t>
  </si>
  <si>
    <t>Oct</t>
  </si>
  <si>
    <t>Nov</t>
  </si>
  <si>
    <t>Dec</t>
  </si>
  <si>
    <t>&lt;——</t>
  </si>
  <si>
    <t>Wild run</t>
  </si>
  <si>
    <t>Go To:</t>
  </si>
  <si>
    <t>Highest</t>
  </si>
  <si>
    <t>by Amt</t>
  </si>
  <si>
    <t>Mar</t>
  </si>
  <si>
    <t>Apr</t>
  </si>
  <si>
    <t>2016v2015</t>
  </si>
  <si>
    <t>2017v2016</t>
  </si>
  <si>
    <t>2018v2017</t>
  </si>
  <si>
    <t>2019v2018</t>
  </si>
  <si>
    <t>2020v2019</t>
  </si>
  <si>
    <t>2021v2020</t>
  </si>
  <si>
    <t>NVDA 5/7</t>
  </si>
  <si>
    <t>ABMD 5/7</t>
  </si>
  <si>
    <t>LRCX 4/20</t>
  </si>
  <si>
    <t>ISRG 4/20</t>
  </si>
  <si>
    <t>IPGP 5/4</t>
  </si>
  <si>
    <t>IVF</t>
  </si>
  <si>
    <t>Nuetral</t>
  </si>
  <si>
    <t>Pool Solar -$6,700</t>
  </si>
  <si>
    <t>12/28/18 EOD</t>
  </si>
  <si>
    <t>Shannon Lexus $10K</t>
  </si>
  <si>
    <t>1/3/2019 EOD</t>
  </si>
  <si>
    <t>1/11/19 EOD</t>
  </si>
  <si>
    <t>E day</t>
  </si>
  <si>
    <t>ABMD 5/2</t>
  </si>
  <si>
    <t>LRCX 4/17</t>
  </si>
  <si>
    <t>ISRG 4/17</t>
  </si>
  <si>
    <t>IPGP 4/30</t>
  </si>
  <si>
    <t xml:space="preserve"> Bullish</t>
  </si>
  <si>
    <t>IPGP 5/1</t>
  </si>
  <si>
    <t>NVDA 5/10</t>
  </si>
  <si>
    <t>ABMD 5/3</t>
  </si>
  <si>
    <t>YOY: 46.08%</t>
  </si>
  <si>
    <t>ALGN</t>
  </si>
  <si>
    <t xml:space="preserve">YOY:58.67% </t>
  </si>
  <si>
    <t xml:space="preserve">ABMD </t>
  </si>
  <si>
    <t>BM</t>
  </si>
  <si>
    <t>very bullish</t>
  </si>
  <si>
    <t>Am</t>
  </si>
  <si>
    <t>Took out $10K for $5K Care Credit/$5K Hawaii</t>
  </si>
  <si>
    <t>AMRN</t>
  </si>
  <si>
    <t>Bearish</t>
  </si>
  <si>
    <t>Safeway 401K transer - $23K move</t>
  </si>
  <si>
    <r>
      <t xml:space="preserve">Dow drop early in week by </t>
    </r>
    <r>
      <rPr>
        <u/>
        <sz val="10"/>
        <color rgb="FFFF0000"/>
        <rFont val="Calibri"/>
        <family val="2"/>
        <scheme val="minor"/>
      </rPr>
      <t>600 pts</t>
    </r>
  </si>
  <si>
    <t>Oct 31, 2018 - $329,286.20</t>
  </si>
  <si>
    <t>Notes (Changes)</t>
  </si>
  <si>
    <t>Dropped about 100 pts - Crazy drop</t>
  </si>
  <si>
    <t>ZBRA</t>
  </si>
  <si>
    <t>New</t>
  </si>
  <si>
    <t>11/16 - Motley Fool recommends</t>
  </si>
  <si>
    <t>LGND</t>
  </si>
  <si>
    <t>11/16 - Financial Ratios look good</t>
  </si>
  <si>
    <t>ARNA</t>
  </si>
  <si>
    <t>N/A</t>
  </si>
  <si>
    <t>Very Bearish</t>
  </si>
  <si>
    <t>11/16 - New Agreement up 20%</t>
  </si>
  <si>
    <t>11/16 - Very bad earnings</t>
  </si>
  <si>
    <r>
      <t xml:space="preserve">Dow drop early in week by </t>
    </r>
    <r>
      <rPr>
        <u/>
        <sz val="10"/>
        <color rgb="FFFF0000"/>
        <rFont val="Calibri"/>
        <family val="2"/>
        <scheme val="minor"/>
      </rPr>
      <t>500 pts</t>
    </r>
  </si>
  <si>
    <t>YTD</t>
  </si>
  <si>
    <t>MTM</t>
  </si>
  <si>
    <t>Lost 13% in a single day. Sold 1/2</t>
  </si>
  <si>
    <t>November 30, 2018 - $330,339</t>
  </si>
  <si>
    <t>VIX: 24.33</t>
  </si>
  <si>
    <t>CFO of Huawei: Sarah Meng</t>
  </si>
  <si>
    <t>VIX: 21.62.</t>
  </si>
  <si>
    <t>VIX: 36.07</t>
  </si>
  <si>
    <t>VIX: 28.34</t>
  </si>
  <si>
    <t>VIX: 25.10</t>
  </si>
  <si>
    <t>VIX: 18.19</t>
  </si>
  <si>
    <t>Stock</t>
  </si>
  <si>
    <t>Jumped 21% in a single day</t>
  </si>
  <si>
    <t>Sold 30 shares to pay bills</t>
  </si>
  <si>
    <t>CGC</t>
  </si>
  <si>
    <t xml:space="preserve"> N/A</t>
  </si>
  <si>
    <t>Marajuna is 12 Billiion industry 12-18 mnths.</t>
  </si>
  <si>
    <t>ACB</t>
  </si>
  <si>
    <t>Took out $5,200 to pay Januayr bills</t>
  </si>
  <si>
    <t>Dec  31, 2018 -$292,551</t>
  </si>
  <si>
    <t>VIX: 18.89</t>
  </si>
  <si>
    <t>Took out $1,200 to pay January bills</t>
  </si>
  <si>
    <t>Rumor J&amp;J buy Auris Health $2B.</t>
  </si>
  <si>
    <t>Buy but missed by.03 cents and costs 20-29% increase</t>
  </si>
  <si>
    <t>Up 12% afterearnings</t>
  </si>
  <si>
    <t>Jan  31, 2018 -$313,875</t>
  </si>
  <si>
    <t>Nasdaq down 100 pays and this is up!</t>
  </si>
  <si>
    <t>Shy 3 pennies in earnings</t>
  </si>
  <si>
    <t>Good earnings</t>
  </si>
  <si>
    <t>Earnings good, weak fcst, afterhrs down 30 pts</t>
  </si>
  <si>
    <t>Took out $500. Need cash</t>
  </si>
  <si>
    <t>Earnings day</t>
  </si>
  <si>
    <t>Growth 256%</t>
  </si>
  <si>
    <t xml:space="preserve">J&amp;J $3.4B for Auris Health </t>
  </si>
  <si>
    <t>Took out $5,200 to pay bills.</t>
  </si>
  <si>
    <t>Jan  31, 2019 -$313,875</t>
  </si>
  <si>
    <t>Took out $2,300 to pay bills.</t>
  </si>
  <si>
    <t>Feb 28th, 2019 -$316,014</t>
  </si>
  <si>
    <t>Sold duet to March and April with NO JOB</t>
  </si>
  <si>
    <t>Sold for better buys like NVDA &amp; LRCX.</t>
  </si>
  <si>
    <t>It's on FIRE</t>
  </si>
  <si>
    <t>Its was on fire in week 3/25/3029</t>
  </si>
  <si>
    <t>Bad Friday Nasdaq down 196 pts.</t>
  </si>
  <si>
    <t>ZEN</t>
  </si>
  <si>
    <t>Seems like a good buy</t>
  </si>
  <si>
    <t>ZS</t>
  </si>
  <si>
    <t>Sold 50 shares for TWLO &amp; AMRN</t>
  </si>
  <si>
    <t>Sold at 300 (25pts)! Dropping Hard w/o any news($27x250)=$6,750</t>
  </si>
  <si>
    <t>Just go ADA approval</t>
  </si>
  <si>
    <t>TWLO</t>
  </si>
  <si>
    <t>March 31, 2019 -$308,318</t>
  </si>
  <si>
    <t>Sold No Financials</t>
  </si>
  <si>
    <t>Gain/Loss</t>
  </si>
  <si>
    <t>Ticker</t>
  </si>
  <si>
    <t>Paid price</t>
  </si>
  <si>
    <t>Shares</t>
  </si>
  <si>
    <t>MBIO</t>
  </si>
  <si>
    <t>Risky - Possible Bubble Boy cure</t>
  </si>
  <si>
    <t>Bernie Sanders "Medicare for All" Killed Healthcare stocks</t>
  </si>
  <si>
    <t>PINS</t>
  </si>
  <si>
    <t>ZM</t>
  </si>
  <si>
    <t>Risky- IPO PINTEREST</t>
  </si>
  <si>
    <t xml:space="preserve">Risky - IPO ZOOM Cloud Conference Calls </t>
  </si>
  <si>
    <t>Sold</t>
  </si>
  <si>
    <t>NBEV</t>
  </si>
  <si>
    <t>1 Q Earnings Missed (down 33 pts or 6%)</t>
  </si>
  <si>
    <t>Bad</t>
  </si>
  <si>
    <t>IDXX</t>
  </si>
  <si>
    <t>DIXX</t>
  </si>
  <si>
    <t>April 26, 2019 -$299</t>
  </si>
  <si>
    <t>Sold fkr SHOP</t>
  </si>
  <si>
    <t>Sold for Shop</t>
  </si>
  <si>
    <t>IPO</t>
  </si>
  <si>
    <t>BZUN</t>
  </si>
  <si>
    <t>NOW</t>
  </si>
  <si>
    <t>SHOP</t>
  </si>
  <si>
    <t xml:space="preserve">lk;jm </t>
  </si>
  <si>
    <t>Feb 28th, 2019 -$308</t>
  </si>
  <si>
    <t>Sold Zebra went to loss over 8%.</t>
  </si>
  <si>
    <t>Got NOW 100 additional shares/ 25 she’s of ROKU</t>
  </si>
  <si>
    <t>April 30, 2019 -$299</t>
  </si>
  <si>
    <t>Fell below 15% paid price</t>
  </si>
  <si>
    <t>LK</t>
  </si>
  <si>
    <t>PD</t>
  </si>
  <si>
    <t>Added 25 shares at $89</t>
  </si>
  <si>
    <t>paid $55</t>
  </si>
  <si>
    <t>paid $21</t>
  </si>
  <si>
    <t>Save went up 20% last week</t>
  </si>
  <si>
    <t>Sold fell below 17% paid price</t>
  </si>
  <si>
    <t>Sold 6/3/2019</t>
  </si>
  <si>
    <t>Sold on 6/3/2019 USA vs China Trade War and Summer</t>
  </si>
  <si>
    <t>Federal Reservce came in</t>
  </si>
  <si>
    <t>BYND</t>
  </si>
  <si>
    <t xml:space="preserve">Crazy week, Monday lost like $9K too much. </t>
  </si>
  <si>
    <t>paid 295.97</t>
  </si>
  <si>
    <t>paid 255.50</t>
  </si>
  <si>
    <t>CRWD</t>
  </si>
  <si>
    <t>Paid 63.87</t>
  </si>
  <si>
    <t>paid 78.28</t>
  </si>
  <si>
    <t>paid 232.48</t>
  </si>
  <si>
    <t>paid 99.95</t>
  </si>
  <si>
    <t>paid 270.32</t>
  </si>
  <si>
    <t>paid 83.04</t>
  </si>
  <si>
    <t>Took out $5000 to pay bills</t>
  </si>
  <si>
    <t xml:space="preserve">PD </t>
  </si>
  <si>
    <t>paid 57.71</t>
  </si>
  <si>
    <t>MDB</t>
  </si>
  <si>
    <t>paid 170.94</t>
  </si>
  <si>
    <t>Took out $700 to pay bills</t>
  </si>
  <si>
    <t>CASH OUT</t>
  </si>
  <si>
    <t>Start Over w/Reccession in mind</t>
  </si>
  <si>
    <t>SWAV</t>
  </si>
  <si>
    <t>Paid 57.48</t>
  </si>
  <si>
    <t>GO</t>
  </si>
  <si>
    <t>Paid 32.90</t>
  </si>
  <si>
    <t xml:space="preserve">Paid 161.15 </t>
  </si>
  <si>
    <t>Paid 19.62</t>
  </si>
  <si>
    <t>Neutral</t>
  </si>
  <si>
    <t>Paid 277.10</t>
  </si>
  <si>
    <t>WORK</t>
  </si>
  <si>
    <t xml:space="preserve">Paid 36.74 </t>
  </si>
  <si>
    <t>paid 374.13</t>
  </si>
  <si>
    <t>COST</t>
  </si>
  <si>
    <t>bullish</t>
  </si>
  <si>
    <t>Paid 264.72</t>
  </si>
  <si>
    <t>Take out for bills $1,500</t>
  </si>
  <si>
    <t>Paid 162.61</t>
  </si>
  <si>
    <t>Earnings bad sold due to fell below 13%</t>
  </si>
  <si>
    <t>RGLD</t>
  </si>
  <si>
    <t xml:space="preserve">Paid 32.90 </t>
  </si>
  <si>
    <t>paid 57.48</t>
  </si>
  <si>
    <t>Paid 323.16</t>
  </si>
  <si>
    <t xml:space="preserve">Paid 91.63 </t>
  </si>
  <si>
    <t xml:space="preserve">Paid 97.47 </t>
  </si>
  <si>
    <t>Paid 94.47</t>
  </si>
  <si>
    <t xml:space="preserve">Paid 35.81 </t>
  </si>
  <si>
    <t xml:space="preserve">Paid 94.47 </t>
  </si>
  <si>
    <t>Paid 25.99</t>
  </si>
  <si>
    <t>Paid 266.38</t>
  </si>
  <si>
    <t>Paid 276.02</t>
  </si>
  <si>
    <t>SPY</t>
  </si>
  <si>
    <t>Paid 297.66</t>
  </si>
  <si>
    <t>MA</t>
  </si>
  <si>
    <t>Stop going after unicorns - 23 years worth</t>
  </si>
  <si>
    <t>Sold cloud stocks - if not lost $10K today</t>
  </si>
  <si>
    <t>Paid 290.39</t>
  </si>
  <si>
    <t>Paid 299.83</t>
  </si>
  <si>
    <t>Paid 301.12</t>
  </si>
  <si>
    <t>Paid 296.22</t>
  </si>
  <si>
    <t>Paid 557.06</t>
  </si>
  <si>
    <t>Paid 256.91</t>
  </si>
  <si>
    <t>Paid 215.57</t>
  </si>
  <si>
    <t>Paid 560.80</t>
  </si>
  <si>
    <t>Paid 300.14</t>
  </si>
  <si>
    <t>Paid 261.28</t>
  </si>
  <si>
    <t>Paid 24.26</t>
  </si>
  <si>
    <t>SDC</t>
  </si>
  <si>
    <t>Paid 12.12</t>
  </si>
  <si>
    <t>APPL</t>
  </si>
  <si>
    <t>Paid 312.26</t>
  </si>
  <si>
    <t>Paid 43.43</t>
  </si>
  <si>
    <t>CSGP</t>
  </si>
  <si>
    <t>Paid 5651.83</t>
  </si>
  <si>
    <t>Corona Virus and Market Dropping down Hard(-</t>
  </si>
  <si>
    <t>INO</t>
  </si>
  <si>
    <t>Sold bad earnings</t>
  </si>
  <si>
    <r>
      <t>Corona Virus Panic - ISRG down -</t>
    </r>
    <r>
      <rPr>
        <b/>
        <sz val="10"/>
        <color rgb="FFFF0000"/>
        <rFont val="Calibri"/>
        <family val="2"/>
        <scheme val="minor"/>
      </rPr>
      <t xml:space="preserve">23pts </t>
    </r>
    <r>
      <rPr>
        <b/>
        <sz val="10"/>
        <color theme="1"/>
        <rFont val="Calibri"/>
        <family val="2"/>
        <scheme val="minor"/>
      </rPr>
      <t>sold jump 13pts (15 min)</t>
    </r>
  </si>
  <si>
    <t>HIGHS</t>
  </si>
  <si>
    <t>Paid 5.85</t>
  </si>
  <si>
    <t>AVTR</t>
  </si>
  <si>
    <t>ALNY</t>
  </si>
  <si>
    <t>Paid 97.24</t>
  </si>
  <si>
    <t>VAR</t>
  </si>
  <si>
    <t>Paid 110.08</t>
  </si>
  <si>
    <t>Paid 564.36</t>
  </si>
  <si>
    <t>Paid 311.52</t>
  </si>
  <si>
    <t>Paid 651.83</t>
  </si>
  <si>
    <t>Restricted 90 (6/16/20)</t>
  </si>
  <si>
    <t>VIX: 66.47</t>
  </si>
  <si>
    <t>cash</t>
  </si>
  <si>
    <t>GILD</t>
  </si>
  <si>
    <t>Paid 82.82</t>
  </si>
  <si>
    <t>VIX: 65.54</t>
  </si>
  <si>
    <t>Paid 5.99</t>
  </si>
  <si>
    <t xml:space="preserve">VEEV </t>
  </si>
  <si>
    <t>Paid 130.56</t>
  </si>
  <si>
    <t>Paid 137.54</t>
  </si>
  <si>
    <t>VIX: 48.24</t>
  </si>
  <si>
    <t>VIX: 45.24</t>
  </si>
  <si>
    <t>VIX: 38.40</t>
  </si>
  <si>
    <t>Shr</t>
  </si>
  <si>
    <t>VRM</t>
  </si>
  <si>
    <t>Paid 55.78</t>
  </si>
  <si>
    <t>CVNA</t>
  </si>
  <si>
    <t>NKLA</t>
  </si>
  <si>
    <t>Paid 74.64</t>
  </si>
  <si>
    <t>DOCU</t>
  </si>
  <si>
    <t>Paid 202.44</t>
  </si>
  <si>
    <t>Good Exit Plan then you Jump back in…</t>
  </si>
  <si>
    <t>MRNA</t>
  </si>
  <si>
    <t>Paid 83.31</t>
  </si>
  <si>
    <t>Corona Vacine</t>
  </si>
  <si>
    <t>Veev</t>
  </si>
  <si>
    <t>Paid 352.60</t>
  </si>
  <si>
    <t>Paid 272.00</t>
  </si>
  <si>
    <t>Paid 315.58</t>
  </si>
  <si>
    <t>LMND</t>
  </si>
  <si>
    <t>$10,000 portion for IVF</t>
  </si>
  <si>
    <t>LOWS</t>
  </si>
  <si>
    <t>SDC (Dwn 14% AE)</t>
  </si>
  <si>
    <t>Paid 254.60</t>
  </si>
  <si>
    <t>Paid 200.57</t>
  </si>
  <si>
    <t>Paid 152.06</t>
  </si>
  <si>
    <t>Til Earnings</t>
  </si>
  <si>
    <t>FVRR</t>
  </si>
  <si>
    <t>Paid 110.46</t>
  </si>
  <si>
    <t>Neutral 4.6</t>
  </si>
  <si>
    <t>Very Bullish 9.8</t>
  </si>
  <si>
    <t>Neutral 3.2</t>
  </si>
  <si>
    <t>Very Bullish 9.1</t>
  </si>
  <si>
    <t>Bullish 9.0</t>
  </si>
  <si>
    <t>Paid 504.62</t>
  </si>
  <si>
    <t>Bearish 1.8</t>
  </si>
  <si>
    <t>Down over 598 pts today</t>
  </si>
  <si>
    <t>Sold Price</t>
  </si>
  <si>
    <t>Paid 88.15</t>
  </si>
  <si>
    <t>5 Wk Avg</t>
  </si>
  <si>
    <t>Took out $1,000.00</t>
  </si>
  <si>
    <t>Got Out Then Back In (WTF) . Read news artilce about not staying in during downturn</t>
  </si>
  <si>
    <t>VIX: 26.61</t>
  </si>
  <si>
    <t>DPZ</t>
  </si>
  <si>
    <t>Bullish 8.5</t>
  </si>
  <si>
    <t>Paid 393.53</t>
  </si>
  <si>
    <t>Paid 277.36</t>
  </si>
  <si>
    <t>Paid 125.26</t>
  </si>
  <si>
    <t>Bullish 9.1</t>
  </si>
  <si>
    <t>Paid 517.70</t>
  </si>
  <si>
    <t>Took out $1,5000.00</t>
  </si>
  <si>
    <t>NKLA -  Dumb</t>
  </si>
  <si>
    <t>Biden</t>
  </si>
  <si>
    <t>1st President debate (Trump vs Binden) and Trump has Corona Virus</t>
  </si>
  <si>
    <t>DPZ down hard after Earnings</t>
  </si>
  <si>
    <t>Took out $550</t>
  </si>
  <si>
    <t>FVRR Dwn 16pts (10%)  (1 Day</t>
  </si>
  <si>
    <r>
      <t>FVRR</t>
    </r>
    <r>
      <rPr>
        <b/>
        <sz val="12"/>
        <color rgb="FFFF0000"/>
        <rFont val="Calibri"/>
        <family val="2"/>
        <scheme val="minor"/>
      </rPr>
      <t xml:space="preserve"> ($9K Loss)</t>
    </r>
  </si>
  <si>
    <t>i</t>
  </si>
  <si>
    <r>
      <t>DPZ</t>
    </r>
    <r>
      <rPr>
        <b/>
        <sz val="12"/>
        <color rgb="FFFF0000"/>
        <rFont val="Calibri"/>
        <family val="2"/>
        <scheme val="minor"/>
      </rPr>
      <t xml:space="preserve"> ($8K Loss)</t>
    </r>
  </si>
  <si>
    <t>Took out $2,550</t>
  </si>
  <si>
    <t>Total</t>
  </si>
  <si>
    <t>Took out $1,000</t>
  </si>
  <si>
    <t>LI</t>
  </si>
  <si>
    <t>Paid 22.86</t>
  </si>
  <si>
    <t>XPEV</t>
  </si>
  <si>
    <t>Paid 20.940</t>
  </si>
  <si>
    <t>NIO</t>
  </si>
  <si>
    <t>Paid 33.23</t>
  </si>
  <si>
    <t>Mod Buy</t>
  </si>
  <si>
    <t>Strong Buy</t>
  </si>
  <si>
    <t>23% Asset Growth</t>
  </si>
  <si>
    <t>Monday &amp; Tuesday, very UGLY</t>
  </si>
  <si>
    <t>Low</t>
  </si>
  <si>
    <t>CNK</t>
  </si>
  <si>
    <t>Paid 13.315</t>
  </si>
  <si>
    <t>AAL</t>
  </si>
  <si>
    <t>Paid 12.995</t>
  </si>
  <si>
    <t>Panic</t>
  </si>
  <si>
    <t>8:15am</t>
  </si>
  <si>
    <t>Paid 29.576</t>
  </si>
  <si>
    <t>FCEL</t>
  </si>
  <si>
    <t>Paid 3.11</t>
  </si>
  <si>
    <t xml:space="preserve">Summary: Sold CNK and AAL due to XPEV was on fire and I was also looking at Hydrogen stocks.  </t>
  </si>
  <si>
    <t>BEEM</t>
  </si>
  <si>
    <t>Paid 33.925</t>
  </si>
  <si>
    <t>Summary: Got BEEM due to Solar charging stations for batter cars. Up 34% day I brought it. Uggh!</t>
  </si>
  <si>
    <t>Paid 593.69</t>
  </si>
  <si>
    <t xml:space="preserve">Summary: Sold BEAM (Down 19% in 2 days) and NVDA (100 shrs) and got TSLA.  TSLA did get an upgrade and UK is getting out of gas cars by 2030 and maybe battery cars are in. Who freakin know and stop constantly looking at Market. </t>
  </si>
  <si>
    <t>Very Bearish 0.5</t>
  </si>
  <si>
    <t>Neutral 5.8</t>
  </si>
  <si>
    <t>Paid 613.66</t>
  </si>
  <si>
    <t>Summary: TSLA is on fire added to S&amp;P500 and up 7% in a single day. VEEV down 3% for over 3 months, Sold it and brought more TSLA. Wed: Lost $15,106 Dwn 243 pts. Sold AVTR 100 shrs need cash.</t>
  </si>
  <si>
    <t>Paid 5.96</t>
  </si>
  <si>
    <t>Paid 32.66</t>
  </si>
  <si>
    <t>Paid 22.66</t>
  </si>
  <si>
    <t>BLNK</t>
  </si>
  <si>
    <t>Paid 33.65</t>
  </si>
  <si>
    <t>Paid 518.35</t>
  </si>
  <si>
    <t xml:space="preserve">Summary: Sold AVTR, the corona virus vacine is in place and I was going to buy BLNK but decided I need cash on hand with the high growth stocks that I currently own and in case of a "crash."  to prevent me from possible emotional trading. </t>
  </si>
  <si>
    <t>Paid 7.287</t>
  </si>
  <si>
    <t>Paid 37.08</t>
  </si>
  <si>
    <t>Paid 518.56</t>
  </si>
  <si>
    <t>Paid 132.56</t>
  </si>
  <si>
    <t>Summary: want to buy QS at 83 but it went up 21 pts and after hours 9pt.  Crazy EV battery company. Sold 50 shr of NVDA and got APPL, more BLNK and FCEL.</t>
  </si>
  <si>
    <t>Summary: Sold NVDA 12 shrs for divorce attorney.  This could get ugly but I won't pay as much if I get full custody and she won't get much from my house or 401(k).  Might be a good move from 12/20-12/28 (shannons drunkin rage)</t>
  </si>
  <si>
    <t>Paid 13.55</t>
  </si>
  <si>
    <t>PLUG</t>
  </si>
  <si>
    <t>Paid 51.66</t>
  </si>
  <si>
    <t>Paid 64.55</t>
  </si>
  <si>
    <t>Summary: Joe Biden is official President and EV and HFCEL stocks are running high. FCEL - hydrogen fuel cells is way up.</t>
  </si>
  <si>
    <t>Dol</t>
  </si>
  <si>
    <t>Hydro/Solar</t>
  </si>
  <si>
    <t>EV China</t>
  </si>
  <si>
    <t>Tesla</t>
  </si>
  <si>
    <t>Summary: Joe Biden is official President on "Jan 20, 2021" and EV and HFCEL stocks are running high. FCEL - hydrogen fuel cells is way up. On Friday Nasdaq down 144pts, lost $20K that day.  Amazing, on Tuesday I made $28K and end of week lost $7K.</t>
  </si>
  <si>
    <t xml:space="preserve">Summary: </t>
  </si>
  <si>
    <t>Hydro</t>
  </si>
  <si>
    <t>Good E</t>
  </si>
  <si>
    <t>Paid 58.41</t>
  </si>
  <si>
    <t>Missed E</t>
  </si>
  <si>
    <t>Summary: Received "Safeway check" for $14K.  Sold Beam due to it loosing money</t>
  </si>
  <si>
    <t>Weekly Dif</t>
  </si>
  <si>
    <t>DMTK</t>
  </si>
  <si>
    <t>Paid 67.89</t>
  </si>
  <si>
    <t>Paid 306.89</t>
  </si>
  <si>
    <t xml:space="preserve">Summary:  Market tanked within a few minutes down 155 pts and I saw losses at $25,000 and it did recover  and I was started selling stocks and DMTK and FVRR couldn't sell due to good faith and they rocketed and why I kept them the day later and beyond. </t>
  </si>
  <si>
    <t>GH</t>
  </si>
  <si>
    <t>Paid 176.83</t>
  </si>
  <si>
    <t>AMAT</t>
  </si>
  <si>
    <t>Paid 119.91</t>
  </si>
  <si>
    <t>Summary:  GH has a blood testing revolutionize cancer testing.  AMAT, 5G is strong buy.</t>
  </si>
  <si>
    <t>FSR</t>
  </si>
  <si>
    <t>Paid 23.73</t>
  </si>
  <si>
    <t>Paid 693.88</t>
  </si>
  <si>
    <r>
      <t>Summary - TSLA was down hard and</t>
    </r>
    <r>
      <rPr>
        <b/>
        <u/>
        <sz val="12"/>
        <color theme="1"/>
        <rFont val="Calibri"/>
        <family val="2"/>
        <scheme val="minor"/>
      </rPr>
      <t xml:space="preserve"> FSR contract with Apple/Foxconn for EV cars</t>
    </r>
    <r>
      <rPr>
        <sz val="12"/>
        <color theme="1"/>
        <rFont val="Calibri"/>
        <family val="2"/>
        <scheme val="minor"/>
      </rPr>
      <t>. Remain Calm</t>
    </r>
  </si>
  <si>
    <t>L</t>
  </si>
  <si>
    <r>
      <t xml:space="preserve">Summary - </t>
    </r>
    <r>
      <rPr>
        <b/>
        <sz val="12"/>
        <color theme="1"/>
        <rFont val="Calibri"/>
        <family val="2"/>
        <scheme val="minor"/>
      </rPr>
      <t>Geez, lost $99K in 3 weeks and don't see a bottom yet. Kept about $30K in cash and that seems to prevent Emotional selling</t>
    </r>
  </si>
  <si>
    <t>MCHP</t>
  </si>
  <si>
    <t>Paid 138.62</t>
  </si>
  <si>
    <t>Paid 527.97</t>
  </si>
  <si>
    <t>Summary -</t>
  </si>
  <si>
    <t>BULLISH 7.3</t>
  </si>
  <si>
    <t>Paid 17.84</t>
  </si>
  <si>
    <t>BULLISH 8.4</t>
  </si>
  <si>
    <t>Paid 25.16</t>
  </si>
  <si>
    <t>Paid 234.48</t>
  </si>
  <si>
    <t>Paid 53.05</t>
  </si>
  <si>
    <t>BULLISH 7.2</t>
  </si>
  <si>
    <t>QS</t>
  </si>
  <si>
    <t>Paid 58.39</t>
  </si>
  <si>
    <t>NUETRAL 5.9</t>
  </si>
  <si>
    <r>
      <t>Summary -</t>
    </r>
    <r>
      <rPr>
        <b/>
        <sz val="12"/>
        <color theme="1"/>
        <rFont val="Calibri"/>
        <family val="2"/>
        <scheme val="minor"/>
      </rPr>
      <t>Stay in Bullish Territory and forget about the high fliers unless you like the burn.</t>
    </r>
  </si>
  <si>
    <t>VIX: 20.38</t>
  </si>
  <si>
    <t>Paid 18.07</t>
  </si>
  <si>
    <t>BEARISH 1.4</t>
  </si>
  <si>
    <t>CLNE</t>
  </si>
  <si>
    <t>Paid 15.40</t>
  </si>
  <si>
    <t>AMRS</t>
  </si>
  <si>
    <t>VERY BEARISH 0.8</t>
  </si>
  <si>
    <t>Paid 22.19</t>
  </si>
  <si>
    <t>TMDX</t>
  </si>
  <si>
    <t>BEARISH 2.3</t>
  </si>
  <si>
    <t>Paid 42.88</t>
  </si>
  <si>
    <r>
      <t>Summary -</t>
    </r>
    <r>
      <rPr>
        <b/>
        <sz val="12"/>
        <color theme="1"/>
        <rFont val="Calibri"/>
        <family val="2"/>
        <scheme val="minor"/>
      </rPr>
      <t>Stay in Bullish Territory and spreadout the stocks and you only need one or two in 10 years to Win big!</t>
    </r>
  </si>
  <si>
    <t xml:space="preserve">Summary </t>
  </si>
  <si>
    <t xml:space="preserve">Summary  Bill Hwang sold $30B late Friday on Margin calls and Monday the market was down hard again.  Needed to get some cash just in case. </t>
  </si>
  <si>
    <t>INVZ</t>
  </si>
  <si>
    <t>IPO (Sensors)</t>
  </si>
  <si>
    <t>Paid 12.28</t>
  </si>
  <si>
    <t>Summary: Keep $30K in cash and STOP BUYING AND SELLING STOCK…YOU'D BE AT $800K TODAY if you kept old stocks.</t>
  </si>
  <si>
    <t>COIN</t>
  </si>
  <si>
    <t>Paid 370.57</t>
  </si>
  <si>
    <t>OKTA</t>
  </si>
  <si>
    <t>Paid 269.37</t>
  </si>
  <si>
    <t>Summary: Keep $10K in cash and got rid of DMTK and INVZ.  Was loosing down 17% purchase price and OKTA was a buy.</t>
  </si>
  <si>
    <r>
      <t xml:space="preserve">Summary: Sold COIN due to it being down (16%) negative. </t>
    </r>
    <r>
      <rPr>
        <b/>
        <sz val="12"/>
        <color rgb="FF92D050"/>
        <rFont val="Calibri"/>
        <family val="2"/>
        <scheme val="minor"/>
      </rPr>
      <t>Took out $16K for Pool Patio and Addisons Dental bill.</t>
    </r>
  </si>
  <si>
    <t>F&amp;G Factor</t>
  </si>
  <si>
    <t>VIX: 21.34</t>
  </si>
  <si>
    <t>Pre-Hours</t>
  </si>
  <si>
    <t>SQQQ</t>
  </si>
  <si>
    <t>Paid 12.165</t>
  </si>
  <si>
    <t>UVXY</t>
  </si>
  <si>
    <t>Paid 4.445</t>
  </si>
  <si>
    <t>YANG</t>
  </si>
  <si>
    <t>Paid 119.88</t>
  </si>
  <si>
    <t>Paid 121.99</t>
  </si>
  <si>
    <t>O</t>
  </si>
  <si>
    <t>Paid 64.77</t>
  </si>
  <si>
    <t>Buy</t>
  </si>
  <si>
    <t>Shrs</t>
  </si>
  <si>
    <t>totals</t>
  </si>
  <si>
    <t xml:space="preserve">Summary: Inflation Fears are on the horizen and the Fed is prining more and more cash and the free cash given to the people at $835B and this is the 3rd time and a possible 4th free money soon enough. Lumber, Steel and other materials are sky rocking making inflation more and more transparent. </t>
  </si>
  <si>
    <t>Sell</t>
  </si>
  <si>
    <t>CPI Home : U.S. Bureau of Labor Statistics (bls.gov)</t>
  </si>
  <si>
    <t>YVXY</t>
  </si>
  <si>
    <t>24 Hour Stock Market and Forex Data - After-Hours Trading - CNNMoney.com</t>
  </si>
  <si>
    <t>SPXS</t>
  </si>
  <si>
    <t>Paid 28.28</t>
  </si>
  <si>
    <t>Paid 12.17</t>
  </si>
  <si>
    <t>SDS</t>
  </si>
  <si>
    <t>Paid 9.55</t>
  </si>
  <si>
    <t>Paid 41.55</t>
  </si>
  <si>
    <t>Summary: Inflation Fears are on the horizen</t>
  </si>
  <si>
    <t>SOXX</t>
  </si>
  <si>
    <t>Paid 437.53</t>
  </si>
  <si>
    <t>IVV</t>
  </si>
  <si>
    <t>Paid 423</t>
  </si>
  <si>
    <t>ARK</t>
  </si>
  <si>
    <t>Paid 109.555</t>
  </si>
  <si>
    <t>Paid 15.77</t>
  </si>
  <si>
    <t>Summary: ETF's with top tech companies and Semiconductors. ARK is due to Telsa holdings. DON'T BUY SINGLE STOCKS AGAIN. WARREN BUFFET TALK. Good Employment Job report.</t>
  </si>
  <si>
    <t>Wating free up cash</t>
  </si>
  <si>
    <t>SOXX (Semi)</t>
  </si>
  <si>
    <t>Semicondutors/Chips</t>
  </si>
  <si>
    <t>Paid 431.56</t>
  </si>
  <si>
    <t>IVV (FANG)</t>
  </si>
  <si>
    <t>Fscebook/Apple</t>
  </si>
  <si>
    <t>Paid 424.38</t>
  </si>
  <si>
    <t>MCHI (china)</t>
  </si>
  <si>
    <t xml:space="preserve">China </t>
  </si>
  <si>
    <t>Paid 81.55</t>
  </si>
  <si>
    <t>SCHA (small Cap)</t>
  </si>
  <si>
    <t>Small Cap</t>
  </si>
  <si>
    <t>Paid 105.03</t>
  </si>
  <si>
    <t>TSM (Taiw)</t>
  </si>
  <si>
    <t>Twian Semiconductor</t>
  </si>
  <si>
    <t>Paid 117.17</t>
  </si>
  <si>
    <t>XME (Miner)</t>
  </si>
  <si>
    <t>Comodities</t>
  </si>
  <si>
    <t>Paid 47.72</t>
  </si>
  <si>
    <t>ARKK (Tesla)</t>
  </si>
  <si>
    <t>Telsa</t>
  </si>
  <si>
    <t>Paid 113.67</t>
  </si>
  <si>
    <t>FNGU (fang Lv)</t>
  </si>
  <si>
    <t>Fang Levg</t>
  </si>
  <si>
    <t>Paid 29.97</t>
  </si>
  <si>
    <t>BATT (Lithium)</t>
  </si>
  <si>
    <t>Lithium &amp;Battery</t>
  </si>
  <si>
    <t>Paid 17.06</t>
  </si>
  <si>
    <t>VNQ (real)</t>
  </si>
  <si>
    <t>Real Estate</t>
  </si>
  <si>
    <t>Paid xxx</t>
  </si>
  <si>
    <t>Summary: ETF's with top tech companies and Semiconductors. ARK is due to Telsa holdings. DON'T BUY SINGLE STOCKS AGAIN. WARREN BUFFET TALK. Inflation Is up but it's going down and Cathy Wood ARKK</t>
  </si>
  <si>
    <t>Summary: SCREW IT, I NOW BELIEVE IN INFLATION AFTER WED FED MEETING.</t>
  </si>
  <si>
    <t>Bitcoint/Chips</t>
  </si>
  <si>
    <t>Paid 772.22</t>
  </si>
  <si>
    <t>WFH</t>
  </si>
  <si>
    <t>Paid 244.79</t>
  </si>
  <si>
    <t>N/a</t>
  </si>
  <si>
    <t>Internet Secruirty</t>
  </si>
  <si>
    <t>Paid 246.96</t>
  </si>
  <si>
    <t>Paid 680.81</t>
  </si>
  <si>
    <t>BABA</t>
  </si>
  <si>
    <t>Paid 217.09</t>
  </si>
  <si>
    <t>Paid 633.38</t>
  </si>
  <si>
    <t>Summary: LUMBER PRICES ARE WAY DOWN, SO INFLATION LOOKS TAME, THEN THE MARKETS COULD FALL OR ROAR. WHO FREAKIN KNOWS. DIFFERENT THIS TIME, I TOOK A LITTLE OF EACH HIGH FLYING STOCK AND SEE WHERE WE LAND</t>
  </si>
  <si>
    <t xml:space="preserve">Summary: HOLD ON - </t>
  </si>
  <si>
    <t>Summary: HOLD ON - The Market isn't showing much reliability and Inflation this week was ugly, so sold.  STAY OUT UNTIL AFTER END OF OCTOBER 2021.</t>
  </si>
  <si>
    <t>Paid 193.34</t>
  </si>
  <si>
    <t>Paid 931.89</t>
  </si>
  <si>
    <t>Paid 311.05</t>
  </si>
  <si>
    <t>Summary: HOLD ON - Market has strength and the stocks you have are in HIGH demand, so if the market crashes they will still be worth something.</t>
  </si>
  <si>
    <t>Paid 88.6978</t>
  </si>
  <si>
    <t>Paid 259.3292</t>
  </si>
  <si>
    <t>TTD</t>
  </si>
  <si>
    <t>Paid 86.44</t>
  </si>
  <si>
    <t>Summary:  Sold FVRR - there wasn't a weekly earning run and Earnings are tomorrow and it's a dud. ISRG does a 3 for 1 stock split! YEAH!</t>
  </si>
  <si>
    <t xml:space="preserve">Summary:  Only keeping solid stocks until after October 2021. </t>
  </si>
  <si>
    <t>ISRG (3 for 1)</t>
  </si>
  <si>
    <t>Summary:  Only keeping solid stocks until after October 2021.  ISRG 3 for 1 split on October 5, 2021</t>
  </si>
  <si>
    <t>Fear Index</t>
  </si>
  <si>
    <t>21 (extre)</t>
  </si>
  <si>
    <t>28 (extre)</t>
  </si>
  <si>
    <t>Paid 323.33</t>
  </si>
  <si>
    <t>Summary:  Sold due to the INFLATION and TiAWAN/CHINA ISSUES</t>
  </si>
  <si>
    <t>Earn Days</t>
  </si>
  <si>
    <t>Paid 221.06</t>
  </si>
  <si>
    <t>BULLISH</t>
  </si>
  <si>
    <t>Paid 310.63</t>
  </si>
  <si>
    <t>NEUTRAL</t>
  </si>
  <si>
    <t>Paid 307.63</t>
  </si>
  <si>
    <t>STRONG</t>
  </si>
  <si>
    <t>Paid 285.40</t>
  </si>
  <si>
    <t>XPENG</t>
  </si>
  <si>
    <t>Paid 43.22</t>
  </si>
  <si>
    <t>Paid 294.04</t>
  </si>
  <si>
    <t>Summary:  Okay, looks like Fear and Greed have mellowed out from 32 to 55.  Earning are coming and they look to be good and ignore "Inflation" for now.  I believe these stock are good for the long haul. PLEASE LEAVE ALONE!</t>
  </si>
  <si>
    <t xml:space="preserve">Pricing </t>
  </si>
  <si>
    <t>1 yr</t>
  </si>
  <si>
    <t>5 yr</t>
  </si>
  <si>
    <t>MARA</t>
  </si>
  <si>
    <t>Paid 50.52</t>
  </si>
  <si>
    <t>LCID</t>
  </si>
  <si>
    <t>Paid 39.09</t>
  </si>
  <si>
    <t>OCGN</t>
  </si>
  <si>
    <t>Paid 10.57</t>
  </si>
  <si>
    <t>Paid 11.46</t>
  </si>
  <si>
    <t>Summary: Truthfully, this stock set is a bunch of high flyers that could crater if the Market takes a major hit. At $14K risky or 7%.</t>
  </si>
  <si>
    <t>Summary: Remember, Warren Buffett has $149B in cash waiting for a Market crash.</t>
  </si>
  <si>
    <t>RIOT</t>
  </si>
  <si>
    <t>Paid 36.80</t>
  </si>
  <si>
    <t>Paid 21.49</t>
  </si>
  <si>
    <t>Summary: Remember, Warren Buffett has $149B in cash waiting for a Market crash. COIN, MARA and RIOT are BITCOIN Brains</t>
  </si>
  <si>
    <t>Bitcoin</t>
  </si>
  <si>
    <t>Poor</t>
  </si>
  <si>
    <t>Paid 44.96</t>
  </si>
  <si>
    <t>Paid 59.16</t>
  </si>
  <si>
    <t>Bad dwn 30%</t>
  </si>
  <si>
    <t>bad down 18%</t>
  </si>
  <si>
    <t>HIVE</t>
  </si>
  <si>
    <t>Paid 4.32</t>
  </si>
  <si>
    <r>
      <t xml:space="preserve">Summary: </t>
    </r>
    <r>
      <rPr>
        <b/>
        <sz val="12"/>
        <color rgb="FF92D050"/>
        <rFont val="Calibri"/>
        <family val="2"/>
        <scheme val="minor"/>
      </rPr>
      <t>Holding steady, the current stocks are good so far and diverse NASDAQ in 2 weeks down 972 pts.</t>
    </r>
  </si>
  <si>
    <t>Summary: Remember, Warren Buffett has $149B in cash waiting for a Market crash. Got rid of LCID due to it fell down 18% in a single day</t>
  </si>
  <si>
    <t>Summary: Fed Meeting was possitive and Nasdaq up 327 pts in a single day on Wednesday, Dec 15th, 2021.</t>
  </si>
  <si>
    <r>
      <t>Summary: Remember, Looking at</t>
    </r>
    <r>
      <rPr>
        <b/>
        <u/>
        <sz val="12"/>
        <color rgb="FFFFFF00"/>
        <rFont val="Calibri"/>
        <family val="2"/>
        <scheme val="minor"/>
      </rPr>
      <t xml:space="preserve"> AVGO &amp; MTTR</t>
    </r>
    <r>
      <rPr>
        <b/>
        <sz val="12"/>
        <color rgb="FFFFFF00"/>
        <rFont val="Calibri"/>
        <family val="2"/>
        <scheme val="minor"/>
      </rPr>
      <t xml:space="preserve"> but don't have any money to play with at this time.</t>
    </r>
  </si>
  <si>
    <t>Put/Call Options 49.06%</t>
  </si>
  <si>
    <t>Gains/(Loss)</t>
  </si>
  <si>
    <t>Nasdaq</t>
  </si>
  <si>
    <t>2022v2021</t>
  </si>
  <si>
    <t>X</t>
  </si>
  <si>
    <t>Month</t>
  </si>
  <si>
    <t>Learn Spanish</t>
  </si>
  <si>
    <t>Look For Work</t>
  </si>
  <si>
    <t>Training/Learning</t>
  </si>
  <si>
    <t>June</t>
  </si>
  <si>
    <t>September</t>
  </si>
  <si>
    <t>October</t>
  </si>
  <si>
    <t>November</t>
  </si>
  <si>
    <t>March</t>
  </si>
  <si>
    <t>April</t>
  </si>
  <si>
    <t>Summary:</t>
  </si>
  <si>
    <t>Row</t>
  </si>
  <si>
    <t>Clean Kitchen</t>
  </si>
  <si>
    <t>Plan</t>
  </si>
  <si>
    <t>Elipt</t>
  </si>
  <si>
    <t>internet</t>
  </si>
  <si>
    <t>Pts</t>
  </si>
  <si>
    <t>Total Internet</t>
  </si>
  <si>
    <t xml:space="preserve">November </t>
  </si>
  <si>
    <t>Age</t>
  </si>
  <si>
    <t>Week</t>
  </si>
  <si>
    <t>Week 1</t>
  </si>
  <si>
    <t>1-7</t>
  </si>
  <si>
    <t>Life Used</t>
  </si>
  <si>
    <t>Pct</t>
  </si>
  <si>
    <t>Pct Used</t>
  </si>
  <si>
    <t>Calendar</t>
  </si>
  <si>
    <t>Weeks in Lifespan</t>
  </si>
  <si>
    <t>Your Digital Life Span</t>
  </si>
  <si>
    <t>Time Frame</t>
  </si>
  <si>
    <t>College/Trade School/Work</t>
  </si>
  <si>
    <t>Year at 85</t>
  </si>
  <si>
    <t>Used</t>
  </si>
  <si>
    <t>Used Pctg</t>
  </si>
  <si>
    <t>Life Span Wks</t>
  </si>
  <si>
    <t>Life Span %</t>
  </si>
  <si>
    <t>AM: DAY 1</t>
  </si>
  <si>
    <t>Time In</t>
  </si>
  <si>
    <t>Time Out</t>
  </si>
  <si>
    <t>Estimated</t>
  </si>
  <si>
    <t>AM: DAY 2</t>
  </si>
  <si>
    <t>Meditation/Focus I</t>
  </si>
  <si>
    <t>BREAK/NAP</t>
  </si>
  <si>
    <t>Lawn/House Work</t>
  </si>
  <si>
    <t>Write You Books</t>
  </si>
  <si>
    <t>Bills</t>
  </si>
  <si>
    <t>Vidoes/News #1</t>
  </si>
  <si>
    <t>Interview</t>
  </si>
  <si>
    <t>Vidoes/News #2</t>
  </si>
  <si>
    <t xml:space="preserve">Mtn Biking </t>
  </si>
  <si>
    <t>Finance Work</t>
  </si>
  <si>
    <t>Excel Work</t>
  </si>
  <si>
    <t>Learn To Draw</t>
  </si>
  <si>
    <t>AM: DAY 3</t>
  </si>
  <si>
    <t>AM: DAY 4</t>
  </si>
  <si>
    <t>AM: DAY 5</t>
  </si>
  <si>
    <t>AM: DAY 6</t>
  </si>
  <si>
    <t>AM: DAY 7</t>
  </si>
  <si>
    <t>AM: DAY 8</t>
  </si>
  <si>
    <t xml:space="preserve">Shannon Home 8:15/AAA 9:45 </t>
  </si>
  <si>
    <t>AM: DAY 9</t>
  </si>
  <si>
    <t>AM: DAY 10</t>
  </si>
  <si>
    <t xml:space="preserve">Summary Week-Day </t>
  </si>
  <si>
    <t>Summary:  Week-End</t>
  </si>
  <si>
    <t>Max</t>
  </si>
  <si>
    <t>Med</t>
  </si>
  <si>
    <t>Milestones</t>
  </si>
  <si>
    <t>SleepM</t>
  </si>
  <si>
    <t>RowM</t>
  </si>
  <si>
    <t>GymM</t>
  </si>
  <si>
    <t>InternetM</t>
  </si>
  <si>
    <t>End TimeM</t>
  </si>
  <si>
    <t>TotalM</t>
  </si>
  <si>
    <t>DOB:</t>
  </si>
  <si>
    <t>2022</t>
  </si>
  <si>
    <t>Family Awake</t>
  </si>
  <si>
    <t>Avg Time</t>
  </si>
  <si>
    <t>End Time PM</t>
  </si>
  <si>
    <t>Work</t>
  </si>
  <si>
    <t>Kids School</t>
  </si>
  <si>
    <t>M/Y</t>
  </si>
  <si>
    <t>Day</t>
  </si>
  <si>
    <t>RUN Begins</t>
  </si>
  <si>
    <t>Start</t>
  </si>
  <si>
    <t>Calories</t>
  </si>
  <si>
    <t>2023</t>
  </si>
  <si>
    <t>Iphone In Station</t>
  </si>
  <si>
    <t>Iphone in Hand</t>
  </si>
  <si>
    <t>Work/School</t>
  </si>
  <si>
    <t>MAX</t>
  </si>
  <si>
    <t>Wk</t>
  </si>
  <si>
    <t>Barbara</t>
  </si>
  <si>
    <t>Hardy setup/Work Girl</t>
  </si>
  <si>
    <t>Walnut C</t>
  </si>
  <si>
    <t>Coke girl/Kathleen</t>
  </si>
  <si>
    <t>Coca Cola</t>
  </si>
  <si>
    <t>Kathleen</t>
  </si>
  <si>
    <t>Pleasanton</t>
  </si>
  <si>
    <t>Pacer</t>
  </si>
  <si>
    <t>Fort Worth</t>
  </si>
  <si>
    <t>Alameda</t>
  </si>
  <si>
    <t>Abbot</t>
  </si>
  <si>
    <t>Shannon</t>
  </si>
  <si>
    <t>Berkeley Lab</t>
  </si>
  <si>
    <t>Concord</t>
  </si>
  <si>
    <t>Shannon/Marriage</t>
  </si>
  <si>
    <t>Safeway</t>
  </si>
  <si>
    <t>shannon</t>
  </si>
  <si>
    <t>Shannon/Adi</t>
  </si>
  <si>
    <t>Remini/Blackhawk</t>
  </si>
  <si>
    <t>Blackhawk</t>
  </si>
  <si>
    <t>FW Texas/Portugal</t>
  </si>
  <si>
    <t>Walnut C/London</t>
  </si>
  <si>
    <t>Walnut C/Italy/Pisa</t>
  </si>
  <si>
    <t>Notes2</t>
  </si>
  <si>
    <t>Comm Practicr</t>
  </si>
  <si>
    <t>Average of Pct</t>
  </si>
  <si>
    <t>Happy</t>
  </si>
  <si>
    <t>Sad</t>
  </si>
  <si>
    <t>Sleepy</t>
  </si>
  <si>
    <t/>
  </si>
  <si>
    <t>Safeway Store PH</t>
  </si>
  <si>
    <t xml:space="preserve"> Rowing</t>
  </si>
  <si>
    <t xml:space="preserve"> End Time</t>
  </si>
  <si>
    <t>1-4</t>
  </si>
  <si>
    <t>5-9</t>
  </si>
  <si>
    <t>32-35</t>
  </si>
  <si>
    <t>36-39</t>
  </si>
  <si>
    <t>40-43</t>
  </si>
  <si>
    <t>44-47</t>
  </si>
  <si>
    <t>48-52</t>
  </si>
  <si>
    <t>Wks</t>
  </si>
  <si>
    <t>Mth</t>
  </si>
  <si>
    <t>27-31</t>
  </si>
  <si>
    <t>9-13</t>
  </si>
  <si>
    <t>14-17</t>
  </si>
  <si>
    <t>18-23</t>
  </si>
  <si>
    <t>At Work</t>
  </si>
  <si>
    <t>Lunch</t>
  </si>
  <si>
    <t>Stretch/Comm</t>
  </si>
  <si>
    <t>View InternetPlay w/Adi</t>
  </si>
  <si>
    <t xml:space="preserve">Morning List </t>
  </si>
  <si>
    <t xml:space="preserve">Your Morning List </t>
  </si>
  <si>
    <t>Grading 10 Days</t>
  </si>
  <si>
    <t>24-27</t>
  </si>
  <si>
    <t>Current Week</t>
  </si>
  <si>
    <t>Meditation/math test</t>
  </si>
  <si>
    <t>Start Time</t>
  </si>
  <si>
    <t>Mathmagics/Spanish</t>
  </si>
  <si>
    <t>Sun</t>
  </si>
  <si>
    <t xml:space="preserve"> WK</t>
  </si>
  <si>
    <t>In Bed</t>
  </si>
  <si>
    <t xml:space="preserve">Gym </t>
  </si>
  <si>
    <t>Wake up</t>
  </si>
  <si>
    <t>Summary:  Use 3 Timers.  1) Time Get Up - In Kitchen 2) Mediation/Spanish/Stretch (1 hr), 3) Rowing/Elliptical/Gym (2 hr).</t>
  </si>
  <si>
    <t xml:space="preserve">Summary: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</si>
</sst>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F800]dddd\,\ mmmm\ dd\,\ yyyy"/>
    <numFmt numFmtId="167" formatCode="m/d/yy;@"/>
    <numFmt numFmtId="168" formatCode="&quot;$&quot;#,##0"/>
    <numFmt numFmtId="169" formatCode="[$$-409]#,##0"/>
    <numFmt numFmtId="170" formatCode="_(* #,##0.000_);_(* \(#,##0.000\);_(* &quot;-&quot;??_);_(@_)"/>
    <numFmt numFmtId="171" formatCode="[$-409]h:mm\ AM/PM;@"/>
    <numFmt numFmtId="172" formatCode="h:mm;@"/>
    <numFmt numFmtId="173" formatCode="_(&quot;$&quot;* #,##0_);_(&quot;$&quot;* \(#,##0\);_(&quot;$&quot;* &quot;-&quot;??_);_(@_)"/>
    <numFmt numFmtId="174" formatCode="&quot;$&quot;#,##0.00"/>
    <numFmt numFmtId="175" formatCode="[$$-409]#,##0.00"/>
    <numFmt numFmtId="176" formatCode="#,##0.0"/>
    <numFmt numFmtId="177" formatCode="mm/dd/yy;@"/>
    <numFmt numFmtId="178" formatCode="#,###"/>
    <numFmt numFmtId="179" formatCode="0.000%"/>
    <numFmt numFmtId="180" formatCode="dd"/>
    <numFmt numFmtId="181" formatCode="0.0000000000000000%"/>
    <numFmt numFmtId="182" formatCode="[h]:mm:ss;@"/>
    <numFmt numFmtId="183" formatCode="_(\ #,##0_);_(\ \(#,##0\);_(\ &quot;-&quot;??_);_(@_)"/>
  </numFmts>
  <fonts count="11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u/>
      <sz val="12"/>
      <color theme="10"/>
      <name val="Calibri"/>
      <family val="2"/>
      <scheme val="minor"/>
    </font>
    <font>
      <sz val="11"/>
      <name val="Calibri"/>
      <family val="2"/>
      <scheme val="minor"/>
    </font>
    <font>
      <b/>
      <sz val="12"/>
      <color theme="1"/>
      <name val="Calibri"/>
      <family val="2"/>
      <scheme val="minor"/>
    </font>
    <font>
      <b/>
      <sz val="10"/>
      <name val="Calibri"/>
      <family val="2"/>
      <scheme val="minor"/>
    </font>
    <font>
      <b/>
      <sz val="14"/>
      <name val="Calibri"/>
      <family val="2"/>
      <scheme val="minor"/>
    </font>
    <font>
      <sz val="12"/>
      <name val="Calibri"/>
      <family val="2"/>
      <scheme val="minor"/>
    </font>
    <font>
      <b/>
      <sz val="16"/>
      <color theme="1"/>
      <name val="Calibri"/>
      <family val="2"/>
      <scheme val="minor"/>
    </font>
    <font>
      <sz val="12"/>
      <color rgb="FFFF0000"/>
      <name val="Calibri"/>
      <family val="2"/>
      <scheme val="minor"/>
    </font>
    <font>
      <u/>
      <sz val="8"/>
      <color theme="10"/>
      <name val="Calibri"/>
      <family val="2"/>
      <scheme val="minor"/>
    </font>
    <font>
      <sz val="8"/>
      <color theme="1"/>
      <name val="Calibri"/>
      <family val="2"/>
      <scheme val="minor"/>
    </font>
    <font>
      <b/>
      <sz val="10"/>
      <color theme="1"/>
      <name val="Calibri"/>
      <family val="2"/>
      <scheme val="minor"/>
    </font>
    <font>
      <b/>
      <sz val="12"/>
      <color rgb="FFFFFF00"/>
      <name val="Calibri"/>
      <family val="2"/>
      <scheme val="minor"/>
    </font>
    <font>
      <b/>
      <sz val="12"/>
      <name val="Calibri"/>
      <family val="2"/>
      <scheme val="minor"/>
    </font>
    <font>
      <b/>
      <u/>
      <sz val="12"/>
      <name val="Calibri"/>
      <family val="2"/>
      <scheme val="minor"/>
    </font>
    <font>
      <b/>
      <sz val="10"/>
      <color theme="3"/>
      <name val="Calibri"/>
      <family val="2"/>
      <scheme val="minor"/>
    </font>
    <font>
      <b/>
      <sz val="9"/>
      <color theme="1"/>
      <name val="Calibri"/>
      <family val="2"/>
      <scheme val="minor"/>
    </font>
    <font>
      <sz val="10"/>
      <name val="Calibri"/>
      <family val="2"/>
      <scheme val="minor"/>
    </font>
    <font>
      <b/>
      <sz val="14"/>
      <color theme="1"/>
      <name val="Calibri"/>
      <family val="2"/>
      <scheme val="minor"/>
    </font>
    <font>
      <b/>
      <sz val="11"/>
      <name val="Calibri"/>
      <family val="2"/>
      <scheme val="minor"/>
    </font>
    <font>
      <sz val="14"/>
      <name val="Calibri"/>
      <family val="2"/>
      <scheme val="minor"/>
    </font>
    <font>
      <b/>
      <sz val="14"/>
      <color rgb="FFFFFF00"/>
      <name val="Calibri"/>
      <family val="2"/>
      <scheme val="minor"/>
    </font>
    <font>
      <sz val="12"/>
      <color rgb="FFFFFF00"/>
      <name val="Calibri"/>
      <family val="2"/>
      <scheme val="minor"/>
    </font>
    <font>
      <sz val="8"/>
      <name val="Calibri"/>
      <family val="2"/>
      <scheme val="minor"/>
    </font>
    <font>
      <sz val="10"/>
      <color theme="4" tint="-0.24994659260841701"/>
      <name val="Corbel"/>
      <family val="2"/>
    </font>
    <font>
      <b/>
      <sz val="12"/>
      <color theme="0"/>
      <name val="Calibri Light"/>
      <family val="4"/>
      <scheme val="major"/>
    </font>
    <font>
      <b/>
      <sz val="12"/>
      <color theme="0"/>
      <name val="Calibri"/>
      <family val="2"/>
      <charset val="238"/>
      <scheme val="minor"/>
    </font>
    <font>
      <b/>
      <sz val="12"/>
      <color rgb="FFFF0000"/>
      <name val="Calibri"/>
      <family val="2"/>
      <scheme val="minor"/>
    </font>
    <font>
      <b/>
      <sz val="9"/>
      <color indexed="81"/>
      <name val="Tahoma"/>
      <family val="2"/>
    </font>
    <font>
      <sz val="9"/>
      <color indexed="81"/>
      <name val="Tahoma"/>
      <family val="2"/>
    </font>
    <font>
      <sz val="11"/>
      <color rgb="FFFF0000"/>
      <name val="Calibri"/>
      <family val="2"/>
      <scheme val="minor"/>
    </font>
    <font>
      <sz val="14"/>
      <color theme="1"/>
      <name val="Calibri"/>
      <family val="2"/>
      <scheme val="minor"/>
    </font>
    <font>
      <sz val="14"/>
      <color rgb="FFFF0000"/>
      <name val="Calibri"/>
      <family val="2"/>
      <scheme val="minor"/>
    </font>
    <font>
      <b/>
      <i/>
      <sz val="12"/>
      <color theme="1"/>
      <name val="Calibri"/>
      <family val="2"/>
      <scheme val="minor"/>
    </font>
    <font>
      <b/>
      <sz val="12"/>
      <color theme="3"/>
      <name val="Calibri"/>
      <family val="2"/>
      <scheme val="minor"/>
    </font>
    <font>
      <sz val="12"/>
      <color rgb="FF000000"/>
      <name val="Calibri"/>
      <family val="2"/>
      <scheme val="minor"/>
    </font>
    <font>
      <sz val="10"/>
      <color theme="1"/>
      <name val="Calibri"/>
      <family val="2"/>
      <scheme val="minor"/>
    </font>
    <font>
      <b/>
      <sz val="12"/>
      <color theme="7" tint="0.79998168889431442"/>
      <name val="Calibri"/>
      <family val="2"/>
      <scheme val="minor"/>
    </font>
    <font>
      <i/>
      <sz val="12"/>
      <color theme="1"/>
      <name val="Calibri"/>
      <family val="2"/>
      <scheme val="minor"/>
    </font>
    <font>
      <b/>
      <sz val="14"/>
      <color rgb="FFFF0000"/>
      <name val="Calibri"/>
      <family val="2"/>
      <scheme val="minor"/>
    </font>
    <font>
      <b/>
      <sz val="12"/>
      <color theme="5" tint="0.59999389629810485"/>
      <name val="Calibri"/>
      <family val="2"/>
      <scheme val="minor"/>
    </font>
    <font>
      <sz val="12"/>
      <color theme="5" tint="0.59999389629810485"/>
      <name val="Calibri"/>
      <family val="2"/>
      <scheme val="minor"/>
    </font>
    <font>
      <u/>
      <sz val="12"/>
      <color theme="1"/>
      <name val="Calibri"/>
      <family val="2"/>
      <scheme val="minor"/>
    </font>
    <font>
      <b/>
      <sz val="15"/>
      <color theme="1"/>
      <name val="Calibri"/>
      <family val="2"/>
      <scheme val="minor"/>
    </font>
    <font>
      <b/>
      <sz val="11"/>
      <color rgb="FFFF0000"/>
      <name val="Calibri"/>
      <family val="2"/>
      <scheme val="minor"/>
    </font>
    <font>
      <u/>
      <sz val="10"/>
      <color rgb="FFFF0000"/>
      <name val="Calibri"/>
      <family val="2"/>
      <scheme val="minor"/>
    </font>
    <font>
      <sz val="10"/>
      <color rgb="FFFF0000"/>
      <name val="Calibri"/>
      <family val="2"/>
      <scheme val="minor"/>
    </font>
    <font>
      <b/>
      <sz val="10"/>
      <color rgb="FFFF0000"/>
      <name val="Calibri"/>
      <family val="2"/>
      <scheme val="minor"/>
    </font>
    <font>
      <b/>
      <sz val="10"/>
      <color theme="0"/>
      <name val="Calibri"/>
      <family val="2"/>
      <scheme val="minor"/>
    </font>
    <font>
      <b/>
      <sz val="13"/>
      <color rgb="FFFF0000"/>
      <name val="Calibri"/>
      <family val="2"/>
      <scheme val="minor"/>
    </font>
    <font>
      <b/>
      <sz val="13"/>
      <color theme="1"/>
      <name val="Calibri"/>
      <family val="2"/>
      <scheme val="minor"/>
    </font>
    <font>
      <u/>
      <sz val="16"/>
      <color theme="10"/>
      <name val="Calibri"/>
      <family val="2"/>
      <scheme val="minor"/>
    </font>
    <font>
      <b/>
      <sz val="13"/>
      <name val="Calibri"/>
      <family val="2"/>
      <scheme val="minor"/>
    </font>
    <font>
      <b/>
      <sz val="10"/>
      <color theme="1" tint="0.34998626667073579"/>
      <name val="Calibri"/>
      <family val="2"/>
      <scheme val="minor"/>
    </font>
    <font>
      <b/>
      <sz val="12"/>
      <color theme="1" tint="0.34998626667073579"/>
      <name val="Calibri"/>
      <family val="2"/>
      <scheme val="minor"/>
    </font>
    <font>
      <b/>
      <sz val="16"/>
      <color rgb="FFFFFF00"/>
      <name val="Calibri"/>
      <family val="2"/>
      <scheme val="minor"/>
    </font>
    <font>
      <b/>
      <sz val="9"/>
      <color theme="0"/>
      <name val="Calibri"/>
      <family val="2"/>
      <scheme val="minor"/>
    </font>
    <font>
      <b/>
      <sz val="13"/>
      <color rgb="FFFFFF00"/>
      <name val="Calibri"/>
      <family val="2"/>
      <scheme val="minor"/>
    </font>
    <font>
      <b/>
      <sz val="10"/>
      <color rgb="FFFFFF00"/>
      <name val="Calibri"/>
      <family val="2"/>
      <scheme val="minor"/>
    </font>
    <font>
      <b/>
      <u/>
      <sz val="12"/>
      <color theme="1"/>
      <name val="Calibri"/>
      <family val="2"/>
      <scheme val="minor"/>
    </font>
    <font>
      <b/>
      <sz val="12"/>
      <color rgb="FF92D050"/>
      <name val="Calibri"/>
      <family val="2"/>
      <scheme val="minor"/>
    </font>
    <font>
      <b/>
      <sz val="12"/>
      <color rgb="FF000000"/>
      <name val="Calibri"/>
      <family val="2"/>
      <scheme val="minor"/>
    </font>
    <font>
      <b/>
      <u/>
      <sz val="12"/>
      <color rgb="FFFFFF00"/>
      <name val="Calibri"/>
      <family val="2"/>
      <scheme val="minor"/>
    </font>
    <font>
      <sz val="11"/>
      <color rgb="FFFFFF00"/>
      <name val="Calibri"/>
      <family val="2"/>
      <scheme val="minor"/>
    </font>
    <font>
      <b/>
      <sz val="11"/>
      <color rgb="FFFFFF00"/>
      <name val="Calibri"/>
      <family val="2"/>
      <scheme val="minor"/>
    </font>
    <font>
      <sz val="12"/>
      <color theme="0"/>
      <name val="Calibri"/>
      <family val="2"/>
      <scheme val="minor"/>
    </font>
    <font>
      <sz val="12"/>
      <color theme="1"/>
      <name val="Times New Roman"/>
      <family val="1"/>
    </font>
    <font>
      <b/>
      <sz val="12"/>
      <color theme="1"/>
      <name val="Times New Roman"/>
      <family val="1"/>
    </font>
    <font>
      <sz val="12"/>
      <color theme="0"/>
      <name val="Times New Roman"/>
      <family val="1"/>
    </font>
    <font>
      <sz val="12"/>
      <color theme="1" tint="4.9989318521683403E-2"/>
      <name val="Calibri"/>
      <family val="2"/>
      <scheme val="minor"/>
    </font>
    <font>
      <sz val="12"/>
      <color theme="1" tint="4.9989318521683403E-2"/>
      <name val="Times New Roman"/>
      <family val="1"/>
    </font>
    <font>
      <sz val="12"/>
      <color theme="0"/>
      <name val="Arial"/>
      <family val="2"/>
    </font>
    <font>
      <sz val="9"/>
      <color theme="1"/>
      <name val="Calibri"/>
      <family val="2"/>
      <scheme val="minor"/>
    </font>
    <font>
      <sz val="12"/>
      <color theme="0" tint="-0.249977111117893"/>
      <name val="Calibri"/>
      <family val="2"/>
      <scheme val="minor"/>
    </font>
    <font>
      <b/>
      <sz val="12"/>
      <color theme="0"/>
      <name val="Calibri"/>
      <family val="2"/>
      <scheme val="minor"/>
    </font>
    <font>
      <sz val="14"/>
      <color theme="0" tint="-0.249977111117893"/>
      <name val="Calibri"/>
      <family val="2"/>
      <scheme val="minor"/>
    </font>
    <font>
      <sz val="9"/>
      <color theme="1"/>
      <name val="Times New Roman"/>
      <family val="1"/>
    </font>
    <font>
      <sz val="11"/>
      <color rgb="FF000000"/>
      <name val="Calibri"/>
      <family val="2"/>
      <scheme val="minor"/>
    </font>
    <font>
      <strike/>
      <sz val="11"/>
      <color theme="1"/>
      <name val="Calibri"/>
      <family val="2"/>
      <scheme val="minor"/>
    </font>
    <font>
      <b/>
      <sz val="9"/>
      <name val="Calibri"/>
      <family val="2"/>
      <scheme val="minor"/>
    </font>
    <font>
      <sz val="20"/>
      <color theme="1"/>
      <name val="Calibri"/>
      <family val="2"/>
      <scheme val="minor"/>
    </font>
    <font>
      <b/>
      <sz val="20"/>
      <color theme="1"/>
      <name val="Calibri"/>
      <family val="2"/>
      <scheme val="minor"/>
    </font>
    <font>
      <b/>
      <sz val="22"/>
      <color theme="1" tint="4.9989318521683403E-2"/>
      <name val="Calibri"/>
      <family val="2"/>
      <scheme val="minor"/>
    </font>
    <font>
      <b/>
      <sz val="14"/>
      <color theme="1" tint="4.9989318521683403E-2"/>
      <name val="Calibri"/>
      <family val="2"/>
      <scheme val="minor"/>
    </font>
    <font>
      <b/>
      <sz val="16"/>
      <color theme="1"/>
      <name val="Arial"/>
      <family val="2"/>
    </font>
    <font>
      <sz val="11"/>
      <color theme="0"/>
      <name val="Calibri"/>
      <family val="2"/>
      <scheme val="minor"/>
    </font>
    <font>
      <b/>
      <sz val="18"/>
      <color theme="1"/>
      <name val="Calibri"/>
      <family val="2"/>
      <scheme val="minor"/>
    </font>
    <font>
      <sz val="24"/>
      <color theme="1"/>
      <name val="Calibri"/>
      <family val="2"/>
      <scheme val="minor"/>
    </font>
    <font>
      <sz val="12"/>
      <color theme="8" tint="-0.499984740745262"/>
      <name val="Calibri"/>
      <family val="2"/>
      <scheme val="minor"/>
    </font>
    <font>
      <sz val="10"/>
      <color theme="1" tint="0.24994659260841701"/>
      <name val="Calibri"/>
      <family val="2"/>
      <scheme val="minor"/>
    </font>
    <font>
      <sz val="22"/>
      <color theme="3" tint="0.24994659260841701"/>
      <name val="Calibri Light"/>
      <family val="2"/>
      <scheme val="major"/>
    </font>
    <font>
      <sz val="10"/>
      <color theme="1" tint="0.24994659260841701"/>
      <name val="Calibri Light"/>
      <family val="2"/>
      <scheme val="major"/>
    </font>
    <font>
      <b/>
      <sz val="10"/>
      <color theme="1" tint="0.24994659260841701"/>
      <name val="Calibri Light"/>
      <family val="2"/>
      <scheme val="major"/>
    </font>
    <font>
      <sz val="12"/>
      <color theme="5" tint="0.39997558519241921"/>
      <name val="Times New Roman"/>
      <family val="1"/>
    </font>
    <font>
      <sz val="12"/>
      <color theme="2"/>
      <name val="Times New Roman"/>
      <family val="1"/>
    </font>
    <font>
      <b/>
      <sz val="12"/>
      <color theme="3" tint="0.79998168889431442"/>
      <name val="Calibri"/>
      <family val="2"/>
      <scheme val="minor"/>
    </font>
    <font>
      <sz val="12"/>
      <color theme="8" tint="0.79998168889431442"/>
      <name val="Calibri"/>
      <family val="2"/>
      <scheme val="minor"/>
    </font>
    <font>
      <b/>
      <sz val="12"/>
      <color rgb="FFFFC000"/>
      <name val="Calibri"/>
      <family val="2"/>
      <scheme val="minor"/>
    </font>
  </fonts>
  <fills count="58">
    <fill>
      <patternFill patternType="none"/>
    </fill>
    <fill>
      <patternFill patternType="gray125"/>
    </fill>
    <fill>
      <patternFill patternType="solid">
        <fgColor rgb="FFFFC00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FF00"/>
        <bgColor indexed="64"/>
      </patternFill>
    </fill>
    <fill>
      <patternFill patternType="solid">
        <fgColor theme="5" tint="0.39997558519241921"/>
        <bgColor indexed="64"/>
      </patternFill>
    </fill>
    <fill>
      <patternFill patternType="solid">
        <fgColor rgb="FF00B0F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1"/>
        <bgColor indexed="64"/>
      </patternFill>
    </fill>
    <fill>
      <patternFill patternType="solid">
        <fgColor theme="0" tint="-9.9978637043366805E-2"/>
        <bgColor indexed="64"/>
      </patternFill>
    </fill>
    <fill>
      <patternFill patternType="solid">
        <fgColor theme="0"/>
        <bgColor indexed="64"/>
      </patternFill>
    </fill>
    <fill>
      <patternFill patternType="solid">
        <fgColor rgb="FF00B050"/>
        <bgColor indexed="64"/>
      </patternFill>
    </fill>
    <fill>
      <patternFill patternType="solid">
        <fgColor theme="1" tint="0.89999084444715716"/>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rgb="FF0070C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FF0000"/>
        <bgColor indexed="64"/>
      </patternFill>
    </fill>
    <fill>
      <patternFill patternType="solid">
        <fgColor theme="8" tint="-0.499984740745262"/>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theme="2"/>
        <bgColor indexed="64"/>
      </patternFill>
    </fill>
    <fill>
      <patternFill patternType="solid">
        <fgColor theme="7" tint="0.39997558519241921"/>
        <bgColor indexed="64"/>
      </patternFill>
    </fill>
    <fill>
      <patternFill patternType="solid">
        <fgColor theme="4" tint="-0.499984740745262"/>
        <bgColor indexed="64"/>
      </patternFill>
    </fill>
    <fill>
      <patternFill patternType="solid">
        <fgColor rgb="FFFFFFFF"/>
        <bgColor rgb="FF000000"/>
      </patternFill>
    </fill>
    <fill>
      <patternFill patternType="solid">
        <fgColor theme="2" tint="-9.9978637043366805E-2"/>
        <bgColor indexed="64"/>
      </patternFill>
    </fill>
    <fill>
      <patternFill patternType="solid">
        <fgColor theme="1" tint="0.749992370372631"/>
        <bgColor indexed="64"/>
      </patternFill>
    </fill>
    <fill>
      <patternFill patternType="solid">
        <fgColor theme="7"/>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rgb="FFEC6114"/>
        <bgColor indexed="64"/>
      </patternFill>
    </fill>
    <fill>
      <patternFill patternType="solid">
        <fgColor theme="2" tint="-0.249977111117893"/>
        <bgColor indexed="64"/>
      </patternFill>
    </fill>
    <fill>
      <patternFill patternType="solid">
        <fgColor theme="6"/>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1" tint="4.9989318521683403E-2"/>
        <bgColor indexed="64"/>
      </patternFill>
    </fill>
    <fill>
      <patternFill patternType="solid">
        <fgColor theme="1" tint="0.34998626667073579"/>
        <bgColor indexed="64"/>
      </patternFill>
    </fill>
    <fill>
      <patternFill patternType="solid">
        <fgColor theme="8" tint="0.39997558519241921"/>
        <bgColor rgb="FF000000"/>
      </patternFill>
    </fill>
    <fill>
      <patternFill patternType="solid">
        <fgColor theme="4" tint="0.79998168889431442"/>
        <bgColor theme="4" tint="0.79998168889431442"/>
      </patternFill>
    </fill>
    <fill>
      <patternFill patternType="solid">
        <fgColor theme="4"/>
        <bgColor theme="4"/>
      </patternFill>
    </fill>
    <fill>
      <patternFill patternType="solid">
        <fgColor theme="1" tint="0.14999847407452621"/>
        <bgColor indexed="64"/>
      </patternFill>
    </fill>
    <fill>
      <patternFill patternType="solid">
        <fgColor theme="9" tint="-0.499984740745262"/>
        <bgColor indexed="64"/>
      </patternFill>
    </fill>
  </fills>
  <borders count="335">
    <border>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auto="1"/>
      </left>
      <right style="medium">
        <color indexed="64"/>
      </right>
      <top style="thin">
        <color indexed="64"/>
      </top>
      <bottom style="thin">
        <color auto="1"/>
      </bottom>
      <diagonal/>
    </border>
    <border>
      <left/>
      <right style="thin">
        <color auto="1"/>
      </right>
      <top style="thin">
        <color auto="1"/>
      </top>
      <bottom style="thin">
        <color auto="1"/>
      </bottom>
      <diagonal/>
    </border>
    <border>
      <left/>
      <right/>
      <top style="thin">
        <color indexed="64"/>
      </top>
      <bottom style="double">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style="thin">
        <color auto="1"/>
      </left>
      <right style="thin">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0"/>
      </left>
      <right style="thin">
        <color indexed="0"/>
      </right>
      <top style="medium">
        <color indexed="64"/>
      </top>
      <bottom/>
      <diagonal/>
    </border>
    <border>
      <left style="thin">
        <color indexed="0"/>
      </left>
      <right style="medium">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diagonal/>
    </border>
    <border>
      <left/>
      <right style="thin">
        <color auto="1"/>
      </right>
      <top/>
      <bottom style="medium">
        <color indexed="64"/>
      </bottom>
      <diagonal/>
    </border>
    <border>
      <left/>
      <right style="thin">
        <color rgb="FF505050"/>
      </right>
      <top/>
      <bottom style="medium">
        <color indexed="64"/>
      </bottom>
      <diagonal/>
    </border>
    <border>
      <left style="thin">
        <color rgb="FF505050"/>
      </left>
      <right/>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rgb="FF505050"/>
      </left>
      <right style="thin">
        <color indexed="64"/>
      </right>
      <top style="medium">
        <color rgb="FF505050"/>
      </top>
      <bottom style="medium">
        <color rgb="FF505050"/>
      </bottom>
      <diagonal/>
    </border>
    <border>
      <left/>
      <right style="thin">
        <color indexed="0"/>
      </right>
      <top style="medium">
        <color rgb="FF505050"/>
      </top>
      <bottom style="medium">
        <color rgb="FF505050"/>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0"/>
      </left>
      <right style="medium">
        <color rgb="FF505050"/>
      </right>
      <top style="medium">
        <color rgb="FF505050"/>
      </top>
      <bottom style="medium">
        <color rgb="FF50505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style="medium">
        <color rgb="FF505050"/>
      </left>
      <right/>
      <top style="medium">
        <color rgb="FF505050"/>
      </top>
      <bottom/>
      <diagonal/>
    </border>
    <border>
      <left/>
      <right/>
      <top style="medium">
        <color rgb="FF505050"/>
      </top>
      <bottom style="medium">
        <color rgb="FF505050"/>
      </bottom>
      <diagonal/>
    </border>
    <border>
      <left/>
      <right style="medium">
        <color rgb="FF505050"/>
      </right>
      <top style="medium">
        <color rgb="FF505050"/>
      </top>
      <bottom style="medium">
        <color rgb="FF505050"/>
      </bottom>
      <diagonal/>
    </border>
    <border>
      <left style="medium">
        <color rgb="FF505050"/>
      </left>
      <right style="medium">
        <color rgb="FF505050"/>
      </right>
      <top/>
      <bottom style="medium">
        <color rgb="FF505050"/>
      </bottom>
      <diagonal/>
    </border>
    <border>
      <left/>
      <right style="medium">
        <color rgb="FF505050"/>
      </right>
      <top style="medium">
        <color rgb="FF505050"/>
      </top>
      <bottom/>
      <diagonal/>
    </border>
    <border>
      <left style="medium">
        <color rgb="FF505050"/>
      </left>
      <right style="medium">
        <color rgb="FF505050"/>
      </right>
      <top/>
      <bottom/>
      <diagonal/>
    </border>
    <border>
      <left/>
      <right style="medium">
        <color rgb="FF505050"/>
      </right>
      <top/>
      <bottom/>
      <diagonal/>
    </border>
    <border>
      <left style="medium">
        <color rgb="FF505050"/>
      </left>
      <right/>
      <top style="medium">
        <color rgb="FF505050"/>
      </top>
      <bottom style="medium">
        <color rgb="FF505050"/>
      </bottom>
      <diagonal/>
    </border>
    <border>
      <left style="medium">
        <color rgb="FF505050"/>
      </left>
      <right style="medium">
        <color rgb="FF505050"/>
      </right>
      <top style="medium">
        <color rgb="FF505050"/>
      </top>
      <bottom style="medium">
        <color rgb="FF505050"/>
      </bottom>
      <diagonal/>
    </border>
    <border>
      <left/>
      <right style="medium">
        <color rgb="FF505050"/>
      </right>
      <top/>
      <bottom style="medium">
        <color rgb="FF505050"/>
      </bottom>
      <diagonal/>
    </border>
    <border>
      <left/>
      <right/>
      <top style="thin">
        <color rgb="FF505050"/>
      </top>
      <bottom style="double">
        <color rgb="FF505050"/>
      </bottom>
      <diagonal/>
    </border>
    <border>
      <left/>
      <right style="medium">
        <color rgb="FF505050"/>
      </right>
      <top style="thin">
        <color rgb="FF505050"/>
      </top>
      <bottom style="medium">
        <color rgb="FF505050"/>
      </bottom>
      <diagonal/>
    </border>
    <border>
      <left style="medium">
        <color rgb="FF505050"/>
      </left>
      <right/>
      <top/>
      <bottom style="thin">
        <color rgb="FF505050"/>
      </bottom>
      <diagonal/>
    </border>
    <border>
      <left/>
      <right/>
      <top/>
      <bottom style="thin">
        <color rgb="FF505050"/>
      </bottom>
      <diagonal/>
    </border>
    <border>
      <left/>
      <right style="medium">
        <color rgb="FF505050"/>
      </right>
      <top/>
      <bottom style="thin">
        <color rgb="FF505050"/>
      </bottom>
      <diagonal/>
    </border>
    <border>
      <left style="medium">
        <color rgb="FF505050"/>
      </left>
      <right/>
      <top/>
      <bottom style="medium">
        <color rgb="FF505050"/>
      </bottom>
      <diagonal/>
    </border>
    <border>
      <left/>
      <right/>
      <top/>
      <bottom style="medium">
        <color rgb="FF505050"/>
      </bottom>
      <diagonal/>
    </border>
    <border>
      <left/>
      <right/>
      <top style="medium">
        <color indexed="64"/>
      </top>
      <bottom style="thin">
        <color indexed="64"/>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style="thin">
        <color indexed="0"/>
      </right>
      <top style="medium">
        <color indexed="0"/>
      </top>
      <bottom/>
      <diagonal/>
    </border>
    <border>
      <left style="thin">
        <color indexed="0"/>
      </left>
      <right/>
      <top style="medium">
        <color indexed="0"/>
      </top>
      <bottom/>
      <diagonal/>
    </border>
    <border>
      <left style="medium">
        <color indexed="0"/>
      </left>
      <right style="medium">
        <color indexed="0"/>
      </right>
      <top style="medium">
        <color indexed="0"/>
      </top>
      <bottom style="medium">
        <color indexed="0"/>
      </bottom>
      <diagonal/>
    </border>
    <border>
      <left style="medium">
        <color indexed="0"/>
      </left>
      <right style="thin">
        <color indexed="0"/>
      </right>
      <top style="thin">
        <color indexed="0"/>
      </top>
      <bottom style="thin">
        <color indexed="0"/>
      </bottom>
      <diagonal/>
    </border>
    <border>
      <left style="thin">
        <color indexed="0"/>
      </left>
      <right/>
      <top style="thin">
        <color indexed="0"/>
      </top>
      <bottom style="thin">
        <color indexed="0"/>
      </bottom>
      <diagonal/>
    </border>
    <border>
      <left style="medium">
        <color indexed="0"/>
      </left>
      <right style="medium">
        <color indexed="0"/>
      </right>
      <top/>
      <bottom/>
      <diagonal/>
    </border>
    <border>
      <left style="medium">
        <color indexed="0"/>
      </left>
      <right style="thin">
        <color indexed="0"/>
      </right>
      <top style="thin">
        <color indexed="0"/>
      </top>
      <bottom/>
      <diagonal/>
    </border>
    <border>
      <left style="thin">
        <color indexed="0"/>
      </left>
      <right/>
      <top style="thin">
        <color indexed="0"/>
      </top>
      <bottom/>
      <diagonal/>
    </border>
    <border>
      <left style="medium">
        <color indexed="0"/>
      </left>
      <right style="medium">
        <color indexed="0"/>
      </right>
      <top/>
      <bottom style="medium">
        <color indexed="0"/>
      </bottom>
      <diagonal/>
    </border>
    <border>
      <left style="medium">
        <color indexed="0"/>
      </left>
      <right style="thin">
        <color indexed="0"/>
      </right>
      <top style="medium">
        <color indexed="0"/>
      </top>
      <bottom style="medium">
        <color indexed="0"/>
      </bottom>
      <diagonal/>
    </border>
    <border>
      <left style="thin">
        <color indexed="0"/>
      </left>
      <right style="thin">
        <color indexed="0"/>
      </right>
      <top style="medium">
        <color indexed="0"/>
      </top>
      <bottom style="medium">
        <color indexed="0"/>
      </bottom>
      <diagonal/>
    </border>
    <border>
      <left style="thin">
        <color indexed="0"/>
      </left>
      <right style="medium">
        <color indexed="0"/>
      </right>
      <top style="medium">
        <color indexed="0"/>
      </top>
      <bottom style="medium">
        <color indexed="0"/>
      </bottom>
      <diagonal/>
    </border>
    <border>
      <left style="thin">
        <color indexed="0"/>
      </left>
      <right style="thin">
        <color indexed="0"/>
      </right>
      <top style="thin">
        <color indexed="0"/>
      </top>
      <bottom/>
      <diagonal/>
    </border>
    <border>
      <left style="thin">
        <color indexed="0"/>
      </left>
      <right style="thin">
        <color indexed="0"/>
      </right>
      <top style="thin">
        <color indexed="0"/>
      </top>
      <bottom style="thin">
        <color indexed="0"/>
      </bottom>
      <diagonal/>
    </border>
    <border>
      <left style="thin">
        <color indexed="0"/>
      </left>
      <right style="medium">
        <color indexed="0"/>
      </right>
      <top style="thin">
        <color indexed="0"/>
      </top>
      <bottom style="thin">
        <color indexed="0"/>
      </bottom>
      <diagonal/>
    </border>
    <border>
      <left style="medium">
        <color indexed="0"/>
      </left>
      <right style="thin">
        <color indexed="0"/>
      </right>
      <top/>
      <bottom style="medium">
        <color indexed="0"/>
      </bottom>
      <diagonal/>
    </border>
    <border>
      <left style="thin">
        <color indexed="0"/>
      </left>
      <right style="thin">
        <color indexed="0"/>
      </right>
      <top/>
      <bottom style="medium">
        <color indexed="0"/>
      </bottom>
      <diagonal/>
    </border>
    <border>
      <left style="thin">
        <color indexed="0"/>
      </left>
      <right style="medium">
        <color indexed="0"/>
      </right>
      <top/>
      <bottom style="medium">
        <color indexed="0"/>
      </bottom>
      <diagonal/>
    </border>
    <border>
      <left style="medium">
        <color indexed="0"/>
      </left>
      <right/>
      <top style="medium">
        <color indexed="0"/>
      </top>
      <bottom style="medium">
        <color indexed="0"/>
      </bottom>
      <diagonal/>
    </border>
    <border>
      <left/>
      <right/>
      <top style="medium">
        <color indexed="0"/>
      </top>
      <bottom style="medium">
        <color indexed="0"/>
      </bottom>
      <diagonal/>
    </border>
    <border>
      <left style="medium">
        <color indexed="0"/>
      </left>
      <right/>
      <top/>
      <bottom/>
      <diagonal/>
    </border>
    <border>
      <left style="thin">
        <color indexed="0"/>
      </left>
      <right style="thin">
        <color indexed="0"/>
      </right>
      <top/>
      <bottom/>
      <diagonal/>
    </border>
    <border>
      <left style="thin">
        <color indexed="0"/>
      </left>
      <right style="medium">
        <color indexed="0"/>
      </right>
      <top/>
      <bottom/>
      <diagonal/>
    </border>
    <border>
      <left style="thin">
        <color indexed="0"/>
      </left>
      <right/>
      <top/>
      <bottom/>
      <diagonal/>
    </border>
    <border>
      <left style="medium">
        <color indexed="0"/>
      </left>
      <right/>
      <top style="thin">
        <color indexed="0"/>
      </top>
      <bottom style="thin">
        <color indexed="0"/>
      </bottom>
      <diagonal/>
    </border>
    <border>
      <left/>
      <right/>
      <top style="thin">
        <color indexed="0"/>
      </top>
      <bottom style="thin">
        <color indexed="0"/>
      </bottom>
      <diagonal/>
    </border>
    <border>
      <left style="medium">
        <color indexed="0"/>
      </left>
      <right/>
      <top style="thin">
        <color indexed="0"/>
      </top>
      <bottom/>
      <diagonal/>
    </border>
    <border>
      <left/>
      <right/>
      <top style="thin">
        <color indexed="0"/>
      </top>
      <bottom/>
      <diagonal/>
    </border>
    <border>
      <left/>
      <right style="thin">
        <color indexed="0"/>
      </right>
      <top style="thin">
        <color indexed="0"/>
      </top>
      <bottom/>
      <diagonal/>
    </border>
    <border>
      <left style="thin">
        <color indexed="0"/>
      </left>
      <right style="medium">
        <color indexed="0"/>
      </right>
      <top style="thin">
        <color indexed="0"/>
      </top>
      <bottom/>
      <diagonal/>
    </border>
    <border>
      <left style="medium">
        <color indexed="0"/>
      </left>
      <right/>
      <top style="thin">
        <color indexed="0"/>
      </top>
      <bottom style="medium">
        <color indexed="0"/>
      </bottom>
      <diagonal/>
    </border>
    <border>
      <left style="thin">
        <color indexed="0"/>
      </left>
      <right style="thin">
        <color indexed="0"/>
      </right>
      <top style="thin">
        <color indexed="0"/>
      </top>
      <bottom style="medium">
        <color indexed="0"/>
      </bottom>
      <diagonal/>
    </border>
    <border>
      <left/>
      <right/>
      <top style="thin">
        <color indexed="0"/>
      </top>
      <bottom style="medium">
        <color indexed="0"/>
      </bottom>
      <diagonal/>
    </border>
    <border>
      <left style="thin">
        <color indexed="0"/>
      </left>
      <right style="medium">
        <color indexed="0"/>
      </right>
      <top style="thin">
        <color indexed="0"/>
      </top>
      <bottom style="medium">
        <color indexed="0"/>
      </bottom>
      <diagonal/>
    </border>
    <border>
      <left style="medium">
        <color indexed="0"/>
      </left>
      <right/>
      <top/>
      <bottom style="medium">
        <color indexed="0"/>
      </bottom>
      <diagonal/>
    </border>
    <border>
      <left/>
      <right style="thin">
        <color indexed="0"/>
      </right>
      <top/>
      <bottom style="medium">
        <color indexed="0"/>
      </bottom>
      <diagonal/>
    </border>
    <border>
      <left style="medium">
        <color rgb="FF000000"/>
      </left>
      <right/>
      <top style="thin">
        <color rgb="FF000000"/>
      </top>
      <bottom style="thin">
        <color rgb="FF000000"/>
      </bottom>
      <diagonal/>
    </border>
    <border>
      <left style="thin">
        <color indexed="0"/>
      </left>
      <right style="thin">
        <color indexed="0"/>
      </right>
      <top style="medium">
        <color indexed="0"/>
      </top>
      <bottom/>
      <diagonal/>
    </border>
    <border>
      <left style="medium">
        <color indexed="0"/>
      </left>
      <right style="medium">
        <color indexed="0"/>
      </right>
      <top style="medium">
        <color indexed="0"/>
      </top>
      <bottom style="thin">
        <color indexed="0"/>
      </bottom>
      <diagonal/>
    </border>
    <border>
      <left/>
      <right/>
      <top style="medium">
        <color indexed="0"/>
      </top>
      <bottom style="thin">
        <color indexed="0"/>
      </bottom>
      <diagonal/>
    </border>
    <border>
      <left style="thin">
        <color indexed="0"/>
      </left>
      <right style="thin">
        <color indexed="0"/>
      </right>
      <top style="medium">
        <color indexed="0"/>
      </top>
      <bottom style="thin">
        <color indexed="0"/>
      </bottom>
      <diagonal/>
    </border>
    <border>
      <left/>
      <right/>
      <top/>
      <bottom style="medium">
        <color indexed="0"/>
      </bottom>
      <diagonal/>
    </border>
    <border>
      <left/>
      <right style="medium">
        <color indexed="0"/>
      </right>
      <top/>
      <bottom style="medium">
        <color indexed="0"/>
      </bottom>
      <diagonal/>
    </border>
    <border>
      <left style="medium">
        <color indexed="0"/>
      </left>
      <right/>
      <top style="medium">
        <color indexed="0"/>
      </top>
      <bottom style="thin">
        <color indexed="0"/>
      </bottom>
      <diagonal/>
    </border>
    <border>
      <left style="medium">
        <color indexed="0"/>
      </left>
      <right style="thin">
        <color indexed="0"/>
      </right>
      <top style="medium">
        <color indexed="0"/>
      </top>
      <bottom style="thin">
        <color indexed="0"/>
      </bottom>
      <diagonal/>
    </border>
    <border>
      <left/>
      <right style="thin">
        <color indexed="0"/>
      </right>
      <top style="medium">
        <color indexed="0"/>
      </top>
      <bottom style="thin">
        <color indexed="0"/>
      </bottom>
      <diagonal/>
    </border>
    <border>
      <left style="medium">
        <color indexed="0"/>
      </left>
      <right style="medium">
        <color indexed="0"/>
      </right>
      <top style="medium">
        <color indexed="0"/>
      </top>
      <bottom/>
      <diagonal/>
    </border>
    <border>
      <left/>
      <right style="thin">
        <color indexed="0"/>
      </right>
      <top style="thin">
        <color indexed="0"/>
      </top>
      <bottom style="thin">
        <color indexed="0"/>
      </bottom>
      <diagonal/>
    </border>
    <border>
      <left style="medium">
        <color indexed="0"/>
      </left>
      <right style="thin">
        <color indexed="0"/>
      </right>
      <top/>
      <bottom/>
      <diagonal/>
    </border>
    <border>
      <left/>
      <right style="thin">
        <color indexed="0"/>
      </right>
      <top/>
      <bottom/>
      <diagonal/>
    </border>
    <border>
      <left/>
      <right style="medium">
        <color indexed="0"/>
      </right>
      <top style="thin">
        <color indexed="0"/>
      </top>
      <bottom style="thin">
        <color indexed="0"/>
      </bottom>
      <diagonal/>
    </border>
    <border>
      <left/>
      <right style="medium">
        <color indexed="0"/>
      </right>
      <top style="medium">
        <color indexed="0"/>
      </top>
      <bottom style="medium">
        <color indexed="0"/>
      </bottom>
      <diagonal/>
    </border>
    <border>
      <left style="thin">
        <color indexed="0"/>
      </left>
      <right/>
      <top/>
      <bottom style="medium">
        <color indexed="0"/>
      </bottom>
      <diagonal/>
    </border>
    <border>
      <left style="thin">
        <color indexed="0"/>
      </left>
      <right style="medium">
        <color indexed="0"/>
      </right>
      <top style="medium">
        <color indexed="0"/>
      </top>
      <bottom/>
      <diagonal/>
    </border>
    <border>
      <left style="medium">
        <color rgb="FF505050"/>
      </left>
      <right style="medium">
        <color rgb="FF505050"/>
      </right>
      <top style="medium">
        <color rgb="FF505050"/>
      </top>
      <bottom/>
      <diagonal/>
    </border>
    <border>
      <left style="medium">
        <color indexed="0"/>
      </left>
      <right style="medium">
        <color indexed="0"/>
      </right>
      <top style="thin">
        <color rgb="FF505050"/>
      </top>
      <bottom style="double">
        <color rgb="FF505050"/>
      </bottom>
      <diagonal/>
    </border>
    <border>
      <left style="thin">
        <color indexed="0"/>
      </left>
      <right style="medium">
        <color indexed="0"/>
      </right>
      <top style="thin">
        <color rgb="FF505050"/>
      </top>
      <bottom style="double">
        <color rgb="FF505050"/>
      </bottom>
      <diagonal/>
    </border>
    <border>
      <left/>
      <right/>
      <top style="medium">
        <color rgb="FF505050"/>
      </top>
      <bottom/>
      <diagonal/>
    </border>
    <border>
      <left style="thin">
        <color rgb="FF505050"/>
      </left>
      <right style="thin">
        <color rgb="FF505050"/>
      </right>
      <top style="thin">
        <color rgb="FF505050"/>
      </top>
      <bottom/>
      <diagonal/>
    </border>
    <border>
      <left style="thin">
        <color rgb="FF505050"/>
      </left>
      <right style="thin">
        <color rgb="FF505050"/>
      </right>
      <top/>
      <bottom/>
      <diagonal/>
    </border>
    <border>
      <left style="thin">
        <color rgb="FF505050"/>
      </left>
      <right style="thin">
        <color rgb="FF505050"/>
      </right>
      <top/>
      <bottom style="thin">
        <color rgb="FF505050"/>
      </bottom>
      <diagonal/>
    </border>
    <border>
      <left style="thin">
        <color indexed="0"/>
      </left>
      <right style="thin">
        <color indexed="0"/>
      </right>
      <top/>
      <bottom/>
      <diagonal/>
    </border>
    <border>
      <left style="thin">
        <color indexed="0"/>
      </left>
      <right/>
      <top/>
      <bottom/>
      <diagonal/>
    </border>
    <border>
      <left style="thin">
        <color rgb="FF505050"/>
      </left>
      <right/>
      <top/>
      <bottom style="thin">
        <color rgb="FF505050"/>
      </bottom>
      <diagonal/>
    </border>
    <border>
      <left style="medium">
        <color rgb="FF505050"/>
      </left>
      <right style="medium">
        <color indexed="0"/>
      </right>
      <top style="medium">
        <color rgb="FF505050"/>
      </top>
      <bottom style="thin">
        <color indexed="0"/>
      </bottom>
      <diagonal/>
    </border>
    <border>
      <left/>
      <right/>
      <top style="medium">
        <color rgb="FF505050"/>
      </top>
      <bottom style="thin">
        <color indexed="0"/>
      </bottom>
      <diagonal/>
    </border>
    <border>
      <left style="thin">
        <color indexed="0"/>
      </left>
      <right style="thin">
        <color indexed="0"/>
      </right>
      <top style="medium">
        <color rgb="FF505050"/>
      </top>
      <bottom style="thin">
        <color indexed="0"/>
      </bottom>
      <diagonal/>
    </border>
    <border>
      <left style="thin">
        <color indexed="0"/>
      </left>
      <right style="medium">
        <color rgb="FF505050"/>
      </right>
      <top style="medium">
        <color rgb="FF505050"/>
      </top>
      <bottom/>
      <diagonal/>
    </border>
    <border>
      <left style="medium">
        <color rgb="FF505050"/>
      </left>
      <right style="medium">
        <color indexed="0"/>
      </right>
      <top/>
      <bottom style="medium">
        <color rgb="FF505050"/>
      </bottom>
      <diagonal/>
    </border>
    <border>
      <left style="thin">
        <color indexed="0"/>
      </left>
      <right style="thin">
        <color indexed="0"/>
      </right>
      <top/>
      <bottom style="medium">
        <color rgb="FF505050"/>
      </bottom>
      <diagonal/>
    </border>
    <border>
      <left style="thin">
        <color indexed="0"/>
      </left>
      <right style="medium">
        <color rgb="FF505050"/>
      </right>
      <top/>
      <bottom style="medium">
        <color rgb="FF505050"/>
      </bottom>
      <diagonal/>
    </border>
    <border>
      <left style="medium">
        <color indexed="0"/>
      </left>
      <right/>
      <top/>
      <bottom style="thin">
        <color indexed="0"/>
      </bottom>
      <diagonal/>
    </border>
    <border>
      <left style="medium">
        <color indexed="0"/>
      </left>
      <right style="thin">
        <color indexed="0"/>
      </right>
      <top/>
      <bottom style="thin">
        <color indexed="0"/>
      </bottom>
      <diagonal/>
    </border>
    <border>
      <left/>
      <right style="thin">
        <color indexed="0"/>
      </right>
      <top/>
      <bottom style="thin">
        <color indexed="0"/>
      </bottom>
      <diagonal/>
    </border>
    <border>
      <left/>
      <right/>
      <top/>
      <bottom style="thin">
        <color indexed="0"/>
      </bottom>
      <diagonal/>
    </border>
    <border>
      <left style="thin">
        <color rgb="FF505050"/>
      </left>
      <right/>
      <top style="thin">
        <color rgb="FF505050"/>
      </top>
      <bottom/>
      <diagonal/>
    </border>
    <border>
      <left style="thin">
        <color rgb="FF505050"/>
      </left>
      <right/>
      <top/>
      <bottom/>
      <diagonal/>
    </border>
    <border>
      <left style="medium">
        <color indexed="0"/>
      </left>
      <right/>
      <top/>
      <bottom style="thin">
        <color rgb="FF505050"/>
      </bottom>
      <diagonal/>
    </border>
    <border>
      <left style="thin">
        <color rgb="FF505050"/>
      </left>
      <right style="thin">
        <color rgb="FF505050"/>
      </right>
      <top style="thin">
        <color rgb="FF505050"/>
      </top>
      <bottom style="thin">
        <color rgb="FF505050"/>
      </bottom>
      <diagonal/>
    </border>
    <border>
      <left style="medium">
        <color rgb="FF505050"/>
      </left>
      <right/>
      <top style="medium">
        <color rgb="FF505050"/>
      </top>
      <bottom style="thin">
        <color indexed="0"/>
      </bottom>
      <diagonal/>
    </border>
    <border>
      <left style="medium">
        <color rgb="FF505050"/>
      </left>
      <right/>
      <top/>
      <bottom/>
      <diagonal/>
    </border>
    <border>
      <left style="thin">
        <color indexed="0"/>
      </left>
      <right style="medium">
        <color rgb="FF505050"/>
      </right>
      <top/>
      <bottom/>
      <diagonal/>
    </border>
    <border>
      <left style="medium">
        <color rgb="FF505050"/>
      </left>
      <right style="thin">
        <color indexed="0"/>
      </right>
      <top style="medium">
        <color indexed="0"/>
      </top>
      <bottom style="thin">
        <color indexed="0"/>
      </bottom>
      <diagonal/>
    </border>
    <border>
      <left/>
      <right style="medium">
        <color rgb="FF505050"/>
      </right>
      <top style="thin">
        <color indexed="0"/>
      </top>
      <bottom style="thin">
        <color indexed="0"/>
      </bottom>
      <diagonal/>
    </border>
    <border>
      <left style="medium">
        <color rgb="FF505050"/>
      </left>
      <right style="thin">
        <color indexed="0"/>
      </right>
      <top style="thin">
        <color indexed="0"/>
      </top>
      <bottom style="thin">
        <color indexed="0"/>
      </bottom>
      <diagonal/>
    </border>
    <border>
      <left style="medium">
        <color rgb="FF505050"/>
      </left>
      <right style="thin">
        <color indexed="0"/>
      </right>
      <top/>
      <bottom style="medium">
        <color indexed="0"/>
      </bottom>
      <diagonal/>
    </border>
    <border>
      <left style="thin">
        <color indexed="0"/>
      </left>
      <right style="medium">
        <color rgb="FF505050"/>
      </right>
      <top/>
      <bottom style="medium">
        <color indexed="0"/>
      </bottom>
      <diagonal/>
    </border>
    <border>
      <left style="medium">
        <color rgb="FF505050"/>
      </left>
      <right style="thin">
        <color indexed="0"/>
      </right>
      <top/>
      <bottom style="medium">
        <color rgb="FF505050"/>
      </bottom>
      <diagonal/>
    </border>
    <border>
      <left/>
      <right style="thin">
        <color indexed="0"/>
      </right>
      <top/>
      <bottom style="medium">
        <color rgb="FF505050"/>
      </bottom>
      <diagonal/>
    </border>
    <border>
      <left style="medium">
        <color rgb="FF505050"/>
      </left>
      <right style="medium">
        <color rgb="FF505050"/>
      </right>
      <top style="medium">
        <color indexed="0"/>
      </top>
      <bottom/>
      <diagonal/>
    </border>
    <border>
      <left style="medium">
        <color rgb="FF505050"/>
      </left>
      <right style="medium">
        <color rgb="FF505050"/>
      </right>
      <top style="thin">
        <color indexed="0"/>
      </top>
      <bottom style="thin">
        <color indexed="0"/>
      </bottom>
      <diagonal/>
    </border>
    <border>
      <left style="medium">
        <color rgb="FF505050"/>
      </left>
      <right style="medium">
        <color rgb="FF505050"/>
      </right>
      <top/>
      <bottom style="medium">
        <color indexed="0"/>
      </bottom>
      <diagonal/>
    </border>
    <border>
      <left style="medium">
        <color rgb="FF505050"/>
      </left>
      <right/>
      <top/>
      <bottom style="medium">
        <color indexed="0"/>
      </bottom>
      <diagonal/>
    </border>
    <border>
      <left/>
      <right style="medium">
        <color indexed="0"/>
      </right>
      <top/>
      <bottom/>
      <diagonal/>
    </border>
    <border>
      <left style="medium">
        <color rgb="FF505050"/>
      </left>
      <right/>
      <top style="medium">
        <color indexed="0"/>
      </top>
      <bottom/>
      <diagonal/>
    </border>
    <border>
      <left style="medium">
        <color rgb="FF505050"/>
      </left>
      <right style="medium">
        <color rgb="FF505050"/>
      </right>
      <top style="medium">
        <color indexed="0"/>
      </top>
      <bottom style="medium">
        <color rgb="FF505050"/>
      </bottom>
      <diagonal/>
    </border>
    <border>
      <left style="medium">
        <color indexed="0"/>
      </left>
      <right/>
      <top style="medium">
        <color rgb="FF505050"/>
      </top>
      <bottom/>
      <diagonal/>
    </border>
    <border>
      <left style="thin">
        <color indexed="0"/>
      </left>
      <right style="thin">
        <color indexed="0"/>
      </right>
      <top style="medium">
        <color rgb="FF505050"/>
      </top>
      <bottom/>
      <diagonal/>
    </border>
    <border>
      <left style="medium">
        <color rgb="FF505050"/>
      </left>
      <right style="medium">
        <color indexed="0"/>
      </right>
      <top style="medium">
        <color indexed="0"/>
      </top>
      <bottom style="thin">
        <color indexed="0"/>
      </bottom>
      <diagonal/>
    </border>
    <border>
      <left style="thin">
        <color indexed="0"/>
      </left>
      <right style="medium">
        <color rgb="FF505050"/>
      </right>
      <top style="medium">
        <color indexed="0"/>
      </top>
      <bottom/>
      <diagonal/>
    </border>
    <border>
      <left style="medium">
        <color rgb="FF505050"/>
      </left>
      <right style="medium">
        <color indexed="0"/>
      </right>
      <top/>
      <bottom/>
      <diagonal/>
    </border>
    <border>
      <left style="medium">
        <color rgb="FF505050"/>
      </left>
      <right/>
      <top style="medium">
        <color indexed="0"/>
      </top>
      <bottom style="thin">
        <color indexed="0"/>
      </bottom>
      <diagonal/>
    </border>
    <border>
      <left/>
      <right style="medium">
        <color rgb="FF505050"/>
      </right>
      <top style="medium">
        <color indexed="0"/>
      </top>
      <bottom style="thin">
        <color indexed="0"/>
      </bottom>
      <diagonal/>
    </border>
    <border>
      <left style="medium">
        <color rgb="FF505050"/>
      </left>
      <right/>
      <top style="thin">
        <color indexed="0"/>
      </top>
      <bottom style="thin">
        <color indexed="0"/>
      </bottom>
      <diagonal/>
    </border>
    <border>
      <left/>
      <right style="medium">
        <color rgb="FF505050"/>
      </right>
      <top style="thin">
        <color indexed="0"/>
      </top>
      <bottom/>
      <diagonal/>
    </border>
    <border>
      <left style="medium">
        <color rgb="FF505050"/>
      </left>
      <right/>
      <top style="thin">
        <color indexed="0"/>
      </top>
      <bottom style="medium">
        <color rgb="FF505050"/>
      </bottom>
      <diagonal/>
    </border>
    <border>
      <left style="medium">
        <color indexed="0"/>
      </left>
      <right style="thin">
        <color indexed="0"/>
      </right>
      <top style="thin">
        <color indexed="0"/>
      </top>
      <bottom style="medium">
        <color rgb="FF505050"/>
      </bottom>
      <diagonal/>
    </border>
    <border>
      <left/>
      <right style="thin">
        <color indexed="0"/>
      </right>
      <top style="thin">
        <color indexed="0"/>
      </top>
      <bottom style="medium">
        <color rgb="FF505050"/>
      </bottom>
      <diagonal/>
    </border>
    <border>
      <left/>
      <right style="medium">
        <color rgb="FF505050"/>
      </right>
      <top style="thin">
        <color indexed="0"/>
      </top>
      <bottom style="medium">
        <color rgb="FF505050"/>
      </bottom>
      <diagonal/>
    </border>
    <border>
      <left/>
      <right style="medium">
        <color indexed="0"/>
      </right>
      <top style="medium">
        <color rgb="FF505050"/>
      </top>
      <bottom style="medium">
        <color rgb="FF505050"/>
      </bottom>
      <diagonal/>
    </border>
    <border>
      <left/>
      <right style="medium">
        <color rgb="FF505050"/>
      </right>
      <top style="medium">
        <color indexed="0"/>
      </top>
      <bottom style="medium">
        <color rgb="FF505050"/>
      </bottom>
      <diagonal/>
    </border>
    <border>
      <left style="medium">
        <color rgb="FF505050"/>
      </left>
      <right style="medium">
        <color rgb="FF505050"/>
      </right>
      <top style="medium">
        <color rgb="FF505050"/>
      </top>
      <bottom style="thin">
        <color indexed="0"/>
      </bottom>
      <diagonal/>
    </border>
    <border>
      <left style="medium">
        <color rgb="FF505050"/>
      </left>
      <right style="medium">
        <color rgb="FF505050"/>
      </right>
      <top style="medium">
        <color indexed="0"/>
      </top>
      <bottom style="thin">
        <color indexed="0"/>
      </bottom>
      <diagonal/>
    </border>
    <border>
      <left style="medium">
        <color rgb="FF505050"/>
      </left>
      <right style="medium">
        <color rgb="FF505050"/>
      </right>
      <top style="thin">
        <color rgb="FF505050"/>
      </top>
      <bottom style="thin">
        <color rgb="FF505050"/>
      </bottom>
      <diagonal/>
    </border>
    <border>
      <left style="medium">
        <color rgb="FF505050"/>
      </left>
      <right style="medium">
        <color rgb="FF505050"/>
      </right>
      <top style="thin">
        <color indexed="0"/>
      </top>
      <bottom style="medium">
        <color rgb="FF505050"/>
      </bottom>
      <diagonal/>
    </border>
    <border>
      <left style="medium">
        <color rgb="FF505050"/>
      </left>
      <right style="medium">
        <color rgb="FF505050"/>
      </right>
      <top/>
      <bottom style="thin">
        <color rgb="FF505050"/>
      </bottom>
      <diagonal/>
    </border>
    <border>
      <left style="medium">
        <color rgb="FF505050"/>
      </left>
      <right/>
      <top style="thin">
        <color rgb="FF505050"/>
      </top>
      <bottom style="medium">
        <color rgb="FF505050"/>
      </bottom>
      <diagonal/>
    </border>
    <border>
      <left/>
      <right style="thin">
        <color indexed="64"/>
      </right>
      <top/>
      <bottom style="medium">
        <color rgb="FF505050"/>
      </bottom>
      <diagonal/>
    </border>
    <border>
      <left/>
      <right style="thin">
        <color indexed="64"/>
      </right>
      <top style="medium">
        <color rgb="FF505050"/>
      </top>
      <bottom/>
      <diagonal/>
    </border>
    <border>
      <left style="medium">
        <color rgb="FF505050"/>
      </left>
      <right style="medium">
        <color rgb="FF505050"/>
      </right>
      <top style="thin">
        <color indexed="0"/>
      </top>
      <bottom style="thin">
        <color indexed="0"/>
      </bottom>
      <diagonal/>
    </border>
    <border>
      <left/>
      <right style="thin">
        <color indexed="0"/>
      </right>
      <top style="thin">
        <color indexed="0"/>
      </top>
      <bottom style="thin">
        <color indexed="0"/>
      </bottom>
      <diagonal/>
    </border>
    <border>
      <left/>
      <right/>
      <top style="thin">
        <color indexed="0"/>
      </top>
      <bottom style="thin">
        <color indexed="0"/>
      </bottom>
      <diagonal/>
    </border>
    <border>
      <left style="thin">
        <color rgb="FF505050"/>
      </left>
      <right style="thin">
        <color indexed="64"/>
      </right>
      <top/>
      <bottom/>
      <diagonal/>
    </border>
    <border>
      <left style="medium">
        <color rgb="FF505050"/>
      </left>
      <right style="thin">
        <color indexed="64"/>
      </right>
      <top style="medium">
        <color rgb="FF505050"/>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rgb="FF505050"/>
      </left>
      <right style="thin">
        <color indexed="64"/>
      </right>
      <top/>
      <bottom/>
      <diagonal/>
    </border>
    <border>
      <left style="thin">
        <color rgb="FF505050"/>
      </left>
      <right style="thin">
        <color indexed="64"/>
      </right>
      <top/>
      <bottom style="thin">
        <color rgb="FF505050"/>
      </bottom>
      <diagonal/>
    </border>
    <border>
      <left style="medium">
        <color rgb="FF505050"/>
      </left>
      <right style="thin">
        <color indexed="64"/>
      </right>
      <top/>
      <bottom style="medium">
        <color rgb="FF505050"/>
      </bottom>
      <diagonal/>
    </border>
    <border>
      <left style="thin">
        <color indexed="64"/>
      </left>
      <right style="thin">
        <color indexed="64"/>
      </right>
      <top/>
      <bottom style="thin">
        <color indexed="64"/>
      </bottom>
      <diagonal/>
    </border>
    <border>
      <left style="medium">
        <color indexed="64"/>
      </left>
      <right/>
      <top style="medium">
        <color indexed="64"/>
      </top>
      <bottom style="medium">
        <color rgb="FF505050"/>
      </bottom>
      <diagonal/>
    </border>
    <border>
      <left/>
      <right style="medium">
        <color indexed="64"/>
      </right>
      <top style="medium">
        <color indexed="64"/>
      </top>
      <bottom style="medium">
        <color rgb="FF505050"/>
      </bottom>
      <diagonal/>
    </border>
    <border>
      <left style="medium">
        <color indexed="64"/>
      </left>
      <right style="mediumDashed">
        <color indexed="64"/>
      </right>
      <top style="medium">
        <color indexed="64"/>
      </top>
      <bottom/>
      <diagonal/>
    </border>
    <border>
      <left style="medium">
        <color indexed="64"/>
      </left>
      <right style="mediumDashDot">
        <color indexed="64"/>
      </right>
      <top style="medium">
        <color indexed="64"/>
      </top>
      <bottom/>
      <diagonal/>
    </border>
    <border>
      <left style="medium">
        <color indexed="64"/>
      </left>
      <right style="mediumDashed">
        <color indexed="64"/>
      </right>
      <top/>
      <bottom/>
      <diagonal/>
    </border>
    <border>
      <left style="medium">
        <color indexed="64"/>
      </left>
      <right style="mediumDashDot">
        <color indexed="64"/>
      </right>
      <top/>
      <bottom/>
      <diagonal/>
    </border>
    <border>
      <left/>
      <right/>
      <top/>
      <bottom style="thin">
        <color indexed="64"/>
      </bottom>
      <diagonal/>
    </border>
    <border>
      <left style="medium">
        <color indexed="64"/>
      </left>
      <right style="mediumDashed">
        <color indexed="64"/>
      </right>
      <top/>
      <bottom style="medium">
        <color indexed="64"/>
      </bottom>
      <diagonal/>
    </border>
    <border>
      <left style="medium">
        <color indexed="64"/>
      </left>
      <right style="mediumDashDot">
        <color indexed="64"/>
      </right>
      <top/>
      <bottom style="medium">
        <color indexed="64"/>
      </bottom>
      <diagonal/>
    </border>
    <border>
      <left/>
      <right/>
      <top/>
      <bottom style="double">
        <color rgb="FF505050"/>
      </bottom>
      <diagonal/>
    </border>
    <border>
      <left/>
      <right/>
      <top style="thin">
        <color rgb="FF505050"/>
      </top>
      <bottom/>
      <diagonal/>
    </border>
    <border>
      <left style="thin">
        <color rgb="FF505050"/>
      </left>
      <right/>
      <top style="thin">
        <color rgb="FF505050"/>
      </top>
      <bottom style="thin">
        <color rgb="FF505050"/>
      </bottom>
      <diagonal/>
    </border>
    <border>
      <left/>
      <right style="thin">
        <color rgb="FF505050"/>
      </right>
      <top style="thin">
        <color rgb="FF505050"/>
      </top>
      <bottom style="thin">
        <color rgb="FF505050"/>
      </bottom>
      <diagonal/>
    </border>
    <border>
      <left/>
      <right style="thin">
        <color rgb="FF505050"/>
      </right>
      <top/>
      <bottom/>
      <diagonal/>
    </border>
    <border>
      <left/>
      <right style="thin">
        <color rgb="FF505050"/>
      </right>
      <top style="thin">
        <color rgb="FF505050"/>
      </top>
      <bottom/>
      <diagonal/>
    </border>
    <border>
      <left style="thin">
        <color indexed="0"/>
      </left>
      <right/>
      <top style="medium">
        <color rgb="FF505050"/>
      </top>
      <bottom/>
      <diagonal/>
    </border>
    <border>
      <left style="medium">
        <color rgb="FF505050"/>
      </left>
      <right style="thin">
        <color rgb="FF505050"/>
      </right>
      <top style="medium">
        <color rgb="FF505050"/>
      </top>
      <bottom/>
      <diagonal/>
    </border>
    <border>
      <left style="medium">
        <color rgb="FF505050"/>
      </left>
      <right style="thin">
        <color rgb="FF505050"/>
      </right>
      <top/>
      <bottom/>
      <diagonal/>
    </border>
    <border>
      <left style="medium">
        <color rgb="FF505050"/>
      </left>
      <right style="thin">
        <color rgb="FF505050"/>
      </right>
      <top/>
      <bottom style="medium">
        <color rgb="FF50505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64"/>
      </right>
      <top style="medium">
        <color indexed="0"/>
      </top>
      <bottom style="thin">
        <color indexed="64"/>
      </bottom>
      <diagonal/>
    </border>
    <border>
      <left/>
      <right style="thin">
        <color rgb="FF505050"/>
      </right>
      <top style="thin">
        <color indexed="64"/>
      </top>
      <bottom style="thin">
        <color indexed="64"/>
      </bottom>
      <diagonal/>
    </border>
    <border>
      <left style="thin">
        <color indexed="0"/>
      </left>
      <right style="thin">
        <color indexed="64"/>
      </right>
      <top/>
      <bottom style="thin">
        <color indexed="64"/>
      </bottom>
      <diagonal/>
    </border>
    <border>
      <left style="thin">
        <color indexed="0"/>
      </left>
      <right style="thin">
        <color indexed="64"/>
      </right>
      <top style="medium">
        <color indexed="0"/>
      </top>
      <bottom style="thin">
        <color rgb="FF505050"/>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0"/>
      </left>
      <right style="thin">
        <color indexed="64"/>
      </right>
      <top style="medium">
        <color indexed="0"/>
      </top>
      <bottom/>
      <diagonal/>
    </border>
    <border>
      <left style="thin">
        <color indexed="0"/>
      </left>
      <right style="thin">
        <color indexed="64"/>
      </right>
      <top style="thin">
        <color indexed="64"/>
      </top>
      <bottom style="thin">
        <color indexed="64"/>
      </bottom>
      <diagonal/>
    </border>
    <border>
      <left/>
      <right style="medium">
        <color indexed="0"/>
      </right>
      <top/>
      <bottom style="medium">
        <color rgb="FF505050"/>
      </bottom>
      <diagonal/>
    </border>
    <border>
      <left style="medium">
        <color indexed="0"/>
      </left>
      <right/>
      <top style="medium">
        <color indexed="64"/>
      </top>
      <bottom/>
      <diagonal/>
    </border>
    <border>
      <left style="thin">
        <color indexed="0"/>
      </left>
      <right style="medium">
        <color rgb="FF505050"/>
      </right>
      <top style="medium">
        <color indexed="64"/>
      </top>
      <bottom/>
      <diagonal/>
    </border>
    <border>
      <left/>
      <right style="medium">
        <color indexed="0"/>
      </right>
      <top style="medium">
        <color indexed="64"/>
      </top>
      <bottom/>
      <diagonal/>
    </border>
    <border>
      <left style="medium">
        <color indexed="64"/>
      </left>
      <right style="medium">
        <color indexed="0"/>
      </right>
      <top style="medium">
        <color indexed="0"/>
      </top>
      <bottom style="thin">
        <color indexed="0"/>
      </bottom>
      <diagonal/>
    </border>
    <border>
      <left style="medium">
        <color indexed="64"/>
      </left>
      <right style="medium">
        <color indexed="0"/>
      </right>
      <top/>
      <bottom/>
      <diagonal/>
    </border>
    <border>
      <left style="medium">
        <color indexed="64"/>
      </left>
      <right style="medium">
        <color indexed="0"/>
      </right>
      <top/>
      <bottom style="medium">
        <color indexed="0"/>
      </bottom>
      <diagonal/>
    </border>
    <border>
      <left style="medium">
        <color indexed="0"/>
      </left>
      <right/>
      <top style="thin">
        <color indexed="64"/>
      </top>
      <bottom style="thin">
        <color indexed="64"/>
      </bottom>
      <diagonal/>
    </border>
    <border>
      <left style="thin">
        <color indexed="0"/>
      </left>
      <right style="thin">
        <color indexed="0"/>
      </right>
      <top style="thin">
        <color indexed="64"/>
      </top>
      <bottom style="thin">
        <color indexed="64"/>
      </bottom>
      <diagonal/>
    </border>
    <border>
      <left style="medium">
        <color rgb="FF505050"/>
      </left>
      <right style="medium">
        <color indexed="0"/>
      </right>
      <top/>
      <bottom style="thin">
        <color indexed="0"/>
      </bottom>
      <diagonal/>
    </border>
    <border>
      <left style="thin">
        <color indexed="0"/>
      </left>
      <right style="thin">
        <color indexed="0"/>
      </right>
      <top/>
      <bottom style="thin">
        <color indexed="0"/>
      </bottom>
      <diagonal/>
    </border>
    <border>
      <left style="thin">
        <color indexed="0"/>
      </left>
      <right style="thin">
        <color indexed="64"/>
      </right>
      <top/>
      <bottom style="thin">
        <color rgb="FF505050"/>
      </bottom>
      <diagonal/>
    </border>
    <border>
      <left style="medium">
        <color indexed="0"/>
      </left>
      <right/>
      <top style="medium">
        <color indexed="64"/>
      </top>
      <bottom style="medium">
        <color indexed="64"/>
      </bottom>
      <diagonal/>
    </border>
    <border>
      <left style="thin">
        <color indexed="0"/>
      </left>
      <right style="thin">
        <color indexed="0"/>
      </right>
      <top style="medium">
        <color indexed="64"/>
      </top>
      <bottom style="medium">
        <color indexed="64"/>
      </bottom>
      <diagonal/>
    </border>
    <border>
      <left style="thin">
        <color indexed="0"/>
      </left>
      <right style="medium">
        <color indexed="64"/>
      </right>
      <top style="medium">
        <color indexed="64"/>
      </top>
      <bottom style="medium">
        <color indexed="64"/>
      </bottom>
      <diagonal/>
    </border>
    <border>
      <left style="medium">
        <color indexed="0"/>
      </left>
      <right style="thin">
        <color indexed="64"/>
      </right>
      <top style="thin">
        <color indexed="64"/>
      </top>
      <bottom style="medium">
        <color indexed="0"/>
      </bottom>
      <diagonal/>
    </border>
    <border>
      <left/>
      <right style="thin">
        <color rgb="FF505050"/>
      </right>
      <top/>
      <bottom style="thin">
        <color rgb="FF505050"/>
      </bottom>
      <diagonal/>
    </border>
    <border>
      <left style="medium">
        <color rgb="FF505050"/>
      </left>
      <right/>
      <top/>
      <bottom style="thin">
        <color indexed="64"/>
      </bottom>
      <diagonal/>
    </border>
    <border>
      <left style="thin">
        <color indexed="64"/>
      </left>
      <right style="thin">
        <color indexed="64"/>
      </right>
      <top/>
      <bottom style="double">
        <color indexed="64"/>
      </bottom>
      <diagonal/>
    </border>
    <border>
      <left/>
      <right style="medium">
        <color rgb="FF505050"/>
      </right>
      <top style="thin">
        <color indexed="64"/>
      </top>
      <bottom style="thin">
        <color indexed="64"/>
      </bottom>
      <diagonal/>
    </border>
    <border>
      <left/>
      <right style="medium">
        <color rgb="FF505050"/>
      </right>
      <top style="thin">
        <color indexed="64"/>
      </top>
      <bottom/>
      <diagonal/>
    </border>
    <border>
      <left style="thin">
        <color indexed="0"/>
      </left>
      <right style="thin">
        <color indexed="64"/>
      </right>
      <top/>
      <bottom/>
      <diagonal/>
    </border>
    <border>
      <left style="thin">
        <color indexed="64"/>
      </left>
      <right style="medium">
        <color indexed="64"/>
      </right>
      <top style="thin">
        <color indexed="64"/>
      </top>
      <bottom/>
      <diagonal/>
    </border>
    <border>
      <left/>
      <right style="thin">
        <color indexed="0"/>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thin">
        <color indexed="0"/>
      </left>
      <right style="thin">
        <color indexed="64"/>
      </right>
      <top style="medium">
        <color indexed="64"/>
      </top>
      <bottom style="medium">
        <color indexed="64"/>
      </bottom>
      <diagonal/>
    </border>
    <border>
      <left style="medium">
        <color rgb="FF505050"/>
      </left>
      <right/>
      <top/>
      <bottom style="thin">
        <color indexed="0"/>
      </bottom>
      <diagonal/>
    </border>
    <border>
      <left style="thin">
        <color indexed="64"/>
      </left>
      <right style="thin">
        <color indexed="64"/>
      </right>
      <top style="thin">
        <color indexed="64"/>
      </top>
      <bottom style="thin">
        <color indexed="0"/>
      </bottom>
      <diagonal/>
    </border>
    <border>
      <left style="thin">
        <color indexed="64"/>
      </left>
      <right style="thin">
        <color indexed="64"/>
      </right>
      <top style="thin">
        <color indexed="64"/>
      </top>
      <bottom style="thin">
        <color rgb="FF505050"/>
      </bottom>
      <diagonal/>
    </border>
    <border>
      <left style="thin">
        <color indexed="64"/>
      </left>
      <right style="thin">
        <color indexed="64"/>
      </right>
      <top/>
      <bottom style="thin">
        <color rgb="FF505050"/>
      </bottom>
      <diagonal/>
    </border>
    <border>
      <left/>
      <right style="thin">
        <color indexed="0"/>
      </right>
      <top/>
      <bottom style="medium">
        <color indexed="64"/>
      </bottom>
      <diagonal/>
    </border>
    <border>
      <left style="thin">
        <color indexed="0"/>
      </left>
      <right style="medium">
        <color indexed="64"/>
      </right>
      <top/>
      <bottom style="medium">
        <color indexed="64"/>
      </bottom>
      <diagonal/>
    </border>
    <border>
      <left style="thin">
        <color indexed="64"/>
      </left>
      <right style="thin">
        <color indexed="64"/>
      </right>
      <top style="thin">
        <color rgb="FF505050"/>
      </top>
      <bottom style="double">
        <color rgb="FF505050"/>
      </bottom>
      <diagonal/>
    </border>
    <border>
      <left style="thin">
        <color indexed="64"/>
      </left>
      <right style="medium">
        <color indexed="64"/>
      </right>
      <top style="thin">
        <color rgb="FF505050"/>
      </top>
      <bottom style="double">
        <color rgb="FF505050"/>
      </bottom>
      <diagonal/>
    </border>
    <border>
      <left style="thin">
        <color indexed="64"/>
      </left>
      <right style="thin">
        <color indexed="64"/>
      </right>
      <top/>
      <bottom style="thin">
        <color indexed="0"/>
      </bottom>
      <diagonal/>
    </border>
    <border>
      <left style="thin">
        <color rgb="FF505050"/>
      </left>
      <right style="thin">
        <color indexed="64"/>
      </right>
      <top style="medium">
        <color indexed="64"/>
      </top>
      <bottom style="thin">
        <color indexed="64"/>
      </bottom>
      <diagonal/>
    </border>
    <border>
      <left style="medium">
        <color rgb="FF505050"/>
      </left>
      <right/>
      <top/>
      <bottom style="medium">
        <color indexed="64"/>
      </bottom>
      <diagonal/>
    </border>
    <border>
      <left style="thin">
        <color auto="1"/>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thin">
        <color indexed="64"/>
      </left>
      <right style="thin">
        <color indexed="64"/>
      </right>
      <top style="thin">
        <color rgb="FF505050"/>
      </top>
      <bottom style="thin">
        <color indexed="64"/>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medium">
        <color indexed="64"/>
      </right>
      <top style="thin">
        <color indexed="64"/>
      </top>
      <bottom style="thin">
        <color auto="1"/>
      </bottom>
      <diagonal/>
    </border>
    <border>
      <left style="thin">
        <color auto="1"/>
      </left>
      <right style="medium">
        <color indexed="64"/>
      </right>
      <top/>
      <bottom/>
      <diagonal/>
    </border>
    <border>
      <left style="thin">
        <color auto="1"/>
      </left>
      <right/>
      <top/>
      <bottom/>
      <diagonal/>
    </border>
    <border>
      <left style="medium">
        <color indexed="64"/>
      </left>
      <right style="medium">
        <color indexed="64"/>
      </right>
      <top style="thin">
        <color indexed="64"/>
      </top>
      <bottom/>
      <diagonal/>
    </border>
    <border>
      <left/>
      <right/>
      <top/>
      <bottom style="thin">
        <color auto="1"/>
      </bottom>
      <diagonal/>
    </border>
    <border>
      <left/>
      <right style="thin">
        <color indexed="64"/>
      </right>
      <top/>
      <bottom style="thin">
        <color indexed="64"/>
      </bottom>
      <diagonal/>
    </border>
    <border>
      <left/>
      <right/>
      <top/>
      <bottom style="double">
        <color indexed="64"/>
      </bottom>
      <diagonal/>
    </border>
    <border>
      <left/>
      <right style="thin">
        <color auto="1"/>
      </right>
      <top/>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top style="medium">
        <color indexed="64"/>
      </top>
      <bottom/>
      <diagonal/>
    </border>
    <border>
      <left/>
      <right/>
      <top style="thin">
        <color theme="4" tint="0.39997558519241921"/>
      </top>
      <bottom style="thin">
        <color theme="4" tint="0.39997558519241921"/>
      </bottom>
      <diagonal/>
    </border>
    <border>
      <left style="double">
        <color rgb="FF92D050"/>
      </left>
      <right/>
      <top style="double">
        <color rgb="FF92D050"/>
      </top>
      <bottom style="double">
        <color rgb="FF92D050"/>
      </bottom>
      <diagonal/>
    </border>
    <border>
      <left/>
      <right style="double">
        <color rgb="FF92D050"/>
      </right>
      <top style="double">
        <color rgb="FF92D050"/>
      </top>
      <bottom style="double">
        <color rgb="FF92D050"/>
      </bottom>
      <diagonal/>
    </border>
    <border>
      <left/>
      <right/>
      <top/>
      <bottom style="thick">
        <color theme="4" tint="0.499984740745262"/>
      </bottom>
      <diagonal/>
    </border>
    <border>
      <left/>
      <right/>
      <top/>
      <bottom style="medium">
        <color theme="4" tint="0.39997558519241921"/>
      </bottom>
      <diagonal/>
    </border>
    <border>
      <left/>
      <right/>
      <top/>
      <bottom style="medium">
        <color theme="4" tint="-0.24994659260841701"/>
      </bottom>
      <diagonal/>
    </border>
    <border>
      <left/>
      <right style="thin">
        <color auto="1"/>
      </right>
      <top/>
      <bottom/>
      <diagonal/>
    </border>
    <border>
      <left style="double">
        <color rgb="FFFFFF00"/>
      </left>
      <right style="double">
        <color rgb="FFFFFF00"/>
      </right>
      <top style="double">
        <color rgb="FFFFFF00"/>
      </top>
      <bottom style="double">
        <color rgb="FFFFFF00"/>
      </bottom>
      <diagonal/>
    </border>
    <border>
      <left style="medium">
        <color rgb="FF505050"/>
      </left>
      <right style="medium">
        <color rgb="FF505050"/>
      </right>
      <top/>
      <bottom style="thin">
        <color indexed="64"/>
      </bottom>
      <diagonal/>
    </border>
    <border>
      <left style="double">
        <color rgb="FFFFFF00"/>
      </left>
      <right/>
      <top style="double">
        <color rgb="FFFFFF00"/>
      </top>
      <bottom style="double">
        <color rgb="FFFFFF00"/>
      </bottom>
      <diagonal/>
    </border>
    <border>
      <left/>
      <right style="double">
        <color rgb="FFFFFF00"/>
      </right>
      <top style="double">
        <color rgb="FFFFFF00"/>
      </top>
      <bottom style="double">
        <color rgb="FFFFFF00"/>
      </bottom>
      <diagonal/>
    </border>
    <border>
      <left/>
      <right style="double">
        <color rgb="FF92D050"/>
      </right>
      <top/>
      <bottom style="double">
        <color rgb="FF92D050"/>
      </bottom>
      <diagonal/>
    </border>
    <border>
      <left style="double">
        <color rgb="FFFFFF00"/>
      </left>
      <right style="double">
        <color rgb="FFFFFF00"/>
      </right>
      <top style="double">
        <color rgb="FFFFFF00"/>
      </top>
      <bottom/>
      <diagonal/>
    </border>
    <border>
      <left style="double">
        <color rgb="FFFFFF00"/>
      </left>
      <right style="double">
        <color rgb="FFFFFF00"/>
      </right>
      <top/>
      <bottom style="double">
        <color rgb="FFFFFF00"/>
      </bottom>
      <diagonal/>
    </border>
    <border>
      <left style="medium">
        <color rgb="FF505050"/>
      </left>
      <right style="medium">
        <color rgb="FF505050"/>
      </right>
      <top/>
      <bottom style="medium">
        <color indexed="64"/>
      </bottom>
      <diagonal/>
    </border>
    <border>
      <left style="double">
        <color rgb="FFFFFF00"/>
      </left>
      <right style="double">
        <color rgb="FF92D050"/>
      </right>
      <top style="double">
        <color rgb="FF92D050"/>
      </top>
      <bottom/>
      <diagonal/>
    </border>
    <border>
      <left style="double">
        <color rgb="FFFFFF00"/>
      </left>
      <right style="double">
        <color rgb="FF92D050"/>
      </right>
      <top/>
      <bottom style="double">
        <color rgb="FF92D050"/>
      </bottom>
      <diagonal/>
    </border>
    <border>
      <left style="medium">
        <color rgb="FF92D050"/>
      </left>
      <right style="medium">
        <color rgb="FF92D050"/>
      </right>
      <top style="medium">
        <color rgb="FF92D050"/>
      </top>
      <bottom style="medium">
        <color rgb="FF92D050"/>
      </bottom>
      <diagonal/>
    </border>
  </borders>
  <cellStyleXfs count="36">
    <xf numFmtId="0" fontId="0" fillId="0" borderId="0"/>
    <xf numFmtId="43" fontId="17" fillId="0" borderId="0" applyFont="0" applyFill="0" applyBorder="0" applyAlignment="0" applyProtection="0"/>
    <xf numFmtId="9" fontId="17" fillId="0" borderId="0" applyFont="0" applyFill="0" applyBorder="0" applyAlignment="0" applyProtection="0"/>
    <xf numFmtId="0" fontId="15" fillId="0" borderId="0"/>
    <xf numFmtId="0" fontId="18" fillId="0" borderId="0" applyNumberFormat="0" applyFill="0" applyBorder="0" applyAlignment="0" applyProtection="0"/>
    <xf numFmtId="9" fontId="14" fillId="0" borderId="0" applyFont="0" applyFill="0" applyBorder="0" applyAlignment="0" applyProtection="0"/>
    <xf numFmtId="44" fontId="17" fillId="0" borderId="0" applyFont="0" applyFill="0" applyBorder="0" applyAlignment="0" applyProtection="0"/>
    <xf numFmtId="0" fontId="41" fillId="0" borderId="0"/>
    <xf numFmtId="0" fontId="42" fillId="39" borderId="6" applyNumberFormat="0" applyProtection="0">
      <alignment horizontal="left" vertical="center" indent="1"/>
    </xf>
    <xf numFmtId="0" fontId="43" fillId="39" borderId="6" applyNumberFormat="0" applyProtection="0">
      <alignment horizontal="center" vertical="center"/>
    </xf>
    <xf numFmtId="0" fontId="13" fillId="0" borderId="0"/>
    <xf numFmtId="43" fontId="13" fillId="0" borderId="0" applyFont="0" applyFill="0" applyBorder="0" applyAlignment="0" applyProtection="0"/>
    <xf numFmtId="0" fontId="12" fillId="0" borderId="0"/>
    <xf numFmtId="0" fontId="12"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4" fontId="17" fillId="0" borderId="0" applyFont="0" applyFill="0" applyBorder="0" applyAlignment="0" applyProtection="0"/>
    <xf numFmtId="43" fontId="9"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106" fillId="0" borderId="0"/>
    <xf numFmtId="0" fontId="107" fillId="0" borderId="322" applyNumberFormat="0" applyFill="0" applyAlignment="0" applyProtection="0"/>
    <xf numFmtId="0" fontId="108" fillId="0" borderId="320" applyNumberFormat="0" applyFill="0" applyBorder="0" applyAlignment="0" applyProtection="0"/>
    <xf numFmtId="0" fontId="109" fillId="0" borderId="321" applyNumberFormat="0" applyFill="0" applyBorder="0" applyAlignment="0" applyProtection="0"/>
    <xf numFmtId="43" fontId="106" fillId="0" borderId="0" applyFont="0" applyFill="0" applyBorder="0" applyAlignment="0" applyProtection="0"/>
    <xf numFmtId="9" fontId="106" fillId="0" borderId="0" applyFont="0" applyFill="0" applyBorder="0" applyAlignment="0" applyProtection="0"/>
    <xf numFmtId="0" fontId="2" fillId="0" borderId="0"/>
    <xf numFmtId="9" fontId="2" fillId="0" borderId="0" applyFont="0" applyFill="0" applyBorder="0" applyAlignment="0" applyProtection="0"/>
  </cellStyleXfs>
  <cellXfs count="3209">
    <xf numFmtId="0" fontId="0" fillId="0" borderId="0" xfId="0"/>
    <xf numFmtId="0" fontId="18" fillId="0" borderId="0" xfId="4"/>
    <xf numFmtId="0" fontId="0" fillId="0" borderId="2" xfId="0" applyBorder="1"/>
    <xf numFmtId="0" fontId="0" fillId="0" borderId="4" xfId="0" applyBorder="1"/>
    <xf numFmtId="0" fontId="0" fillId="5" borderId="0" xfId="0" applyFill="1"/>
    <xf numFmtId="0" fontId="0" fillId="2" borderId="4" xfId="0" applyFill="1" applyBorder="1"/>
    <xf numFmtId="0" fontId="24" fillId="0" borderId="0" xfId="0" applyFont="1"/>
    <xf numFmtId="14" fontId="0" fillId="0" borderId="4" xfId="0" applyNumberFormat="1" applyBorder="1"/>
    <xf numFmtId="0" fontId="0" fillId="19" borderId="0" xfId="0" applyFill="1"/>
    <xf numFmtId="164" fontId="0" fillId="19" borderId="0" xfId="1" applyNumberFormat="1" applyFont="1" applyFill="1"/>
    <xf numFmtId="9" fontId="0" fillId="19" borderId="0" xfId="0" applyNumberFormat="1" applyFill="1"/>
    <xf numFmtId="0" fontId="25" fillId="19" borderId="0" xfId="0" applyFont="1" applyFill="1"/>
    <xf numFmtId="3" fontId="0" fillId="19" borderId="0" xfId="0" applyNumberFormat="1" applyFill="1"/>
    <xf numFmtId="0" fontId="20" fillId="20" borderId="42" xfId="0" applyFont="1" applyFill="1" applyBorder="1"/>
    <xf numFmtId="0" fontId="20" fillId="20" borderId="27" xfId="0" applyFont="1" applyFill="1" applyBorder="1"/>
    <xf numFmtId="0" fontId="20" fillId="20" borderId="43" xfId="0" applyFont="1" applyFill="1" applyBorder="1"/>
    <xf numFmtId="0" fontId="20" fillId="21" borderId="0" xfId="0" applyFont="1" applyFill="1"/>
    <xf numFmtId="0" fontId="20" fillId="10" borderId="17" xfId="0" applyFont="1" applyFill="1" applyBorder="1"/>
    <xf numFmtId="164" fontId="20" fillId="10" borderId="17" xfId="1" applyNumberFormat="1" applyFont="1" applyFill="1" applyBorder="1" applyAlignment="1">
      <alignment horizontal="center"/>
    </xf>
    <xf numFmtId="0" fontId="20" fillId="10" borderId="44" xfId="0" applyFont="1" applyFill="1" applyBorder="1" applyAlignment="1">
      <alignment horizontal="center"/>
    </xf>
    <xf numFmtId="14" fontId="20" fillId="10" borderId="16" xfId="0" applyNumberFormat="1" applyFont="1" applyFill="1" applyBorder="1" applyAlignment="1">
      <alignment horizontal="center"/>
    </xf>
    <xf numFmtId="14" fontId="20" fillId="10" borderId="45" xfId="0" applyNumberFormat="1" applyFont="1" applyFill="1" applyBorder="1" applyAlignment="1">
      <alignment horizontal="center"/>
    </xf>
    <xf numFmtId="43" fontId="29" fillId="22" borderId="4" xfId="1" applyFont="1" applyFill="1" applyBorder="1"/>
    <xf numFmtId="167" fontId="0" fillId="17" borderId="4" xfId="0" applyNumberFormat="1" applyFill="1" applyBorder="1"/>
    <xf numFmtId="167" fontId="0" fillId="0" borderId="4" xfId="0" applyNumberFormat="1" applyBorder="1"/>
    <xf numFmtId="0" fontId="0" fillId="23" borderId="46" xfId="0" applyFill="1" applyBorder="1"/>
    <xf numFmtId="169" fontId="0" fillId="23" borderId="10" xfId="0" applyNumberFormat="1" applyFill="1" applyBorder="1"/>
    <xf numFmtId="0" fontId="0" fillId="23" borderId="10" xfId="0" applyFill="1" applyBorder="1"/>
    <xf numFmtId="0" fontId="20" fillId="10" borderId="4" xfId="0" applyFont="1" applyFill="1" applyBorder="1"/>
    <xf numFmtId="164" fontId="20" fillId="10" borderId="4" xfId="1" applyNumberFormat="1" applyFont="1" applyFill="1" applyBorder="1" applyAlignment="1">
      <alignment horizontal="center"/>
    </xf>
    <xf numFmtId="3" fontId="20" fillId="10" borderId="4" xfId="0" applyNumberFormat="1" applyFont="1" applyFill="1" applyBorder="1" applyAlignment="1">
      <alignment horizontal="center"/>
    </xf>
    <xf numFmtId="3" fontId="30" fillId="16" borderId="4" xfId="0" applyNumberFormat="1" applyFont="1" applyFill="1" applyBorder="1" applyAlignment="1">
      <alignment horizontal="center"/>
    </xf>
    <xf numFmtId="9" fontId="21" fillId="16" borderId="4" xfId="0" applyNumberFormat="1" applyFont="1" applyFill="1" applyBorder="1" applyAlignment="1">
      <alignment horizontal="center"/>
    </xf>
    <xf numFmtId="0" fontId="0" fillId="3" borderId="46" xfId="0" applyFill="1" applyBorder="1"/>
    <xf numFmtId="164" fontId="0" fillId="3" borderId="10" xfId="1" applyNumberFormat="1" applyFont="1" applyFill="1" applyBorder="1"/>
    <xf numFmtId="10" fontId="0" fillId="3" borderId="10" xfId="0" applyNumberFormat="1" applyFill="1" applyBorder="1"/>
    <xf numFmtId="0" fontId="29" fillId="9" borderId="49" xfId="0" applyFont="1" applyFill="1" applyBorder="1" applyAlignment="1">
      <alignment horizontal="center" vertical="center"/>
    </xf>
    <xf numFmtId="3" fontId="28" fillId="11" borderId="50" xfId="0" applyNumberFormat="1" applyFont="1" applyFill="1" applyBorder="1" applyAlignment="1">
      <alignment horizontal="center" vertical="center"/>
    </xf>
    <xf numFmtId="3" fontId="28" fillId="11" borderId="2" xfId="0" applyNumberFormat="1" applyFont="1" applyFill="1" applyBorder="1" applyAlignment="1">
      <alignment horizontal="center" vertical="center"/>
    </xf>
    <xf numFmtId="0" fontId="0" fillId="11" borderId="51" xfId="0" applyFill="1" applyBorder="1" applyAlignment="1">
      <alignment horizontal="center"/>
    </xf>
    <xf numFmtId="0" fontId="0" fillId="0" borderId="8" xfId="0" applyBorder="1"/>
    <xf numFmtId="0" fontId="0" fillId="17" borderId="46" xfId="0" applyFill="1" applyBorder="1"/>
    <xf numFmtId="164" fontId="0" fillId="17" borderId="10" xfId="1" applyNumberFormat="1" applyFont="1" applyFill="1" applyBorder="1"/>
    <xf numFmtId="10" fontId="0" fillId="17" borderId="10" xfId="0" applyNumberFormat="1" applyFill="1" applyBorder="1"/>
    <xf numFmtId="3" fontId="0" fillId="3" borderId="4" xfId="0" applyNumberFormat="1" applyFill="1" applyBorder="1"/>
    <xf numFmtId="3" fontId="28" fillId="0" borderId="4" xfId="0" applyNumberFormat="1" applyFont="1" applyBorder="1" applyAlignment="1">
      <alignment vertical="center" wrapText="1"/>
    </xf>
    <xf numFmtId="3" fontId="0" fillId="0" borderId="0" xfId="0" applyNumberFormat="1" applyAlignment="1">
      <alignment horizontal="center" vertical="center"/>
    </xf>
    <xf numFmtId="167" fontId="0" fillId="0" borderId="0" xfId="0" applyNumberFormat="1" applyAlignment="1">
      <alignment horizontal="center" vertical="center"/>
    </xf>
    <xf numFmtId="164" fontId="23" fillId="14" borderId="4" xfId="0" applyNumberFormat="1" applyFont="1" applyFill="1" applyBorder="1" applyAlignment="1">
      <alignment horizontal="center"/>
    </xf>
    <xf numFmtId="168" fontId="23" fillId="14" borderId="4" xfId="0" applyNumberFormat="1" applyFont="1" applyFill="1" applyBorder="1"/>
    <xf numFmtId="9" fontId="23" fillId="0" borderId="23" xfId="2" applyFont="1" applyFill="1" applyBorder="1"/>
    <xf numFmtId="14" fontId="0" fillId="3" borderId="53" xfId="0" applyNumberFormat="1" applyFill="1" applyBorder="1"/>
    <xf numFmtId="10" fontId="25" fillId="17" borderId="10" xfId="0" applyNumberFormat="1" applyFont="1" applyFill="1" applyBorder="1"/>
    <xf numFmtId="3" fontId="28" fillId="0" borderId="23" xfId="0" applyNumberFormat="1" applyFont="1" applyBorder="1" applyAlignment="1">
      <alignment horizontal="center" vertical="center" wrapText="1"/>
    </xf>
    <xf numFmtId="9" fontId="23" fillId="0" borderId="4" xfId="2" applyFont="1" applyFill="1" applyBorder="1"/>
    <xf numFmtId="14" fontId="0" fillId="24" borderId="23" xfId="0" applyNumberFormat="1" applyFill="1" applyBorder="1"/>
    <xf numFmtId="164" fontId="0" fillId="24" borderId="4" xfId="1" applyNumberFormat="1" applyFont="1" applyFill="1" applyBorder="1"/>
    <xf numFmtId="3" fontId="0" fillId="24" borderId="4" xfId="0" applyNumberFormat="1" applyFill="1" applyBorder="1"/>
    <xf numFmtId="3" fontId="0" fillId="8" borderId="4" xfId="0" applyNumberFormat="1" applyFill="1" applyBorder="1"/>
    <xf numFmtId="3" fontId="0" fillId="7" borderId="4" xfId="0" applyNumberFormat="1" applyFill="1" applyBorder="1"/>
    <xf numFmtId="3" fontId="21" fillId="7" borderId="2" xfId="2" applyNumberFormat="1" applyFont="1" applyFill="1" applyBorder="1" applyAlignment="1">
      <alignment horizontal="center" vertical="center"/>
    </xf>
    <xf numFmtId="3" fontId="30" fillId="28" borderId="0" xfId="0" applyNumberFormat="1" applyFont="1" applyFill="1"/>
    <xf numFmtId="0" fontId="0" fillId="0" borderId="17" xfId="0" applyBorder="1"/>
    <xf numFmtId="9" fontId="0" fillId="0" borderId="16" xfId="2" applyFont="1" applyFill="1" applyBorder="1"/>
    <xf numFmtId="0" fontId="0" fillId="0" borderId="16" xfId="0" applyBorder="1"/>
    <xf numFmtId="10" fontId="25" fillId="3" borderId="10" xfId="0" applyNumberFormat="1" applyFont="1" applyFill="1" applyBorder="1"/>
    <xf numFmtId="14" fontId="35" fillId="11" borderId="56" xfId="0" applyNumberFormat="1" applyFont="1" applyFill="1" applyBorder="1"/>
    <xf numFmtId="164" fontId="35" fillId="11" borderId="57" xfId="1" applyNumberFormat="1" applyFont="1" applyFill="1" applyBorder="1"/>
    <xf numFmtId="4" fontId="16" fillId="11" borderId="57" xfId="0" applyNumberFormat="1" applyFont="1" applyFill="1" applyBorder="1"/>
    <xf numFmtId="3" fontId="0" fillId="3" borderId="35" xfId="0" applyNumberFormat="1" applyFill="1" applyBorder="1"/>
    <xf numFmtId="164" fontId="22" fillId="16" borderId="58" xfId="0" applyNumberFormat="1" applyFont="1" applyFill="1" applyBorder="1" applyAlignment="1">
      <alignment horizontal="center"/>
    </xf>
    <xf numFmtId="9" fontId="30" fillId="16" borderId="27" xfId="0" applyNumberFormat="1" applyFont="1" applyFill="1" applyBorder="1" applyAlignment="1">
      <alignment horizontal="center"/>
    </xf>
    <xf numFmtId="0" fontId="23" fillId="29" borderId="26" xfId="0" applyFont="1" applyFill="1" applyBorder="1" applyAlignment="1">
      <alignment horizontal="center"/>
    </xf>
    <xf numFmtId="3" fontId="22" fillId="16" borderId="58" xfId="0" applyNumberFormat="1" applyFont="1" applyFill="1" applyBorder="1" applyAlignment="1">
      <alignment horizontal="center"/>
    </xf>
    <xf numFmtId="3" fontId="30" fillId="5" borderId="40" xfId="0" applyNumberFormat="1" applyFont="1" applyFill="1" applyBorder="1"/>
    <xf numFmtId="3" fontId="30" fillId="5" borderId="41" xfId="0" applyNumberFormat="1" applyFont="1" applyFill="1" applyBorder="1"/>
    <xf numFmtId="10" fontId="23" fillId="17" borderId="10" xfId="0" applyNumberFormat="1" applyFont="1" applyFill="1" applyBorder="1"/>
    <xf numFmtId="10" fontId="25" fillId="0" borderId="10" xfId="0" applyNumberFormat="1" applyFont="1" applyBorder="1"/>
    <xf numFmtId="0" fontId="0" fillId="3" borderId="60" xfId="0" applyFill="1" applyBorder="1"/>
    <xf numFmtId="164" fontId="0" fillId="3" borderId="7" xfId="1" applyNumberFormat="1" applyFont="1" applyFill="1" applyBorder="1"/>
    <xf numFmtId="10" fontId="0" fillId="3" borderId="7" xfId="0" applyNumberFormat="1" applyFill="1" applyBorder="1"/>
    <xf numFmtId="10" fontId="20" fillId="3" borderId="7" xfId="0" applyNumberFormat="1" applyFont="1" applyFill="1" applyBorder="1"/>
    <xf numFmtId="3" fontId="0" fillId="3" borderId="12" xfId="0" applyNumberFormat="1" applyFill="1" applyBorder="1"/>
    <xf numFmtId="14" fontId="0" fillId="3" borderId="4" xfId="0" applyNumberFormat="1" applyFill="1" applyBorder="1"/>
    <xf numFmtId="164" fontId="22" fillId="16" borderId="61" xfId="1" applyNumberFormat="1" applyFont="1" applyFill="1" applyBorder="1"/>
    <xf numFmtId="43" fontId="0" fillId="0" borderId="0" xfId="0" applyNumberFormat="1"/>
    <xf numFmtId="0" fontId="26" fillId="0" borderId="0" xfId="4" applyFont="1"/>
    <xf numFmtId="0" fontId="27" fillId="7" borderId="0" xfId="0" applyFont="1" applyFill="1"/>
    <xf numFmtId="0" fontId="27" fillId="0" borderId="0" xfId="0" applyFont="1"/>
    <xf numFmtId="164" fontId="27" fillId="0" borderId="0" xfId="1" applyNumberFormat="1" applyFont="1" applyFill="1" applyBorder="1"/>
    <xf numFmtId="0" fontId="27" fillId="0" borderId="59" xfId="0" applyFont="1" applyBorder="1"/>
    <xf numFmtId="164" fontId="27" fillId="0" borderId="59" xfId="0" applyNumberFormat="1" applyFont="1" applyBorder="1"/>
    <xf numFmtId="0" fontId="0" fillId="0" borderId="0" xfId="0" applyAlignment="1">
      <alignment horizontal="center"/>
    </xf>
    <xf numFmtId="0" fontId="25" fillId="0" borderId="0" xfId="0" applyFont="1"/>
    <xf numFmtId="0" fontId="0" fillId="0" borderId="22" xfId="0" applyBorder="1"/>
    <xf numFmtId="0" fontId="23" fillId="0" borderId="0" xfId="0" applyFont="1"/>
    <xf numFmtId="0" fontId="0" fillId="0" borderId="53" xfId="0" applyBorder="1"/>
    <xf numFmtId="0" fontId="0" fillId="0" borderId="33" xfId="0" applyBorder="1"/>
    <xf numFmtId="0" fontId="30" fillId="17" borderId="40" xfId="0" applyFont="1" applyFill="1" applyBorder="1"/>
    <xf numFmtId="0" fontId="0" fillId="0" borderId="21" xfId="0" applyBorder="1"/>
    <xf numFmtId="0" fontId="23" fillId="7" borderId="0" xfId="0" applyFont="1" applyFill="1"/>
    <xf numFmtId="0" fontId="0" fillId="0" borderId="20" xfId="0" applyBorder="1"/>
    <xf numFmtId="0" fontId="0" fillId="0" borderId="9" xfId="0" applyBorder="1"/>
    <xf numFmtId="0" fontId="0" fillId="0" borderId="7" xfId="0" applyBorder="1"/>
    <xf numFmtId="0" fontId="0" fillId="2" borderId="33" xfId="0" applyFill="1" applyBorder="1"/>
    <xf numFmtId="0" fontId="0" fillId="0" borderId="11" xfId="0" applyBorder="1"/>
    <xf numFmtId="164" fontId="0" fillId="0" borderId="0" xfId="1" applyNumberFormat="1" applyFont="1"/>
    <xf numFmtId="14" fontId="29" fillId="31" borderId="0" xfId="0" applyNumberFormat="1" applyFont="1" applyFill="1" applyAlignment="1">
      <alignment horizontal="left" vertical="top" wrapText="1"/>
    </xf>
    <xf numFmtId="3" fontId="30" fillId="24" borderId="4" xfId="0" applyNumberFormat="1" applyFont="1" applyFill="1" applyBorder="1" applyAlignment="1">
      <alignment horizontal="center"/>
    </xf>
    <xf numFmtId="0" fontId="0" fillId="24" borderId="4" xfId="0" applyFill="1" applyBorder="1"/>
    <xf numFmtId="0" fontId="0" fillId="7" borderId="4" xfId="0" applyFill="1" applyBorder="1"/>
    <xf numFmtId="0" fontId="0" fillId="12" borderId="4" xfId="0" applyFill="1" applyBorder="1"/>
    <xf numFmtId="0" fontId="0" fillId="0" borderId="23" xfId="0" applyBorder="1"/>
    <xf numFmtId="0" fontId="20" fillId="10" borderId="86" xfId="0" applyFont="1" applyFill="1" applyBorder="1"/>
    <xf numFmtId="164" fontId="20" fillId="10" borderId="87" xfId="1" applyNumberFormat="1" applyFont="1" applyFill="1" applyBorder="1"/>
    <xf numFmtId="168" fontId="20" fillId="10" borderId="87" xfId="0" applyNumberFormat="1" applyFont="1" applyFill="1" applyBorder="1"/>
    <xf numFmtId="168" fontId="20" fillId="10" borderId="88" xfId="0" applyNumberFormat="1" applyFont="1" applyFill="1" applyBorder="1"/>
    <xf numFmtId="9" fontId="0" fillId="0" borderId="0" xfId="0" applyNumberFormat="1"/>
    <xf numFmtId="3" fontId="0" fillId="0" borderId="0" xfId="0" applyNumberFormat="1"/>
    <xf numFmtId="0" fontId="20" fillId="10" borderId="89" xfId="0" applyFont="1" applyFill="1" applyBorder="1"/>
    <xf numFmtId="164" fontId="20" fillId="10" borderId="90" xfId="1" applyNumberFormat="1" applyFont="1" applyFill="1" applyBorder="1" applyAlignment="1">
      <alignment horizontal="center"/>
    </xf>
    <xf numFmtId="0" fontId="20" fillId="10" borderId="90" xfId="0" applyFont="1" applyFill="1" applyBorder="1" applyAlignment="1">
      <alignment horizontal="center"/>
    </xf>
    <xf numFmtId="14" fontId="20" fillId="10" borderId="90" xfId="0" applyNumberFormat="1" applyFont="1" applyFill="1" applyBorder="1" applyAlignment="1">
      <alignment horizontal="center"/>
    </xf>
    <xf numFmtId="9" fontId="0" fillId="24" borderId="91" xfId="0" applyNumberFormat="1" applyFill="1" applyBorder="1"/>
    <xf numFmtId="14" fontId="0" fillId="0" borderId="92" xfId="0" applyNumberFormat="1" applyBorder="1"/>
    <xf numFmtId="164" fontId="0" fillId="0" borderId="93" xfId="1" applyNumberFormat="1" applyFont="1" applyBorder="1"/>
    <xf numFmtId="4" fontId="0" fillId="0" borderId="93" xfId="0" applyNumberFormat="1" applyBorder="1"/>
    <xf numFmtId="168" fontId="0" fillId="0" borderId="93" xfId="0" applyNumberFormat="1" applyBorder="1"/>
    <xf numFmtId="9" fontId="20" fillId="24" borderId="94" xfId="0" applyNumberFormat="1" applyFont="1" applyFill="1" applyBorder="1"/>
    <xf numFmtId="14" fontId="0" fillId="17" borderId="92" xfId="0" applyNumberFormat="1" applyFill="1" applyBorder="1"/>
    <xf numFmtId="164" fontId="0" fillId="17" borderId="93" xfId="1" applyNumberFormat="1" applyFont="1" applyFill="1" applyBorder="1"/>
    <xf numFmtId="4" fontId="0" fillId="17" borderId="93" xfId="0" applyNumberFormat="1" applyFill="1" applyBorder="1"/>
    <xf numFmtId="168" fontId="0" fillId="17" borderId="93" xfId="0" applyNumberFormat="1" applyFill="1" applyBorder="1"/>
    <xf numFmtId="168" fontId="44" fillId="17" borderId="93" xfId="0" applyNumberFormat="1" applyFont="1" applyFill="1" applyBorder="1"/>
    <xf numFmtId="168" fontId="44" fillId="0" borderId="93" xfId="0" applyNumberFormat="1" applyFont="1" applyBorder="1"/>
    <xf numFmtId="14" fontId="0" fillId="21" borderId="95" xfId="0" applyNumberFormat="1" applyFill="1" applyBorder="1"/>
    <xf numFmtId="164" fontId="0" fillId="21" borderId="96" xfId="1" applyNumberFormat="1" applyFont="1" applyFill="1" applyBorder="1"/>
    <xf numFmtId="4" fontId="0" fillId="21" borderId="96" xfId="0" applyNumberFormat="1" applyFill="1" applyBorder="1"/>
    <xf numFmtId="168" fontId="0" fillId="21" borderId="96" xfId="0" applyNumberFormat="1" applyFill="1" applyBorder="1"/>
    <xf numFmtId="168" fontId="44" fillId="21" borderId="96" xfId="0" applyNumberFormat="1" applyFont="1" applyFill="1" applyBorder="1"/>
    <xf numFmtId="9" fontId="20" fillId="24" borderId="97" xfId="0" applyNumberFormat="1" applyFont="1" applyFill="1" applyBorder="1"/>
    <xf numFmtId="174" fontId="35" fillId="17" borderId="98" xfId="0" applyNumberFormat="1" applyFont="1" applyFill="1" applyBorder="1"/>
    <xf numFmtId="164" fontId="35" fillId="17" borderId="99" xfId="1" applyNumberFormat="1" applyFont="1" applyFill="1" applyBorder="1"/>
    <xf numFmtId="174" fontId="35" fillId="17" borderId="99" xfId="0" applyNumberFormat="1" applyFont="1" applyFill="1" applyBorder="1"/>
    <xf numFmtId="175" fontId="35" fillId="17" borderId="99" xfId="0" applyNumberFormat="1" applyFont="1" applyFill="1" applyBorder="1"/>
    <xf numFmtId="174" fontId="35" fillId="17" borderId="100" xfId="0" applyNumberFormat="1" applyFont="1" applyFill="1" applyBorder="1"/>
    <xf numFmtId="9" fontId="48" fillId="0" borderId="0" xfId="0" applyNumberFormat="1" applyFont="1"/>
    <xf numFmtId="0" fontId="49" fillId="0" borderId="0" xfId="0" applyFont="1"/>
    <xf numFmtId="3" fontId="48" fillId="0" borderId="0" xfId="0" applyNumberFormat="1" applyFont="1"/>
    <xf numFmtId="0" fontId="48" fillId="0" borderId="0" xfId="0" applyFont="1"/>
    <xf numFmtId="9" fontId="20" fillId="24" borderId="91" xfId="0" applyNumberFormat="1" applyFont="1" applyFill="1" applyBorder="1" applyAlignment="1">
      <alignment horizontal="center" vertical="center"/>
    </xf>
    <xf numFmtId="14" fontId="0" fillId="17" borderId="95" xfId="0" applyNumberFormat="1" applyFill="1" applyBorder="1"/>
    <xf numFmtId="164" fontId="0" fillId="17" borderId="101" xfId="1" applyNumberFormat="1" applyFont="1" applyFill="1" applyBorder="1"/>
    <xf numFmtId="4" fontId="0" fillId="17" borderId="101" xfId="0" applyNumberFormat="1" applyFill="1" applyBorder="1"/>
    <xf numFmtId="0" fontId="0" fillId="17" borderId="101" xfId="0" applyFill="1" applyBorder="1"/>
    <xf numFmtId="168" fontId="44" fillId="17" borderId="96" xfId="0" applyNumberFormat="1" applyFont="1" applyFill="1" applyBorder="1"/>
    <xf numFmtId="14" fontId="0" fillId="21" borderId="92" xfId="0" applyNumberFormat="1" applyFill="1" applyBorder="1"/>
    <xf numFmtId="164" fontId="0" fillId="21" borderId="102" xfId="1" applyNumberFormat="1" applyFont="1" applyFill="1" applyBorder="1"/>
    <xf numFmtId="4" fontId="0" fillId="21" borderId="102" xfId="0" applyNumberFormat="1" applyFill="1" applyBorder="1"/>
    <xf numFmtId="0" fontId="0" fillId="21" borderId="102" xfId="0" applyFill="1" applyBorder="1"/>
    <xf numFmtId="168" fontId="44" fillId="21" borderId="103" xfId="0" applyNumberFormat="1" applyFont="1" applyFill="1" applyBorder="1"/>
    <xf numFmtId="164" fontId="0" fillId="17" borderId="102" xfId="1" applyNumberFormat="1" applyFont="1" applyFill="1" applyBorder="1"/>
    <xf numFmtId="4" fontId="0" fillId="17" borderId="102" xfId="0" applyNumberFormat="1" applyFill="1" applyBorder="1"/>
    <xf numFmtId="0" fontId="0" fillId="17" borderId="102" xfId="0" applyFill="1" applyBorder="1"/>
    <xf numFmtId="168" fontId="44" fillId="17" borderId="103" xfId="0" applyNumberFormat="1" applyFont="1" applyFill="1" applyBorder="1"/>
    <xf numFmtId="174" fontId="35" fillId="21" borderId="104" xfId="0" applyNumberFormat="1" applyFont="1" applyFill="1" applyBorder="1"/>
    <xf numFmtId="164" fontId="35" fillId="21" borderId="105" xfId="1" applyNumberFormat="1" applyFont="1" applyFill="1" applyBorder="1"/>
    <xf numFmtId="174" fontId="35" fillId="21" borderId="105" xfId="0" applyNumberFormat="1" applyFont="1" applyFill="1" applyBorder="1"/>
    <xf numFmtId="174" fontId="35" fillId="21" borderId="106" xfId="0" applyNumberFormat="1" applyFont="1" applyFill="1" applyBorder="1"/>
    <xf numFmtId="0" fontId="0" fillId="21" borderId="0" xfId="0" applyFill="1"/>
    <xf numFmtId="164" fontId="0" fillId="21" borderId="0" xfId="1" applyNumberFormat="1" applyFont="1" applyFill="1"/>
    <xf numFmtId="174" fontId="50" fillId="21" borderId="0" xfId="0" applyNumberFormat="1" applyFont="1" applyFill="1"/>
    <xf numFmtId="9" fontId="0" fillId="21" borderId="0" xfId="0" applyNumberFormat="1" applyFill="1"/>
    <xf numFmtId="0" fontId="25" fillId="21" borderId="0" xfId="0" applyFont="1" applyFill="1"/>
    <xf numFmtId="3" fontId="0" fillId="21" borderId="0" xfId="0" applyNumberFormat="1" applyFill="1"/>
    <xf numFmtId="0" fontId="20" fillId="10" borderId="107" xfId="0" applyFont="1" applyFill="1" applyBorder="1"/>
    <xf numFmtId="164" fontId="20" fillId="10" borderId="107" xfId="1" applyNumberFormat="1" applyFont="1" applyFill="1" applyBorder="1" applyAlignment="1">
      <alignment horizontal="center"/>
    </xf>
    <xf numFmtId="0" fontId="20" fillId="10" borderId="99" xfId="0" applyFont="1" applyFill="1" applyBorder="1" applyAlignment="1">
      <alignment horizontal="center"/>
    </xf>
    <xf numFmtId="14" fontId="20" fillId="10" borderId="108" xfId="0" applyNumberFormat="1" applyFont="1" applyFill="1" applyBorder="1" applyAlignment="1">
      <alignment horizontal="center"/>
    </xf>
    <xf numFmtId="14" fontId="20" fillId="10" borderId="100" xfId="0" applyNumberFormat="1" applyFont="1" applyFill="1" applyBorder="1" applyAlignment="1">
      <alignment horizontal="center"/>
    </xf>
    <xf numFmtId="9" fontId="20" fillId="21" borderId="0" xfId="0" applyNumberFormat="1" applyFont="1" applyFill="1" applyAlignment="1">
      <alignment horizontal="center"/>
    </xf>
    <xf numFmtId="14" fontId="44" fillId="21" borderId="0" xfId="0" applyNumberFormat="1" applyFont="1" applyFill="1" applyAlignment="1">
      <alignment horizontal="center"/>
    </xf>
    <xf numFmtId="3" fontId="20" fillId="21" borderId="0" xfId="0" applyNumberFormat="1" applyFont="1" applyFill="1" applyAlignment="1">
      <alignment horizontal="center"/>
    </xf>
    <xf numFmtId="0" fontId="20" fillId="10" borderId="109" xfId="0" applyFont="1" applyFill="1" applyBorder="1"/>
    <xf numFmtId="164" fontId="20" fillId="10" borderId="109" xfId="1" applyNumberFormat="1" applyFont="1" applyFill="1" applyBorder="1" applyAlignment="1">
      <alignment horizontal="center"/>
    </xf>
    <xf numFmtId="3" fontId="20" fillId="10" borderId="110" xfId="0" applyNumberFormat="1" applyFont="1" applyFill="1" applyBorder="1" applyAlignment="1">
      <alignment horizontal="center"/>
    </xf>
    <xf numFmtId="14" fontId="20" fillId="10" borderId="0" xfId="0" applyNumberFormat="1" applyFont="1" applyFill="1" applyAlignment="1">
      <alignment horizontal="center"/>
    </xf>
    <xf numFmtId="14" fontId="20" fillId="10" borderId="111" xfId="0" applyNumberFormat="1" applyFont="1" applyFill="1" applyBorder="1" applyAlignment="1">
      <alignment horizontal="center"/>
    </xf>
    <xf numFmtId="14" fontId="20" fillId="10" borderId="112" xfId="0" applyNumberFormat="1" applyFont="1" applyFill="1" applyBorder="1" applyAlignment="1">
      <alignment horizontal="center"/>
    </xf>
    <xf numFmtId="164" fontId="0" fillId="21" borderId="113" xfId="1" applyNumberFormat="1" applyFont="1" applyFill="1" applyBorder="1"/>
    <xf numFmtId="168" fontId="0" fillId="21" borderId="114" xfId="0" applyNumberFormat="1" applyFill="1" applyBorder="1"/>
    <xf numFmtId="168" fontId="0" fillId="21" borderId="93" xfId="0" applyNumberFormat="1" applyFill="1" applyBorder="1"/>
    <xf numFmtId="9" fontId="0" fillId="24" borderId="94" xfId="0" applyNumberFormat="1" applyFill="1" applyBorder="1"/>
    <xf numFmtId="164" fontId="0" fillId="0" borderId="0" xfId="0" applyNumberFormat="1"/>
    <xf numFmtId="164" fontId="0" fillId="17" borderId="113" xfId="1" applyNumberFormat="1" applyFont="1" applyFill="1" applyBorder="1"/>
    <xf numFmtId="168" fontId="0" fillId="17" borderId="114" xfId="0" applyNumberFormat="1" applyFill="1" applyBorder="1"/>
    <xf numFmtId="168" fontId="44" fillId="21" borderId="93" xfId="0" applyNumberFormat="1" applyFont="1" applyFill="1" applyBorder="1"/>
    <xf numFmtId="14" fontId="0" fillId="17" borderId="113" xfId="0" applyNumberFormat="1" applyFill="1" applyBorder="1"/>
    <xf numFmtId="168" fontId="20" fillId="17" borderId="93" xfId="0" applyNumberFormat="1" applyFont="1" applyFill="1" applyBorder="1"/>
    <xf numFmtId="164" fontId="0" fillId="21" borderId="115" xfId="1" applyNumberFormat="1" applyFont="1" applyFill="1" applyBorder="1"/>
    <xf numFmtId="4" fontId="0" fillId="21" borderId="101" xfId="0" applyNumberFormat="1" applyFill="1" applyBorder="1"/>
    <xf numFmtId="0" fontId="0" fillId="21" borderId="116" xfId="0" applyFill="1" applyBorder="1"/>
    <xf numFmtId="164" fontId="0" fillId="17" borderId="115" xfId="1" applyNumberFormat="1" applyFont="1" applyFill="1" applyBorder="1"/>
    <xf numFmtId="168" fontId="0" fillId="17" borderId="117" xfId="0" applyNumberFormat="1" applyFill="1" applyBorder="1"/>
    <xf numFmtId="168" fontId="0" fillId="21" borderId="116" xfId="0" applyNumberFormat="1" applyFill="1" applyBorder="1"/>
    <xf numFmtId="9" fontId="0" fillId="24" borderId="97" xfId="0" applyNumberFormat="1" applyFill="1" applyBorder="1"/>
    <xf numFmtId="14" fontId="0" fillId="17" borderId="115" xfId="0" applyNumberFormat="1" applyFill="1" applyBorder="1"/>
    <xf numFmtId="0" fontId="0" fillId="17" borderId="117" xfId="0" applyFill="1" applyBorder="1"/>
    <xf numFmtId="168" fontId="20" fillId="17" borderId="118" xfId="0" applyNumberFormat="1" applyFont="1" applyFill="1" applyBorder="1"/>
    <xf numFmtId="14" fontId="0" fillId="21" borderId="119" xfId="0" applyNumberFormat="1" applyFill="1" applyBorder="1"/>
    <xf numFmtId="164" fontId="0" fillId="21" borderId="119" xfId="1" applyNumberFormat="1" applyFont="1" applyFill="1" applyBorder="1"/>
    <xf numFmtId="4" fontId="0" fillId="21" borderId="120" xfId="0" applyNumberFormat="1" applyFill="1" applyBorder="1"/>
    <xf numFmtId="168" fontId="0" fillId="21" borderId="121" xfId="0" applyNumberFormat="1" applyFill="1" applyBorder="1"/>
    <xf numFmtId="168" fontId="20" fillId="21" borderId="122" xfId="0" applyNumberFormat="1" applyFont="1" applyFill="1" applyBorder="1"/>
    <xf numFmtId="14" fontId="20" fillId="17" borderId="123" xfId="0" applyNumberFormat="1" applyFont="1" applyFill="1" applyBorder="1"/>
    <xf numFmtId="164" fontId="20" fillId="17" borderId="104" xfId="1" applyNumberFormat="1" applyFont="1" applyFill="1" applyBorder="1"/>
    <xf numFmtId="4" fontId="20" fillId="17" borderId="124" xfId="0" applyNumberFormat="1" applyFont="1" applyFill="1" applyBorder="1"/>
    <xf numFmtId="3" fontId="20" fillId="17" borderId="105" xfId="0" applyNumberFormat="1" applyFont="1" applyFill="1" applyBorder="1"/>
    <xf numFmtId="168" fontId="44" fillId="17" borderId="106" xfId="0" applyNumberFormat="1" applyFont="1" applyFill="1" applyBorder="1"/>
    <xf numFmtId="4" fontId="0" fillId="0" borderId="0" xfId="0" applyNumberFormat="1"/>
    <xf numFmtId="174" fontId="20" fillId="21" borderId="0" xfId="0" applyNumberFormat="1" applyFont="1" applyFill="1"/>
    <xf numFmtId="164" fontId="20" fillId="21" borderId="0" xfId="1" applyNumberFormat="1" applyFont="1" applyFill="1"/>
    <xf numFmtId="14" fontId="51" fillId="10" borderId="108" xfId="0" applyNumberFormat="1" applyFont="1" applyFill="1" applyBorder="1" applyAlignment="1">
      <alignment horizontal="center"/>
    </xf>
    <xf numFmtId="1" fontId="20" fillId="10" borderId="0" xfId="0" applyNumberFormat="1" applyFont="1" applyFill="1" applyAlignment="1">
      <alignment horizontal="center"/>
    </xf>
    <xf numFmtId="1" fontId="20" fillId="10" borderId="111" xfId="0" applyNumberFormat="1" applyFont="1" applyFill="1" applyBorder="1" applyAlignment="1">
      <alignment horizontal="center"/>
    </xf>
    <xf numFmtId="1" fontId="20" fillId="10" borderId="112" xfId="0" applyNumberFormat="1" applyFont="1" applyFill="1" applyBorder="1" applyAlignment="1">
      <alignment horizontal="center"/>
    </xf>
    <xf numFmtId="9" fontId="20" fillId="24" borderId="86" xfId="0" applyNumberFormat="1" applyFont="1" applyFill="1" applyBorder="1" applyAlignment="1">
      <alignment horizontal="center" vertical="center"/>
    </xf>
    <xf numFmtId="0" fontId="44" fillId="0" borderId="0" xfId="0" applyFont="1" applyAlignment="1">
      <alignment horizontal="center" vertical="center"/>
    </xf>
    <xf numFmtId="3" fontId="20" fillId="0" borderId="0" xfId="0" applyNumberFormat="1" applyFont="1" applyAlignment="1">
      <alignment horizontal="center" vertical="center"/>
    </xf>
    <xf numFmtId="0" fontId="20" fillId="0" borderId="0" xfId="0" applyFont="1" applyAlignment="1">
      <alignment horizontal="center" vertical="center"/>
    </xf>
    <xf numFmtId="164" fontId="52" fillId="40" borderId="125" xfId="1" applyNumberFormat="1" applyFont="1" applyFill="1" applyBorder="1"/>
    <xf numFmtId="168" fontId="25" fillId="21" borderId="93" xfId="0" applyNumberFormat="1" applyFont="1" applyFill="1" applyBorder="1"/>
    <xf numFmtId="9" fontId="20" fillId="24" borderId="109" xfId="0" applyNumberFormat="1" applyFont="1" applyFill="1" applyBorder="1" applyAlignment="1">
      <alignment horizontal="center" vertical="center"/>
    </xf>
    <xf numFmtId="3" fontId="25" fillId="0" borderId="0" xfId="0" applyNumberFormat="1" applyFont="1"/>
    <xf numFmtId="10" fontId="0" fillId="0" borderId="0" xfId="0" applyNumberFormat="1"/>
    <xf numFmtId="1" fontId="0" fillId="0" borderId="0" xfId="0" applyNumberFormat="1"/>
    <xf numFmtId="168" fontId="25" fillId="0" borderId="0" xfId="0" applyNumberFormat="1" applyFont="1"/>
    <xf numFmtId="168" fontId="20" fillId="21" borderId="93" xfId="0" applyNumberFormat="1" applyFont="1" applyFill="1" applyBorder="1"/>
    <xf numFmtId="3" fontId="17" fillId="0" borderId="0" xfId="0" applyNumberFormat="1" applyFont="1"/>
    <xf numFmtId="168" fontId="20" fillId="17" borderId="96" xfId="0" applyNumberFormat="1" applyFont="1" applyFill="1" applyBorder="1"/>
    <xf numFmtId="168" fontId="20" fillId="21" borderId="96" xfId="0" applyNumberFormat="1" applyFont="1" applyFill="1" applyBorder="1"/>
    <xf numFmtId="9" fontId="20" fillId="24" borderId="123" xfId="0" applyNumberFormat="1" applyFont="1" applyFill="1" applyBorder="1" applyAlignment="1">
      <alignment horizontal="center" vertical="center"/>
    </xf>
    <xf numFmtId="42" fontId="25" fillId="0" borderId="0" xfId="0" applyNumberFormat="1" applyFont="1"/>
    <xf numFmtId="176" fontId="53" fillId="0" borderId="0" xfId="0" applyNumberFormat="1" applyFont="1"/>
    <xf numFmtId="14" fontId="0" fillId="21" borderId="115" xfId="0" applyNumberFormat="1" applyFill="1" applyBorder="1"/>
    <xf numFmtId="14" fontId="20" fillId="17" borderId="107" xfId="0" applyNumberFormat="1" applyFont="1" applyFill="1" applyBorder="1"/>
    <xf numFmtId="168" fontId="20" fillId="17" borderId="106" xfId="0" applyNumberFormat="1" applyFont="1" applyFill="1" applyBorder="1"/>
    <xf numFmtId="168" fontId="0" fillId="0" borderId="0" xfId="0" applyNumberFormat="1"/>
    <xf numFmtId="164" fontId="20" fillId="10" borderId="86" xfId="1" applyNumberFormat="1" applyFont="1" applyFill="1" applyBorder="1" applyAlignment="1">
      <alignment horizontal="center"/>
    </xf>
    <xf numFmtId="0" fontId="20" fillId="10" borderId="126" xfId="0" applyFont="1" applyFill="1" applyBorder="1" applyAlignment="1">
      <alignment horizontal="center"/>
    </xf>
    <xf numFmtId="14" fontId="20" fillId="10" borderId="87" xfId="0" applyNumberFormat="1" applyFont="1" applyFill="1" applyBorder="1" applyAlignment="1">
      <alignment horizontal="center"/>
    </xf>
    <xf numFmtId="9" fontId="0" fillId="17" borderId="86" xfId="0" applyNumberFormat="1" applyFill="1" applyBorder="1"/>
    <xf numFmtId="3" fontId="25" fillId="17" borderId="87" xfId="0" applyNumberFormat="1" applyFont="1" applyFill="1" applyBorder="1"/>
    <xf numFmtId="165" fontId="0" fillId="17" borderId="88" xfId="0" applyNumberFormat="1" applyFill="1" applyBorder="1"/>
    <xf numFmtId="0" fontId="20" fillId="10" borderId="127" xfId="0" applyFont="1" applyFill="1" applyBorder="1"/>
    <xf numFmtId="164" fontId="20" fillId="10" borderId="128" xfId="1" applyNumberFormat="1" applyFont="1" applyFill="1" applyBorder="1" applyAlignment="1">
      <alignment horizontal="center"/>
    </xf>
    <xf numFmtId="3" fontId="20" fillId="10" borderId="129" xfId="0" applyNumberFormat="1" applyFont="1" applyFill="1" applyBorder="1" applyAlignment="1">
      <alignment horizontal="center"/>
    </xf>
    <xf numFmtId="3" fontId="44" fillId="10" borderId="128" xfId="0" applyNumberFormat="1" applyFont="1" applyFill="1" applyBorder="1" applyAlignment="1">
      <alignment horizontal="center"/>
    </xf>
    <xf numFmtId="9" fontId="0" fillId="17" borderId="123" xfId="0" applyNumberFormat="1" applyFill="1" applyBorder="1"/>
    <xf numFmtId="3" fontId="47" fillId="17" borderId="130" xfId="0" applyNumberFormat="1" applyFont="1" applyFill="1" applyBorder="1"/>
    <xf numFmtId="165" fontId="0" fillId="17" borderId="131" xfId="0" applyNumberFormat="1" applyFill="1" applyBorder="1"/>
    <xf numFmtId="14" fontId="0" fillId="0" borderId="0" xfId="0" applyNumberFormat="1"/>
    <xf numFmtId="0" fontId="20" fillId="10" borderId="94" xfId="0" applyFont="1" applyFill="1" applyBorder="1"/>
    <xf numFmtId="164" fontId="20" fillId="10" borderId="0" xfId="1" applyNumberFormat="1" applyFont="1" applyFill="1" applyAlignment="1">
      <alignment horizontal="center"/>
    </xf>
    <xf numFmtId="1" fontId="44" fillId="10" borderId="0" xfId="0" applyNumberFormat="1" applyFont="1" applyFill="1" applyAlignment="1">
      <alignment horizontal="center"/>
    </xf>
    <xf numFmtId="165" fontId="44" fillId="10" borderId="112" xfId="0" applyNumberFormat="1" applyFont="1" applyFill="1" applyBorder="1" applyAlignment="1">
      <alignment horizontal="center"/>
    </xf>
    <xf numFmtId="9" fontId="51" fillId="24" borderId="109" xfId="0" applyNumberFormat="1" applyFont="1" applyFill="1" applyBorder="1" applyAlignment="1">
      <alignment horizontal="center" vertical="center"/>
    </xf>
    <xf numFmtId="0" fontId="44" fillId="11" borderId="109" xfId="0" applyFont="1" applyFill="1" applyBorder="1" applyAlignment="1">
      <alignment horizontal="center" vertical="center"/>
    </xf>
    <xf numFmtId="3" fontId="20" fillId="11" borderId="94" xfId="0" applyNumberFormat="1" applyFont="1" applyFill="1" applyBorder="1" applyAlignment="1">
      <alignment horizontal="center" vertical="center"/>
    </xf>
    <xf numFmtId="14" fontId="0" fillId="0" borderId="132" xfId="0" applyNumberFormat="1" applyBorder="1"/>
    <xf numFmtId="164" fontId="0" fillId="21" borderId="133" xfId="1" applyNumberFormat="1" applyFont="1" applyFill="1" applyBorder="1"/>
    <xf numFmtId="4" fontId="0" fillId="21" borderId="134" xfId="0" applyNumberFormat="1" applyFill="1" applyBorder="1"/>
    <xf numFmtId="168" fontId="0" fillId="21" borderId="134" xfId="0" applyNumberFormat="1" applyFill="1" applyBorder="1"/>
    <xf numFmtId="165" fontId="20" fillId="21" borderId="128" xfId="0" applyNumberFormat="1" applyFont="1" applyFill="1" applyBorder="1"/>
    <xf numFmtId="9" fontId="51" fillId="24" borderId="86" xfId="0" applyNumberFormat="1" applyFont="1" applyFill="1" applyBorder="1" applyAlignment="1">
      <alignment horizontal="center" vertical="center"/>
    </xf>
    <xf numFmtId="0" fontId="25" fillId="11" borderId="86" xfId="0" applyFont="1" applyFill="1" applyBorder="1" applyAlignment="1">
      <alignment horizontal="center" vertical="center"/>
    </xf>
    <xf numFmtId="9" fontId="0" fillId="11" borderId="135" xfId="0" applyNumberFormat="1" applyFill="1" applyBorder="1" applyAlignment="1">
      <alignment horizontal="center" vertical="center"/>
    </xf>
    <xf numFmtId="3" fontId="20" fillId="0" borderId="0" xfId="0" applyNumberFormat="1" applyFont="1"/>
    <xf numFmtId="14" fontId="20" fillId="0" borderId="0" xfId="0" applyNumberFormat="1" applyFont="1"/>
    <xf numFmtId="164" fontId="0" fillId="17" borderId="95" xfId="1" applyNumberFormat="1" applyFont="1" applyFill="1" applyBorder="1"/>
    <xf numFmtId="4" fontId="0" fillId="17" borderId="117" xfId="0" applyNumberFormat="1" applyFill="1" applyBorder="1"/>
    <xf numFmtId="165" fontId="20" fillId="17" borderId="116" xfId="0" applyNumberFormat="1" applyFont="1" applyFill="1" applyBorder="1"/>
    <xf numFmtId="0" fontId="25" fillId="11" borderId="109" xfId="0" applyFont="1" applyFill="1" applyBorder="1" applyAlignment="1">
      <alignment horizontal="center" vertical="center"/>
    </xf>
    <xf numFmtId="9" fontId="0" fillId="11" borderId="94" xfId="0" applyNumberFormat="1" applyFill="1" applyBorder="1" applyAlignment="1">
      <alignment horizontal="center" vertical="center"/>
    </xf>
    <xf numFmtId="14" fontId="0" fillId="21" borderId="113" xfId="0" applyNumberFormat="1" applyFill="1" applyBorder="1"/>
    <xf numFmtId="164" fontId="0" fillId="21" borderId="92" xfId="1" applyNumberFormat="1" applyFont="1" applyFill="1" applyBorder="1"/>
    <xf numFmtId="4" fontId="0" fillId="21" borderId="136" xfId="0" applyNumberFormat="1" applyFill="1" applyBorder="1"/>
    <xf numFmtId="168" fontId="0" fillId="21" borderId="136" xfId="0" applyNumberFormat="1" applyFill="1" applyBorder="1"/>
    <xf numFmtId="165" fontId="20" fillId="21" borderId="114" xfId="0" applyNumberFormat="1" applyFont="1" applyFill="1" applyBorder="1"/>
    <xf numFmtId="164" fontId="0" fillId="17" borderId="92" xfId="1" applyNumberFormat="1" applyFont="1" applyFill="1" applyBorder="1"/>
    <xf numFmtId="4" fontId="0" fillId="17" borderId="136" xfId="0" applyNumberFormat="1" applyFill="1" applyBorder="1"/>
    <xf numFmtId="168" fontId="0" fillId="17" borderId="136" xfId="0" applyNumberFormat="1" applyFill="1" applyBorder="1"/>
    <xf numFmtId="165" fontId="44" fillId="17" borderId="114" xfId="0" applyNumberFormat="1" applyFont="1" applyFill="1" applyBorder="1"/>
    <xf numFmtId="0" fontId="0" fillId="17" borderId="109" xfId="0" applyFill="1" applyBorder="1"/>
    <xf numFmtId="165" fontId="44" fillId="17" borderId="116" xfId="0" applyNumberFormat="1" applyFont="1" applyFill="1" applyBorder="1"/>
    <xf numFmtId="0" fontId="0" fillId="21" borderId="93" xfId="0" applyFill="1" applyBorder="1"/>
    <xf numFmtId="165" fontId="44" fillId="21" borderId="114" xfId="0" applyNumberFormat="1" applyFont="1" applyFill="1" applyBorder="1"/>
    <xf numFmtId="1" fontId="25" fillId="11" borderId="109" xfId="0" applyNumberFormat="1" applyFont="1" applyFill="1" applyBorder="1" applyAlignment="1">
      <alignment horizontal="center" vertical="center"/>
    </xf>
    <xf numFmtId="14" fontId="0" fillId="17" borderId="109" xfId="0" applyNumberFormat="1" applyFill="1" applyBorder="1"/>
    <xf numFmtId="164" fontId="0" fillId="17" borderId="137" xfId="1" applyNumberFormat="1" applyFont="1" applyFill="1" applyBorder="1"/>
    <xf numFmtId="4" fontId="0" fillId="17" borderId="138" xfId="0" applyNumberFormat="1" applyFill="1" applyBorder="1"/>
    <xf numFmtId="168" fontId="0" fillId="17" borderId="138" xfId="0" applyNumberFormat="1" applyFill="1" applyBorder="1"/>
    <xf numFmtId="165" fontId="20" fillId="17" borderId="0" xfId="0" applyNumberFormat="1" applyFont="1" applyFill="1"/>
    <xf numFmtId="9" fontId="51" fillId="24" borderId="123" xfId="0" applyNumberFormat="1" applyFont="1" applyFill="1" applyBorder="1" applyAlignment="1">
      <alignment horizontal="center" vertical="center"/>
    </xf>
    <xf numFmtId="14" fontId="0" fillId="21" borderId="93" xfId="0" applyNumberFormat="1" applyFill="1" applyBorder="1"/>
    <xf numFmtId="168" fontId="20" fillId="21" borderId="139" xfId="0" applyNumberFormat="1" applyFont="1" applyFill="1" applyBorder="1"/>
    <xf numFmtId="0" fontId="25" fillId="6" borderId="91" xfId="0" applyFont="1" applyFill="1" applyBorder="1"/>
    <xf numFmtId="9" fontId="0" fillId="6" borderId="140" xfId="0" applyNumberFormat="1" applyFill="1" applyBorder="1"/>
    <xf numFmtId="164" fontId="0" fillId="17" borderId="104" xfId="1" applyNumberFormat="1" applyFont="1" applyFill="1" applyBorder="1"/>
    <xf numFmtId="4" fontId="0" fillId="17" borderId="124" xfId="0" applyNumberFormat="1" applyFill="1" applyBorder="1"/>
    <xf numFmtId="168" fontId="0" fillId="17" borderId="130" xfId="0" applyNumberFormat="1" applyFill="1" applyBorder="1"/>
    <xf numFmtId="14" fontId="20" fillId="21" borderId="91" xfId="0" applyNumberFormat="1" applyFont="1" applyFill="1" applyBorder="1"/>
    <xf numFmtId="164" fontId="20" fillId="21" borderId="124" xfId="1" applyNumberFormat="1" applyFont="1" applyFill="1" applyBorder="1"/>
    <xf numFmtId="4" fontId="20" fillId="21" borderId="124" xfId="0" applyNumberFormat="1" applyFont="1" applyFill="1" applyBorder="1"/>
    <xf numFmtId="168" fontId="20" fillId="21" borderId="105" xfId="0" applyNumberFormat="1" applyFont="1" applyFill="1" applyBorder="1"/>
    <xf numFmtId="168" fontId="44" fillId="21" borderId="141" xfId="0" applyNumberFormat="1" applyFont="1" applyFill="1" applyBorder="1"/>
    <xf numFmtId="10" fontId="44" fillId="3" borderId="91" xfId="0" applyNumberFormat="1" applyFont="1" applyFill="1" applyBorder="1"/>
    <xf numFmtId="14" fontId="20" fillId="21" borderId="86" xfId="0" applyNumberFormat="1" applyFont="1" applyFill="1" applyBorder="1"/>
    <xf numFmtId="4" fontId="20" fillId="21" borderId="138" xfId="0" applyNumberFormat="1" applyFont="1" applyFill="1" applyBorder="1"/>
    <xf numFmtId="168" fontId="20" fillId="21" borderId="0" xfId="0" applyNumberFormat="1" applyFont="1" applyFill="1"/>
    <xf numFmtId="168" fontId="44" fillId="21" borderId="111" xfId="0" applyNumberFormat="1" applyFont="1" applyFill="1" applyBorder="1"/>
    <xf numFmtId="14" fontId="20" fillId="10" borderId="142" xfId="0" applyNumberFormat="1" applyFont="1" applyFill="1" applyBorder="1" applyAlignment="1">
      <alignment horizontal="center"/>
    </xf>
    <xf numFmtId="3" fontId="20" fillId="10" borderId="128" xfId="0" applyNumberFormat="1" applyFont="1" applyFill="1" applyBorder="1" applyAlignment="1">
      <alignment horizontal="center"/>
    </xf>
    <xf numFmtId="165" fontId="20" fillId="10" borderId="112" xfId="0" applyNumberFormat="1" applyFont="1" applyFill="1" applyBorder="1" applyAlignment="1">
      <alignment horizontal="center"/>
    </xf>
    <xf numFmtId="165" fontId="0" fillId="11" borderId="86" xfId="0" applyNumberFormat="1" applyFill="1" applyBorder="1" applyAlignment="1">
      <alignment horizontal="center" vertical="center"/>
    </xf>
    <xf numFmtId="168" fontId="0" fillId="17" borderId="135" xfId="0" applyNumberFormat="1" applyFill="1" applyBorder="1"/>
    <xf numFmtId="165" fontId="0" fillId="11" borderId="109" xfId="0" applyNumberFormat="1" applyFill="1" applyBorder="1" applyAlignment="1">
      <alignment horizontal="center" vertical="center"/>
    </xf>
    <xf numFmtId="168" fontId="0" fillId="17" borderId="94" xfId="0" applyNumberFormat="1" applyFill="1" applyBorder="1"/>
    <xf numFmtId="165" fontId="20" fillId="17" borderId="114" xfId="0" applyNumberFormat="1" applyFont="1" applyFill="1" applyBorder="1"/>
    <xf numFmtId="0" fontId="0" fillId="17" borderId="94" xfId="0" applyFill="1" applyBorder="1"/>
    <xf numFmtId="165" fontId="0" fillId="6" borderId="108" xfId="0" applyNumberFormat="1" applyFill="1" applyBorder="1"/>
    <xf numFmtId="168" fontId="0" fillId="17" borderId="91" xfId="0" applyNumberFormat="1" applyFill="1" applyBorder="1"/>
    <xf numFmtId="168" fontId="20" fillId="21" borderId="106" xfId="0" applyNumberFormat="1" applyFont="1" applyFill="1" applyBorder="1"/>
    <xf numFmtId="165" fontId="0" fillId="21" borderId="128" xfId="0" applyNumberFormat="1" applyFill="1" applyBorder="1"/>
    <xf numFmtId="3" fontId="0" fillId="41" borderId="143" xfId="0" applyNumberFormat="1" applyFill="1" applyBorder="1"/>
    <xf numFmtId="3" fontId="44" fillId="41" borderId="73" xfId="0" applyNumberFormat="1" applyFont="1" applyFill="1" applyBorder="1"/>
    <xf numFmtId="0" fontId="0" fillId="21" borderId="109" xfId="0" applyFill="1" applyBorder="1"/>
    <xf numFmtId="164" fontId="0" fillId="21" borderId="95" xfId="1" applyNumberFormat="1" applyFont="1" applyFill="1" applyBorder="1"/>
    <xf numFmtId="4" fontId="0" fillId="21" borderId="117" xfId="0" applyNumberFormat="1" applyFill="1" applyBorder="1"/>
    <xf numFmtId="168" fontId="0" fillId="21" borderId="117" xfId="0" applyNumberFormat="1" applyFill="1" applyBorder="1"/>
    <xf numFmtId="165" fontId="20" fillId="21" borderId="116" xfId="0" applyNumberFormat="1" applyFont="1" applyFill="1" applyBorder="1"/>
    <xf numFmtId="0" fontId="0" fillId="17" borderId="93" xfId="0" applyFill="1" applyBorder="1"/>
    <xf numFmtId="14" fontId="0" fillId="21" borderId="109" xfId="0" applyNumberFormat="1" applyFill="1" applyBorder="1"/>
    <xf numFmtId="164" fontId="0" fillId="21" borderId="137" xfId="1" applyNumberFormat="1" applyFont="1" applyFill="1" applyBorder="1"/>
    <xf numFmtId="4" fontId="0" fillId="21" borderId="138" xfId="0" applyNumberFormat="1" applyFill="1" applyBorder="1"/>
    <xf numFmtId="168" fontId="0" fillId="21" borderId="138" xfId="0" applyNumberFormat="1" applyFill="1" applyBorder="1"/>
    <xf numFmtId="165" fontId="44" fillId="21" borderId="0" xfId="0" applyNumberFormat="1" applyFont="1" applyFill="1"/>
    <xf numFmtId="14" fontId="0" fillId="17" borderId="93" xfId="0" applyNumberFormat="1" applyFill="1" applyBorder="1"/>
    <xf numFmtId="168" fontId="20" fillId="17" borderId="139" xfId="0" applyNumberFormat="1" applyFont="1" applyFill="1" applyBorder="1"/>
    <xf numFmtId="3" fontId="44" fillId="41" borderId="76" xfId="0" applyNumberFormat="1" applyFont="1" applyFill="1" applyBorder="1"/>
    <xf numFmtId="164" fontId="0" fillId="21" borderId="104" xfId="1" applyNumberFormat="1" applyFont="1" applyFill="1" applyBorder="1"/>
    <xf numFmtId="4" fontId="0" fillId="21" borderId="124" xfId="0" applyNumberFormat="1" applyFill="1" applyBorder="1"/>
    <xf numFmtId="168" fontId="0" fillId="21" borderId="130" xfId="0" applyNumberFormat="1" applyFill="1" applyBorder="1"/>
    <xf numFmtId="10" fontId="0" fillId="16" borderId="0" xfId="0" applyNumberFormat="1" applyFill="1"/>
    <xf numFmtId="168" fontId="44" fillId="21" borderId="106" xfId="0" applyNumberFormat="1" applyFont="1" applyFill="1" applyBorder="1"/>
    <xf numFmtId="9" fontId="44" fillId="0" borderId="0" xfId="0" applyNumberFormat="1" applyFont="1"/>
    <xf numFmtId="14" fontId="44" fillId="10" borderId="142" xfId="0" applyNumberFormat="1" applyFont="1" applyFill="1" applyBorder="1" applyAlignment="1">
      <alignment horizontal="center"/>
    </xf>
    <xf numFmtId="165" fontId="0" fillId="17" borderId="130" xfId="0" applyNumberFormat="1" applyFill="1" applyBorder="1"/>
    <xf numFmtId="0" fontId="20" fillId="11" borderId="76" xfId="0" applyFont="1" applyFill="1" applyBorder="1" applyAlignment="1">
      <alignment horizontal="center" vertical="center"/>
    </xf>
    <xf numFmtId="3" fontId="20" fillId="11" borderId="109" xfId="0" applyNumberFormat="1" applyFont="1" applyFill="1" applyBorder="1" applyAlignment="1">
      <alignment horizontal="center" vertical="center"/>
    </xf>
    <xf numFmtId="0" fontId="54" fillId="30" borderId="71" xfId="0" applyFont="1" applyFill="1" applyBorder="1" applyAlignment="1">
      <alignment horizontal="center" vertical="center"/>
    </xf>
    <xf numFmtId="165" fontId="25" fillId="21" borderId="128" xfId="0" applyNumberFormat="1" applyFont="1" applyFill="1" applyBorder="1"/>
    <xf numFmtId="3" fontId="44" fillId="28" borderId="94" xfId="0" applyNumberFormat="1" applyFont="1" applyFill="1" applyBorder="1"/>
    <xf numFmtId="165" fontId="44" fillId="21" borderId="116" xfId="0" applyNumberFormat="1" applyFont="1" applyFill="1" applyBorder="1"/>
    <xf numFmtId="3" fontId="44" fillId="28" borderId="91" xfId="0" applyNumberFormat="1" applyFont="1" applyFill="1" applyBorder="1"/>
    <xf numFmtId="165" fontId="51" fillId="24" borderId="86" xfId="0" applyNumberFormat="1" applyFont="1" applyFill="1" applyBorder="1" applyAlignment="1">
      <alignment horizontal="center" vertical="center"/>
    </xf>
    <xf numFmtId="3" fontId="20" fillId="28" borderId="135" xfId="0" applyNumberFormat="1" applyFont="1" applyFill="1" applyBorder="1"/>
    <xf numFmtId="165" fontId="51" fillId="24" borderId="109" xfId="0" applyNumberFormat="1" applyFont="1" applyFill="1" applyBorder="1" applyAlignment="1">
      <alignment horizontal="center" vertical="center"/>
    </xf>
    <xf numFmtId="3" fontId="20" fillId="28" borderId="94" xfId="0" applyNumberFormat="1" applyFont="1" applyFill="1" applyBorder="1"/>
    <xf numFmtId="165" fontId="20" fillId="21" borderId="0" xfId="0" applyNumberFormat="1" applyFont="1" applyFill="1"/>
    <xf numFmtId="165" fontId="51" fillId="24" borderId="123" xfId="0" applyNumberFormat="1" applyFont="1" applyFill="1" applyBorder="1" applyAlignment="1">
      <alignment horizontal="center" vertical="center"/>
    </xf>
    <xf numFmtId="165" fontId="0" fillId="6" borderId="87" xfId="0" applyNumberFormat="1" applyFill="1" applyBorder="1"/>
    <xf numFmtId="10" fontId="20" fillId="16" borderId="68" xfId="0" applyNumberFormat="1" applyFont="1" applyFill="1" applyBorder="1"/>
    <xf numFmtId="0" fontId="0" fillId="13" borderId="72" xfId="0" applyFill="1" applyBorder="1"/>
    <xf numFmtId="9" fontId="0" fillId="16" borderId="0" xfId="0" applyNumberFormat="1" applyFill="1"/>
    <xf numFmtId="3" fontId="0" fillId="13" borderId="83" xfId="0" applyNumberFormat="1" applyFill="1" applyBorder="1"/>
    <xf numFmtId="4" fontId="0" fillId="13" borderId="77" xfId="0" applyNumberFormat="1" applyFill="1" applyBorder="1"/>
    <xf numFmtId="3" fontId="20" fillId="28" borderId="91" xfId="0" applyNumberFormat="1" applyFont="1" applyFill="1" applyBorder="1"/>
    <xf numFmtId="9" fontId="20" fillId="16" borderId="0" xfId="0" applyNumberFormat="1" applyFont="1" applyFill="1"/>
    <xf numFmtId="14" fontId="0" fillId="20" borderId="109" xfId="0" applyNumberFormat="1" applyFill="1" applyBorder="1"/>
    <xf numFmtId="164" fontId="0" fillId="20" borderId="104" xfId="1" applyNumberFormat="1" applyFont="1" applyFill="1" applyBorder="1"/>
    <xf numFmtId="4" fontId="0" fillId="20" borderId="124" xfId="0" applyNumberFormat="1" applyFill="1" applyBorder="1"/>
    <xf numFmtId="168" fontId="0" fillId="20" borderId="130" xfId="0" applyNumberFormat="1" applyFill="1" applyBorder="1"/>
    <xf numFmtId="168" fontId="20" fillId="20" borderId="106" xfId="0" applyNumberFormat="1" applyFont="1" applyFill="1" applyBorder="1"/>
    <xf numFmtId="10" fontId="20" fillId="17" borderId="114" xfId="0" applyNumberFormat="1" applyFont="1" applyFill="1" applyBorder="1"/>
    <xf numFmtId="3" fontId="20" fillId="42" borderId="94" xfId="0" applyNumberFormat="1" applyFont="1" applyFill="1" applyBorder="1"/>
    <xf numFmtId="0" fontId="0" fillId="20" borderId="109" xfId="0" applyFill="1" applyBorder="1"/>
    <xf numFmtId="164" fontId="0" fillId="20" borderId="95" xfId="1" applyNumberFormat="1" applyFont="1" applyFill="1" applyBorder="1"/>
    <xf numFmtId="4" fontId="0" fillId="20" borderId="117" xfId="0" applyNumberFormat="1" applyFill="1" applyBorder="1"/>
    <xf numFmtId="168" fontId="0" fillId="20" borderId="117" xfId="0" applyNumberFormat="1" applyFill="1" applyBorder="1"/>
    <xf numFmtId="165" fontId="20" fillId="20" borderId="116" xfId="0" applyNumberFormat="1" applyFont="1" applyFill="1" applyBorder="1"/>
    <xf numFmtId="14" fontId="0" fillId="20" borderId="93" xfId="0" applyNumberFormat="1" applyFill="1" applyBorder="1"/>
    <xf numFmtId="164" fontId="0" fillId="20" borderId="92" xfId="1" applyNumberFormat="1" applyFont="1" applyFill="1" applyBorder="1"/>
    <xf numFmtId="4" fontId="0" fillId="20" borderId="136" xfId="0" applyNumberFormat="1" applyFill="1" applyBorder="1"/>
    <xf numFmtId="168" fontId="0" fillId="20" borderId="136" xfId="0" applyNumberFormat="1" applyFill="1" applyBorder="1"/>
    <xf numFmtId="168" fontId="20" fillId="20" borderId="139" xfId="0" applyNumberFormat="1" applyFont="1" applyFill="1" applyBorder="1"/>
    <xf numFmtId="3" fontId="0" fillId="0" borderId="78" xfId="0" applyNumberFormat="1" applyBorder="1"/>
    <xf numFmtId="165" fontId="44" fillId="21" borderId="128" xfId="0" applyNumberFormat="1" applyFont="1" applyFill="1" applyBorder="1"/>
    <xf numFmtId="3" fontId="44" fillId="28" borderId="143" xfId="0" applyNumberFormat="1" applyFont="1" applyFill="1" applyBorder="1"/>
    <xf numFmtId="3" fontId="20" fillId="28" borderId="73" xfId="0" applyNumberFormat="1" applyFont="1" applyFill="1" applyBorder="1"/>
    <xf numFmtId="3" fontId="44" fillId="42" borderId="73" xfId="0" applyNumberFormat="1" applyFont="1" applyFill="1" applyBorder="1"/>
    <xf numFmtId="0" fontId="0" fillId="20" borderId="93" xfId="0" applyFill="1" applyBorder="1"/>
    <xf numFmtId="165" fontId="20" fillId="20" borderId="114" xfId="0" applyNumberFormat="1" applyFont="1" applyFill="1" applyBorder="1"/>
    <xf numFmtId="3" fontId="20" fillId="28" borderId="144" xfId="0" applyNumberFormat="1" applyFont="1" applyFill="1" applyBorder="1"/>
    <xf numFmtId="168" fontId="20" fillId="20" borderId="111" xfId="0" applyNumberFormat="1" applyFont="1" applyFill="1" applyBorder="1"/>
    <xf numFmtId="168" fontId="20" fillId="21" borderId="145" xfId="0" applyNumberFormat="1" applyFont="1" applyFill="1" applyBorder="1"/>
    <xf numFmtId="9" fontId="0" fillId="12" borderId="0" xfId="0" applyNumberFormat="1" applyFill="1"/>
    <xf numFmtId="168" fontId="0" fillId="10" borderId="68" xfId="0" applyNumberFormat="1" applyFill="1" applyBorder="1"/>
    <xf numFmtId="3" fontId="0" fillId="10" borderId="146" xfId="0" applyNumberFormat="1" applyFill="1" applyBorder="1"/>
    <xf numFmtId="164" fontId="0" fillId="10" borderId="72" xfId="0" applyNumberFormat="1" applyFill="1" applyBorder="1"/>
    <xf numFmtId="168" fontId="0" fillId="10" borderId="83" xfId="0" applyNumberFormat="1" applyFill="1" applyBorder="1"/>
    <xf numFmtId="3" fontId="0" fillId="10" borderId="84" xfId="0" applyNumberFormat="1" applyFill="1" applyBorder="1"/>
    <xf numFmtId="164" fontId="0" fillId="10" borderId="77" xfId="0" applyNumberFormat="1" applyFill="1" applyBorder="1"/>
    <xf numFmtId="10" fontId="20" fillId="21" borderId="114" xfId="0" applyNumberFormat="1" applyFont="1" applyFill="1" applyBorder="1"/>
    <xf numFmtId="3" fontId="20" fillId="28" borderId="147" xfId="0" applyNumberFormat="1" applyFont="1" applyFill="1" applyBorder="1"/>
    <xf numFmtId="3" fontId="20" fillId="28" borderId="148" xfId="0" applyNumberFormat="1" applyFont="1" applyFill="1" applyBorder="1"/>
    <xf numFmtId="3" fontId="20" fillId="42" borderId="148" xfId="0" applyNumberFormat="1" applyFont="1" applyFill="1" applyBorder="1"/>
    <xf numFmtId="3" fontId="20" fillId="28" borderId="149" xfId="0" applyNumberFormat="1" applyFont="1" applyFill="1" applyBorder="1"/>
    <xf numFmtId="3" fontId="20" fillId="28" borderId="97" xfId="0" applyNumberFormat="1" applyFont="1" applyFill="1" applyBorder="1"/>
    <xf numFmtId="3" fontId="20" fillId="10" borderId="150" xfId="0" applyNumberFormat="1" applyFont="1" applyFill="1" applyBorder="1" applyAlignment="1">
      <alignment horizontal="center"/>
    </xf>
    <xf numFmtId="165" fontId="20" fillId="10" borderId="151" xfId="0" applyNumberFormat="1" applyFont="1" applyFill="1" applyBorder="1" applyAlignment="1">
      <alignment horizontal="center"/>
    </xf>
    <xf numFmtId="165" fontId="44" fillId="10" borderId="151" xfId="0" applyNumberFormat="1" applyFont="1" applyFill="1" applyBorder="1" applyAlignment="1">
      <alignment horizontal="center"/>
    </xf>
    <xf numFmtId="10" fontId="44" fillId="21" borderId="114" xfId="0" applyNumberFormat="1" applyFont="1" applyFill="1" applyBorder="1"/>
    <xf numFmtId="3" fontId="44" fillId="28" borderId="147" xfId="0" applyNumberFormat="1" applyFont="1" applyFill="1" applyBorder="1"/>
    <xf numFmtId="3" fontId="44" fillId="42" borderId="148" xfId="0" applyNumberFormat="1" applyFont="1" applyFill="1" applyBorder="1"/>
    <xf numFmtId="165" fontId="44" fillId="23" borderId="114" xfId="0" applyNumberFormat="1" applyFont="1" applyFill="1" applyBorder="1"/>
    <xf numFmtId="3" fontId="44" fillId="28" borderId="149" xfId="0" applyNumberFormat="1" applyFont="1" applyFill="1" applyBorder="1"/>
    <xf numFmtId="3" fontId="44" fillId="28" borderId="97" xfId="0" applyNumberFormat="1" applyFont="1" applyFill="1" applyBorder="1"/>
    <xf numFmtId="9" fontId="44" fillId="16" borderId="0" xfId="0" applyNumberFormat="1" applyFont="1" applyFill="1"/>
    <xf numFmtId="3" fontId="20" fillId="41" borderId="147" xfId="0" applyNumberFormat="1" applyFont="1" applyFill="1" applyBorder="1"/>
    <xf numFmtId="3" fontId="20" fillId="41" borderId="148" xfId="0" applyNumberFormat="1" applyFont="1" applyFill="1" applyBorder="1"/>
    <xf numFmtId="3" fontId="44" fillId="41" borderId="148" xfId="0" applyNumberFormat="1" applyFont="1" applyFill="1" applyBorder="1"/>
    <xf numFmtId="3" fontId="20" fillId="41" borderId="149" xfId="0" applyNumberFormat="1" applyFont="1" applyFill="1" applyBorder="1"/>
    <xf numFmtId="3" fontId="44" fillId="41" borderId="97" xfId="0" applyNumberFormat="1" applyFont="1" applyFill="1" applyBorder="1"/>
    <xf numFmtId="0" fontId="0" fillId="11" borderId="0" xfId="0" applyFill="1"/>
    <xf numFmtId="3" fontId="0" fillId="11" borderId="0" xfId="0" applyNumberFormat="1" applyFill="1"/>
    <xf numFmtId="10" fontId="44" fillId="17" borderId="114" xfId="0" applyNumberFormat="1" applyFont="1" applyFill="1" applyBorder="1"/>
    <xf numFmtId="3" fontId="44" fillId="28" borderId="148" xfId="0" applyNumberFormat="1" applyFont="1" applyFill="1" applyBorder="1"/>
    <xf numFmtId="165" fontId="44" fillId="20" borderId="114" xfId="0" applyNumberFormat="1" applyFont="1" applyFill="1" applyBorder="1"/>
    <xf numFmtId="3" fontId="44" fillId="28" borderId="152" xfId="0" applyNumberFormat="1" applyFont="1" applyFill="1" applyBorder="1"/>
    <xf numFmtId="165" fontId="0" fillId="0" borderId="0" xfId="0" applyNumberFormat="1"/>
    <xf numFmtId="0" fontId="25" fillId="6" borderId="135" xfId="0" applyFont="1" applyFill="1" applyBorder="1"/>
    <xf numFmtId="3" fontId="44" fillId="28" borderId="123" xfId="0" applyNumberFormat="1" applyFont="1" applyFill="1" applyBorder="1"/>
    <xf numFmtId="3" fontId="44" fillId="41" borderId="71" xfId="0" applyNumberFormat="1" applyFont="1" applyFill="1" applyBorder="1"/>
    <xf numFmtId="10" fontId="25" fillId="10" borderId="143" xfId="0" applyNumberFormat="1" applyFont="1" applyFill="1" applyBorder="1" applyAlignment="1">
      <alignment horizontal="center" vertical="center"/>
    </xf>
    <xf numFmtId="9" fontId="25" fillId="10" borderId="71" xfId="0" applyNumberFormat="1" applyFont="1" applyFill="1" applyBorder="1" applyAlignment="1">
      <alignment horizontal="center" vertical="center"/>
    </xf>
    <xf numFmtId="0" fontId="20" fillId="10" borderId="153" xfId="0" applyFont="1" applyFill="1" applyBorder="1"/>
    <xf numFmtId="164" fontId="20" fillId="10" borderId="154" xfId="1" applyNumberFormat="1" applyFont="1" applyFill="1" applyBorder="1" applyAlignment="1">
      <alignment horizontal="center"/>
    </xf>
    <xf numFmtId="3" fontId="20" fillId="10" borderId="155" xfId="0" applyNumberFormat="1" applyFont="1" applyFill="1" applyBorder="1" applyAlignment="1">
      <alignment horizontal="center"/>
    </xf>
    <xf numFmtId="3" fontId="20" fillId="10" borderId="154" xfId="0" applyNumberFormat="1" applyFont="1" applyFill="1" applyBorder="1" applyAlignment="1">
      <alignment horizontal="center"/>
    </xf>
    <xf numFmtId="14" fontId="44" fillId="10" borderId="156" xfId="0" applyNumberFormat="1" applyFont="1" applyFill="1" applyBorder="1" applyAlignment="1">
      <alignment horizontal="center"/>
    </xf>
    <xf numFmtId="9" fontId="0" fillId="17" borderId="130" xfId="0" applyNumberFormat="1" applyFill="1" applyBorder="1"/>
    <xf numFmtId="0" fontId="20" fillId="10" borderId="157" xfId="0" applyFont="1" applyFill="1" applyBorder="1"/>
    <xf numFmtId="164" fontId="20" fillId="10" borderId="84" xfId="1" applyNumberFormat="1" applyFont="1" applyFill="1" applyBorder="1" applyAlignment="1">
      <alignment horizontal="center"/>
    </xf>
    <xf numFmtId="3" fontId="20" fillId="10" borderId="158" xfId="0" applyNumberFormat="1" applyFont="1" applyFill="1" applyBorder="1" applyAlignment="1">
      <alignment horizontal="center"/>
    </xf>
    <xf numFmtId="1" fontId="20" fillId="10" borderId="84" xfId="0" applyNumberFormat="1" applyFont="1" applyFill="1" applyBorder="1" applyAlignment="1">
      <alignment horizontal="center"/>
    </xf>
    <xf numFmtId="165" fontId="20" fillId="10" borderId="159" xfId="0" applyNumberFormat="1" applyFont="1" applyFill="1" applyBorder="1" applyAlignment="1">
      <alignment horizontal="center"/>
    </xf>
    <xf numFmtId="9" fontId="51" fillId="24" borderId="0" xfId="0" applyNumberFormat="1" applyFont="1" applyFill="1" applyAlignment="1">
      <alignment horizontal="center" vertical="center"/>
    </xf>
    <xf numFmtId="14" fontId="0" fillId="0" borderId="160" xfId="0" applyNumberFormat="1" applyBorder="1"/>
    <xf numFmtId="164" fontId="0" fillId="21" borderId="161" xfId="1" applyNumberFormat="1" applyFont="1" applyFill="1" applyBorder="1"/>
    <xf numFmtId="4" fontId="0" fillId="21" borderId="162" xfId="0" applyNumberFormat="1" applyFill="1" applyBorder="1"/>
    <xf numFmtId="168" fontId="0" fillId="21" borderId="162" xfId="0" applyNumberFormat="1" applyFill="1" applyBorder="1"/>
    <xf numFmtId="10" fontId="20" fillId="21" borderId="163" xfId="0" applyNumberFormat="1" applyFont="1" applyFill="1" applyBorder="1"/>
    <xf numFmtId="3" fontId="20" fillId="28" borderId="164" xfId="0" applyNumberFormat="1" applyFont="1" applyFill="1" applyBorder="1"/>
    <xf numFmtId="3" fontId="0" fillId="20" borderId="68" xfId="0" applyNumberFormat="1" applyFill="1" applyBorder="1"/>
    <xf numFmtId="0" fontId="0" fillId="20" borderId="146" xfId="0" applyFill="1" applyBorder="1"/>
    <xf numFmtId="0" fontId="0" fillId="20" borderId="72" xfId="0" applyFill="1" applyBorder="1"/>
    <xf numFmtId="3" fontId="20" fillId="28" borderId="165" xfId="0" applyNumberFormat="1" applyFont="1" applyFill="1" applyBorder="1"/>
    <xf numFmtId="3" fontId="20" fillId="42" borderId="165" xfId="0" applyNumberFormat="1" applyFont="1" applyFill="1" applyBorder="1"/>
    <xf numFmtId="3" fontId="0" fillId="20" borderId="75" xfId="0" applyNumberFormat="1" applyFill="1" applyBorder="1"/>
    <xf numFmtId="0" fontId="0" fillId="20" borderId="69" xfId="0" applyFill="1" applyBorder="1"/>
    <xf numFmtId="0" fontId="0" fillId="20" borderId="70" xfId="0" applyFill="1" applyBorder="1"/>
    <xf numFmtId="165" fontId="51" fillId="24" borderId="166" xfId="0" applyNumberFormat="1" applyFont="1" applyFill="1" applyBorder="1" applyAlignment="1">
      <alignment horizontal="center" vertical="center"/>
    </xf>
    <xf numFmtId="3" fontId="20" fillId="23" borderId="83" xfId="0" applyNumberFormat="1" applyFont="1" applyFill="1" applyBorder="1"/>
    <xf numFmtId="0" fontId="20" fillId="23" borderId="84" xfId="0" applyFont="1" applyFill="1" applyBorder="1"/>
    <xf numFmtId="0" fontId="20" fillId="23" borderId="77" xfId="0" applyFont="1" applyFill="1" applyBorder="1"/>
    <xf numFmtId="4" fontId="0" fillId="21" borderId="114" xfId="0" applyNumberFormat="1" applyFill="1" applyBorder="1"/>
    <xf numFmtId="168" fontId="0" fillId="21" borderId="167" xfId="0" applyNumberFormat="1" applyFill="1" applyBorder="1"/>
    <xf numFmtId="164" fontId="55" fillId="10" borderId="77" xfId="0" applyNumberFormat="1" applyFont="1" applyFill="1" applyBorder="1"/>
    <xf numFmtId="0" fontId="20" fillId="10" borderId="132" xfId="0" applyFont="1" applyFill="1" applyBorder="1"/>
    <xf numFmtId="164" fontId="20" fillId="10" borderId="168" xfId="1" applyNumberFormat="1" applyFont="1" applyFill="1" applyBorder="1" applyAlignment="1">
      <alignment horizontal="center"/>
    </xf>
    <xf numFmtId="164" fontId="20" fillId="10" borderId="169" xfId="1" applyNumberFormat="1" applyFont="1" applyFill="1" applyBorder="1" applyAlignment="1">
      <alignment horizontal="center"/>
    </xf>
    <xf numFmtId="165" fontId="20" fillId="10" borderId="170" xfId="0" applyNumberFormat="1" applyFont="1" applyFill="1" applyBorder="1" applyAlignment="1">
      <alignment horizontal="center"/>
    </xf>
    <xf numFmtId="0" fontId="0" fillId="10" borderId="0" xfId="0" applyFill="1"/>
    <xf numFmtId="3" fontId="0" fillId="10" borderId="0" xfId="0" applyNumberFormat="1" applyFill="1"/>
    <xf numFmtId="164" fontId="0" fillId="21" borderId="171" xfId="1" applyNumberFormat="1" applyFont="1" applyFill="1" applyBorder="1"/>
    <xf numFmtId="10" fontId="20" fillId="21" borderId="172" xfId="0" applyNumberFormat="1" applyFont="1" applyFill="1" applyBorder="1"/>
    <xf numFmtId="9" fontId="51" fillId="24" borderId="87" xfId="0" applyNumberFormat="1" applyFont="1" applyFill="1" applyBorder="1" applyAlignment="1">
      <alignment horizontal="center" vertical="center"/>
    </xf>
    <xf numFmtId="165" fontId="0" fillId="11" borderId="143" xfId="0" applyNumberFormat="1" applyFill="1" applyBorder="1" applyAlignment="1">
      <alignment horizontal="center" vertical="center"/>
    </xf>
    <xf numFmtId="3" fontId="20" fillId="28" borderId="72" xfId="0" applyNumberFormat="1" applyFont="1" applyFill="1" applyBorder="1"/>
    <xf numFmtId="164" fontId="0" fillId="17" borderId="173" xfId="1" applyNumberFormat="1" applyFont="1" applyFill="1" applyBorder="1"/>
    <xf numFmtId="10" fontId="20" fillId="17" borderId="172" xfId="0" applyNumberFormat="1" applyFont="1" applyFill="1" applyBorder="1"/>
    <xf numFmtId="165" fontId="0" fillId="11" borderId="73" xfId="0" applyNumberFormat="1" applyFill="1" applyBorder="1" applyAlignment="1">
      <alignment horizontal="center" vertical="center"/>
    </xf>
    <xf numFmtId="3" fontId="20" fillId="28" borderId="74" xfId="0" applyNumberFormat="1" applyFont="1" applyFill="1" applyBorder="1"/>
    <xf numFmtId="164" fontId="0" fillId="21" borderId="173" xfId="1" applyNumberFormat="1" applyFont="1" applyFill="1" applyBorder="1"/>
    <xf numFmtId="165" fontId="20" fillId="21" borderId="172" xfId="0" applyNumberFormat="1" applyFont="1" applyFill="1" applyBorder="1"/>
    <xf numFmtId="3" fontId="20" fillId="42" borderId="74" xfId="0" applyNumberFormat="1" applyFont="1" applyFill="1" applyBorder="1"/>
    <xf numFmtId="14" fontId="0" fillId="21" borderId="114" xfId="0" applyNumberFormat="1" applyFill="1" applyBorder="1"/>
    <xf numFmtId="165" fontId="0" fillId="11" borderId="71" xfId="0" applyNumberFormat="1" applyFill="1" applyBorder="1" applyAlignment="1">
      <alignment horizontal="center" vertical="center"/>
    </xf>
    <xf numFmtId="164" fontId="0" fillId="20" borderId="173" xfId="1" applyNumberFormat="1" applyFont="1" applyFill="1" applyBorder="1"/>
    <xf numFmtId="168" fontId="20" fillId="20" borderId="172" xfId="0" applyNumberFormat="1" applyFont="1" applyFill="1" applyBorder="1"/>
    <xf numFmtId="165" fontId="0" fillId="6" borderId="130" xfId="0" applyNumberFormat="1" applyFill="1" applyBorder="1"/>
    <xf numFmtId="3" fontId="20" fillId="28" borderId="76" xfId="0" applyNumberFormat="1" applyFont="1" applyFill="1" applyBorder="1"/>
    <xf numFmtId="164" fontId="0" fillId="21" borderId="174" xfId="1" applyNumberFormat="1" applyFont="1" applyFill="1" applyBorder="1"/>
    <xf numFmtId="168" fontId="20" fillId="21" borderId="175" xfId="0" applyNumberFormat="1" applyFont="1" applyFill="1" applyBorder="1"/>
    <xf numFmtId="14" fontId="20" fillId="21" borderId="107" xfId="0" applyNumberFormat="1" applyFont="1" applyFill="1" applyBorder="1"/>
    <xf numFmtId="164" fontId="20" fillId="21" borderId="176" xfId="1" applyNumberFormat="1" applyFont="1" applyFill="1" applyBorder="1"/>
    <xf numFmtId="4" fontId="20" fillId="21" borderId="177" xfId="0" applyNumberFormat="1" applyFont="1" applyFill="1" applyBorder="1"/>
    <xf numFmtId="168" fontId="20" fillId="21" borderId="158" xfId="0" applyNumberFormat="1" applyFont="1" applyFill="1" applyBorder="1"/>
    <xf numFmtId="168" fontId="20" fillId="21" borderId="159" xfId="0" applyNumberFormat="1" applyFont="1" applyFill="1" applyBorder="1"/>
    <xf numFmtId="14" fontId="20" fillId="10" borderId="143" xfId="0" applyNumberFormat="1" applyFont="1" applyFill="1" applyBorder="1" applyAlignment="1">
      <alignment horizontal="center"/>
    </xf>
    <xf numFmtId="9" fontId="0" fillId="17" borderId="87" xfId="0" applyNumberFormat="1" applyFill="1" applyBorder="1"/>
    <xf numFmtId="14" fontId="44" fillId="10" borderId="178" xfId="0" applyNumberFormat="1" applyFont="1" applyFill="1" applyBorder="1" applyAlignment="1">
      <alignment horizontal="center"/>
    </xf>
    <xf numFmtId="165" fontId="20" fillId="10" borderId="73" xfId="0" applyNumberFormat="1" applyFont="1" applyFill="1" applyBorder="1" applyAlignment="1">
      <alignment horizontal="center"/>
    </xf>
    <xf numFmtId="168" fontId="0" fillId="21" borderId="128" xfId="0" applyNumberFormat="1" applyFill="1" applyBorder="1"/>
    <xf numFmtId="10" fontId="20" fillId="21" borderId="179" xfId="0" applyNumberFormat="1" applyFont="1" applyFill="1" applyBorder="1"/>
    <xf numFmtId="0" fontId="25" fillId="11" borderId="143" xfId="0" applyFont="1" applyFill="1" applyBorder="1" applyAlignment="1">
      <alignment horizontal="center" vertical="center"/>
    </xf>
    <xf numFmtId="165" fontId="0" fillId="11" borderId="87" xfId="0" applyNumberFormat="1" applyFill="1" applyBorder="1" applyAlignment="1">
      <alignment horizontal="center" vertical="center"/>
    </xf>
    <xf numFmtId="3" fontId="20" fillId="28" borderId="143" xfId="0" applyNumberFormat="1" applyFont="1" applyFill="1" applyBorder="1"/>
    <xf numFmtId="10" fontId="20" fillId="17" borderId="179" xfId="0" applyNumberFormat="1" applyFont="1" applyFill="1" applyBorder="1"/>
    <xf numFmtId="0" fontId="25" fillId="11" borderId="73" xfId="0" applyFont="1" applyFill="1" applyBorder="1" applyAlignment="1">
      <alignment horizontal="center" vertical="center"/>
    </xf>
    <xf numFmtId="165" fontId="0" fillId="11" borderId="0" xfId="0" applyNumberFormat="1" applyFill="1" applyAlignment="1">
      <alignment horizontal="center" vertical="center"/>
    </xf>
    <xf numFmtId="165" fontId="20" fillId="21" borderId="179" xfId="0" applyNumberFormat="1" applyFont="1" applyFill="1" applyBorder="1"/>
    <xf numFmtId="3" fontId="20" fillId="42" borderId="73" xfId="0" applyNumberFormat="1" applyFont="1" applyFill="1" applyBorder="1"/>
    <xf numFmtId="14" fontId="0" fillId="20" borderId="114" xfId="0" applyNumberFormat="1" applyFill="1" applyBorder="1"/>
    <xf numFmtId="168" fontId="0" fillId="20" borderId="114" xfId="0" applyNumberFormat="1" applyFill="1" applyBorder="1"/>
    <xf numFmtId="165" fontId="20" fillId="20" borderId="179" xfId="0" applyNumberFormat="1" applyFont="1" applyFill="1" applyBorder="1"/>
    <xf numFmtId="0" fontId="25" fillId="11" borderId="71" xfId="0" applyFont="1" applyFill="1" applyBorder="1" applyAlignment="1">
      <alignment horizontal="center" vertical="center"/>
    </xf>
    <xf numFmtId="168" fontId="20" fillId="21" borderId="179" xfId="0" applyNumberFormat="1" applyFont="1" applyFill="1" applyBorder="1"/>
    <xf numFmtId="0" fontId="25" fillId="6" borderId="97" xfId="0" applyFont="1" applyFill="1" applyBorder="1"/>
    <xf numFmtId="168" fontId="20" fillId="20" borderId="180" xfId="0" applyNumberFormat="1" applyFont="1" applyFill="1" applyBorder="1"/>
    <xf numFmtId="174" fontId="20" fillId="21" borderId="141" xfId="0" applyNumberFormat="1" applyFont="1" applyFill="1" applyBorder="1"/>
    <xf numFmtId="168" fontId="20" fillId="21" borderId="71" xfId="0" applyNumberFormat="1" applyFont="1" applyFill="1" applyBorder="1"/>
    <xf numFmtId="174" fontId="0" fillId="13" borderId="0" xfId="0" applyNumberFormat="1" applyFill="1"/>
    <xf numFmtId="0" fontId="0" fillId="42" borderId="68" xfId="0" applyFill="1" applyBorder="1"/>
    <xf numFmtId="3" fontId="0" fillId="42" borderId="146" xfId="0" applyNumberFormat="1" applyFill="1" applyBorder="1"/>
    <xf numFmtId="0" fontId="0" fillId="42" borderId="72" xfId="0" applyFill="1" applyBorder="1"/>
    <xf numFmtId="165" fontId="44" fillId="10" borderId="73" xfId="0" applyNumberFormat="1" applyFont="1" applyFill="1" applyBorder="1" applyAlignment="1">
      <alignment horizontal="center"/>
    </xf>
    <xf numFmtId="0" fontId="0" fillId="42" borderId="83" xfId="0" applyFill="1" applyBorder="1"/>
    <xf numFmtId="3" fontId="0" fillId="42" borderId="84" xfId="0" applyNumberFormat="1" applyFill="1" applyBorder="1"/>
    <xf numFmtId="0" fontId="0" fillId="42" borderId="77" xfId="0" applyFill="1" applyBorder="1"/>
    <xf numFmtId="10" fontId="44" fillId="21" borderId="179" xfId="0" applyNumberFormat="1" applyFont="1" applyFill="1" applyBorder="1"/>
    <xf numFmtId="3" fontId="44" fillId="28" borderId="73" xfId="0" applyNumberFormat="1" applyFont="1" applyFill="1" applyBorder="1"/>
    <xf numFmtId="10" fontId="44" fillId="17" borderId="179" xfId="0" applyNumberFormat="1" applyFont="1" applyFill="1" applyBorder="1"/>
    <xf numFmtId="165" fontId="44" fillId="21" borderId="179" xfId="0" applyNumberFormat="1" applyFont="1" applyFill="1" applyBorder="1"/>
    <xf numFmtId="165" fontId="44" fillId="20" borderId="179" xfId="0" applyNumberFormat="1" applyFont="1" applyFill="1" applyBorder="1"/>
    <xf numFmtId="168" fontId="44" fillId="21" borderId="179" xfId="0" applyNumberFormat="1" applyFont="1" applyFill="1" applyBorder="1"/>
    <xf numFmtId="3" fontId="44" fillId="28" borderId="76" xfId="0" applyNumberFormat="1" applyFont="1" applyFill="1" applyBorder="1"/>
    <xf numFmtId="168" fontId="44" fillId="20" borderId="180" xfId="0" applyNumberFormat="1" applyFont="1" applyFill="1" applyBorder="1"/>
    <xf numFmtId="168" fontId="44" fillId="21" borderId="71" xfId="0" applyNumberFormat="1" applyFont="1" applyFill="1" applyBorder="1"/>
    <xf numFmtId="3" fontId="0" fillId="0" borderId="0" xfId="0" quotePrefix="1" applyNumberFormat="1"/>
    <xf numFmtId="9" fontId="25" fillId="16" borderId="0" xfId="0" applyNumberFormat="1" applyFont="1" applyFill="1"/>
    <xf numFmtId="9" fontId="0" fillId="0" borderId="0" xfId="0" quotePrefix="1" applyNumberFormat="1"/>
    <xf numFmtId="0" fontId="25" fillId="6" borderId="94" xfId="0" applyFont="1" applyFill="1" applyBorder="1"/>
    <xf numFmtId="168" fontId="44" fillId="20" borderId="181" xfId="0" applyNumberFormat="1" applyFont="1" applyFill="1" applyBorder="1"/>
    <xf numFmtId="168" fontId="0" fillId="0" borderId="75" xfId="0" quotePrefix="1" applyNumberFormat="1" applyBorder="1"/>
    <xf numFmtId="168" fontId="25" fillId="0" borderId="69" xfId="0" applyNumberFormat="1" applyFont="1" applyBorder="1"/>
    <xf numFmtId="3" fontId="0" fillId="0" borderId="70" xfId="0" applyNumberFormat="1" applyBorder="1"/>
    <xf numFmtId="14" fontId="35" fillId="21" borderId="91" xfId="0" applyNumberFormat="1" applyFont="1" applyFill="1" applyBorder="1"/>
    <xf numFmtId="164" fontId="35" fillId="21" borderId="124" xfId="1" applyNumberFormat="1" applyFont="1" applyFill="1" applyBorder="1"/>
    <xf numFmtId="4" fontId="35" fillId="21" borderId="124" xfId="0" applyNumberFormat="1" applyFont="1" applyFill="1" applyBorder="1"/>
    <xf numFmtId="174" fontId="35" fillId="21" borderId="141" xfId="0" applyNumberFormat="1" applyFont="1" applyFill="1" applyBorder="1"/>
    <xf numFmtId="168" fontId="56" fillId="21" borderId="71" xfId="0" applyNumberFormat="1" applyFont="1" applyFill="1" applyBorder="1"/>
    <xf numFmtId="9" fontId="49" fillId="16" borderId="0" xfId="0" applyNumberFormat="1" applyFont="1" applyFill="1"/>
    <xf numFmtId="168" fontId="49" fillId="0" borderId="0" xfId="0" quotePrefix="1" applyNumberFormat="1" applyFont="1"/>
    <xf numFmtId="168" fontId="48" fillId="10" borderId="68" xfId="0" applyNumberFormat="1" applyFont="1" applyFill="1" applyBorder="1"/>
    <xf numFmtId="3" fontId="48" fillId="10" borderId="146" xfId="0" applyNumberFormat="1" applyFont="1" applyFill="1" applyBorder="1"/>
    <xf numFmtId="164" fontId="48" fillId="10" borderId="72" xfId="0" applyNumberFormat="1" applyFont="1" applyFill="1" applyBorder="1"/>
    <xf numFmtId="9" fontId="57" fillId="30" borderId="75" xfId="0" quotePrefix="1" applyNumberFormat="1" applyFont="1" applyFill="1" applyBorder="1"/>
    <xf numFmtId="168" fontId="25" fillId="30" borderId="69" xfId="0" applyNumberFormat="1" applyFont="1" applyFill="1" applyBorder="1"/>
    <xf numFmtId="3" fontId="58" fillId="30" borderId="70" xfId="0" applyNumberFormat="1" applyFont="1" applyFill="1" applyBorder="1"/>
    <xf numFmtId="168" fontId="44" fillId="10" borderId="83" xfId="0" applyNumberFormat="1" applyFont="1" applyFill="1" applyBorder="1"/>
    <xf numFmtId="3" fontId="44" fillId="10" borderId="84" xfId="0" applyNumberFormat="1" applyFont="1" applyFill="1" applyBorder="1"/>
    <xf numFmtId="168" fontId="35" fillId="21" borderId="71" xfId="0" applyNumberFormat="1" applyFont="1" applyFill="1" applyBorder="1"/>
    <xf numFmtId="168" fontId="49" fillId="0" borderId="0" xfId="0" applyNumberFormat="1" applyFont="1"/>
    <xf numFmtId="168" fontId="20" fillId="20" borderId="167" xfId="0" applyNumberFormat="1" applyFont="1" applyFill="1" applyBorder="1"/>
    <xf numFmtId="9" fontId="0" fillId="0" borderId="70" xfId="0" applyNumberFormat="1" applyBorder="1"/>
    <xf numFmtId="0" fontId="25" fillId="6" borderId="140" xfId="0" applyFont="1" applyFill="1" applyBorder="1"/>
    <xf numFmtId="165" fontId="0" fillId="6" borderId="108" xfId="0" applyNumberFormat="1" applyFill="1" applyBorder="1" applyAlignment="1">
      <alignment horizontal="center" vertical="center"/>
    </xf>
    <xf numFmtId="9" fontId="20" fillId="12" borderId="83" xfId="0" quotePrefix="1" applyNumberFormat="1" applyFont="1" applyFill="1" applyBorder="1"/>
    <xf numFmtId="168" fontId="25" fillId="12" borderId="69" xfId="0" applyNumberFormat="1" applyFont="1" applyFill="1" applyBorder="1"/>
    <xf numFmtId="3" fontId="0" fillId="12" borderId="70" xfId="0" applyNumberFormat="1" applyFill="1" applyBorder="1"/>
    <xf numFmtId="14" fontId="35" fillId="11" borderId="91" xfId="0" applyNumberFormat="1" applyFont="1" applyFill="1" applyBorder="1"/>
    <xf numFmtId="164" fontId="35" fillId="11" borderId="124" xfId="1" applyNumberFormat="1" applyFont="1" applyFill="1" applyBorder="1"/>
    <xf numFmtId="4" fontId="35" fillId="11" borderId="124" xfId="0" applyNumberFormat="1" applyFont="1" applyFill="1" applyBorder="1"/>
    <xf numFmtId="168" fontId="35" fillId="11" borderId="105" xfId="0" applyNumberFormat="1" applyFont="1" applyFill="1" applyBorder="1"/>
    <xf numFmtId="168" fontId="35" fillId="11" borderId="106" xfId="0" applyNumberFormat="1" applyFont="1" applyFill="1" applyBorder="1"/>
    <xf numFmtId="9" fontId="48" fillId="16" borderId="0" xfId="0" applyNumberFormat="1" applyFont="1" applyFill="1"/>
    <xf numFmtId="164" fontId="0" fillId="21" borderId="0" xfId="0" applyNumberFormat="1" applyFill="1"/>
    <xf numFmtId="164" fontId="55" fillId="21" borderId="0" xfId="0" applyNumberFormat="1" applyFont="1" applyFill="1"/>
    <xf numFmtId="165" fontId="44" fillId="20" borderId="116" xfId="0" applyNumberFormat="1" applyFont="1" applyFill="1" applyBorder="1"/>
    <xf numFmtId="1" fontId="44" fillId="11" borderId="109" xfId="0" applyNumberFormat="1" applyFont="1" applyFill="1" applyBorder="1" applyAlignment="1">
      <alignment horizontal="center" vertical="center"/>
    </xf>
    <xf numFmtId="3" fontId="44" fillId="28" borderId="71" xfId="0" applyNumberFormat="1" applyFont="1" applyFill="1" applyBorder="1"/>
    <xf numFmtId="168" fontId="20" fillId="20" borderId="114" xfId="0" applyNumberFormat="1" applyFont="1" applyFill="1" applyBorder="1"/>
    <xf numFmtId="9" fontId="0" fillId="0" borderId="76" xfId="0" applyNumberFormat="1" applyBorder="1"/>
    <xf numFmtId="3" fontId="23" fillId="0" borderId="0" xfId="0" applyNumberFormat="1" applyFont="1"/>
    <xf numFmtId="0" fontId="30" fillId="0" borderId="0" xfId="0" applyFont="1"/>
    <xf numFmtId="0" fontId="30" fillId="0" borderId="0" xfId="0" applyFont="1" applyAlignment="1">
      <alignment horizontal="center"/>
    </xf>
    <xf numFmtId="14" fontId="30" fillId="0" borderId="0" xfId="0" applyNumberFormat="1" applyFont="1" applyAlignment="1">
      <alignment horizontal="center"/>
    </xf>
    <xf numFmtId="9" fontId="23" fillId="0" borderId="0" xfId="0" applyNumberFormat="1" applyFont="1"/>
    <xf numFmtId="165" fontId="23" fillId="0" borderId="0" xfId="0" applyNumberFormat="1" applyFont="1"/>
    <xf numFmtId="14" fontId="20" fillId="0" borderId="0" xfId="0" applyNumberFormat="1" applyFont="1" applyAlignment="1">
      <alignment horizontal="center"/>
    </xf>
    <xf numFmtId="0" fontId="20" fillId="0" borderId="0" xfId="0" applyFont="1"/>
    <xf numFmtId="0" fontId="20" fillId="0" borderId="0" xfId="0" applyFont="1" applyAlignment="1">
      <alignment horizontal="center"/>
    </xf>
    <xf numFmtId="0" fontId="20" fillId="10" borderId="87" xfId="0" applyFont="1" applyFill="1" applyBorder="1" applyAlignment="1">
      <alignment horizontal="center"/>
    </xf>
    <xf numFmtId="14" fontId="20" fillId="43" borderId="87" xfId="0" applyNumberFormat="1" applyFont="1" applyFill="1" applyBorder="1" applyAlignment="1">
      <alignment horizontal="center"/>
    </xf>
    <xf numFmtId="3" fontId="0" fillId="17" borderId="87" xfId="0" applyNumberFormat="1" applyFill="1" applyBorder="1"/>
    <xf numFmtId="0" fontId="20" fillId="10" borderId="86" xfId="0" applyFont="1" applyFill="1" applyBorder="1" applyAlignment="1">
      <alignment horizontal="center"/>
    </xf>
    <xf numFmtId="9" fontId="0" fillId="17" borderId="109" xfId="0" applyNumberFormat="1" applyFill="1" applyBorder="1"/>
    <xf numFmtId="3" fontId="47" fillId="17" borderId="0" xfId="0" applyNumberFormat="1" applyFont="1" applyFill="1"/>
    <xf numFmtId="3" fontId="30" fillId="0" borderId="0" xfId="0" applyNumberFormat="1" applyFont="1" applyAlignment="1">
      <alignment horizontal="center"/>
    </xf>
    <xf numFmtId="3" fontId="19" fillId="0" borderId="0" xfId="0" applyNumberFormat="1" applyFont="1"/>
    <xf numFmtId="14" fontId="44" fillId="0" borderId="0" xfId="0" applyNumberFormat="1" applyFont="1" applyAlignment="1">
      <alignment horizontal="center"/>
    </xf>
    <xf numFmtId="3" fontId="12" fillId="0" borderId="0" xfId="0" applyNumberFormat="1" applyFont="1"/>
    <xf numFmtId="3" fontId="20" fillId="0" borderId="0" xfId="0" applyNumberFormat="1" applyFont="1" applyAlignment="1">
      <alignment horizontal="center"/>
    </xf>
    <xf numFmtId="0" fontId="20" fillId="10" borderId="128" xfId="0" applyFont="1" applyFill="1" applyBorder="1" applyAlignment="1">
      <alignment horizontal="center"/>
    </xf>
    <xf numFmtId="3" fontId="12" fillId="17" borderId="130" xfId="0" applyNumberFormat="1" applyFont="1" applyFill="1" applyBorder="1"/>
    <xf numFmtId="9" fontId="51" fillId="24" borderId="68" xfId="0" applyNumberFormat="1" applyFont="1" applyFill="1" applyBorder="1" applyAlignment="1">
      <alignment horizontal="center" vertical="center"/>
    </xf>
    <xf numFmtId="0" fontId="44" fillId="11" borderId="143" xfId="0" applyFont="1" applyFill="1" applyBorder="1" applyAlignment="1">
      <alignment horizontal="center" vertical="center"/>
    </xf>
    <xf numFmtId="3" fontId="20" fillId="11" borderId="182" xfId="0" applyNumberFormat="1" applyFont="1" applyFill="1" applyBorder="1" applyAlignment="1">
      <alignment horizontal="center" vertical="center"/>
    </xf>
    <xf numFmtId="1" fontId="30" fillId="0" borderId="0" xfId="0" applyNumberFormat="1" applyFont="1" applyAlignment="1">
      <alignment horizontal="center"/>
    </xf>
    <xf numFmtId="165" fontId="30" fillId="0" borderId="0" xfId="0" applyNumberFormat="1" applyFont="1" applyAlignment="1">
      <alignment horizontal="center"/>
    </xf>
    <xf numFmtId="9" fontId="30" fillId="0" borderId="0" xfId="0" applyNumberFormat="1" applyFont="1" applyAlignment="1">
      <alignment horizontal="center" vertical="center"/>
    </xf>
    <xf numFmtId="0" fontId="30" fillId="0" borderId="0" xfId="0" applyFont="1" applyAlignment="1">
      <alignment horizontal="center" vertical="center"/>
    </xf>
    <xf numFmtId="3" fontId="30" fillId="0" borderId="0" xfId="0" applyNumberFormat="1" applyFont="1" applyAlignment="1">
      <alignment horizontal="center" vertical="center"/>
    </xf>
    <xf numFmtId="165" fontId="20" fillId="0" borderId="0" xfId="0" applyNumberFormat="1" applyFont="1" applyAlignment="1">
      <alignment horizontal="center"/>
    </xf>
    <xf numFmtId="9" fontId="51" fillId="0" borderId="0" xfId="0" applyNumberFormat="1" applyFont="1" applyAlignment="1">
      <alignment horizontal="center" vertical="center"/>
    </xf>
    <xf numFmtId="1" fontId="20" fillId="0" borderId="0" xfId="0" applyNumberFormat="1" applyFont="1" applyAlignment="1">
      <alignment horizontal="center"/>
    </xf>
    <xf numFmtId="0" fontId="20" fillId="10" borderId="0" xfId="0" applyFont="1" applyFill="1" applyAlignment="1">
      <alignment horizontal="center"/>
    </xf>
    <xf numFmtId="0" fontId="20" fillId="11" borderId="109" xfId="0" applyFont="1" applyFill="1" applyBorder="1" applyAlignment="1">
      <alignment horizontal="center" vertical="center"/>
    </xf>
    <xf numFmtId="9" fontId="51" fillId="24" borderId="183" xfId="0" applyNumberFormat="1" applyFont="1" applyFill="1" applyBorder="1" applyAlignment="1">
      <alignment horizontal="center" vertical="center"/>
    </xf>
    <xf numFmtId="0" fontId="25" fillId="11" borderId="178" xfId="0" applyFont="1" applyFill="1" applyBorder="1" applyAlignment="1">
      <alignment horizontal="center" vertical="center"/>
    </xf>
    <xf numFmtId="14" fontId="23" fillId="0" borderId="0" xfId="0" applyNumberFormat="1" applyFont="1"/>
    <xf numFmtId="4" fontId="23" fillId="0" borderId="0" xfId="0" applyNumberFormat="1" applyFont="1"/>
    <xf numFmtId="168" fontId="23" fillId="0" borderId="0" xfId="0" applyNumberFormat="1" applyFont="1"/>
    <xf numFmtId="165" fontId="30" fillId="0" borderId="0" xfId="0" applyNumberFormat="1" applyFont="1"/>
    <xf numFmtId="0" fontId="23" fillId="0" borderId="0" xfId="0" applyFont="1" applyAlignment="1">
      <alignment horizontal="center" vertical="center"/>
    </xf>
    <xf numFmtId="165" fontId="23" fillId="0" borderId="0" xfId="0" applyNumberFormat="1" applyFont="1" applyAlignment="1">
      <alignment horizontal="center" vertical="center"/>
    </xf>
    <xf numFmtId="3" fontId="30" fillId="0" borderId="0" xfId="0" applyNumberFormat="1" applyFont="1"/>
    <xf numFmtId="165" fontId="20" fillId="0" borderId="0" xfId="0" applyNumberFormat="1" applyFont="1"/>
    <xf numFmtId="0" fontId="0" fillId="0" borderId="0" xfId="0" applyAlignment="1">
      <alignment horizontal="center" vertical="center"/>
    </xf>
    <xf numFmtId="165" fontId="0" fillId="0" borderId="0" xfId="0" applyNumberFormat="1" applyAlignment="1">
      <alignment horizontal="center" vertical="center"/>
    </xf>
    <xf numFmtId="3" fontId="0" fillId="21" borderId="134" xfId="0" applyNumberFormat="1" applyFill="1" applyBorder="1"/>
    <xf numFmtId="0" fontId="0" fillId="11" borderId="86" xfId="0" applyFill="1" applyBorder="1" applyAlignment="1">
      <alignment horizontal="center" vertical="center"/>
    </xf>
    <xf numFmtId="3" fontId="0" fillId="21" borderId="133" xfId="0" applyNumberFormat="1" applyFill="1" applyBorder="1"/>
    <xf numFmtId="9" fontId="51" fillId="24" borderId="169" xfId="0" applyNumberFormat="1" applyFont="1" applyFill="1" applyBorder="1" applyAlignment="1">
      <alignment horizontal="center" vertical="center"/>
    </xf>
    <xf numFmtId="10" fontId="30" fillId="0" borderId="0" xfId="0" applyNumberFormat="1" applyFont="1"/>
    <xf numFmtId="10" fontId="20" fillId="0" borderId="0" xfId="0" applyNumberFormat="1" applyFont="1"/>
    <xf numFmtId="3" fontId="0" fillId="17" borderId="136" xfId="0" applyNumberFormat="1" applyFill="1" applyBorder="1"/>
    <xf numFmtId="0" fontId="0" fillId="11" borderId="109" xfId="0" applyFill="1" applyBorder="1" applyAlignment="1">
      <alignment horizontal="center" vertical="center"/>
    </xf>
    <xf numFmtId="3" fontId="0" fillId="17" borderId="92" xfId="0" applyNumberFormat="1" applyFill="1" applyBorder="1"/>
    <xf numFmtId="0" fontId="44" fillId="11" borderId="73" xfId="0" applyFont="1" applyFill="1" applyBorder="1" applyAlignment="1">
      <alignment horizontal="center" vertical="center"/>
    </xf>
    <xf numFmtId="165" fontId="44" fillId="0" borderId="0" xfId="0" applyNumberFormat="1" applyFont="1"/>
    <xf numFmtId="3" fontId="44" fillId="0" borderId="0" xfId="0" applyNumberFormat="1" applyFont="1"/>
    <xf numFmtId="3" fontId="0" fillId="21" borderId="136" xfId="0" applyNumberFormat="1" applyFill="1" applyBorder="1"/>
    <xf numFmtId="3" fontId="44" fillId="42" borderId="94" xfId="0" applyNumberFormat="1" applyFont="1" applyFill="1" applyBorder="1"/>
    <xf numFmtId="3" fontId="0" fillId="21" borderId="92" xfId="0" applyNumberFormat="1" applyFill="1" applyBorder="1"/>
    <xf numFmtId="3" fontId="0" fillId="20" borderId="117" xfId="0" applyNumberFormat="1" applyFill="1" applyBorder="1"/>
    <xf numFmtId="3" fontId="0" fillId="20" borderId="95" xfId="0" applyNumberFormat="1" applyFill="1" applyBorder="1"/>
    <xf numFmtId="1" fontId="44" fillId="11" borderId="73" xfId="0" applyNumberFormat="1" applyFont="1" applyFill="1" applyBorder="1" applyAlignment="1">
      <alignment horizontal="center" vertical="center"/>
    </xf>
    <xf numFmtId="1" fontId="30" fillId="0" borderId="0" xfId="0" applyNumberFormat="1" applyFont="1" applyAlignment="1">
      <alignment horizontal="center" vertical="center"/>
    </xf>
    <xf numFmtId="1" fontId="44" fillId="0" borderId="0" xfId="0" applyNumberFormat="1" applyFont="1" applyAlignment="1">
      <alignment horizontal="center" vertical="center"/>
    </xf>
    <xf numFmtId="9" fontId="51" fillId="24" borderId="83" xfId="0" applyNumberFormat="1" applyFont="1" applyFill="1" applyBorder="1" applyAlignment="1">
      <alignment horizontal="center" vertical="center"/>
    </xf>
    <xf numFmtId="1" fontId="44" fillId="11" borderId="71" xfId="0" applyNumberFormat="1" applyFont="1" applyFill="1" applyBorder="1" applyAlignment="1">
      <alignment horizontal="center" vertical="center"/>
    </xf>
    <xf numFmtId="1" fontId="44" fillId="11" borderId="0" xfId="0" applyNumberFormat="1" applyFont="1" applyFill="1" applyAlignment="1">
      <alignment horizontal="center" vertical="center"/>
    </xf>
    <xf numFmtId="9" fontId="0" fillId="0" borderId="71" xfId="0" applyNumberFormat="1" applyBorder="1"/>
    <xf numFmtId="0" fontId="25" fillId="6" borderId="131" xfId="0" applyFont="1" applyFill="1" applyBorder="1"/>
    <xf numFmtId="3" fontId="20" fillId="28" borderId="184" xfId="0" applyNumberFormat="1" applyFont="1" applyFill="1" applyBorder="1"/>
    <xf numFmtId="168" fontId="30" fillId="0" borderId="0" xfId="0" applyNumberFormat="1" applyFont="1"/>
    <xf numFmtId="168" fontId="20" fillId="0" borderId="0" xfId="0" applyNumberFormat="1" applyFont="1"/>
    <xf numFmtId="3" fontId="0" fillId="20" borderId="136" xfId="0" applyNumberFormat="1" applyFill="1" applyBorder="1"/>
    <xf numFmtId="0" fontId="0" fillId="6" borderId="140" xfId="0" applyFill="1" applyBorder="1"/>
    <xf numFmtId="3" fontId="0" fillId="20" borderId="92" xfId="0" applyNumberFormat="1" applyFill="1" applyBorder="1"/>
    <xf numFmtId="3" fontId="0" fillId="21" borderId="124" xfId="0" applyNumberFormat="1" applyFill="1" applyBorder="1"/>
    <xf numFmtId="3" fontId="0" fillId="21" borderId="104" xfId="0" applyNumberFormat="1" applyFill="1" applyBorder="1"/>
    <xf numFmtId="14" fontId="22" fillId="0" borderId="0" xfId="0" applyNumberFormat="1" applyFont="1"/>
    <xf numFmtId="4" fontId="22" fillId="0" borderId="0" xfId="0" applyNumberFormat="1" applyFont="1"/>
    <xf numFmtId="168" fontId="22" fillId="0" borderId="0" xfId="0" applyNumberFormat="1" applyFont="1"/>
    <xf numFmtId="9" fontId="37" fillId="0" borderId="0" xfId="0" applyNumberFormat="1" applyFont="1"/>
    <xf numFmtId="168" fontId="37" fillId="0" borderId="0" xfId="0" applyNumberFormat="1" applyFont="1"/>
    <xf numFmtId="3" fontId="37" fillId="0" borderId="0" xfId="0" applyNumberFormat="1" applyFont="1"/>
    <xf numFmtId="168" fontId="35" fillId="0" borderId="0" xfId="0" applyNumberFormat="1" applyFont="1"/>
    <xf numFmtId="168" fontId="48" fillId="0" borderId="0" xfId="0" applyNumberFormat="1" applyFont="1"/>
    <xf numFmtId="14" fontId="35" fillId="0" borderId="0" xfId="0" applyNumberFormat="1" applyFont="1"/>
    <xf numFmtId="4" fontId="35" fillId="0" borderId="0" xfId="0" applyNumberFormat="1" applyFont="1"/>
    <xf numFmtId="165" fontId="0" fillId="17" borderId="182" xfId="0" applyNumberFormat="1" applyFill="1" applyBorder="1"/>
    <xf numFmtId="0" fontId="44" fillId="11" borderId="68" xfId="0" applyFont="1" applyFill="1" applyBorder="1" applyAlignment="1">
      <alignment horizontal="center" vertical="center"/>
    </xf>
    <xf numFmtId="3" fontId="20" fillId="11" borderId="143" xfId="0" applyNumberFormat="1" applyFont="1" applyFill="1" applyBorder="1" applyAlignment="1">
      <alignment horizontal="center" vertical="center"/>
    </xf>
    <xf numFmtId="0" fontId="25" fillId="11" borderId="183" xfId="0" applyFont="1" applyFill="1" applyBorder="1" applyAlignment="1">
      <alignment horizontal="center" vertical="center"/>
    </xf>
    <xf numFmtId="165" fontId="0" fillId="11" borderId="178" xfId="0" applyNumberFormat="1" applyFill="1" applyBorder="1" applyAlignment="1">
      <alignment horizontal="center" vertical="center"/>
    </xf>
    <xf numFmtId="0" fontId="25" fillId="11" borderId="169" xfId="0" applyFont="1" applyFill="1" applyBorder="1" applyAlignment="1">
      <alignment horizontal="center" vertical="center"/>
    </xf>
    <xf numFmtId="0" fontId="44" fillId="11" borderId="169" xfId="0" applyFont="1" applyFill="1" applyBorder="1" applyAlignment="1">
      <alignment horizontal="center" vertical="center"/>
    </xf>
    <xf numFmtId="3" fontId="44" fillId="42" borderId="74" xfId="0" applyNumberFormat="1" applyFont="1" applyFill="1" applyBorder="1"/>
    <xf numFmtId="1" fontId="44" fillId="11" borderId="169" xfId="0" applyNumberFormat="1" applyFont="1" applyFill="1" applyBorder="1" applyAlignment="1">
      <alignment horizontal="center" vertical="center"/>
    </xf>
    <xf numFmtId="0" fontId="0" fillId="23" borderId="93" xfId="0" applyFill="1" applyBorder="1"/>
    <xf numFmtId="164" fontId="0" fillId="23" borderId="92" xfId="1" applyNumberFormat="1" applyFont="1" applyFill="1" applyBorder="1"/>
    <xf numFmtId="4" fontId="0" fillId="23" borderId="136" xfId="0" applyNumberFormat="1" applyFill="1" applyBorder="1"/>
    <xf numFmtId="168" fontId="0" fillId="23" borderId="136" xfId="0" applyNumberFormat="1" applyFill="1" applyBorder="1"/>
    <xf numFmtId="165" fontId="20" fillId="23" borderId="114" xfId="0" applyNumberFormat="1" applyFont="1" applyFill="1" applyBorder="1"/>
    <xf numFmtId="1" fontId="44" fillId="11" borderId="83" xfId="0" applyNumberFormat="1" applyFont="1" applyFill="1" applyBorder="1" applyAlignment="1">
      <alignment horizontal="center" vertical="center"/>
    </xf>
    <xf numFmtId="168" fontId="20" fillId="21" borderId="114" xfId="0" applyNumberFormat="1" applyFont="1" applyFill="1" applyBorder="1"/>
    <xf numFmtId="0" fontId="20" fillId="10" borderId="68" xfId="0" applyFont="1" applyFill="1" applyBorder="1"/>
    <xf numFmtId="164" fontId="20" fillId="10" borderId="185" xfId="1" applyNumberFormat="1" applyFont="1" applyFill="1" applyBorder="1" applyAlignment="1">
      <alignment horizontal="center"/>
    </xf>
    <xf numFmtId="0" fontId="20" fillId="10" borderId="186" xfId="0" applyFont="1" applyFill="1" applyBorder="1" applyAlignment="1">
      <alignment horizontal="center"/>
    </xf>
    <xf numFmtId="14" fontId="20" fillId="10" borderId="146" xfId="0" applyNumberFormat="1" applyFont="1" applyFill="1" applyBorder="1" applyAlignment="1">
      <alignment horizontal="center"/>
    </xf>
    <xf numFmtId="14" fontId="20" fillId="10" borderId="156" xfId="0" applyNumberFormat="1" applyFont="1" applyFill="1" applyBorder="1" applyAlignment="1">
      <alignment horizontal="center"/>
    </xf>
    <xf numFmtId="0" fontId="20" fillId="10" borderId="187" xfId="0" applyFont="1" applyFill="1" applyBorder="1"/>
    <xf numFmtId="14" fontId="44" fillId="10" borderId="188" xfId="0" applyNumberFormat="1" applyFont="1" applyFill="1" applyBorder="1" applyAlignment="1">
      <alignment horizontal="center"/>
    </xf>
    <xf numFmtId="9" fontId="0" fillId="17" borderId="0" xfId="0" applyNumberFormat="1" applyFill="1"/>
    <xf numFmtId="0" fontId="20" fillId="10" borderId="189" xfId="0" applyFont="1" applyFill="1" applyBorder="1"/>
    <xf numFmtId="9" fontId="51" fillId="24" borderId="146" xfId="0" applyNumberFormat="1" applyFont="1" applyFill="1" applyBorder="1" applyAlignment="1">
      <alignment horizontal="center" vertical="center"/>
    </xf>
    <xf numFmtId="14" fontId="0" fillId="0" borderId="190" xfId="0" applyNumberFormat="1" applyBorder="1"/>
    <xf numFmtId="165" fontId="20" fillId="21" borderId="191" xfId="0" applyNumberFormat="1" applyFont="1" applyFill="1" applyBorder="1"/>
    <xf numFmtId="14" fontId="0" fillId="17" borderId="192" xfId="0" applyNumberFormat="1" applyFill="1" applyBorder="1"/>
    <xf numFmtId="165" fontId="20" fillId="17" borderId="172" xfId="0" applyNumberFormat="1" applyFont="1" applyFill="1" applyBorder="1"/>
    <xf numFmtId="14" fontId="0" fillId="21" borderId="192" xfId="0" applyNumberFormat="1" applyFill="1" applyBorder="1"/>
    <xf numFmtId="0" fontId="0" fillId="20" borderId="80" xfId="0" applyFill="1" applyBorder="1"/>
    <xf numFmtId="165" fontId="20" fillId="20" borderId="193" xfId="0" applyNumberFormat="1" applyFont="1" applyFill="1" applyBorder="1"/>
    <xf numFmtId="0" fontId="0" fillId="21" borderId="169" xfId="0" applyFill="1" applyBorder="1"/>
    <xf numFmtId="165" fontId="20" fillId="21" borderId="193" xfId="0" applyNumberFormat="1" applyFont="1" applyFill="1" applyBorder="1"/>
    <xf numFmtId="9" fontId="0" fillId="0" borderId="77" xfId="0" applyNumberFormat="1" applyBorder="1"/>
    <xf numFmtId="14" fontId="0" fillId="20" borderId="194" xfId="0" applyNumberFormat="1" applyFill="1" applyBorder="1"/>
    <xf numFmtId="164" fontId="0" fillId="20" borderId="195" xfId="1" applyNumberFormat="1" applyFont="1" applyFill="1" applyBorder="1"/>
    <xf numFmtId="4" fontId="0" fillId="20" borderId="196" xfId="0" applyNumberFormat="1" applyFill="1" applyBorder="1"/>
    <xf numFmtId="168" fontId="0" fillId="20" borderId="196" xfId="0" applyNumberFormat="1" applyFill="1" applyBorder="1"/>
    <xf numFmtId="165" fontId="44" fillId="20" borderId="197" xfId="0" applyNumberFormat="1" applyFont="1" applyFill="1" applyBorder="1"/>
    <xf numFmtId="14" fontId="35" fillId="11" borderId="97" xfId="0" applyNumberFormat="1" applyFont="1" applyFill="1" applyBorder="1"/>
    <xf numFmtId="10" fontId="48" fillId="0" borderId="0" xfId="0" applyNumberFormat="1" applyFont="1"/>
    <xf numFmtId="0" fontId="25" fillId="6" borderId="198" xfId="0" applyFont="1" applyFill="1" applyBorder="1"/>
    <xf numFmtId="165" fontId="0" fillId="6" borderId="70" xfId="0" applyNumberFormat="1" applyFill="1" applyBorder="1"/>
    <xf numFmtId="3" fontId="20" fillId="28" borderId="199" xfId="0" applyNumberFormat="1" applyFont="1" applyFill="1" applyBorder="1"/>
    <xf numFmtId="3" fontId="20" fillId="11" borderId="72" xfId="0" applyNumberFormat="1" applyFont="1" applyFill="1" applyBorder="1" applyAlignment="1">
      <alignment horizontal="center" vertical="center"/>
    </xf>
    <xf numFmtId="0" fontId="25" fillId="11" borderId="83" xfId="0" applyFont="1" applyFill="1" applyBorder="1" applyAlignment="1">
      <alignment horizontal="center" vertical="center"/>
    </xf>
    <xf numFmtId="3" fontId="44" fillId="28" borderId="74" xfId="0" applyNumberFormat="1" applyFont="1" applyFill="1" applyBorder="1"/>
    <xf numFmtId="3" fontId="44" fillId="42" borderId="72" xfId="0" applyNumberFormat="1" applyFont="1" applyFill="1" applyBorder="1"/>
    <xf numFmtId="3" fontId="44" fillId="28" borderId="184" xfId="0" applyNumberFormat="1" applyFont="1" applyFill="1" applyBorder="1"/>
    <xf numFmtId="168" fontId="56" fillId="11" borderId="106" xfId="0" applyNumberFormat="1" applyFont="1" applyFill="1" applyBorder="1"/>
    <xf numFmtId="9" fontId="56" fillId="16" borderId="0" xfId="0" applyNumberFormat="1" applyFont="1" applyFill="1"/>
    <xf numFmtId="0" fontId="20" fillId="10" borderId="200" xfId="0" applyFont="1" applyFill="1" applyBorder="1"/>
    <xf numFmtId="0" fontId="20" fillId="10" borderId="73" xfId="0" applyFont="1" applyFill="1" applyBorder="1"/>
    <xf numFmtId="165" fontId="44" fillId="10" borderId="170" xfId="0" applyNumberFormat="1" applyFont="1" applyFill="1" applyBorder="1" applyAlignment="1">
      <alignment horizontal="center"/>
    </xf>
    <xf numFmtId="14" fontId="0" fillId="0" borderId="201" xfId="0" applyNumberFormat="1" applyBorder="1"/>
    <xf numFmtId="164" fontId="0" fillId="21" borderId="134" xfId="1" applyNumberFormat="1" applyFont="1" applyFill="1" applyBorder="1"/>
    <xf numFmtId="3" fontId="44" fillId="28" borderId="72" xfId="0" applyNumberFormat="1" applyFont="1" applyFill="1" applyBorder="1"/>
    <xf numFmtId="14" fontId="0" fillId="17" borderId="179" xfId="0" applyNumberFormat="1" applyFill="1" applyBorder="1"/>
    <xf numFmtId="164" fontId="0" fillId="17" borderId="136" xfId="1" applyNumberFormat="1" applyFont="1" applyFill="1" applyBorder="1"/>
    <xf numFmtId="14" fontId="0" fillId="21" borderId="179" xfId="0" applyNumberFormat="1" applyFill="1" applyBorder="1"/>
    <xf numFmtId="164" fontId="0" fillId="21" borderId="136" xfId="1" applyNumberFormat="1" applyFont="1" applyFill="1" applyBorder="1"/>
    <xf numFmtId="0" fontId="0" fillId="20" borderId="73" xfId="0" applyFill="1" applyBorder="1"/>
    <xf numFmtId="164" fontId="0" fillId="20" borderId="117" xfId="1" applyNumberFormat="1" applyFont="1" applyFill="1" applyBorder="1"/>
    <xf numFmtId="0" fontId="0" fillId="20" borderId="202" xfId="0" applyFill="1" applyBorder="1"/>
    <xf numFmtId="0" fontId="0" fillId="21" borderId="73" xfId="0" applyFill="1" applyBorder="1"/>
    <xf numFmtId="164" fontId="0" fillId="21" borderId="117" xfId="1" applyNumberFormat="1" applyFont="1" applyFill="1" applyBorder="1"/>
    <xf numFmtId="14" fontId="0" fillId="20" borderId="203" xfId="0" applyNumberFormat="1" applyFill="1" applyBorder="1"/>
    <xf numFmtId="164" fontId="0" fillId="20" borderId="196" xfId="1" applyNumberFormat="1" applyFont="1" applyFill="1" applyBorder="1"/>
    <xf numFmtId="14" fontId="35" fillId="11" borderId="71" xfId="0" applyNumberFormat="1" applyFont="1" applyFill="1" applyBorder="1"/>
    <xf numFmtId="14" fontId="0" fillId="0" borderId="200" xfId="0" applyNumberFormat="1" applyBorder="1"/>
    <xf numFmtId="0" fontId="0" fillId="21" borderId="202" xfId="0" applyFill="1" applyBorder="1"/>
    <xf numFmtId="0" fontId="0" fillId="23" borderId="73" xfId="0" applyFill="1" applyBorder="1"/>
    <xf numFmtId="164" fontId="0" fillId="23" borderId="117" xfId="1" applyNumberFormat="1" applyFont="1" applyFill="1" applyBorder="1"/>
    <xf numFmtId="4" fontId="0" fillId="23" borderId="117" xfId="0" applyNumberFormat="1" applyFill="1" applyBorder="1"/>
    <xf numFmtId="168" fontId="0" fillId="23" borderId="117" xfId="0" applyNumberFormat="1" applyFill="1" applyBorder="1"/>
    <xf numFmtId="165" fontId="20" fillId="23" borderId="116" xfId="0" applyNumberFormat="1" applyFont="1" applyFill="1" applyBorder="1"/>
    <xf numFmtId="14" fontId="0" fillId="21" borderId="203" xfId="0" applyNumberFormat="1" applyFill="1" applyBorder="1"/>
    <xf numFmtId="164" fontId="0" fillId="21" borderId="196" xfId="1" applyNumberFormat="1" applyFont="1" applyFill="1" applyBorder="1"/>
    <xf numFmtId="4" fontId="0" fillId="21" borderId="196" xfId="0" applyNumberFormat="1" applyFill="1" applyBorder="1"/>
    <xf numFmtId="168" fontId="0" fillId="21" borderId="196" xfId="0" applyNumberFormat="1" applyFill="1" applyBorder="1"/>
    <xf numFmtId="165" fontId="44" fillId="21" borderId="197" xfId="0" applyNumberFormat="1" applyFont="1" applyFill="1" applyBorder="1"/>
    <xf numFmtId="0" fontId="25" fillId="11" borderId="68" xfId="0" applyFont="1" applyFill="1" applyBorder="1" applyAlignment="1">
      <alignment horizontal="center" vertical="center"/>
    </xf>
    <xf numFmtId="0" fontId="0" fillId="23" borderId="204" xfId="0" applyFill="1" applyBorder="1"/>
    <xf numFmtId="0" fontId="0" fillId="21" borderId="204" xfId="0" applyFill="1" applyBorder="1"/>
    <xf numFmtId="168" fontId="56" fillId="11" borderId="141" xfId="0" applyNumberFormat="1" applyFont="1" applyFill="1" applyBorder="1"/>
    <xf numFmtId="9" fontId="56" fillId="16" borderId="76" xfId="0" applyNumberFormat="1" applyFont="1" applyFill="1" applyBorder="1"/>
    <xf numFmtId="168" fontId="25" fillId="21" borderId="134" xfId="0" applyNumberFormat="1" applyFont="1" applyFill="1" applyBorder="1"/>
    <xf numFmtId="9" fontId="56" fillId="16" borderId="75" xfId="0" applyNumberFormat="1" applyFont="1" applyFill="1" applyBorder="1"/>
    <xf numFmtId="168" fontId="47" fillId="41" borderId="75" xfId="0" applyNumberFormat="1" applyFont="1" applyFill="1" applyBorder="1"/>
    <xf numFmtId="3" fontId="48" fillId="41" borderId="70" xfId="0" applyNumberFormat="1" applyFont="1" applyFill="1" applyBorder="1"/>
    <xf numFmtId="0" fontId="59" fillId="21" borderId="202" xfId="4" applyFont="1" applyFill="1" applyBorder="1"/>
    <xf numFmtId="9" fontId="0" fillId="0" borderId="83" xfId="0" applyNumberFormat="1" applyBorder="1"/>
    <xf numFmtId="0" fontId="25" fillId="6" borderId="71" xfId="0" applyFont="1" applyFill="1" applyBorder="1"/>
    <xf numFmtId="168" fontId="35" fillId="11" borderId="141" xfId="0" applyNumberFormat="1" applyFont="1" applyFill="1" applyBorder="1"/>
    <xf numFmtId="9" fontId="48" fillId="16" borderId="76" xfId="0" applyNumberFormat="1" applyFont="1" applyFill="1" applyBorder="1"/>
    <xf numFmtId="9" fontId="51" fillId="24" borderId="75" xfId="0" applyNumberFormat="1" applyFont="1" applyFill="1" applyBorder="1" applyAlignment="1">
      <alignment horizontal="center" vertical="center"/>
    </xf>
    <xf numFmtId="0" fontId="44" fillId="11" borderId="75" xfId="0" applyFont="1" applyFill="1" applyBorder="1" applyAlignment="1">
      <alignment horizontal="center" vertical="center"/>
    </xf>
    <xf numFmtId="3" fontId="20" fillId="11" borderId="76" xfId="0" applyNumberFormat="1" applyFont="1" applyFill="1" applyBorder="1" applyAlignment="1">
      <alignment horizontal="center" vertical="center"/>
    </xf>
    <xf numFmtId="165" fontId="0" fillId="11" borderId="169" xfId="0" applyNumberFormat="1" applyFill="1" applyBorder="1" applyAlignment="1">
      <alignment horizontal="center" vertical="center"/>
    </xf>
    <xf numFmtId="3" fontId="20" fillId="28" borderId="71" xfId="0" applyNumberFormat="1" applyFont="1" applyFill="1" applyBorder="1"/>
    <xf numFmtId="9" fontId="0" fillId="0" borderId="169" xfId="0" applyNumberFormat="1" applyBorder="1" applyAlignment="1">
      <alignment horizontal="center" vertical="center"/>
    </xf>
    <xf numFmtId="2" fontId="25" fillId="6" borderId="83" xfId="0" applyNumberFormat="1" applyFont="1" applyFill="1" applyBorder="1"/>
    <xf numFmtId="165" fontId="0" fillId="6" borderId="71" xfId="0" applyNumberFormat="1" applyFill="1" applyBorder="1"/>
    <xf numFmtId="3" fontId="20" fillId="28" borderId="77" xfId="0" applyNumberFormat="1" applyFont="1" applyFill="1" applyBorder="1"/>
    <xf numFmtId="9" fontId="0" fillId="0" borderId="76" xfId="0" applyNumberFormat="1" applyBorder="1" applyAlignment="1">
      <alignment horizontal="center" vertical="center"/>
    </xf>
    <xf numFmtId="9" fontId="48" fillId="16" borderId="71" xfId="0" applyNumberFormat="1" applyFont="1" applyFill="1" applyBorder="1"/>
    <xf numFmtId="9" fontId="51" fillId="24" borderId="143" xfId="0" applyNumberFormat="1" applyFont="1" applyFill="1" applyBorder="1" applyAlignment="1">
      <alignment horizontal="center" vertical="center"/>
    </xf>
    <xf numFmtId="0" fontId="25" fillId="11" borderId="0" xfId="0" applyFont="1" applyFill="1" applyAlignment="1">
      <alignment horizontal="center" vertical="center"/>
    </xf>
    <xf numFmtId="9" fontId="51" fillId="24" borderId="73" xfId="0" applyNumberFormat="1" applyFont="1" applyFill="1" applyBorder="1" applyAlignment="1">
      <alignment horizontal="center" vertical="center"/>
    </xf>
    <xf numFmtId="0" fontId="44" fillId="11" borderId="0" xfId="0" applyFont="1" applyFill="1" applyAlignment="1">
      <alignment horizontal="center" vertical="center"/>
    </xf>
    <xf numFmtId="2" fontId="25" fillId="6" borderId="84" xfId="0" applyNumberFormat="1" applyFont="1" applyFill="1" applyBorder="1"/>
    <xf numFmtId="9" fontId="51" fillId="24" borderId="204" xfId="0" applyNumberFormat="1" applyFont="1" applyFill="1" applyBorder="1" applyAlignment="1">
      <alignment horizontal="center" vertical="center"/>
    </xf>
    <xf numFmtId="0" fontId="25" fillId="11" borderId="81" xfId="0" applyFont="1" applyFill="1" applyBorder="1" applyAlignment="1">
      <alignment horizontal="center" vertical="center"/>
    </xf>
    <xf numFmtId="165" fontId="0" fillId="11" borderId="80" xfId="0" applyNumberFormat="1" applyFill="1" applyBorder="1" applyAlignment="1">
      <alignment horizontal="center" vertical="center"/>
    </xf>
    <xf numFmtId="3" fontId="25" fillId="17" borderId="0" xfId="0" applyNumberFormat="1" applyFont="1" applyFill="1"/>
    <xf numFmtId="0" fontId="20" fillId="34" borderId="83" xfId="0" applyFont="1" applyFill="1" applyBorder="1" applyAlignment="1">
      <alignment horizontal="center" vertical="center"/>
    </xf>
    <xf numFmtId="0" fontId="20" fillId="34" borderId="77" xfId="0" applyFont="1" applyFill="1" applyBorder="1" applyAlignment="1">
      <alignment horizontal="center" vertical="center"/>
    </xf>
    <xf numFmtId="0" fontId="0" fillId="15" borderId="74" xfId="0" applyFill="1" applyBorder="1"/>
    <xf numFmtId="0" fontId="0" fillId="15" borderId="0" xfId="0" applyFill="1"/>
    <xf numFmtId="3" fontId="0" fillId="15" borderId="0" xfId="0" applyNumberFormat="1" applyFill="1"/>
    <xf numFmtId="0" fontId="0" fillId="23" borderId="169" xfId="0" applyFill="1" applyBorder="1"/>
    <xf numFmtId="3" fontId="0" fillId="23" borderId="0" xfId="0" applyNumberFormat="1" applyFill="1"/>
    <xf numFmtId="3" fontId="0" fillId="34" borderId="169" xfId="0" applyNumberFormat="1" applyFill="1" applyBorder="1"/>
    <xf numFmtId="164" fontId="0" fillId="34" borderId="74" xfId="0" applyNumberFormat="1" applyFill="1" applyBorder="1"/>
    <xf numFmtId="3" fontId="0" fillId="23" borderId="74" xfId="0" applyNumberFormat="1" applyFill="1" applyBorder="1"/>
    <xf numFmtId="0" fontId="0" fillId="15" borderId="72" xfId="0" applyFill="1" applyBorder="1"/>
    <xf numFmtId="3" fontId="44" fillId="28" borderId="68" xfId="0" applyNumberFormat="1" applyFont="1" applyFill="1" applyBorder="1"/>
    <xf numFmtId="164" fontId="25" fillId="0" borderId="143" xfId="1" applyNumberFormat="1" applyFont="1" applyBorder="1"/>
    <xf numFmtId="164" fontId="25" fillId="0" borderId="0" xfId="1" applyNumberFormat="1" applyFont="1" applyBorder="1"/>
    <xf numFmtId="0" fontId="0" fillId="23" borderId="0" xfId="0" applyFill="1"/>
    <xf numFmtId="10" fontId="44" fillId="15" borderId="74" xfId="0" applyNumberFormat="1" applyFont="1" applyFill="1" applyBorder="1"/>
    <xf numFmtId="3" fontId="44" fillId="42" borderId="169" xfId="0" applyNumberFormat="1" applyFont="1" applyFill="1" applyBorder="1"/>
    <xf numFmtId="164" fontId="25" fillId="0" borderId="73" xfId="1" applyNumberFormat="1" applyFont="1" applyBorder="1"/>
    <xf numFmtId="10" fontId="20" fillId="15" borderId="74" xfId="0" applyNumberFormat="1" applyFont="1" applyFill="1" applyBorder="1"/>
    <xf numFmtId="3" fontId="44" fillId="28" borderId="169" xfId="0" applyNumberFormat="1" applyFont="1" applyFill="1" applyBorder="1"/>
    <xf numFmtId="4" fontId="0" fillId="21" borderId="136" xfId="0" applyNumberFormat="1" applyFill="1" applyBorder="1" applyAlignment="1">
      <alignment horizontal="right" vertical="center"/>
    </xf>
    <xf numFmtId="168" fontId="0" fillId="21" borderId="136" xfId="0" applyNumberFormat="1" applyFill="1" applyBorder="1" applyAlignment="1">
      <alignment horizontal="center" vertical="center"/>
    </xf>
    <xf numFmtId="4" fontId="0" fillId="17" borderId="136" xfId="0" applyNumberFormat="1" applyFill="1" applyBorder="1" applyAlignment="1">
      <alignment horizontal="right" vertical="center"/>
    </xf>
    <xf numFmtId="168" fontId="0" fillId="17" borderId="136" xfId="0" applyNumberFormat="1" applyFill="1" applyBorder="1" applyAlignment="1">
      <alignment horizontal="center" vertical="center"/>
    </xf>
    <xf numFmtId="3" fontId="44" fillId="28" borderId="83" xfId="0" applyNumberFormat="1" applyFont="1" applyFill="1" applyBorder="1"/>
    <xf numFmtId="3" fontId="25" fillId="23" borderId="0" xfId="0" applyNumberFormat="1" applyFont="1" applyFill="1"/>
    <xf numFmtId="3" fontId="44" fillId="28" borderId="84" xfId="0" applyNumberFormat="1" applyFont="1" applyFill="1" applyBorder="1"/>
    <xf numFmtId="3" fontId="0" fillId="0" borderId="76" xfId="0" applyNumberFormat="1" applyBorder="1"/>
    <xf numFmtId="9" fontId="49" fillId="16" borderId="71" xfId="0" applyNumberFormat="1" applyFont="1" applyFill="1" applyBorder="1"/>
    <xf numFmtId="0" fontId="48" fillId="23" borderId="169" xfId="0" applyFont="1" applyFill="1" applyBorder="1"/>
    <xf numFmtId="3" fontId="48" fillId="34" borderId="169" xfId="0" applyNumberFormat="1" applyFont="1" applyFill="1" applyBorder="1"/>
    <xf numFmtId="164" fontId="48" fillId="34" borderId="74" xfId="0" applyNumberFormat="1" applyFont="1" applyFill="1" applyBorder="1"/>
    <xf numFmtId="10" fontId="16" fillId="15" borderId="74" xfId="0" applyNumberFormat="1" applyFont="1" applyFill="1" applyBorder="1"/>
    <xf numFmtId="3" fontId="48" fillId="34" borderId="83" xfId="0" applyNumberFormat="1" applyFont="1" applyFill="1" applyBorder="1"/>
    <xf numFmtId="164" fontId="48" fillId="34" borderId="77" xfId="0" applyNumberFormat="1" applyFont="1" applyFill="1" applyBorder="1"/>
    <xf numFmtId="0" fontId="60" fillId="15" borderId="0" xfId="0" applyFont="1" applyFill="1"/>
    <xf numFmtId="0" fontId="48" fillId="23" borderId="83" xfId="0" applyFont="1" applyFill="1" applyBorder="1"/>
    <xf numFmtId="10" fontId="61" fillId="15" borderId="74" xfId="0" applyNumberFormat="1" applyFont="1" applyFill="1" applyBorder="1"/>
    <xf numFmtId="0" fontId="35" fillId="23" borderId="205" xfId="0" applyFont="1" applyFill="1" applyBorder="1"/>
    <xf numFmtId="3" fontId="35" fillId="23" borderId="79" xfId="0" applyNumberFormat="1" applyFont="1" applyFill="1" applyBorder="1"/>
    <xf numFmtId="3" fontId="48" fillId="21" borderId="0" xfId="0" applyNumberFormat="1" applyFont="1" applyFill="1"/>
    <xf numFmtId="0" fontId="35" fillId="21" borderId="0" xfId="0" applyFont="1" applyFill="1"/>
    <xf numFmtId="3" fontId="35" fillId="15" borderId="75" xfId="0" applyNumberFormat="1" applyFont="1" applyFill="1" applyBorder="1"/>
    <xf numFmtId="10" fontId="16" fillId="15" borderId="70" xfId="0" applyNumberFormat="1" applyFont="1" applyFill="1" applyBorder="1"/>
    <xf numFmtId="10" fontId="25" fillId="0" borderId="143" xfId="0" applyNumberFormat="1" applyFont="1" applyBorder="1"/>
    <xf numFmtId="10" fontId="25" fillId="0" borderId="0" xfId="0" applyNumberFormat="1" applyFont="1"/>
    <xf numFmtId="10" fontId="25" fillId="0" borderId="73" xfId="0" applyNumberFormat="1" applyFont="1" applyBorder="1"/>
    <xf numFmtId="10" fontId="25" fillId="0" borderId="169" xfId="0" applyNumberFormat="1" applyFont="1" applyBorder="1"/>
    <xf numFmtId="0" fontId="18" fillId="12" borderId="169" xfId="4" applyFill="1" applyBorder="1"/>
    <xf numFmtId="0" fontId="0" fillId="2" borderId="40" xfId="0" applyFill="1" applyBorder="1"/>
    <xf numFmtId="164" fontId="0" fillId="2" borderId="43" xfId="1" applyNumberFormat="1" applyFont="1" applyFill="1" applyBorder="1"/>
    <xf numFmtId="0" fontId="20" fillId="23" borderId="4" xfId="0" applyFont="1" applyFill="1" applyBorder="1" applyAlignment="1">
      <alignment horizontal="center"/>
    </xf>
    <xf numFmtId="0" fontId="20" fillId="23" borderId="13" xfId="0" applyFont="1" applyFill="1" applyBorder="1" applyAlignment="1">
      <alignment horizontal="center"/>
    </xf>
    <xf numFmtId="0" fontId="20" fillId="23" borderId="47" xfId="0" applyFont="1" applyFill="1" applyBorder="1" applyAlignment="1">
      <alignment horizontal="center"/>
    </xf>
    <xf numFmtId="0" fontId="0" fillId="15" borderId="37" xfId="0" applyFill="1" applyBorder="1"/>
    <xf numFmtId="0" fontId="0" fillId="15" borderId="146" xfId="0" applyFill="1" applyBorder="1"/>
    <xf numFmtId="0" fontId="0" fillId="15" borderId="4" xfId="0" applyFill="1" applyBorder="1"/>
    <xf numFmtId="14" fontId="0" fillId="21" borderId="208" xfId="0" applyNumberFormat="1" applyFill="1" applyBorder="1"/>
    <xf numFmtId="164" fontId="0" fillId="21" borderId="209" xfId="1" applyNumberFormat="1" applyFont="1" applyFill="1" applyBorder="1"/>
    <xf numFmtId="4" fontId="0" fillId="21" borderId="209" xfId="0" applyNumberFormat="1" applyFill="1" applyBorder="1" applyAlignment="1">
      <alignment horizontal="right" vertical="center"/>
    </xf>
    <xf numFmtId="168" fontId="0" fillId="21" borderId="209" xfId="0" applyNumberFormat="1" applyFill="1" applyBorder="1"/>
    <xf numFmtId="165" fontId="44" fillId="21" borderId="210" xfId="0" applyNumberFormat="1" applyFont="1" applyFill="1" applyBorder="1"/>
    <xf numFmtId="3" fontId="20" fillId="7" borderId="0" xfId="0" applyNumberFormat="1" applyFont="1" applyFill="1"/>
    <xf numFmtId="3" fontId="30" fillId="17" borderId="211" xfId="0" applyNumberFormat="1" applyFont="1" applyFill="1" applyBorder="1" applyAlignment="1">
      <alignment horizontal="center"/>
    </xf>
    <xf numFmtId="3" fontId="44" fillId="15" borderId="10" xfId="0" applyNumberFormat="1" applyFont="1" applyFill="1" applyBorder="1"/>
    <xf numFmtId="43" fontId="30" fillId="15" borderId="22" xfId="1" applyFont="1" applyFill="1" applyBorder="1"/>
    <xf numFmtId="0" fontId="48" fillId="23" borderId="212" xfId="0" applyFont="1" applyFill="1" applyBorder="1"/>
    <xf numFmtId="3" fontId="48" fillId="23" borderId="59" xfId="0" applyNumberFormat="1" applyFont="1" applyFill="1" applyBorder="1"/>
    <xf numFmtId="9" fontId="0" fillId="15" borderId="146" xfId="2" applyFont="1" applyFill="1" applyBorder="1"/>
    <xf numFmtId="0" fontId="48" fillId="23" borderId="213" xfId="0" applyFont="1" applyFill="1" applyBorder="1"/>
    <xf numFmtId="10" fontId="0" fillId="15" borderId="10" xfId="2" applyNumberFormat="1" applyFont="1" applyFill="1" applyBorder="1"/>
    <xf numFmtId="0" fontId="48" fillId="23" borderId="67" xfId="0" applyFont="1" applyFill="1" applyBorder="1"/>
    <xf numFmtId="3" fontId="48" fillId="23" borderId="67" xfId="0" applyNumberFormat="1" applyFont="1" applyFill="1" applyBorder="1"/>
    <xf numFmtId="10" fontId="44" fillId="15" borderId="15" xfId="2" applyNumberFormat="1" applyFont="1" applyFill="1" applyBorder="1"/>
    <xf numFmtId="164" fontId="48" fillId="7" borderId="67" xfId="0" applyNumberFormat="1" applyFont="1" applyFill="1" applyBorder="1"/>
    <xf numFmtId="10" fontId="30" fillId="15" borderId="16" xfId="2" applyNumberFormat="1" applyFont="1" applyFill="1" applyBorder="1"/>
    <xf numFmtId="164" fontId="0" fillId="18" borderId="214" xfId="1" applyNumberFormat="1" applyFont="1" applyFill="1" applyBorder="1"/>
    <xf numFmtId="14" fontId="0" fillId="17" borderId="208" xfId="0" applyNumberFormat="1" applyFill="1" applyBorder="1"/>
    <xf numFmtId="164" fontId="0" fillId="17" borderId="209" xfId="1" applyNumberFormat="1" applyFont="1" applyFill="1" applyBorder="1"/>
    <xf numFmtId="4" fontId="0" fillId="17" borderId="209" xfId="0" applyNumberFormat="1" applyFill="1" applyBorder="1" applyAlignment="1">
      <alignment horizontal="right" vertical="center"/>
    </xf>
    <xf numFmtId="168" fontId="0" fillId="17" borderId="209" xfId="0" applyNumberFormat="1" applyFill="1" applyBorder="1"/>
    <xf numFmtId="165" fontId="44" fillId="17" borderId="210" xfId="0" applyNumberFormat="1" applyFont="1" applyFill="1" applyBorder="1"/>
    <xf numFmtId="3" fontId="20" fillId="23" borderId="59" xfId="0" applyNumberFormat="1" applyFont="1" applyFill="1" applyBorder="1"/>
    <xf numFmtId="3" fontId="30" fillId="17" borderId="59" xfId="0" applyNumberFormat="1" applyFont="1" applyFill="1" applyBorder="1" applyAlignment="1">
      <alignment horizontal="center"/>
    </xf>
    <xf numFmtId="3" fontId="44" fillId="15" borderId="21" xfId="0" applyNumberFormat="1" applyFont="1" applyFill="1" applyBorder="1"/>
    <xf numFmtId="0" fontId="48" fillId="23" borderId="215" xfId="0" applyFont="1" applyFill="1" applyBorder="1"/>
    <xf numFmtId="10" fontId="16" fillId="15" borderId="0" xfId="0" applyNumberFormat="1" applyFont="1" applyFill="1"/>
    <xf numFmtId="0" fontId="48" fillId="23" borderId="46" xfId="0" applyFont="1" applyFill="1" applyBorder="1"/>
    <xf numFmtId="3" fontId="48" fillId="7" borderId="59" xfId="0" applyNumberFormat="1" applyFont="1" applyFill="1" applyBorder="1"/>
    <xf numFmtId="10" fontId="16" fillId="15" borderId="10" xfId="0" applyNumberFormat="1" applyFont="1" applyFill="1" applyBorder="1"/>
    <xf numFmtId="0" fontId="48" fillId="23" borderId="59" xfId="0" applyFont="1" applyFill="1" applyBorder="1"/>
    <xf numFmtId="10" fontId="61" fillId="15" borderId="10" xfId="0" applyNumberFormat="1" applyFont="1" applyFill="1" applyBorder="1"/>
    <xf numFmtId="164" fontId="48" fillId="23" borderId="59" xfId="0" applyNumberFormat="1" applyFont="1" applyFill="1" applyBorder="1"/>
    <xf numFmtId="10" fontId="61" fillId="15" borderId="0" xfId="0" applyNumberFormat="1" applyFont="1" applyFill="1"/>
    <xf numFmtId="164" fontId="44" fillId="24" borderId="19" xfId="0" applyNumberFormat="1" applyFont="1" applyFill="1" applyBorder="1"/>
    <xf numFmtId="4" fontId="0" fillId="21" borderId="209" xfId="0" applyNumberFormat="1" applyFill="1" applyBorder="1"/>
    <xf numFmtId="3" fontId="0" fillId="0" borderId="75" xfId="0" applyNumberFormat="1" applyBorder="1"/>
    <xf numFmtId="3" fontId="0" fillId="0" borderId="169" xfId="0" applyNumberFormat="1" applyBorder="1"/>
    <xf numFmtId="3" fontId="44" fillId="23" borderId="0" xfId="0" applyNumberFormat="1" applyFont="1" applyFill="1"/>
    <xf numFmtId="3" fontId="44" fillId="17" borderId="211" xfId="0" applyNumberFormat="1" applyFont="1" applyFill="1" applyBorder="1" applyAlignment="1">
      <alignment horizontal="center"/>
    </xf>
    <xf numFmtId="4" fontId="0" fillId="17" borderId="209" xfId="0" applyNumberFormat="1" applyFill="1" applyBorder="1"/>
    <xf numFmtId="3" fontId="20" fillId="23" borderId="0" xfId="0" applyNumberFormat="1" applyFont="1" applyFill="1"/>
    <xf numFmtId="3" fontId="30" fillId="15" borderId="10" xfId="0" applyNumberFormat="1" applyFont="1" applyFill="1" applyBorder="1"/>
    <xf numFmtId="3" fontId="30" fillId="15" borderId="21" xfId="0" applyNumberFormat="1" applyFont="1" applyFill="1" applyBorder="1"/>
    <xf numFmtId="10" fontId="36" fillId="15" borderId="10" xfId="0" applyNumberFormat="1" applyFont="1" applyFill="1" applyBorder="1"/>
    <xf numFmtId="9" fontId="56" fillId="16" borderId="71" xfId="0" applyNumberFormat="1" applyFont="1" applyFill="1" applyBorder="1"/>
    <xf numFmtId="3" fontId="20" fillId="17" borderId="0" xfId="0" applyNumberFormat="1" applyFont="1" applyFill="1"/>
    <xf numFmtId="10" fontId="16" fillId="5" borderId="0" xfId="0" applyNumberFormat="1" applyFont="1" applyFill="1"/>
    <xf numFmtId="10" fontId="61" fillId="5" borderId="10" xfId="0" applyNumberFormat="1" applyFont="1" applyFill="1" applyBorder="1"/>
    <xf numFmtId="0" fontId="48" fillId="24" borderId="169" xfId="0" applyFont="1" applyFill="1" applyBorder="1"/>
    <xf numFmtId="3" fontId="20" fillId="24" borderId="0" xfId="0" applyNumberFormat="1" applyFont="1" applyFill="1"/>
    <xf numFmtId="3" fontId="0" fillId="24" borderId="211" xfId="0" applyNumberFormat="1" applyFill="1" applyBorder="1" applyAlignment="1">
      <alignment horizontal="center"/>
    </xf>
    <xf numFmtId="10" fontId="16" fillId="5" borderId="10" xfId="0" applyNumberFormat="1" applyFont="1" applyFill="1" applyBorder="1"/>
    <xf numFmtId="0" fontId="0" fillId="24" borderId="169" xfId="0" applyFill="1" applyBorder="1"/>
    <xf numFmtId="3" fontId="44" fillId="24" borderId="0" xfId="0" applyNumberFormat="1" applyFont="1" applyFill="1"/>
    <xf numFmtId="3" fontId="44" fillId="24" borderId="211" xfId="0" applyNumberFormat="1" applyFont="1" applyFill="1" applyBorder="1" applyAlignment="1">
      <alignment horizontal="center"/>
    </xf>
    <xf numFmtId="10" fontId="61" fillId="5" borderId="0" xfId="0" applyNumberFormat="1" applyFont="1" applyFill="1"/>
    <xf numFmtId="10" fontId="36" fillId="15" borderId="0" xfId="0" applyNumberFormat="1" applyFont="1" applyFill="1"/>
    <xf numFmtId="164" fontId="23" fillId="18" borderId="19" xfId="0" applyNumberFormat="1" applyFont="1" applyFill="1" applyBorder="1"/>
    <xf numFmtId="165" fontId="20" fillId="17" borderId="210" xfId="0" applyNumberFormat="1" applyFont="1" applyFill="1" applyBorder="1"/>
    <xf numFmtId="3" fontId="44" fillId="7" borderId="0" xfId="0" applyNumberFormat="1" applyFont="1" applyFill="1"/>
    <xf numFmtId="165" fontId="20" fillId="21" borderId="210" xfId="0" applyNumberFormat="1" applyFont="1" applyFill="1" applyBorder="1"/>
    <xf numFmtId="3" fontId="25" fillId="17" borderId="211" xfId="0" applyNumberFormat="1" applyFont="1" applyFill="1" applyBorder="1" applyAlignment="1">
      <alignment horizontal="center"/>
    </xf>
    <xf numFmtId="164" fontId="30" fillId="18" borderId="19" xfId="0" applyNumberFormat="1" applyFont="1" applyFill="1" applyBorder="1"/>
    <xf numFmtId="3" fontId="44" fillId="17" borderId="216" xfId="0" applyNumberFormat="1" applyFont="1" applyFill="1" applyBorder="1" applyAlignment="1">
      <alignment horizontal="center"/>
    </xf>
    <xf numFmtId="0" fontId="48" fillId="23" borderId="217" xfId="0" applyFont="1" applyFill="1" applyBorder="1"/>
    <xf numFmtId="168" fontId="37" fillId="20" borderId="206" xfId="0" applyNumberFormat="1" applyFont="1" applyFill="1" applyBorder="1"/>
    <xf numFmtId="0" fontId="48" fillId="23" borderId="60" xfId="0" applyFont="1" applyFill="1" applyBorder="1"/>
    <xf numFmtId="168" fontId="37" fillId="20" borderId="48" xfId="0" applyNumberFormat="1" applyFont="1" applyFill="1" applyBorder="1"/>
    <xf numFmtId="10" fontId="61" fillId="15" borderId="7" xfId="0" applyNumberFormat="1" applyFont="1" applyFill="1" applyBorder="1"/>
    <xf numFmtId="0" fontId="48" fillId="23" borderId="48" xfId="0" applyFont="1" applyFill="1" applyBorder="1"/>
    <xf numFmtId="3" fontId="48" fillId="23" borderId="19" xfId="0" applyNumberFormat="1" applyFont="1" applyFill="1" applyBorder="1"/>
    <xf numFmtId="164" fontId="44" fillId="24" borderId="218" xfId="0" applyNumberFormat="1" applyFont="1" applyFill="1" applyBorder="1"/>
    <xf numFmtId="0" fontId="20" fillId="4" borderId="205" xfId="0" applyFont="1" applyFill="1" applyBorder="1"/>
    <xf numFmtId="3" fontId="20" fillId="4" borderId="79" xfId="0" applyNumberFormat="1" applyFont="1" applyFill="1" applyBorder="1"/>
    <xf numFmtId="3" fontId="44" fillId="4" borderId="84" xfId="0" applyNumberFormat="1" applyFont="1" applyFill="1" applyBorder="1"/>
    <xf numFmtId="3" fontId="30" fillId="15" borderId="58" xfId="0" applyNumberFormat="1" applyFont="1" applyFill="1" applyBorder="1"/>
    <xf numFmtId="3" fontId="44" fillId="15" borderId="43" xfId="0" applyNumberFormat="1" applyFont="1" applyFill="1" applyBorder="1"/>
    <xf numFmtId="10" fontId="36" fillId="24" borderId="70" xfId="0" applyNumberFormat="1" applyFont="1" applyFill="1" applyBorder="1"/>
    <xf numFmtId="3" fontId="35" fillId="15" borderId="83" xfId="0" applyNumberFormat="1" applyFont="1" applyFill="1" applyBorder="1"/>
    <xf numFmtId="10" fontId="36" fillId="15" borderId="77" xfId="0" applyNumberFormat="1" applyFont="1" applyFill="1" applyBorder="1"/>
    <xf numFmtId="3" fontId="35" fillId="15" borderId="40" xfId="0" applyNumberFormat="1" applyFont="1" applyFill="1" applyBorder="1"/>
    <xf numFmtId="10" fontId="36" fillId="24" borderId="43" xfId="0" applyNumberFormat="1" applyFont="1" applyFill="1" applyBorder="1"/>
    <xf numFmtId="3" fontId="35" fillId="15" borderId="42" xfId="0" applyNumberFormat="1" applyFont="1" applyFill="1" applyBorder="1"/>
    <xf numFmtId="10" fontId="61" fillId="24" borderId="41" xfId="0" applyNumberFormat="1" applyFont="1" applyFill="1" applyBorder="1"/>
    <xf numFmtId="164" fontId="25" fillId="24" borderId="4" xfId="1" applyNumberFormat="1" applyFont="1" applyFill="1" applyBorder="1"/>
    <xf numFmtId="165" fontId="0" fillId="6" borderId="83" xfId="0" applyNumberFormat="1" applyFill="1" applyBorder="1"/>
    <xf numFmtId="0" fontId="20" fillId="15" borderId="58" xfId="0" applyFont="1" applyFill="1" applyBorder="1"/>
    <xf numFmtId="3" fontId="20" fillId="15" borderId="58" xfId="0" applyNumberFormat="1" applyFont="1" applyFill="1" applyBorder="1"/>
    <xf numFmtId="0" fontId="48" fillId="23" borderId="11" xfId="0" applyFont="1" applyFill="1" applyBorder="1"/>
    <xf numFmtId="3" fontId="48" fillId="23" borderId="10" xfId="0" applyNumberFormat="1" applyFont="1" applyFill="1" applyBorder="1"/>
    <xf numFmtId="0" fontId="48" fillId="23" borderId="0" xfId="0" applyFont="1" applyFill="1"/>
    <xf numFmtId="3" fontId="48" fillId="2" borderId="0" xfId="0" applyNumberFormat="1" applyFont="1" applyFill="1"/>
    <xf numFmtId="3" fontId="48" fillId="29" borderId="0" xfId="0" applyNumberFormat="1" applyFont="1" applyFill="1"/>
    <xf numFmtId="3" fontId="48" fillId="23" borderId="0" xfId="0" applyNumberFormat="1" applyFont="1" applyFill="1"/>
    <xf numFmtId="3" fontId="48" fillId="23" borderId="11" xfId="0" applyNumberFormat="1" applyFont="1" applyFill="1" applyBorder="1"/>
    <xf numFmtId="3" fontId="48" fillId="29" borderId="11" xfId="0" applyNumberFormat="1" applyFont="1" applyFill="1" applyBorder="1"/>
    <xf numFmtId="164" fontId="37" fillId="12" borderId="0" xfId="0" applyNumberFormat="1" applyFont="1" applyFill="1"/>
    <xf numFmtId="3" fontId="0" fillId="15" borderId="221" xfId="0" applyNumberFormat="1" applyFill="1" applyBorder="1"/>
    <xf numFmtId="165" fontId="0" fillId="29" borderId="15" xfId="2" applyNumberFormat="1" applyFont="1" applyFill="1" applyBorder="1"/>
    <xf numFmtId="3" fontId="0" fillId="15" borderId="222" xfId="0" quotePrefix="1" applyNumberFormat="1" applyFill="1" applyBorder="1"/>
    <xf numFmtId="3" fontId="0" fillId="15" borderId="22" xfId="0" quotePrefix="1" applyNumberFormat="1" applyFill="1" applyBorder="1"/>
    <xf numFmtId="3" fontId="44" fillId="27" borderId="22" xfId="0" quotePrefix="1" applyNumberFormat="1" applyFont="1" applyFill="1" applyBorder="1"/>
    <xf numFmtId="165" fontId="44" fillId="29" borderId="15" xfId="2" applyNumberFormat="1" applyFont="1" applyFill="1" applyBorder="1"/>
    <xf numFmtId="164" fontId="0" fillId="27" borderId="21" xfId="0" quotePrefix="1" applyNumberFormat="1" applyFill="1" applyBorder="1"/>
    <xf numFmtId="3" fontId="48" fillId="2" borderId="10" xfId="0" applyNumberFormat="1" applyFont="1" applyFill="1" applyBorder="1"/>
    <xf numFmtId="3" fontId="48" fillId="16" borderId="0" xfId="0" applyNumberFormat="1" applyFont="1" applyFill="1"/>
    <xf numFmtId="164" fontId="37" fillId="0" borderId="0" xfId="0" applyNumberFormat="1" applyFont="1"/>
    <xf numFmtId="3" fontId="0" fillId="15" borderId="223" xfId="0" applyNumberFormat="1" applyFill="1" applyBorder="1"/>
    <xf numFmtId="165" fontId="0" fillId="29" borderId="10" xfId="2" applyNumberFormat="1" applyFont="1" applyFill="1" applyBorder="1"/>
    <xf numFmtId="3" fontId="0" fillId="15" borderId="224" xfId="0" applyNumberFormat="1" applyFill="1" applyBorder="1"/>
    <xf numFmtId="3" fontId="0" fillId="15" borderId="21" xfId="0" applyNumberFormat="1" applyFill="1" applyBorder="1"/>
    <xf numFmtId="3" fontId="44" fillId="27" borderId="21" xfId="0" applyNumberFormat="1" applyFont="1" applyFill="1" applyBorder="1"/>
    <xf numFmtId="165" fontId="44" fillId="29" borderId="10" xfId="2" applyNumberFormat="1" applyFont="1" applyFill="1" applyBorder="1"/>
    <xf numFmtId="164" fontId="0" fillId="27" borderId="21" xfId="0" applyNumberFormat="1" applyFill="1" applyBorder="1"/>
    <xf numFmtId="3" fontId="37" fillId="23" borderId="10" xfId="0" applyNumberFormat="1" applyFont="1" applyFill="1" applyBorder="1"/>
    <xf numFmtId="3" fontId="0" fillId="27" borderId="21" xfId="0" applyNumberFormat="1" applyFill="1" applyBorder="1"/>
    <xf numFmtId="164" fontId="44" fillId="27" borderId="21" xfId="0" applyNumberFormat="1" applyFont="1" applyFill="1" applyBorder="1"/>
    <xf numFmtId="3" fontId="48" fillId="5" borderId="10" xfId="0" applyNumberFormat="1" applyFont="1" applyFill="1" applyBorder="1"/>
    <xf numFmtId="4" fontId="0" fillId="17" borderId="209" xfId="0" applyNumberFormat="1" applyFill="1" applyBorder="1" applyAlignment="1">
      <alignment horizontal="right"/>
    </xf>
    <xf numFmtId="3" fontId="37" fillId="16" borderId="10" xfId="0" applyNumberFormat="1" applyFont="1" applyFill="1" applyBorder="1"/>
    <xf numFmtId="3" fontId="37" fillId="16" borderId="0" xfId="0" applyNumberFormat="1" applyFont="1" applyFill="1"/>
    <xf numFmtId="0" fontId="48" fillId="15" borderId="11" xfId="0" applyFont="1" applyFill="1" applyBorder="1"/>
    <xf numFmtId="3" fontId="44" fillId="15" borderId="223" xfId="0" applyNumberFormat="1" applyFont="1" applyFill="1" applyBorder="1"/>
    <xf numFmtId="165" fontId="23" fillId="29" borderId="10" xfId="2" applyNumberFormat="1" applyFont="1" applyFill="1" applyBorder="1"/>
    <xf numFmtId="3" fontId="23" fillId="15" borderId="21" xfId="0" applyNumberFormat="1" applyFont="1" applyFill="1" applyBorder="1"/>
    <xf numFmtId="0" fontId="48" fillId="23" borderId="9" xfId="0" applyFont="1" applyFill="1" applyBorder="1"/>
    <xf numFmtId="168" fontId="48" fillId="20" borderId="7" xfId="0" applyNumberFormat="1" applyFont="1" applyFill="1" applyBorder="1"/>
    <xf numFmtId="0" fontId="48" fillId="23" borderId="84" xfId="0" applyFont="1" applyFill="1" applyBorder="1"/>
    <xf numFmtId="168" fontId="48" fillId="20" borderId="84" xfId="0" applyNumberFormat="1" applyFont="1" applyFill="1" applyBorder="1"/>
    <xf numFmtId="0" fontId="48" fillId="15" borderId="9" xfId="0" applyFont="1" applyFill="1" applyBorder="1"/>
    <xf numFmtId="168" fontId="48" fillId="2" borderId="7" xfId="0" applyNumberFormat="1" applyFont="1" applyFill="1" applyBorder="1"/>
    <xf numFmtId="168" fontId="48" fillId="20" borderId="225" xfId="0" applyNumberFormat="1" applyFont="1" applyFill="1" applyBorder="1"/>
    <xf numFmtId="168" fontId="48" fillId="29" borderId="9" xfId="0" applyNumberFormat="1" applyFont="1" applyFill="1" applyBorder="1"/>
    <xf numFmtId="3" fontId="48" fillId="23" borderId="7" xfId="0" applyNumberFormat="1" applyFont="1" applyFill="1" applyBorder="1"/>
    <xf numFmtId="164" fontId="48" fillId="2" borderId="8" xfId="0" applyNumberFormat="1" applyFont="1" applyFill="1" applyBorder="1"/>
    <xf numFmtId="3" fontId="44" fillId="15" borderId="226" xfId="0" applyNumberFormat="1" applyFont="1" applyFill="1" applyBorder="1"/>
    <xf numFmtId="165" fontId="44" fillId="29" borderId="7" xfId="2" applyNumberFormat="1" applyFont="1" applyFill="1" applyBorder="1"/>
    <xf numFmtId="3" fontId="0" fillId="15" borderId="227" xfId="0" applyNumberFormat="1" applyFill="1" applyBorder="1"/>
    <xf numFmtId="165" fontId="23" fillId="29" borderId="7" xfId="2" applyNumberFormat="1" applyFont="1" applyFill="1" applyBorder="1"/>
    <xf numFmtId="3" fontId="0" fillId="15" borderId="20" xfId="0" applyNumberFormat="1" applyFill="1" applyBorder="1"/>
    <xf numFmtId="3" fontId="44" fillId="27" borderId="20" xfId="0" applyNumberFormat="1" applyFont="1" applyFill="1" applyBorder="1"/>
    <xf numFmtId="3" fontId="23" fillId="15" borderId="20" xfId="0" applyNumberFormat="1" applyFont="1" applyFill="1" applyBorder="1"/>
    <xf numFmtId="164" fontId="25" fillId="15" borderId="20" xfId="0" applyNumberFormat="1" applyFont="1" applyFill="1" applyBorder="1"/>
    <xf numFmtId="10" fontId="44" fillId="0" borderId="0" xfId="0" applyNumberFormat="1" applyFont="1"/>
    <xf numFmtId="3" fontId="20" fillId="2" borderId="228" xfId="0" applyNumberFormat="1" applyFont="1" applyFill="1" applyBorder="1"/>
    <xf numFmtId="164" fontId="44" fillId="2" borderId="78" xfId="0" applyNumberFormat="1" applyFont="1" applyFill="1" applyBorder="1"/>
    <xf numFmtId="164" fontId="20" fillId="2" borderId="78" xfId="0" applyNumberFormat="1" applyFont="1" applyFill="1" applyBorder="1"/>
    <xf numFmtId="168" fontId="20" fillId="2" borderId="78" xfId="0" applyNumberFormat="1" applyFont="1" applyFill="1" applyBorder="1" applyAlignment="1">
      <alignment horizontal="center"/>
    </xf>
    <xf numFmtId="168" fontId="20" fillId="0" borderId="0" xfId="0" applyNumberFormat="1" applyFont="1" applyAlignment="1">
      <alignment horizontal="center"/>
    </xf>
    <xf numFmtId="168" fontId="30" fillId="2" borderId="78" xfId="0" applyNumberFormat="1" applyFont="1" applyFill="1" applyBorder="1" applyAlignment="1">
      <alignment horizontal="center"/>
    </xf>
    <xf numFmtId="168" fontId="30" fillId="2" borderId="229" xfId="0" applyNumberFormat="1" applyFont="1" applyFill="1" applyBorder="1" applyAlignment="1">
      <alignment horizontal="center"/>
    </xf>
    <xf numFmtId="164" fontId="20" fillId="0" borderId="78" xfId="0" applyNumberFormat="1" applyFont="1" applyBorder="1"/>
    <xf numFmtId="168" fontId="0" fillId="2" borderId="14" xfId="0" applyNumberFormat="1" applyFill="1" applyBorder="1"/>
    <xf numFmtId="10" fontId="20" fillId="17" borderId="15" xfId="0" applyNumberFormat="1" applyFont="1" applyFill="1" applyBorder="1"/>
    <xf numFmtId="10" fontId="20" fillId="3" borderId="10" xfId="0" applyNumberFormat="1" applyFont="1" applyFill="1" applyBorder="1"/>
    <xf numFmtId="10" fontId="20" fillId="17" borderId="10" xfId="0" applyNumberFormat="1" applyFont="1" applyFill="1" applyBorder="1"/>
    <xf numFmtId="168" fontId="22" fillId="2" borderId="141" xfId="0" applyNumberFormat="1" applyFont="1" applyFill="1" applyBorder="1"/>
    <xf numFmtId="9" fontId="37" fillId="2" borderId="71" xfId="0" applyNumberFormat="1" applyFont="1" applyFill="1" applyBorder="1"/>
    <xf numFmtId="10" fontId="20" fillId="0" borderId="10" xfId="0" applyNumberFormat="1" applyFont="1" applyBorder="1"/>
    <xf numFmtId="4" fontId="0" fillId="21" borderId="209" xfId="0" applyNumberFormat="1" applyFill="1" applyBorder="1" applyAlignment="1">
      <alignment horizontal="right"/>
    </xf>
    <xf numFmtId="9" fontId="49" fillId="16" borderId="83" xfId="0" applyNumberFormat="1" applyFont="1" applyFill="1" applyBorder="1"/>
    <xf numFmtId="168" fontId="56" fillId="20" borderId="230" xfId="0" applyNumberFormat="1" applyFont="1" applyFill="1" applyBorder="1"/>
    <xf numFmtId="10" fontId="35" fillId="20" borderId="231" xfId="0" applyNumberFormat="1" applyFont="1" applyFill="1" applyBorder="1"/>
    <xf numFmtId="3" fontId="20" fillId="42" borderId="169" xfId="0" applyNumberFormat="1" applyFont="1" applyFill="1" applyBorder="1"/>
    <xf numFmtId="3" fontId="20" fillId="28" borderId="169" xfId="0" applyNumberFormat="1" applyFont="1" applyFill="1" applyBorder="1"/>
    <xf numFmtId="4" fontId="0" fillId="17" borderId="209" xfId="0" applyNumberFormat="1" applyFill="1" applyBorder="1" applyAlignment="1">
      <alignment horizontal="center" vertical="center"/>
    </xf>
    <xf numFmtId="3" fontId="20" fillId="28" borderId="83" xfId="0" applyNumberFormat="1" applyFont="1" applyFill="1" applyBorder="1"/>
    <xf numFmtId="3" fontId="20" fillId="28" borderId="84" xfId="0" applyNumberFormat="1" applyFont="1" applyFill="1" applyBorder="1"/>
    <xf numFmtId="3" fontId="20" fillId="23" borderId="164" xfId="0" applyNumberFormat="1" applyFont="1" applyFill="1" applyBorder="1" applyAlignment="1">
      <alignment horizontal="center" vertical="center"/>
    </xf>
    <xf numFmtId="0" fontId="20" fillId="23" borderId="147" xfId="0" applyFont="1" applyFill="1" applyBorder="1" applyAlignment="1">
      <alignment horizontal="center" vertical="center"/>
    </xf>
    <xf numFmtId="14" fontId="0" fillId="0" borderId="231" xfId="0" applyNumberFormat="1" applyBorder="1"/>
    <xf numFmtId="0" fontId="0" fillId="0" borderId="230" xfId="0" applyBorder="1" applyAlignment="1">
      <alignment horizontal="center" vertical="center"/>
    </xf>
    <xf numFmtId="14" fontId="0" fillId="11" borderId="231" xfId="0" applyNumberFormat="1" applyFill="1" applyBorder="1"/>
    <xf numFmtId="0" fontId="0" fillId="11" borderId="230" xfId="0" applyFill="1" applyBorder="1" applyAlignment="1">
      <alignment horizontal="center" vertical="center"/>
    </xf>
    <xf numFmtId="9" fontId="25" fillId="0" borderId="71" xfId="0" applyNumberFormat="1" applyFont="1" applyBorder="1"/>
    <xf numFmtId="14" fontId="0" fillId="17" borderId="231" xfId="0" applyNumberFormat="1" applyFill="1" applyBorder="1"/>
    <xf numFmtId="0" fontId="0" fillId="17" borderId="230" xfId="0" applyFill="1" applyBorder="1" applyAlignment="1">
      <alignment horizontal="center" vertical="center"/>
    </xf>
    <xf numFmtId="14" fontId="0" fillId="28" borderId="231" xfId="0" applyNumberFormat="1" applyFill="1" applyBorder="1"/>
    <xf numFmtId="0" fontId="0" fillId="28" borderId="230" xfId="0" applyFill="1" applyBorder="1" applyAlignment="1">
      <alignment horizontal="center" vertical="center"/>
    </xf>
    <xf numFmtId="9" fontId="51" fillId="24" borderId="71" xfId="0" applyNumberFormat="1" applyFont="1" applyFill="1" applyBorder="1" applyAlignment="1">
      <alignment horizontal="center" vertical="center"/>
    </xf>
    <xf numFmtId="43" fontId="12" fillId="0" borderId="0" xfId="0" applyNumberFormat="1" applyFont="1"/>
    <xf numFmtId="3" fontId="20" fillId="42" borderId="143" xfId="0" applyNumberFormat="1" applyFont="1" applyFill="1" applyBorder="1"/>
    <xf numFmtId="9" fontId="48" fillId="16" borderId="83" xfId="0" applyNumberFormat="1" applyFont="1" applyFill="1" applyBorder="1"/>
    <xf numFmtId="168" fontId="48" fillId="23" borderId="75" xfId="0" applyNumberFormat="1" applyFont="1" applyFill="1" applyBorder="1"/>
    <xf numFmtId="43" fontId="12" fillId="23" borderId="70" xfId="0" applyNumberFormat="1" applyFont="1" applyFill="1" applyBorder="1"/>
    <xf numFmtId="14" fontId="0" fillId="10" borderId="231" xfId="0" applyNumberFormat="1" applyFill="1" applyBorder="1"/>
    <xf numFmtId="0" fontId="0" fillId="10" borderId="230" xfId="0" applyFill="1" applyBorder="1" applyAlignment="1">
      <alignment horizontal="center" vertical="center"/>
    </xf>
    <xf numFmtId="0" fontId="44" fillId="13" borderId="0" xfId="0" applyFont="1" applyFill="1" applyAlignment="1">
      <alignment horizontal="center" vertical="center"/>
    </xf>
    <xf numFmtId="3" fontId="44" fillId="42" borderId="143" xfId="0" applyNumberFormat="1" applyFont="1" applyFill="1" applyBorder="1"/>
    <xf numFmtId="0" fontId="25" fillId="11" borderId="84" xfId="0" applyFont="1" applyFill="1" applyBorder="1" applyAlignment="1">
      <alignment horizontal="center" vertical="center"/>
    </xf>
    <xf numFmtId="9" fontId="56" fillId="10" borderId="71" xfId="0" applyNumberFormat="1" applyFont="1" applyFill="1" applyBorder="1"/>
    <xf numFmtId="165" fontId="44" fillId="0" borderId="210" xfId="0" applyNumberFormat="1" applyFont="1" applyBorder="1"/>
    <xf numFmtId="165" fontId="44" fillId="41" borderId="210" xfId="0" applyNumberFormat="1" applyFont="1" applyFill="1" applyBorder="1"/>
    <xf numFmtId="165" fontId="44" fillId="23" borderId="210" xfId="0" applyNumberFormat="1" applyFont="1" applyFill="1" applyBorder="1"/>
    <xf numFmtId="3" fontId="0" fillId="16" borderId="76" xfId="0" applyNumberFormat="1" applyFill="1" applyBorder="1"/>
    <xf numFmtId="164" fontId="0" fillId="41" borderId="209" xfId="1" applyNumberFormat="1" applyFont="1" applyFill="1" applyBorder="1"/>
    <xf numFmtId="3" fontId="49" fillId="0" borderId="0" xfId="0" applyNumberFormat="1" applyFont="1"/>
    <xf numFmtId="3" fontId="20" fillId="23" borderId="230" xfId="0" applyNumberFormat="1" applyFont="1" applyFill="1" applyBorder="1" applyAlignment="1">
      <alignment horizontal="center" vertical="center"/>
    </xf>
    <xf numFmtId="0" fontId="20" fillId="23" borderId="167" xfId="0" applyFont="1" applyFill="1" applyBorder="1" applyAlignment="1">
      <alignment horizontal="center" vertical="center"/>
    </xf>
    <xf numFmtId="3" fontId="20" fillId="42" borderId="68" xfId="0" applyNumberFormat="1" applyFont="1" applyFill="1" applyBorder="1"/>
    <xf numFmtId="14" fontId="20" fillId="23" borderId="165" xfId="0" applyNumberFormat="1" applyFont="1" applyFill="1" applyBorder="1"/>
    <xf numFmtId="0" fontId="20" fillId="23" borderId="148" xfId="0" applyFont="1" applyFill="1" applyBorder="1"/>
    <xf numFmtId="14" fontId="20" fillId="23" borderId="152" xfId="0" applyNumberFormat="1" applyFont="1" applyFill="1" applyBorder="1"/>
    <xf numFmtId="0" fontId="20" fillId="23" borderId="149" xfId="0" applyFont="1" applyFill="1" applyBorder="1"/>
    <xf numFmtId="1" fontId="44" fillId="10" borderId="232" xfId="0" applyNumberFormat="1" applyFont="1" applyFill="1" applyBorder="1" applyAlignment="1">
      <alignment horizontal="center"/>
    </xf>
    <xf numFmtId="9" fontId="49" fillId="16" borderId="82" xfId="0" applyNumberFormat="1" applyFont="1" applyFill="1" applyBorder="1"/>
    <xf numFmtId="165" fontId="20" fillId="21" borderId="163" xfId="0" applyNumberFormat="1" applyFont="1" applyFill="1" applyBorder="1"/>
    <xf numFmtId="14" fontId="0" fillId="7" borderId="231" xfId="0" applyNumberFormat="1" applyFill="1" applyBorder="1"/>
    <xf numFmtId="1" fontId="20" fillId="10" borderId="232" xfId="0" applyNumberFormat="1" applyFont="1" applyFill="1" applyBorder="1" applyAlignment="1">
      <alignment horizontal="center"/>
    </xf>
    <xf numFmtId="9" fontId="48" fillId="16" borderId="82" xfId="0" applyNumberFormat="1" applyFont="1" applyFill="1" applyBorder="1"/>
    <xf numFmtId="9" fontId="35" fillId="16" borderId="71" xfId="0" applyNumberFormat="1" applyFont="1" applyFill="1" applyBorder="1"/>
    <xf numFmtId="14" fontId="0" fillId="44" borderId="231" xfId="0" applyNumberFormat="1" applyFill="1" applyBorder="1"/>
    <xf numFmtId="0" fontId="0" fillId="44" borderId="230" xfId="0" applyFill="1" applyBorder="1" applyAlignment="1">
      <alignment horizontal="center" vertical="center"/>
    </xf>
    <xf numFmtId="9" fontId="56" fillId="16" borderId="82" xfId="0" applyNumberFormat="1" applyFont="1" applyFill="1" applyBorder="1"/>
    <xf numFmtId="165" fontId="44" fillId="21" borderId="163" xfId="0" applyNumberFormat="1" applyFont="1" applyFill="1" applyBorder="1"/>
    <xf numFmtId="14" fontId="0" fillId="21" borderId="231" xfId="0" applyNumberFormat="1" applyFill="1" applyBorder="1"/>
    <xf numFmtId="0" fontId="0" fillId="21" borderId="230" xfId="0" applyFill="1" applyBorder="1" applyAlignment="1">
      <alignment horizontal="center" vertical="center"/>
    </xf>
    <xf numFmtId="14" fontId="0" fillId="16" borderId="231" xfId="0" applyNumberFormat="1" applyFill="1" applyBorder="1"/>
    <xf numFmtId="0" fontId="0" fillId="16" borderId="230" xfId="0" applyFill="1" applyBorder="1" applyAlignment="1">
      <alignment horizontal="center" vertical="center"/>
    </xf>
    <xf numFmtId="14" fontId="0" fillId="16" borderId="233" xfId="0" applyNumberFormat="1" applyFill="1" applyBorder="1"/>
    <xf numFmtId="0" fontId="0" fillId="16" borderId="164" xfId="0" applyFill="1" applyBorder="1" applyAlignment="1">
      <alignment horizontal="center" vertical="center"/>
    </xf>
    <xf numFmtId="14" fontId="0" fillId="16" borderId="4" xfId="0" applyNumberFormat="1" applyFill="1" applyBorder="1"/>
    <xf numFmtId="0" fontId="0" fillId="16" borderId="4" xfId="0" applyFill="1" applyBorder="1" applyAlignment="1">
      <alignment horizontal="center" vertical="center"/>
    </xf>
    <xf numFmtId="0" fontId="0" fillId="0" borderId="4" xfId="0" applyBorder="1" applyAlignment="1">
      <alignment horizontal="center" vertical="center"/>
    </xf>
    <xf numFmtId="14" fontId="0" fillId="17" borderId="4" xfId="0" applyNumberFormat="1" applyFill="1" applyBorder="1"/>
    <xf numFmtId="0" fontId="0" fillId="17" borderId="4" xfId="0" applyFill="1" applyBorder="1" applyAlignment="1">
      <alignment horizontal="center" vertical="center"/>
    </xf>
    <xf numFmtId="14" fontId="0" fillId="17" borderId="233" xfId="0" applyNumberFormat="1" applyFill="1" applyBorder="1"/>
    <xf numFmtId="0" fontId="0" fillId="17" borderId="164" xfId="0" applyFill="1" applyBorder="1" applyAlignment="1">
      <alignment horizontal="center" vertical="center"/>
    </xf>
    <xf numFmtId="168" fontId="49" fillId="10" borderId="0" xfId="0" applyNumberFormat="1" applyFont="1" applyFill="1"/>
    <xf numFmtId="43" fontId="12" fillId="10" borderId="0" xfId="0" applyNumberFormat="1" applyFont="1" applyFill="1"/>
    <xf numFmtId="3" fontId="48" fillId="10" borderId="0" xfId="0" applyNumberFormat="1" applyFont="1" applyFill="1"/>
    <xf numFmtId="14" fontId="0" fillId="17" borderId="0" xfId="0" applyNumberFormat="1" applyFill="1"/>
    <xf numFmtId="0" fontId="0" fillId="17" borderId="0" xfId="0" applyFill="1" applyAlignment="1">
      <alignment horizontal="center" vertical="center"/>
    </xf>
    <xf numFmtId="14" fontId="20" fillId="23" borderId="229" xfId="0" applyNumberFormat="1" applyFont="1" applyFill="1" applyBorder="1"/>
    <xf numFmtId="0" fontId="20" fillId="23" borderId="147" xfId="0" applyFont="1" applyFill="1" applyBorder="1"/>
    <xf numFmtId="14" fontId="20" fillId="23" borderId="0" xfId="0" applyNumberFormat="1" applyFont="1" applyFill="1"/>
    <xf numFmtId="14" fontId="20" fillId="24" borderId="0" xfId="0" applyNumberFormat="1" applyFont="1" applyFill="1"/>
    <xf numFmtId="14" fontId="20" fillId="23" borderId="81" xfId="0" applyNumberFormat="1" applyFont="1" applyFill="1" applyBorder="1"/>
    <xf numFmtId="9" fontId="0" fillId="24" borderId="71" xfId="0" applyNumberFormat="1" applyFill="1" applyBorder="1" applyAlignment="1">
      <alignment horizontal="center" vertical="center"/>
    </xf>
    <xf numFmtId="165" fontId="44" fillId="7" borderId="210" xfId="0" applyNumberFormat="1" applyFont="1" applyFill="1" applyBorder="1"/>
    <xf numFmtId="14" fontId="20" fillId="10" borderId="234" xfId="0" applyNumberFormat="1" applyFont="1" applyFill="1" applyBorder="1" applyAlignment="1">
      <alignment horizontal="center"/>
    </xf>
    <xf numFmtId="9" fontId="0" fillId="17" borderId="143" xfId="0" applyNumberFormat="1" applyFill="1" applyBorder="1"/>
    <xf numFmtId="14" fontId="44" fillId="10" borderId="90" xfId="0" applyNumberFormat="1" applyFont="1" applyFill="1" applyBorder="1" applyAlignment="1">
      <alignment horizontal="center"/>
    </xf>
    <xf numFmtId="14" fontId="0" fillId="17" borderId="71" xfId="0" applyNumberFormat="1" applyFill="1" applyBorder="1"/>
    <xf numFmtId="165" fontId="0" fillId="11" borderId="83" xfId="0" applyNumberFormat="1" applyFill="1" applyBorder="1" applyAlignment="1">
      <alignment horizontal="center" vertical="center"/>
    </xf>
    <xf numFmtId="0" fontId="0" fillId="10" borderId="235" xfId="0" applyFill="1" applyBorder="1"/>
    <xf numFmtId="0" fontId="0" fillId="10" borderId="236" xfId="0" applyFill="1" applyBorder="1"/>
    <xf numFmtId="0" fontId="0" fillId="10" borderId="237" xfId="0" applyFill="1" applyBorder="1"/>
    <xf numFmtId="14" fontId="20" fillId="20" borderId="0" xfId="0" applyNumberFormat="1" applyFont="1" applyFill="1"/>
    <xf numFmtId="9" fontId="0" fillId="7" borderId="71" xfId="0" applyNumberFormat="1" applyFill="1" applyBorder="1"/>
    <xf numFmtId="4" fontId="25" fillId="0" borderId="0" xfId="0" applyNumberFormat="1" applyFont="1"/>
    <xf numFmtId="3" fontId="30" fillId="10" borderId="128" xfId="0" applyNumberFormat="1" applyFont="1" applyFill="1" applyBorder="1" applyAlignment="1">
      <alignment horizontal="center"/>
    </xf>
    <xf numFmtId="1" fontId="30" fillId="10" borderId="232" xfId="0" applyNumberFormat="1" applyFont="1" applyFill="1" applyBorder="1" applyAlignment="1">
      <alignment horizontal="center"/>
    </xf>
    <xf numFmtId="9" fontId="37" fillId="16" borderId="82" xfId="0" applyNumberFormat="1" applyFont="1" applyFill="1" applyBorder="1"/>
    <xf numFmtId="165" fontId="30" fillId="21" borderId="163" xfId="0" applyNumberFormat="1" applyFont="1" applyFill="1" applyBorder="1"/>
    <xf numFmtId="3" fontId="30" fillId="42" borderId="143" xfId="0" applyNumberFormat="1" applyFont="1" applyFill="1" applyBorder="1"/>
    <xf numFmtId="165" fontId="30" fillId="17" borderId="210" xfId="0" applyNumberFormat="1" applyFont="1" applyFill="1" applyBorder="1"/>
    <xf numFmtId="3" fontId="30" fillId="28" borderId="73" xfId="0" applyNumberFormat="1" applyFont="1" applyFill="1" applyBorder="1"/>
    <xf numFmtId="3" fontId="30" fillId="28" borderId="71" xfId="0" applyNumberFormat="1" applyFont="1" applyFill="1" applyBorder="1"/>
    <xf numFmtId="168" fontId="22" fillId="11" borderId="141" xfId="0" applyNumberFormat="1" applyFont="1" applyFill="1" applyBorder="1"/>
    <xf numFmtId="9" fontId="0" fillId="0" borderId="0" xfId="2" applyFont="1"/>
    <xf numFmtId="14" fontId="20" fillId="7" borderId="146" xfId="0" applyNumberFormat="1" applyFont="1" applyFill="1" applyBorder="1" applyAlignment="1">
      <alignment horizontal="center"/>
    </xf>
    <xf numFmtId="9" fontId="53" fillId="17" borderId="87" xfId="0" applyNumberFormat="1" applyFont="1" applyFill="1" applyBorder="1"/>
    <xf numFmtId="9" fontId="63" fillId="16" borderId="4" xfId="0" applyNumberFormat="1" applyFont="1" applyFill="1" applyBorder="1" applyAlignment="1">
      <alignment horizontal="center"/>
    </xf>
    <xf numFmtId="14" fontId="53" fillId="17" borderId="0" xfId="0" applyNumberFormat="1" applyFont="1" applyFill="1"/>
    <xf numFmtId="9" fontId="32" fillId="24" borderId="146" xfId="0" applyNumberFormat="1" applyFont="1" applyFill="1" applyBorder="1" applyAlignment="1">
      <alignment horizontal="center" vertical="center"/>
    </xf>
    <xf numFmtId="0" fontId="64" fillId="11" borderId="68" xfId="0" applyFont="1" applyFill="1" applyBorder="1" applyAlignment="1">
      <alignment horizontal="center" vertical="center"/>
    </xf>
    <xf numFmtId="3" fontId="28" fillId="11" borderId="143" xfId="0" applyNumberFormat="1" applyFont="1" applyFill="1" applyBorder="1" applyAlignment="1">
      <alignment horizontal="center" vertical="center"/>
    </xf>
    <xf numFmtId="164" fontId="0" fillId="17" borderId="4" xfId="1" applyNumberFormat="1" applyFont="1" applyFill="1" applyBorder="1"/>
    <xf numFmtId="4" fontId="0" fillId="17" borderId="4" xfId="0" applyNumberFormat="1" applyFill="1" applyBorder="1"/>
    <xf numFmtId="168" fontId="0" fillId="17" borderId="4" xfId="0" applyNumberFormat="1" applyFill="1" applyBorder="1"/>
    <xf numFmtId="165" fontId="64" fillId="17" borderId="4" xfId="0" applyNumberFormat="1" applyFont="1" applyFill="1" applyBorder="1" applyAlignment="1">
      <alignment horizontal="center"/>
    </xf>
    <xf numFmtId="9" fontId="32" fillId="17" borderId="4" xfId="0" applyNumberFormat="1" applyFont="1" applyFill="1" applyBorder="1" applyAlignment="1">
      <alignment horizontal="center" vertical="center"/>
    </xf>
    <xf numFmtId="0" fontId="34" fillId="17" borderId="4" xfId="0" applyFont="1" applyFill="1" applyBorder="1" applyAlignment="1">
      <alignment horizontal="center" vertical="center"/>
    </xf>
    <xf numFmtId="165" fontId="34" fillId="17" borderId="4" xfId="0" applyNumberFormat="1" applyFont="1" applyFill="1" applyBorder="1" applyAlignment="1">
      <alignment horizontal="center" vertical="center"/>
    </xf>
    <xf numFmtId="3" fontId="44" fillId="42" borderId="214" xfId="0" applyNumberFormat="1" applyFont="1" applyFill="1" applyBorder="1"/>
    <xf numFmtId="14" fontId="20" fillId="17" borderId="240" xfId="0" applyNumberFormat="1" applyFont="1" applyFill="1" applyBorder="1"/>
    <xf numFmtId="0" fontId="20" fillId="17" borderId="0" xfId="0" applyFont="1" applyFill="1"/>
    <xf numFmtId="0" fontId="0" fillId="17" borderId="59" xfId="0" applyFill="1" applyBorder="1"/>
    <xf numFmtId="164" fontId="0" fillId="0" borderId="4" xfId="1" applyNumberFormat="1" applyFont="1" applyBorder="1"/>
    <xf numFmtId="4" fontId="0" fillId="0" borderId="4" xfId="0" applyNumberFormat="1" applyBorder="1"/>
    <xf numFmtId="168" fontId="0" fillId="0" borderId="4" xfId="0" applyNumberFormat="1" applyBorder="1"/>
    <xf numFmtId="165" fontId="64" fillId="2" borderId="4" xfId="0" applyNumberFormat="1" applyFont="1" applyFill="1" applyBorder="1" applyAlignment="1">
      <alignment horizontal="center"/>
    </xf>
    <xf numFmtId="9" fontId="32" fillId="0" borderId="4" xfId="0" applyNumberFormat="1" applyFont="1" applyBorder="1" applyAlignment="1">
      <alignment horizontal="center" vertical="center"/>
    </xf>
    <xf numFmtId="0" fontId="34" fillId="0" borderId="4" xfId="0" applyFont="1" applyBorder="1" applyAlignment="1">
      <alignment horizontal="center" vertical="center"/>
    </xf>
    <xf numFmtId="165" fontId="34" fillId="0" borderId="4" xfId="0" applyNumberFormat="1" applyFont="1" applyBorder="1" applyAlignment="1">
      <alignment horizontal="center" vertical="center"/>
    </xf>
    <xf numFmtId="3" fontId="44" fillId="28" borderId="241" xfId="0" applyNumberFormat="1" applyFont="1" applyFill="1" applyBorder="1"/>
    <xf numFmtId="14" fontId="53" fillId="16" borderId="23" xfId="0" applyNumberFormat="1" applyFont="1" applyFill="1" applyBorder="1"/>
    <xf numFmtId="0" fontId="20" fillId="16" borderId="238" xfId="0" applyFont="1" applyFill="1" applyBorder="1"/>
    <xf numFmtId="0" fontId="0" fillId="16" borderId="239" xfId="0" applyFill="1" applyBorder="1"/>
    <xf numFmtId="165" fontId="21" fillId="0" borderId="4" xfId="0" applyNumberFormat="1" applyFont="1" applyBorder="1" applyAlignment="1">
      <alignment horizontal="center"/>
    </xf>
    <xf numFmtId="14" fontId="53" fillId="16" borderId="242" xfId="0" applyNumberFormat="1" applyFont="1" applyFill="1" applyBorder="1"/>
    <xf numFmtId="0" fontId="53" fillId="16" borderId="243" xfId="0" applyFont="1" applyFill="1" applyBorder="1"/>
    <xf numFmtId="0" fontId="53" fillId="16" borderId="244" xfId="0" applyFont="1" applyFill="1" applyBorder="1"/>
    <xf numFmtId="165" fontId="21" fillId="17" borderId="4" xfId="0" applyNumberFormat="1" applyFont="1" applyFill="1" applyBorder="1" applyAlignment="1">
      <alignment horizontal="center"/>
    </xf>
    <xf numFmtId="0" fontId="53" fillId="16" borderId="238" xfId="0" applyFont="1" applyFill="1" applyBorder="1"/>
    <xf numFmtId="0" fontId="53" fillId="16" borderId="239" xfId="0" applyFont="1" applyFill="1" applyBorder="1"/>
    <xf numFmtId="3" fontId="53" fillId="16" borderId="245" xfId="0" applyNumberFormat="1" applyFont="1" applyFill="1" applyBorder="1"/>
    <xf numFmtId="0" fontId="53" fillId="16" borderId="225" xfId="0" applyFont="1" applyFill="1" applyBorder="1"/>
    <xf numFmtId="0" fontId="53" fillId="16" borderId="246" xfId="0" applyFont="1" applyFill="1" applyBorder="1"/>
    <xf numFmtId="3" fontId="0" fillId="17" borderId="23" xfId="0" applyNumberFormat="1" applyFill="1" applyBorder="1"/>
    <xf numFmtId="0" fontId="0" fillId="17" borderId="238" xfId="0" applyFill="1" applyBorder="1"/>
    <xf numFmtId="0" fontId="0" fillId="17" borderId="239" xfId="0" applyFill="1" applyBorder="1"/>
    <xf numFmtId="4" fontId="0" fillId="7" borderId="4" xfId="0" applyNumberFormat="1" applyFill="1" applyBorder="1"/>
    <xf numFmtId="165" fontId="64" fillId="7" borderId="4" xfId="0" applyNumberFormat="1" applyFont="1" applyFill="1" applyBorder="1" applyAlignment="1">
      <alignment horizontal="center"/>
    </xf>
    <xf numFmtId="3" fontId="53" fillId="16" borderId="23" xfId="0" applyNumberFormat="1" applyFont="1" applyFill="1" applyBorder="1"/>
    <xf numFmtId="0" fontId="0" fillId="16" borderId="238" xfId="0" applyFill="1" applyBorder="1"/>
    <xf numFmtId="3" fontId="0" fillId="17" borderId="245" xfId="0" applyNumberFormat="1" applyFill="1" applyBorder="1"/>
    <xf numFmtId="0" fontId="0" fillId="17" borderId="225" xfId="0" applyFill="1" applyBorder="1"/>
    <xf numFmtId="0" fontId="0" fillId="17" borderId="246" xfId="0" applyFill="1" applyBorder="1"/>
    <xf numFmtId="165" fontId="64" fillId="0" borderId="4" xfId="0" applyNumberFormat="1" applyFont="1" applyBorder="1" applyAlignment="1">
      <alignment horizontal="center"/>
    </xf>
    <xf numFmtId="0" fontId="63" fillId="0" borderId="4" xfId="0" applyFont="1" applyBorder="1" applyAlignment="1">
      <alignment horizontal="center" vertical="center"/>
    </xf>
    <xf numFmtId="165" fontId="53" fillId="0" borderId="4" xfId="0" applyNumberFormat="1" applyFont="1" applyBorder="1" applyAlignment="1">
      <alignment horizontal="center" vertical="center"/>
    </xf>
    <xf numFmtId="3" fontId="20" fillId="28" borderId="218" xfId="0" applyNumberFormat="1" applyFont="1" applyFill="1" applyBorder="1"/>
    <xf numFmtId="9" fontId="51" fillId="17" borderId="4" xfId="0" applyNumberFormat="1" applyFont="1" applyFill="1" applyBorder="1" applyAlignment="1">
      <alignment horizontal="center" vertical="center"/>
    </xf>
    <xf numFmtId="0" fontId="25" fillId="17" borderId="4" xfId="0" applyFont="1" applyFill="1" applyBorder="1" applyAlignment="1">
      <alignment horizontal="center" vertical="center"/>
    </xf>
    <xf numFmtId="165" fontId="0" fillId="17" borderId="4" xfId="0" applyNumberFormat="1" applyFill="1" applyBorder="1" applyAlignment="1">
      <alignment horizontal="center" vertical="center"/>
    </xf>
    <xf numFmtId="9" fontId="44" fillId="16" borderId="71" xfId="0" applyNumberFormat="1" applyFont="1" applyFill="1" applyBorder="1"/>
    <xf numFmtId="165" fontId="0" fillId="17" borderId="87" xfId="0" applyNumberFormat="1" applyFill="1" applyBorder="1"/>
    <xf numFmtId="168" fontId="0" fillId="12" borderId="4" xfId="0" applyNumberFormat="1" applyFill="1" applyBorder="1"/>
    <xf numFmtId="3" fontId="0" fillId="12" borderId="4" xfId="0" applyNumberFormat="1" applyFill="1" applyBorder="1"/>
    <xf numFmtId="3" fontId="44" fillId="10" borderId="247" xfId="0" applyNumberFormat="1" applyFont="1" applyFill="1" applyBorder="1" applyAlignment="1">
      <alignment horizontal="center"/>
    </xf>
    <xf numFmtId="9" fontId="64" fillId="16" borderId="4" xfId="0" applyNumberFormat="1" applyFont="1" applyFill="1" applyBorder="1" applyAlignment="1">
      <alignment horizontal="center"/>
    </xf>
    <xf numFmtId="165" fontId="0" fillId="17" borderId="0" xfId="0" applyNumberFormat="1" applyFill="1"/>
    <xf numFmtId="164" fontId="63" fillId="2" borderId="4" xfId="1" applyNumberFormat="1" applyFont="1" applyFill="1" applyBorder="1"/>
    <xf numFmtId="3" fontId="0" fillId="2" borderId="4" xfId="0" applyNumberFormat="1" applyFill="1" applyBorder="1"/>
    <xf numFmtId="3" fontId="44" fillId="10" borderId="163" xfId="0" applyNumberFormat="1" applyFont="1" applyFill="1" applyBorder="1" applyAlignment="1">
      <alignment horizontal="center"/>
    </xf>
    <xf numFmtId="14" fontId="20" fillId="16" borderId="240" xfId="0" applyNumberFormat="1" applyFont="1" applyFill="1" applyBorder="1"/>
    <xf numFmtId="0" fontId="20" fillId="16" borderId="0" xfId="0" applyFont="1" applyFill="1"/>
    <xf numFmtId="0" fontId="0" fillId="16" borderId="59" xfId="0" applyFill="1" applyBorder="1"/>
    <xf numFmtId="3" fontId="0" fillId="16" borderId="23" xfId="0" applyNumberFormat="1" applyFill="1" applyBorder="1"/>
    <xf numFmtId="3" fontId="0" fillId="16" borderId="240" xfId="0" applyNumberFormat="1" applyFill="1" applyBorder="1"/>
    <xf numFmtId="0" fontId="0" fillId="16" borderId="0" xfId="0" applyFill="1"/>
    <xf numFmtId="3" fontId="0" fillId="16" borderId="245" xfId="0" applyNumberFormat="1" applyFill="1" applyBorder="1"/>
    <xf numFmtId="0" fontId="0" fillId="16" borderId="225" xfId="0" applyFill="1" applyBorder="1"/>
    <xf numFmtId="0" fontId="0" fillId="16" borderId="246" xfId="0" applyFill="1" applyBorder="1"/>
    <xf numFmtId="3" fontId="20" fillId="23" borderId="4" xfId="0" applyNumberFormat="1" applyFont="1" applyFill="1" applyBorder="1" applyAlignment="1">
      <alignment horizontal="center" vertical="center"/>
    </xf>
    <xf numFmtId="0" fontId="20" fillId="23" borderId="4" xfId="0" applyFont="1" applyFill="1" applyBorder="1" applyAlignment="1">
      <alignment horizontal="center" vertical="center"/>
    </xf>
    <xf numFmtId="3" fontId="30" fillId="10" borderId="247" xfId="0" applyNumberFormat="1" applyFont="1" applyFill="1" applyBorder="1" applyAlignment="1">
      <alignment horizontal="center"/>
    </xf>
    <xf numFmtId="3" fontId="30" fillId="10" borderId="163" xfId="0" applyNumberFormat="1" applyFont="1" applyFill="1" applyBorder="1" applyAlignment="1">
      <alignment horizontal="center"/>
    </xf>
    <xf numFmtId="3" fontId="30" fillId="42" borderId="214" xfId="0" applyNumberFormat="1" applyFont="1" applyFill="1" applyBorder="1"/>
    <xf numFmtId="3" fontId="30" fillId="28" borderId="241" xfId="0" applyNumberFormat="1" applyFont="1" applyFill="1" applyBorder="1"/>
    <xf numFmtId="14" fontId="53" fillId="17" borderId="23" xfId="0" applyNumberFormat="1" applyFont="1" applyFill="1" applyBorder="1"/>
    <xf numFmtId="0" fontId="20" fillId="17" borderId="238" xfId="0" applyFont="1" applyFill="1" applyBorder="1"/>
    <xf numFmtId="14" fontId="53" fillId="17" borderId="242" xfId="0" applyNumberFormat="1" applyFont="1" applyFill="1" applyBorder="1"/>
    <xf numFmtId="0" fontId="53" fillId="17" borderId="243" xfId="0" applyFont="1" applyFill="1" applyBorder="1"/>
    <xf numFmtId="0" fontId="53" fillId="17" borderId="244" xfId="0" applyFont="1" applyFill="1" applyBorder="1"/>
    <xf numFmtId="0" fontId="53" fillId="17" borderId="238" xfId="0" applyFont="1" applyFill="1" applyBorder="1"/>
    <xf numFmtId="0" fontId="53" fillId="17" borderId="239" xfId="0" applyFont="1" applyFill="1" applyBorder="1"/>
    <xf numFmtId="3" fontId="53" fillId="17" borderId="245" xfId="0" applyNumberFormat="1" applyFont="1" applyFill="1" applyBorder="1"/>
    <xf numFmtId="0" fontId="53" fillId="17" borderId="225" xfId="0" applyFont="1" applyFill="1" applyBorder="1"/>
    <xf numFmtId="0" fontId="53" fillId="17" borderId="246" xfId="0" applyFont="1" applyFill="1" applyBorder="1"/>
    <xf numFmtId="0" fontId="20" fillId="16" borderId="4" xfId="0" applyFont="1" applyFill="1" applyBorder="1" applyAlignment="1">
      <alignment horizontal="center" vertical="center"/>
    </xf>
    <xf numFmtId="3" fontId="30" fillId="28" borderId="218" xfId="0" applyNumberFormat="1" applyFont="1" applyFill="1" applyBorder="1"/>
    <xf numFmtId="168" fontId="22" fillId="11" borderId="141" xfId="0" applyNumberFormat="1" applyFont="1" applyFill="1" applyBorder="1" applyAlignment="1">
      <alignment horizontal="center"/>
    </xf>
    <xf numFmtId="9" fontId="30" fillId="16" borderId="71" xfId="0" applyNumberFormat="1" applyFont="1" applyFill="1" applyBorder="1"/>
    <xf numFmtId="164" fontId="64" fillId="2" borderId="4" xfId="1" applyNumberFormat="1" applyFont="1" applyFill="1" applyBorder="1"/>
    <xf numFmtId="0" fontId="31" fillId="12" borderId="4" xfId="4" applyFont="1" applyFill="1" applyBorder="1"/>
    <xf numFmtId="168" fontId="23" fillId="17" borderId="4" xfId="0" applyNumberFormat="1" applyFont="1" applyFill="1" applyBorder="1"/>
    <xf numFmtId="9" fontId="21" fillId="17" borderId="4" xfId="0" applyNumberFormat="1" applyFont="1" applyFill="1" applyBorder="1" applyAlignment="1">
      <alignment horizontal="center" vertical="center"/>
    </xf>
    <xf numFmtId="168" fontId="23" fillId="0" borderId="4" xfId="0" applyNumberFormat="1" applyFont="1" applyBorder="1"/>
    <xf numFmtId="9" fontId="21" fillId="0" borderId="4" xfId="0" applyNumberFormat="1" applyFont="1" applyBorder="1" applyAlignment="1">
      <alignment horizontal="center" vertical="center"/>
    </xf>
    <xf numFmtId="3" fontId="0" fillId="17" borderId="240" xfId="0" applyNumberFormat="1" applyFill="1" applyBorder="1"/>
    <xf numFmtId="0" fontId="0" fillId="17" borderId="0" xfId="0" applyFill="1"/>
    <xf numFmtId="9" fontId="30" fillId="17" borderId="4" xfId="0" applyNumberFormat="1" applyFont="1" applyFill="1" applyBorder="1" applyAlignment="1">
      <alignment horizontal="center" vertical="center"/>
    </xf>
    <xf numFmtId="0" fontId="23" fillId="17" borderId="4" xfId="0" applyFont="1" applyFill="1" applyBorder="1" applyAlignment="1">
      <alignment horizontal="center" vertical="center"/>
    </xf>
    <xf numFmtId="165" fontId="23" fillId="17" borderId="4" xfId="0" applyNumberFormat="1" applyFont="1" applyFill="1" applyBorder="1" applyAlignment="1">
      <alignment horizontal="center" vertical="center"/>
    </xf>
    <xf numFmtId="168" fontId="22" fillId="11" borderId="105" xfId="0" applyNumberFormat="1" applyFont="1" applyFill="1" applyBorder="1"/>
    <xf numFmtId="43" fontId="19" fillId="0" borderId="0" xfId="0" applyNumberFormat="1" applyFont="1"/>
    <xf numFmtId="174" fontId="0" fillId="0" borderId="0" xfId="0" applyNumberFormat="1"/>
    <xf numFmtId="165" fontId="21" fillId="16" borderId="4" xfId="0" applyNumberFormat="1" applyFont="1" applyFill="1" applyBorder="1" applyAlignment="1">
      <alignment horizontal="center"/>
    </xf>
    <xf numFmtId="9" fontId="21" fillId="16" borderId="4" xfId="0" applyNumberFormat="1" applyFont="1" applyFill="1" applyBorder="1" applyAlignment="1">
      <alignment horizontal="center" vertical="center"/>
    </xf>
    <xf numFmtId="0" fontId="34" fillId="16" borderId="4" xfId="0" applyFont="1" applyFill="1" applyBorder="1" applyAlignment="1">
      <alignment horizontal="center" vertical="center"/>
    </xf>
    <xf numFmtId="14" fontId="20" fillId="4" borderId="146" xfId="0" applyNumberFormat="1" applyFont="1" applyFill="1" applyBorder="1" applyAlignment="1">
      <alignment horizontal="center"/>
    </xf>
    <xf numFmtId="0" fontId="44" fillId="0" borderId="0" xfId="0" applyFont="1"/>
    <xf numFmtId="168" fontId="21" fillId="16" borderId="141" xfId="0" applyNumberFormat="1" applyFont="1" applyFill="1" applyBorder="1" applyAlignment="1">
      <alignment horizontal="center"/>
    </xf>
    <xf numFmtId="14" fontId="30" fillId="10" borderId="146" xfId="0" applyNumberFormat="1" applyFont="1" applyFill="1" applyBorder="1" applyAlignment="1">
      <alignment horizontal="center"/>
    </xf>
    <xf numFmtId="164" fontId="23" fillId="2" borderId="4" xfId="1" applyNumberFormat="1" applyFont="1" applyFill="1" applyBorder="1"/>
    <xf numFmtId="9" fontId="21" fillId="17" borderId="214" xfId="0" applyNumberFormat="1" applyFont="1" applyFill="1" applyBorder="1" applyAlignment="1">
      <alignment horizontal="center" vertical="center"/>
    </xf>
    <xf numFmtId="14" fontId="0" fillId="0" borderId="167" xfId="0" applyNumberFormat="1" applyBorder="1"/>
    <xf numFmtId="0" fontId="0" fillId="0" borderId="167" xfId="0" applyBorder="1" applyAlignment="1">
      <alignment horizontal="center" vertical="center"/>
    </xf>
    <xf numFmtId="165" fontId="21" fillId="16" borderId="23" xfId="0" applyNumberFormat="1" applyFont="1" applyFill="1" applyBorder="1" applyAlignment="1">
      <alignment horizontal="center"/>
    </xf>
    <xf numFmtId="9" fontId="21" fillId="11" borderId="62" xfId="0" applyNumberFormat="1" applyFont="1" applyFill="1" applyBorder="1" applyAlignment="1">
      <alignment horizontal="center" vertical="center"/>
    </xf>
    <xf numFmtId="0" fontId="34" fillId="17" borderId="239" xfId="0" applyFont="1" applyFill="1" applyBorder="1" applyAlignment="1">
      <alignment horizontal="center" vertical="center"/>
    </xf>
    <xf numFmtId="0" fontId="0" fillId="11" borderId="167" xfId="0" applyFill="1" applyBorder="1"/>
    <xf numFmtId="0" fontId="0" fillId="11" borderId="167" xfId="0" applyFill="1" applyBorder="1" applyAlignment="1">
      <alignment horizontal="center" vertical="center"/>
    </xf>
    <xf numFmtId="9" fontId="21" fillId="11" borderId="63" xfId="0" applyNumberFormat="1" applyFont="1" applyFill="1" applyBorder="1" applyAlignment="1">
      <alignment horizontal="center" vertical="center"/>
    </xf>
    <xf numFmtId="0" fontId="34" fillId="0" borderId="239" xfId="0" applyFont="1" applyBorder="1" applyAlignment="1">
      <alignment horizontal="center" vertical="center"/>
    </xf>
    <xf numFmtId="0" fontId="0" fillId="0" borderId="167" xfId="0" applyBorder="1"/>
    <xf numFmtId="9" fontId="21" fillId="11" borderId="65" xfId="0" applyNumberFormat="1" applyFont="1" applyFill="1" applyBorder="1" applyAlignment="1">
      <alignment horizontal="center" vertical="center"/>
    </xf>
    <xf numFmtId="9" fontId="21" fillId="17" borderId="218" xfId="0" applyNumberFormat="1" applyFont="1" applyFill="1" applyBorder="1" applyAlignment="1">
      <alignment horizontal="center" vertical="center"/>
    </xf>
    <xf numFmtId="14" fontId="28" fillId="17" borderId="23" xfId="0" applyNumberFormat="1" applyFont="1" applyFill="1" applyBorder="1"/>
    <xf numFmtId="14" fontId="53" fillId="17" borderId="245" xfId="0" applyNumberFormat="1" applyFont="1" applyFill="1" applyBorder="1"/>
    <xf numFmtId="0" fontId="20" fillId="17" borderId="225" xfId="0" applyFont="1" applyFill="1" applyBorder="1"/>
    <xf numFmtId="3" fontId="30" fillId="42" borderId="241" xfId="0" applyNumberFormat="1" applyFont="1" applyFill="1" applyBorder="1"/>
    <xf numFmtId="3" fontId="0" fillId="30" borderId="23" xfId="0" applyNumberFormat="1" applyFill="1" applyBorder="1"/>
    <xf numFmtId="0" fontId="0" fillId="30" borderId="238" xfId="0" applyFill="1" applyBorder="1"/>
    <xf numFmtId="0" fontId="0" fillId="30" borderId="239" xfId="0" applyFill="1" applyBorder="1"/>
    <xf numFmtId="43" fontId="23" fillId="17" borderId="4" xfId="1" applyFont="1" applyFill="1" applyBorder="1"/>
    <xf numFmtId="168" fontId="21" fillId="11" borderId="141" xfId="0" applyNumberFormat="1" applyFont="1" applyFill="1" applyBorder="1" applyAlignment="1">
      <alignment horizontal="center"/>
    </xf>
    <xf numFmtId="165" fontId="64" fillId="16" borderId="4" xfId="0" applyNumberFormat="1" applyFont="1" applyFill="1" applyBorder="1" applyAlignment="1">
      <alignment horizontal="center"/>
    </xf>
    <xf numFmtId="3" fontId="30" fillId="42" borderId="4" xfId="0" applyNumberFormat="1" applyFont="1" applyFill="1" applyBorder="1"/>
    <xf numFmtId="9" fontId="21" fillId="11" borderId="4" xfId="0" applyNumberFormat="1" applyFont="1" applyFill="1" applyBorder="1" applyAlignment="1">
      <alignment horizontal="center" vertical="center"/>
    </xf>
    <xf numFmtId="3" fontId="30" fillId="28" borderId="4" xfId="0" applyNumberFormat="1" applyFont="1" applyFill="1" applyBorder="1"/>
    <xf numFmtId="0" fontId="0" fillId="17" borderId="167" xfId="0" applyFill="1" applyBorder="1"/>
    <xf numFmtId="0" fontId="0" fillId="17" borderId="167" xfId="0" applyFill="1" applyBorder="1" applyAlignment="1">
      <alignment horizontal="center" vertical="center"/>
    </xf>
    <xf numFmtId="168" fontId="23" fillId="17" borderId="4" xfId="1" applyNumberFormat="1" applyFont="1" applyFill="1" applyBorder="1"/>
    <xf numFmtId="3" fontId="20" fillId="10" borderId="247" xfId="0" applyNumberFormat="1" applyFont="1" applyFill="1" applyBorder="1" applyAlignment="1">
      <alignment horizontal="center"/>
    </xf>
    <xf numFmtId="9" fontId="28" fillId="16" borderId="4" xfId="0" applyNumberFormat="1" applyFont="1" applyFill="1" applyBorder="1" applyAlignment="1">
      <alignment horizontal="center"/>
    </xf>
    <xf numFmtId="3" fontId="20" fillId="10" borderId="163" xfId="0" applyNumberFormat="1" applyFont="1" applyFill="1" applyBorder="1" applyAlignment="1">
      <alignment horizontal="center"/>
    </xf>
    <xf numFmtId="3" fontId="28" fillId="17" borderId="23" xfId="0" applyNumberFormat="1" applyFont="1" applyFill="1" applyBorder="1" applyAlignment="1">
      <alignment horizontal="left" vertical="center" wrapText="1"/>
    </xf>
    <xf numFmtId="3" fontId="28" fillId="17" borderId="238" xfId="0" applyNumberFormat="1" applyFont="1" applyFill="1" applyBorder="1" applyAlignment="1">
      <alignment horizontal="left" vertical="center" wrapText="1"/>
    </xf>
    <xf numFmtId="3" fontId="28" fillId="17" borderId="248" xfId="0" applyNumberFormat="1" applyFont="1" applyFill="1" applyBorder="1" applyAlignment="1">
      <alignment horizontal="left" vertical="center" wrapText="1"/>
    </xf>
    <xf numFmtId="165" fontId="34" fillId="0" borderId="23" xfId="0" applyNumberFormat="1" applyFont="1" applyBorder="1" applyAlignment="1">
      <alignment horizontal="center" vertical="center"/>
    </xf>
    <xf numFmtId="3" fontId="30" fillId="28" borderId="147" xfId="0" applyNumberFormat="1" applyFont="1" applyFill="1" applyBorder="1"/>
    <xf numFmtId="3" fontId="0" fillId="17" borderId="238" xfId="0" applyNumberFormat="1" applyFill="1" applyBorder="1"/>
    <xf numFmtId="165" fontId="34" fillId="17" borderId="23" xfId="0" applyNumberFormat="1" applyFont="1" applyFill="1" applyBorder="1" applyAlignment="1">
      <alignment horizontal="center" vertical="center"/>
    </xf>
    <xf numFmtId="3" fontId="30" fillId="28" borderId="167" xfId="0" applyNumberFormat="1" applyFont="1" applyFill="1" applyBorder="1"/>
    <xf numFmtId="3" fontId="0" fillId="17" borderId="225" xfId="0" applyNumberFormat="1" applyFill="1" applyBorder="1"/>
    <xf numFmtId="3" fontId="0" fillId="8" borderId="23" xfId="0" applyNumberFormat="1" applyFill="1" applyBorder="1"/>
    <xf numFmtId="0" fontId="0" fillId="8" borderId="238" xfId="0" applyFill="1" applyBorder="1"/>
    <xf numFmtId="0" fontId="0" fillId="8" borderId="239" xfId="0" applyFill="1" applyBorder="1"/>
    <xf numFmtId="168" fontId="64" fillId="11" borderId="141" xfId="0" applyNumberFormat="1" applyFont="1" applyFill="1" applyBorder="1" applyAlignment="1">
      <alignment horizontal="center"/>
    </xf>
    <xf numFmtId="165" fontId="28" fillId="16" borderId="4" xfId="0" applyNumberFormat="1" applyFont="1" applyFill="1" applyBorder="1" applyAlignment="1">
      <alignment horizontal="center"/>
    </xf>
    <xf numFmtId="3" fontId="20" fillId="42" borderId="214" xfId="0" applyNumberFormat="1" applyFont="1" applyFill="1" applyBorder="1"/>
    <xf numFmtId="0" fontId="0" fillId="28" borderId="167" xfId="0" applyFill="1" applyBorder="1"/>
    <xf numFmtId="0" fontId="0" fillId="28" borderId="167" xfId="0" applyFill="1" applyBorder="1" applyAlignment="1">
      <alignment horizontal="center" vertical="center"/>
    </xf>
    <xf numFmtId="3" fontId="30" fillId="28" borderId="83" xfId="0" applyNumberFormat="1" applyFont="1" applyFill="1" applyBorder="1"/>
    <xf numFmtId="3" fontId="0" fillId="30" borderId="4" xfId="0" applyNumberFormat="1" applyFill="1" applyBorder="1"/>
    <xf numFmtId="0" fontId="0" fillId="30" borderId="4" xfId="0" applyFill="1" applyBorder="1"/>
    <xf numFmtId="168" fontId="28" fillId="11" borderId="141" xfId="0" applyNumberFormat="1" applyFont="1" applyFill="1" applyBorder="1" applyAlignment="1">
      <alignment horizontal="center"/>
    </xf>
    <xf numFmtId="9" fontId="20" fillId="16" borderId="71" xfId="0" applyNumberFormat="1" applyFont="1" applyFill="1" applyBorder="1"/>
    <xf numFmtId="3" fontId="20" fillId="42" borderId="167" xfId="0" applyNumberFormat="1" applyFont="1" applyFill="1" applyBorder="1"/>
    <xf numFmtId="14" fontId="53" fillId="17" borderId="238" xfId="0" applyNumberFormat="1" applyFont="1" applyFill="1" applyBorder="1"/>
    <xf numFmtId="14" fontId="0" fillId="28" borderId="167" xfId="0" applyNumberFormat="1" applyFill="1" applyBorder="1"/>
    <xf numFmtId="3" fontId="0" fillId="17" borderId="4" xfId="0" applyNumberFormat="1" applyFill="1" applyBorder="1"/>
    <xf numFmtId="14" fontId="0" fillId="28" borderId="4" xfId="0" applyNumberFormat="1" applyFill="1" applyBorder="1"/>
    <xf numFmtId="164" fontId="0" fillId="28" borderId="4" xfId="1" applyNumberFormat="1" applyFont="1" applyFill="1" applyBorder="1"/>
    <xf numFmtId="4" fontId="0" fillId="28" borderId="4" xfId="0" applyNumberFormat="1" applyFill="1" applyBorder="1"/>
    <xf numFmtId="168" fontId="23" fillId="28" borderId="4" xfId="0" applyNumberFormat="1" applyFont="1" applyFill="1" applyBorder="1"/>
    <xf numFmtId="0" fontId="0" fillId="10" borderId="167" xfId="0" applyFill="1" applyBorder="1"/>
    <xf numFmtId="0" fontId="0" fillId="10" borderId="167" xfId="0" applyFill="1" applyBorder="1" applyAlignment="1">
      <alignment horizontal="center" vertical="center"/>
    </xf>
    <xf numFmtId="165" fontId="21" fillId="28" borderId="4" xfId="0" applyNumberFormat="1" applyFont="1" applyFill="1" applyBorder="1" applyAlignment="1">
      <alignment horizontal="center"/>
    </xf>
    <xf numFmtId="9" fontId="21" fillId="28" borderId="4" xfId="0" applyNumberFormat="1" applyFont="1" applyFill="1" applyBorder="1" applyAlignment="1">
      <alignment horizontal="center" vertical="center"/>
    </xf>
    <xf numFmtId="0" fontId="34" fillId="28" borderId="4" xfId="0" applyFont="1" applyFill="1" applyBorder="1" applyAlignment="1">
      <alignment horizontal="center" vertical="center"/>
    </xf>
    <xf numFmtId="165" fontId="34" fillId="28" borderId="4" xfId="0" applyNumberFormat="1" applyFont="1" applyFill="1" applyBorder="1" applyAlignment="1">
      <alignment horizontal="center" vertical="center"/>
    </xf>
    <xf numFmtId="43" fontId="23" fillId="0" borderId="4" xfId="1" applyFont="1" applyBorder="1"/>
    <xf numFmtId="9" fontId="30" fillId="0" borderId="4" xfId="0" applyNumberFormat="1" applyFont="1" applyBorder="1" applyAlignment="1">
      <alignment horizontal="center" vertical="center"/>
    </xf>
    <xf numFmtId="0" fontId="23" fillId="0" borderId="4" xfId="0" applyFont="1" applyBorder="1" applyAlignment="1">
      <alignment horizontal="center" vertical="center"/>
    </xf>
    <xf numFmtId="165" fontId="23" fillId="0" borderId="4" xfId="0" applyNumberFormat="1" applyFont="1" applyBorder="1" applyAlignment="1">
      <alignment horizontal="center" vertical="center"/>
    </xf>
    <xf numFmtId="165" fontId="21" fillId="7" borderId="4" xfId="0" applyNumberFormat="1" applyFont="1" applyFill="1" applyBorder="1" applyAlignment="1">
      <alignment horizontal="center"/>
    </xf>
    <xf numFmtId="3" fontId="44" fillId="42" borderId="4" xfId="0" applyNumberFormat="1" applyFont="1" applyFill="1" applyBorder="1"/>
    <xf numFmtId="14" fontId="20" fillId="0" borderId="4" xfId="0" applyNumberFormat="1" applyFont="1" applyBorder="1"/>
    <xf numFmtId="164" fontId="20" fillId="0" borderId="4" xfId="1" applyNumberFormat="1" applyFont="1" applyBorder="1"/>
    <xf numFmtId="4" fontId="20" fillId="0" borderId="4" xfId="0" applyNumberFormat="1" applyFont="1" applyBorder="1"/>
    <xf numFmtId="168" fontId="30" fillId="0" borderId="4" xfId="0" applyNumberFormat="1" applyFont="1" applyBorder="1"/>
    <xf numFmtId="14" fontId="28" fillId="17" borderId="23" xfId="0" applyNumberFormat="1" applyFont="1" applyFill="1" applyBorder="1" applyAlignment="1">
      <alignment horizontal="left"/>
    </xf>
    <xf numFmtId="14" fontId="20" fillId="28" borderId="4" xfId="0" applyNumberFormat="1" applyFont="1" applyFill="1" applyBorder="1"/>
    <xf numFmtId="164" fontId="20" fillId="28" borderId="4" xfId="1" applyNumberFormat="1" applyFont="1" applyFill="1" applyBorder="1"/>
    <xf numFmtId="4" fontId="20" fillId="28" borderId="4" xfId="0" applyNumberFormat="1" applyFont="1" applyFill="1" applyBorder="1"/>
    <xf numFmtId="168" fontId="30" fillId="28" borderId="4" xfId="0" applyNumberFormat="1" applyFont="1" applyFill="1" applyBorder="1"/>
    <xf numFmtId="14" fontId="44" fillId="38" borderId="4" xfId="0" applyNumberFormat="1" applyFont="1" applyFill="1" applyBorder="1"/>
    <xf numFmtId="164" fontId="44" fillId="38" borderId="4" xfId="1" applyNumberFormat="1" applyFont="1" applyFill="1" applyBorder="1"/>
    <xf numFmtId="4" fontId="44" fillId="38" borderId="4" xfId="0" applyNumberFormat="1" applyFont="1" applyFill="1" applyBorder="1"/>
    <xf numFmtId="168" fontId="44" fillId="38" borderId="4" xfId="0" applyNumberFormat="1" applyFont="1" applyFill="1" applyBorder="1"/>
    <xf numFmtId="14" fontId="0" fillId="17" borderId="167" xfId="0" applyNumberFormat="1" applyFill="1" applyBorder="1"/>
    <xf numFmtId="168" fontId="20" fillId="0" borderId="4" xfId="0" applyNumberFormat="1" applyFont="1" applyBorder="1"/>
    <xf numFmtId="14" fontId="33" fillId="17" borderId="23" xfId="0" applyNumberFormat="1" applyFont="1" applyFill="1" applyBorder="1" applyAlignment="1">
      <alignment horizontal="left"/>
    </xf>
    <xf numFmtId="14" fontId="33" fillId="17" borderId="238" xfId="0" applyNumberFormat="1" applyFont="1" applyFill="1" applyBorder="1" applyAlignment="1">
      <alignment horizontal="left"/>
    </xf>
    <xf numFmtId="14" fontId="33" fillId="17" borderId="248" xfId="0" applyNumberFormat="1" applyFont="1" applyFill="1" applyBorder="1" applyAlignment="1">
      <alignment horizontal="left"/>
    </xf>
    <xf numFmtId="14" fontId="28" fillId="17" borderId="238" xfId="0" applyNumberFormat="1" applyFont="1" applyFill="1" applyBorder="1" applyAlignment="1">
      <alignment horizontal="left"/>
    </xf>
    <xf numFmtId="14" fontId="28" fillId="17" borderId="248" xfId="0" applyNumberFormat="1" applyFont="1" applyFill="1" applyBorder="1" applyAlignment="1">
      <alignment horizontal="left"/>
    </xf>
    <xf numFmtId="14" fontId="53" fillId="17" borderId="23" xfId="0" applyNumberFormat="1" applyFont="1" applyFill="1" applyBorder="1" applyAlignment="1">
      <alignment horizontal="left"/>
    </xf>
    <xf numFmtId="14" fontId="53" fillId="17" borderId="238" xfId="0" applyNumberFormat="1" applyFont="1" applyFill="1" applyBorder="1" applyAlignment="1">
      <alignment horizontal="left"/>
    </xf>
    <xf numFmtId="14" fontId="53" fillId="17" borderId="248" xfId="0" applyNumberFormat="1" applyFont="1" applyFill="1" applyBorder="1" applyAlignment="1">
      <alignment horizontal="left"/>
    </xf>
    <xf numFmtId="3" fontId="30" fillId="10" borderId="249" xfId="0" applyNumberFormat="1" applyFont="1" applyFill="1" applyBorder="1" applyAlignment="1">
      <alignment horizontal="center"/>
    </xf>
    <xf numFmtId="14" fontId="44" fillId="2" borderId="4" xfId="0" applyNumberFormat="1" applyFont="1" applyFill="1" applyBorder="1"/>
    <xf numFmtId="164" fontId="44" fillId="2" borderId="4" xfId="1" applyNumberFormat="1" applyFont="1" applyFill="1" applyBorder="1"/>
    <xf numFmtId="4" fontId="44" fillId="2" borderId="4" xfId="0" applyNumberFormat="1" applyFont="1" applyFill="1" applyBorder="1"/>
    <xf numFmtId="168" fontId="44" fillId="2" borderId="4" xfId="0" applyNumberFormat="1" applyFont="1" applyFill="1" applyBorder="1"/>
    <xf numFmtId="14" fontId="0" fillId="7" borderId="167" xfId="0" applyNumberFormat="1" applyFill="1" applyBorder="1"/>
    <xf numFmtId="164" fontId="44" fillId="42" borderId="214" xfId="1" applyNumberFormat="1" applyFont="1" applyFill="1" applyBorder="1"/>
    <xf numFmtId="167" fontId="20" fillId="23" borderId="4" xfId="0" applyNumberFormat="1" applyFont="1" applyFill="1" applyBorder="1" applyAlignment="1">
      <alignment horizontal="center" vertical="center"/>
    </xf>
    <xf numFmtId="14" fontId="0" fillId="44" borderId="4" xfId="0" applyNumberFormat="1" applyFill="1" applyBorder="1"/>
    <xf numFmtId="164" fontId="0" fillId="44" borderId="4" xfId="1" applyNumberFormat="1" applyFont="1" applyFill="1" applyBorder="1"/>
    <xf numFmtId="4" fontId="0" fillId="44" borderId="4" xfId="0" applyNumberFormat="1" applyFill="1" applyBorder="1"/>
    <xf numFmtId="168" fontId="23" fillId="44" borderId="4" xfId="0" applyNumberFormat="1" applyFont="1" applyFill="1" applyBorder="1"/>
    <xf numFmtId="9" fontId="21" fillId="44" borderId="4" xfId="0" applyNumberFormat="1" applyFont="1" applyFill="1" applyBorder="1" applyAlignment="1">
      <alignment horizontal="center" vertical="center"/>
    </xf>
    <xf numFmtId="0" fontId="34" fillId="44" borderId="4" xfId="0" applyFont="1" applyFill="1" applyBorder="1" applyAlignment="1">
      <alignment horizontal="center" vertical="center"/>
    </xf>
    <xf numFmtId="165" fontId="34" fillId="44" borderId="4" xfId="0" applyNumberFormat="1" applyFont="1" applyFill="1" applyBorder="1" applyAlignment="1">
      <alignment horizontal="center" vertical="center"/>
    </xf>
    <xf numFmtId="14" fontId="0" fillId="44" borderId="167" xfId="0" applyNumberFormat="1" applyFill="1" applyBorder="1"/>
    <xf numFmtId="0" fontId="0" fillId="44" borderId="167" xfId="0" applyFill="1" applyBorder="1" applyAlignment="1">
      <alignment horizontal="center" vertical="center"/>
    </xf>
    <xf numFmtId="0" fontId="20" fillId="23" borderId="164" xfId="0" applyFont="1" applyFill="1" applyBorder="1" applyAlignment="1">
      <alignment horizontal="center" vertical="center"/>
    </xf>
    <xf numFmtId="0" fontId="20" fillId="16" borderId="4" xfId="0" applyFont="1" applyFill="1" applyBorder="1"/>
    <xf numFmtId="169" fontId="25" fillId="0" borderId="214" xfId="0" applyNumberFormat="1" applyFont="1" applyBorder="1"/>
    <xf numFmtId="0" fontId="0" fillId="0" borderId="243" xfId="0" applyBorder="1"/>
    <xf numFmtId="0" fontId="0" fillId="0" borderId="214" xfId="0" applyBorder="1"/>
    <xf numFmtId="169" fontId="0" fillId="0" borderId="0" xfId="0" applyNumberFormat="1"/>
    <xf numFmtId="14" fontId="0" fillId="21" borderId="4" xfId="0" applyNumberFormat="1" applyFill="1" applyBorder="1"/>
    <xf numFmtId="164" fontId="0" fillId="21" borderId="4" xfId="1" applyNumberFormat="1" applyFont="1" applyFill="1" applyBorder="1"/>
    <xf numFmtId="4" fontId="0" fillId="21" borderId="4" xfId="0" applyNumberFormat="1" applyFill="1" applyBorder="1"/>
    <xf numFmtId="168" fontId="23" fillId="21" borderId="4" xfId="0" applyNumberFormat="1" applyFont="1" applyFill="1" applyBorder="1"/>
    <xf numFmtId="9" fontId="21" fillId="21" borderId="4" xfId="0" applyNumberFormat="1" applyFont="1" applyFill="1" applyBorder="1" applyAlignment="1">
      <alignment horizontal="center" vertical="center"/>
    </xf>
    <xf numFmtId="0" fontId="34" fillId="21" borderId="4" xfId="0" applyFont="1" applyFill="1" applyBorder="1" applyAlignment="1">
      <alignment horizontal="center" vertical="center"/>
    </xf>
    <xf numFmtId="165" fontId="34" fillId="21" borderId="4" xfId="0" applyNumberFormat="1" applyFont="1" applyFill="1" applyBorder="1" applyAlignment="1">
      <alignment horizontal="center" vertical="center"/>
    </xf>
    <xf numFmtId="4" fontId="0" fillId="0" borderId="241" xfId="0" applyNumberFormat="1" applyBorder="1"/>
    <xf numFmtId="0" fontId="0" fillId="0" borderId="241" xfId="0" applyBorder="1"/>
    <xf numFmtId="9" fontId="21" fillId="8" borderId="4" xfId="0" applyNumberFormat="1" applyFont="1" applyFill="1" applyBorder="1" applyAlignment="1">
      <alignment horizontal="center"/>
    </xf>
    <xf numFmtId="169" fontId="0" fillId="0" borderId="241" xfId="0" applyNumberFormat="1" applyBorder="1"/>
    <xf numFmtId="168" fontId="25" fillId="0" borderId="218" xfId="0" applyNumberFormat="1" applyFont="1" applyBorder="1"/>
    <xf numFmtId="0" fontId="0" fillId="0" borderId="225" xfId="0" applyBorder="1"/>
    <xf numFmtId="0" fontId="0" fillId="0" borderId="218" xfId="0" applyBorder="1"/>
    <xf numFmtId="169" fontId="25" fillId="16" borderId="29" xfId="0" applyNumberFormat="1" applyFont="1" applyFill="1" applyBorder="1"/>
    <xf numFmtId="0" fontId="0" fillId="16" borderId="14" xfId="0" applyFill="1" applyBorder="1"/>
    <xf numFmtId="0" fontId="20" fillId="16" borderId="147" xfId="0" applyFont="1" applyFill="1" applyBorder="1"/>
    <xf numFmtId="0" fontId="20" fillId="16" borderId="243" xfId="0" applyFont="1" applyFill="1" applyBorder="1"/>
    <xf numFmtId="0" fontId="20" fillId="16" borderId="164" xfId="0" applyFont="1" applyFill="1" applyBorder="1"/>
    <xf numFmtId="0" fontId="0" fillId="0" borderId="147" xfId="0" applyBorder="1"/>
    <xf numFmtId="0" fontId="0" fillId="0" borderId="229" xfId="0" applyBorder="1"/>
    <xf numFmtId="0" fontId="0" fillId="0" borderId="164" xfId="0" applyBorder="1"/>
    <xf numFmtId="43" fontId="0" fillId="0" borderId="0" xfId="1" applyFont="1"/>
    <xf numFmtId="9" fontId="21" fillId="11" borderId="4" xfId="0" applyNumberFormat="1" applyFont="1" applyFill="1" applyBorder="1" applyAlignment="1">
      <alignment horizontal="center"/>
    </xf>
    <xf numFmtId="165" fontId="34" fillId="12" borderId="4" xfId="0" applyNumberFormat="1" applyFont="1" applyFill="1" applyBorder="1" applyAlignment="1">
      <alignment horizontal="center" vertical="center"/>
    </xf>
    <xf numFmtId="9" fontId="21" fillId="15" borderId="4" xfId="0" applyNumberFormat="1" applyFont="1" applyFill="1" applyBorder="1" applyAlignment="1">
      <alignment horizontal="center" vertical="center"/>
    </xf>
    <xf numFmtId="14" fontId="0" fillId="21" borderId="167" xfId="0" applyNumberFormat="1" applyFill="1" applyBorder="1"/>
    <xf numFmtId="0" fontId="0" fillId="21" borderId="167" xfId="0" applyFill="1" applyBorder="1" applyAlignment="1">
      <alignment horizontal="center" vertical="center"/>
    </xf>
    <xf numFmtId="9" fontId="64" fillId="7" borderId="4" xfId="0" applyNumberFormat="1" applyFont="1" applyFill="1" applyBorder="1" applyAlignment="1">
      <alignment horizontal="center"/>
    </xf>
    <xf numFmtId="3" fontId="20" fillId="42" borderId="4" xfId="0" applyNumberFormat="1" applyFont="1" applyFill="1" applyBorder="1"/>
    <xf numFmtId="14" fontId="23" fillId="27" borderId="4" xfId="0" applyNumberFormat="1" applyFont="1" applyFill="1" applyBorder="1"/>
    <xf numFmtId="14" fontId="0" fillId="16" borderId="167" xfId="0" applyNumberFormat="1" applyFill="1" applyBorder="1"/>
    <xf numFmtId="0" fontId="0" fillId="16" borderId="167" xfId="0" applyFill="1" applyBorder="1" applyAlignment="1">
      <alignment horizontal="center" vertical="center"/>
    </xf>
    <xf numFmtId="14" fontId="0" fillId="27" borderId="4" xfId="0" applyNumberFormat="1" applyFill="1" applyBorder="1"/>
    <xf numFmtId="14" fontId="0" fillId="16" borderId="147" xfId="0" applyNumberFormat="1" applyFill="1" applyBorder="1"/>
    <xf numFmtId="0" fontId="0" fillId="16" borderId="147" xfId="0" applyFill="1" applyBorder="1" applyAlignment="1">
      <alignment horizontal="center" vertical="center"/>
    </xf>
    <xf numFmtId="14" fontId="0" fillId="13" borderId="4" xfId="0" applyNumberFormat="1" applyFill="1" applyBorder="1"/>
    <xf numFmtId="3" fontId="30" fillId="2" borderId="250" xfId="0" applyNumberFormat="1" applyFont="1" applyFill="1" applyBorder="1" applyAlignment="1">
      <alignment horizontal="center"/>
    </xf>
    <xf numFmtId="3" fontId="30" fillId="2" borderId="249" xfId="0" applyNumberFormat="1" applyFont="1" applyFill="1" applyBorder="1" applyAlignment="1">
      <alignment horizontal="center"/>
    </xf>
    <xf numFmtId="9" fontId="21" fillId="7" borderId="4" xfId="0" applyNumberFormat="1" applyFont="1" applyFill="1" applyBorder="1" applyAlignment="1">
      <alignment horizontal="center"/>
    </xf>
    <xf numFmtId="14" fontId="0" fillId="17" borderId="147" xfId="0" applyNumberFormat="1" applyFill="1" applyBorder="1"/>
    <xf numFmtId="0" fontId="0" fillId="17" borderId="147" xfId="0" applyFill="1" applyBorder="1" applyAlignment="1">
      <alignment horizontal="center" vertical="center"/>
    </xf>
    <xf numFmtId="0" fontId="34" fillId="11" borderId="4" xfId="0" applyFont="1" applyFill="1" applyBorder="1" applyAlignment="1">
      <alignment horizontal="center" vertical="center"/>
    </xf>
    <xf numFmtId="165" fontId="34" fillId="11" borderId="4" xfId="0" applyNumberFormat="1" applyFont="1" applyFill="1" applyBorder="1" applyAlignment="1">
      <alignment horizontal="center" vertical="center"/>
    </xf>
    <xf numFmtId="3" fontId="20" fillId="42" borderId="218" xfId="0" applyNumberFormat="1" applyFont="1" applyFill="1" applyBorder="1"/>
    <xf numFmtId="168" fontId="64" fillId="2" borderId="141" xfId="0" applyNumberFormat="1" applyFont="1" applyFill="1" applyBorder="1" applyAlignment="1">
      <alignment horizontal="center"/>
    </xf>
    <xf numFmtId="9" fontId="44" fillId="2" borderId="71" xfId="0" applyNumberFormat="1" applyFont="1" applyFill="1" applyBorder="1"/>
    <xf numFmtId="9" fontId="21" fillId="38" borderId="4" xfId="0" applyNumberFormat="1" applyFont="1" applyFill="1" applyBorder="1" applyAlignment="1">
      <alignment horizontal="center"/>
    </xf>
    <xf numFmtId="14" fontId="0" fillId="0" borderId="230" xfId="0" applyNumberFormat="1" applyBorder="1"/>
    <xf numFmtId="165" fontId="34" fillId="24" borderId="4" xfId="0" applyNumberFormat="1" applyFont="1" applyFill="1" applyBorder="1" applyAlignment="1">
      <alignment horizontal="center" vertical="center"/>
    </xf>
    <xf numFmtId="9" fontId="21" fillId="38" borderId="4" xfId="0" applyNumberFormat="1" applyFont="1" applyFill="1" applyBorder="1" applyAlignment="1">
      <alignment horizontal="center" vertical="center"/>
    </xf>
    <xf numFmtId="14" fontId="0" fillId="0" borderId="23" xfId="0" applyNumberFormat="1" applyBorder="1"/>
    <xf numFmtId="14" fontId="28" fillId="6" borderId="23" xfId="0" applyNumberFormat="1" applyFont="1" applyFill="1" applyBorder="1" applyAlignment="1">
      <alignment horizontal="left"/>
    </xf>
    <xf numFmtId="14" fontId="53" fillId="6" borderId="238" xfId="0" applyNumberFormat="1" applyFont="1" applyFill="1" applyBorder="1" applyAlignment="1">
      <alignment horizontal="left"/>
    </xf>
    <xf numFmtId="14" fontId="53" fillId="6" borderId="248" xfId="0" applyNumberFormat="1" applyFont="1" applyFill="1" applyBorder="1" applyAlignment="1">
      <alignment horizontal="left"/>
    </xf>
    <xf numFmtId="14" fontId="0" fillId="0" borderId="164" xfId="0" applyNumberFormat="1" applyBorder="1"/>
    <xf numFmtId="9" fontId="21" fillId="13" borderId="4" xfId="0" applyNumberFormat="1" applyFont="1" applyFill="1" applyBorder="1" applyAlignment="1">
      <alignment horizontal="center" vertical="center"/>
    </xf>
    <xf numFmtId="0" fontId="34" fillId="13" borderId="4" xfId="0" applyFont="1" applyFill="1" applyBorder="1" applyAlignment="1">
      <alignment horizontal="center" vertical="center"/>
    </xf>
    <xf numFmtId="165" fontId="34" fillId="13" borderId="4" xfId="0" applyNumberFormat="1" applyFont="1" applyFill="1" applyBorder="1" applyAlignment="1">
      <alignment horizontal="center" vertical="center"/>
    </xf>
    <xf numFmtId="168" fontId="21" fillId="2" borderId="141" xfId="0" applyNumberFormat="1" applyFont="1" applyFill="1" applyBorder="1" applyAlignment="1">
      <alignment horizontal="center"/>
    </xf>
    <xf numFmtId="9" fontId="21" fillId="44" borderId="214" xfId="0" applyNumberFormat="1" applyFont="1" applyFill="1" applyBorder="1" applyAlignment="1">
      <alignment horizontal="center" vertical="center"/>
    </xf>
    <xf numFmtId="9" fontId="21" fillId="16" borderId="23" xfId="0" applyNumberFormat="1" applyFont="1" applyFill="1" applyBorder="1" applyAlignment="1">
      <alignment horizontal="center"/>
    </xf>
    <xf numFmtId="9" fontId="21" fillId="15" borderId="62" xfId="0" applyNumberFormat="1" applyFont="1" applyFill="1" applyBorder="1" applyAlignment="1">
      <alignment horizontal="center" vertical="center"/>
    </xf>
    <xf numFmtId="0" fontId="34" fillId="21" borderId="239" xfId="0" applyFont="1" applyFill="1" applyBorder="1" applyAlignment="1">
      <alignment horizontal="center" vertical="center"/>
    </xf>
    <xf numFmtId="9" fontId="21" fillId="38" borderId="63" xfId="0" applyNumberFormat="1" applyFont="1" applyFill="1" applyBorder="1" applyAlignment="1">
      <alignment horizontal="center" vertical="center"/>
    </xf>
    <xf numFmtId="0" fontId="34" fillId="44" borderId="239" xfId="0" applyFont="1" applyFill="1" applyBorder="1" applyAlignment="1">
      <alignment horizontal="center" vertical="center"/>
    </xf>
    <xf numFmtId="9" fontId="21" fillId="15" borderId="63" xfId="0" applyNumberFormat="1" applyFont="1" applyFill="1" applyBorder="1" applyAlignment="1">
      <alignment horizontal="center" vertical="center"/>
    </xf>
    <xf numFmtId="9" fontId="21" fillId="2" borderId="23" xfId="0" applyNumberFormat="1" applyFont="1" applyFill="1" applyBorder="1" applyAlignment="1">
      <alignment horizontal="center"/>
    </xf>
    <xf numFmtId="9" fontId="21" fillId="15" borderId="65" xfId="0" applyNumberFormat="1" applyFont="1" applyFill="1" applyBorder="1" applyAlignment="1">
      <alignment horizontal="center" vertical="center"/>
    </xf>
    <xf numFmtId="9" fontId="21" fillId="2" borderId="4" xfId="0" applyNumberFormat="1" applyFont="1" applyFill="1" applyBorder="1" applyAlignment="1">
      <alignment horizontal="center"/>
    </xf>
    <xf numFmtId="9" fontId="21" fillId="44" borderId="218" xfId="0" applyNumberFormat="1" applyFont="1" applyFill="1" applyBorder="1" applyAlignment="1">
      <alignment horizontal="center" vertical="center"/>
    </xf>
    <xf numFmtId="0" fontId="20" fillId="34" borderId="4" xfId="0" applyFont="1" applyFill="1" applyBorder="1"/>
    <xf numFmtId="0" fontId="0" fillId="34" borderId="4" xfId="0" applyFill="1" applyBorder="1"/>
    <xf numFmtId="14" fontId="0" fillId="7" borderId="4" xfId="0" applyNumberFormat="1" applyFill="1" applyBorder="1"/>
    <xf numFmtId="164" fontId="0" fillId="7" borderId="4" xfId="1" applyNumberFormat="1" applyFont="1" applyFill="1" applyBorder="1"/>
    <xf numFmtId="0" fontId="0" fillId="0" borderId="23" xfId="0" applyBorder="1" applyAlignment="1">
      <alignment horizontal="center" vertical="center"/>
    </xf>
    <xf numFmtId="168" fontId="0" fillId="34" borderId="4" xfId="0" applyNumberFormat="1" applyFill="1" applyBorder="1"/>
    <xf numFmtId="14" fontId="28" fillId="24" borderId="23" xfId="0" applyNumberFormat="1" applyFont="1" applyFill="1" applyBorder="1" applyAlignment="1">
      <alignment horizontal="left"/>
    </xf>
    <xf numFmtId="14" fontId="53" fillId="24" borderId="238" xfId="0" applyNumberFormat="1" applyFont="1" applyFill="1" applyBorder="1" applyAlignment="1">
      <alignment horizontal="left"/>
    </xf>
    <xf numFmtId="168" fontId="20" fillId="34" borderId="251" xfId="0" applyNumberFormat="1" applyFont="1" applyFill="1" applyBorder="1"/>
    <xf numFmtId="3" fontId="30" fillId="16" borderId="250" xfId="0" applyNumberFormat="1" applyFont="1" applyFill="1" applyBorder="1" applyAlignment="1">
      <alignment horizontal="center"/>
    </xf>
    <xf numFmtId="9" fontId="21" fillId="4" borderId="4" xfId="0" applyNumberFormat="1" applyFont="1" applyFill="1" applyBorder="1" applyAlignment="1">
      <alignment horizontal="center"/>
    </xf>
    <xf numFmtId="165" fontId="34" fillId="5" borderId="4" xfId="0" applyNumberFormat="1" applyFont="1" applyFill="1" applyBorder="1" applyAlignment="1">
      <alignment horizontal="center" vertical="center"/>
    </xf>
    <xf numFmtId="0" fontId="20" fillId="24" borderId="242" xfId="0" applyFont="1" applyFill="1" applyBorder="1" applyAlignment="1">
      <alignment horizontal="center"/>
    </xf>
    <xf numFmtId="0" fontId="20" fillId="24" borderId="214" xfId="0" applyFont="1" applyFill="1" applyBorder="1" applyAlignment="1">
      <alignment horizontal="center"/>
    </xf>
    <xf numFmtId="0" fontId="20" fillId="24" borderId="244" xfId="0" applyFont="1" applyFill="1" applyBorder="1" applyAlignment="1">
      <alignment horizontal="center"/>
    </xf>
    <xf numFmtId="9" fontId="21" fillId="15" borderId="167" xfId="0" applyNumberFormat="1" applyFont="1" applyFill="1" applyBorder="1" applyAlignment="1">
      <alignment horizontal="center" vertical="center"/>
    </xf>
    <xf numFmtId="43" fontId="0" fillId="24" borderId="242" xfId="0" applyNumberFormat="1" applyFill="1" applyBorder="1"/>
    <xf numFmtId="168" fontId="0" fillId="24" borderId="242" xfId="0" applyNumberFormat="1" applyFill="1" applyBorder="1"/>
    <xf numFmtId="168" fontId="0" fillId="24" borderId="214" xfId="0" applyNumberFormat="1" applyFill="1" applyBorder="1"/>
    <xf numFmtId="9" fontId="21" fillId="38" borderId="167" xfId="0" applyNumberFormat="1" applyFont="1" applyFill="1" applyBorder="1" applyAlignment="1">
      <alignment horizontal="center" vertical="center"/>
    </xf>
    <xf numFmtId="43" fontId="0" fillId="24" borderId="240" xfId="0" applyNumberFormat="1" applyFill="1" applyBorder="1"/>
    <xf numFmtId="168" fontId="0" fillId="24" borderId="240" xfId="0" applyNumberFormat="1" applyFill="1" applyBorder="1"/>
    <xf numFmtId="168" fontId="0" fillId="24" borderId="241" xfId="0" applyNumberFormat="1" applyFill="1" applyBorder="1"/>
    <xf numFmtId="8" fontId="0" fillId="0" borderId="0" xfId="0" applyNumberFormat="1"/>
    <xf numFmtId="9" fontId="21" fillId="44" borderId="167" xfId="0" applyNumberFormat="1" applyFont="1" applyFill="1" applyBorder="1" applyAlignment="1">
      <alignment horizontal="center" vertical="center"/>
    </xf>
    <xf numFmtId="9" fontId="21" fillId="21" borderId="167" xfId="0" applyNumberFormat="1" applyFont="1" applyFill="1" applyBorder="1" applyAlignment="1">
      <alignment horizontal="center" vertical="center"/>
    </xf>
    <xf numFmtId="43" fontId="0" fillId="24" borderId="245" xfId="0" applyNumberFormat="1" applyFill="1" applyBorder="1"/>
    <xf numFmtId="168" fontId="0" fillId="24" borderId="245" xfId="0" applyNumberFormat="1" applyFill="1" applyBorder="1"/>
    <xf numFmtId="168" fontId="0" fillId="24" borderId="218" xfId="0" applyNumberFormat="1" applyFill="1" applyBorder="1"/>
    <xf numFmtId="9" fontId="21" fillId="13" borderId="167" xfId="0" applyNumberFormat="1" applyFont="1" applyFill="1" applyBorder="1" applyAlignment="1">
      <alignment horizontal="center" vertical="center"/>
    </xf>
    <xf numFmtId="3" fontId="0" fillId="8" borderId="238" xfId="0" applyNumberFormat="1" applyFill="1" applyBorder="1"/>
    <xf numFmtId="3" fontId="0" fillId="8" borderId="239" xfId="0" applyNumberFormat="1" applyFill="1" applyBorder="1"/>
    <xf numFmtId="168" fontId="20" fillId="0" borderId="29" xfId="0" applyNumberFormat="1" applyFont="1" applyBorder="1"/>
    <xf numFmtId="168" fontId="20" fillId="0" borderId="252" xfId="0" applyNumberFormat="1" applyFont="1" applyBorder="1"/>
    <xf numFmtId="168" fontId="20" fillId="3" borderId="29" xfId="0" applyNumberFormat="1" applyFont="1" applyFill="1" applyBorder="1"/>
    <xf numFmtId="9" fontId="21" fillId="0" borderId="167" xfId="0" applyNumberFormat="1" applyFont="1" applyBorder="1" applyAlignment="1">
      <alignment horizontal="center" vertical="center"/>
    </xf>
    <xf numFmtId="3" fontId="20" fillId="16" borderId="23" xfId="0" applyNumberFormat="1" applyFont="1" applyFill="1" applyBorder="1"/>
    <xf numFmtId="0" fontId="20" fillId="16" borderId="239" xfId="0" applyFont="1" applyFill="1" applyBorder="1"/>
    <xf numFmtId="168" fontId="0" fillId="0" borderId="0" xfId="0" applyNumberFormat="1" applyAlignment="1">
      <alignment horizontal="center"/>
    </xf>
    <xf numFmtId="168" fontId="21" fillId="15" borderId="141" xfId="0" applyNumberFormat="1" applyFont="1" applyFill="1" applyBorder="1" applyAlignment="1">
      <alignment horizontal="center"/>
    </xf>
    <xf numFmtId="3" fontId="30" fillId="16" borderId="253" xfId="0" applyNumberFormat="1" applyFont="1" applyFill="1" applyBorder="1" applyAlignment="1">
      <alignment horizontal="center"/>
    </xf>
    <xf numFmtId="3" fontId="30" fillId="16" borderId="254" xfId="0" applyNumberFormat="1" applyFont="1" applyFill="1" applyBorder="1" applyAlignment="1">
      <alignment horizontal="center"/>
    </xf>
    <xf numFmtId="168" fontId="44" fillId="24" borderId="241" xfId="0" applyNumberFormat="1" applyFont="1" applyFill="1" applyBorder="1"/>
    <xf numFmtId="9" fontId="64" fillId="29" borderId="4" xfId="0" applyNumberFormat="1" applyFont="1" applyFill="1" applyBorder="1" applyAlignment="1">
      <alignment horizontal="center"/>
    </xf>
    <xf numFmtId="9" fontId="21" fillId="18" borderId="167" xfId="0" applyNumberFormat="1" applyFont="1" applyFill="1" applyBorder="1" applyAlignment="1">
      <alignment horizontal="center" vertical="center"/>
    </xf>
    <xf numFmtId="168" fontId="20" fillId="0" borderId="239" xfId="0" applyNumberFormat="1" applyFont="1" applyBorder="1"/>
    <xf numFmtId="0" fontId="20" fillId="24" borderId="23" xfId="0" applyFont="1" applyFill="1" applyBorder="1" applyAlignment="1">
      <alignment horizontal="center"/>
    </xf>
    <xf numFmtId="0" fontId="20" fillId="24" borderId="4" xfId="0" applyFont="1" applyFill="1" applyBorder="1" applyAlignment="1">
      <alignment horizontal="center"/>
    </xf>
    <xf numFmtId="0" fontId="20" fillId="24" borderId="239" xfId="0" applyFont="1" applyFill="1" applyBorder="1" applyAlignment="1">
      <alignment horizontal="center"/>
    </xf>
    <xf numFmtId="168" fontId="0" fillId="0" borderId="239" xfId="0" applyNumberFormat="1" applyBorder="1"/>
    <xf numFmtId="168" fontId="0" fillId="3" borderId="29" xfId="0" applyNumberFormat="1" applyFill="1" applyBorder="1"/>
    <xf numFmtId="168" fontId="66" fillId="2" borderId="141" xfId="0" applyNumberFormat="1" applyFont="1" applyFill="1" applyBorder="1" applyAlignment="1">
      <alignment horizontal="center"/>
    </xf>
    <xf numFmtId="9" fontId="30" fillId="2" borderId="71" xfId="0" applyNumberFormat="1" applyFont="1" applyFill="1" applyBorder="1"/>
    <xf numFmtId="0" fontId="20" fillId="18" borderId="4" xfId="0" applyFont="1" applyFill="1" applyBorder="1" applyAlignment="1">
      <alignment horizontal="center"/>
    </xf>
    <xf numFmtId="9" fontId="32" fillId="24" borderId="4" xfId="0" applyNumberFormat="1" applyFont="1" applyFill="1" applyBorder="1" applyAlignment="1">
      <alignment horizontal="center" vertical="center"/>
    </xf>
    <xf numFmtId="0" fontId="64" fillId="11" borderId="4" xfId="0" applyFont="1" applyFill="1" applyBorder="1" applyAlignment="1">
      <alignment horizontal="center" vertical="center"/>
    </xf>
    <xf numFmtId="3" fontId="28" fillId="11" borderId="4" xfId="0" applyNumberFormat="1" applyFont="1" applyFill="1" applyBorder="1" applyAlignment="1">
      <alignment horizontal="center" vertical="center"/>
    </xf>
    <xf numFmtId="3" fontId="0" fillId="23" borderId="4" xfId="0" applyNumberFormat="1" applyFill="1" applyBorder="1" applyAlignment="1">
      <alignment horizontal="center" vertical="center"/>
    </xf>
    <xf numFmtId="164" fontId="0" fillId="24" borderId="4" xfId="0" applyNumberFormat="1" applyFill="1" applyBorder="1" applyAlignment="1">
      <alignment horizontal="center"/>
    </xf>
    <xf numFmtId="168" fontId="0" fillId="24" borderId="4" xfId="0" applyNumberFormat="1" applyFill="1" applyBorder="1"/>
    <xf numFmtId="168" fontId="44" fillId="24" borderId="4" xfId="0" applyNumberFormat="1" applyFont="1" applyFill="1" applyBorder="1"/>
    <xf numFmtId="9" fontId="44" fillId="18" borderId="4" xfId="2" applyFont="1" applyFill="1" applyBorder="1"/>
    <xf numFmtId="0" fontId="21" fillId="11" borderId="4" xfId="0" applyFont="1" applyFill="1" applyBorder="1" applyAlignment="1">
      <alignment horizontal="center" vertical="center"/>
    </xf>
    <xf numFmtId="168" fontId="23" fillId="24" borderId="4" xfId="0" applyNumberFormat="1" applyFont="1" applyFill="1" applyBorder="1"/>
    <xf numFmtId="9" fontId="0" fillId="18" borderId="4" xfId="2" applyFont="1" applyFill="1" applyBorder="1"/>
    <xf numFmtId="9" fontId="20" fillId="12" borderId="4" xfId="2" applyFont="1" applyFill="1" applyBorder="1"/>
    <xf numFmtId="3" fontId="30" fillId="42" borderId="239" xfId="0" applyNumberFormat="1" applyFont="1" applyFill="1" applyBorder="1"/>
    <xf numFmtId="9" fontId="21" fillId="18" borderId="4" xfId="0" applyNumberFormat="1" applyFont="1" applyFill="1" applyBorder="1" applyAlignment="1">
      <alignment horizontal="center" vertical="center"/>
    </xf>
    <xf numFmtId="165" fontId="34" fillId="27" borderId="4" xfId="0" applyNumberFormat="1" applyFont="1" applyFill="1" applyBorder="1" applyAlignment="1">
      <alignment horizontal="center" vertical="center"/>
    </xf>
    <xf numFmtId="3" fontId="30" fillId="28" borderId="246" xfId="0" applyNumberFormat="1" applyFont="1" applyFill="1" applyBorder="1"/>
    <xf numFmtId="168" fontId="20" fillId="17" borderId="29" xfId="0" applyNumberFormat="1" applyFont="1" applyFill="1" applyBorder="1"/>
    <xf numFmtId="9" fontId="21" fillId="0" borderId="149" xfId="0" applyNumberFormat="1" applyFont="1" applyBorder="1" applyAlignment="1">
      <alignment horizontal="center" vertical="center"/>
    </xf>
    <xf numFmtId="0" fontId="34" fillId="0" borderId="218" xfId="0" applyFont="1" applyBorder="1" applyAlignment="1">
      <alignment horizontal="center" vertical="center"/>
    </xf>
    <xf numFmtId="165" fontId="34" fillId="21" borderId="218" xfId="0" applyNumberFormat="1" applyFont="1" applyFill="1" applyBorder="1" applyAlignment="1">
      <alignment horizontal="center" vertical="center"/>
    </xf>
    <xf numFmtId="9" fontId="32" fillId="16" borderId="4" xfId="0" applyNumberFormat="1" applyFont="1" applyFill="1" applyBorder="1" applyAlignment="1">
      <alignment horizontal="center" vertical="center"/>
    </xf>
    <xf numFmtId="3" fontId="0" fillId="16" borderId="4" xfId="0" applyNumberFormat="1" applyFill="1" applyBorder="1" applyAlignment="1">
      <alignment horizontal="center" vertical="center"/>
    </xf>
    <xf numFmtId="164" fontId="20" fillId="24" borderId="4" xfId="0" applyNumberFormat="1" applyFont="1" applyFill="1" applyBorder="1" applyAlignment="1">
      <alignment horizontal="center"/>
    </xf>
    <xf numFmtId="9" fontId="0" fillId="16" borderId="4" xfId="2" applyFont="1" applyFill="1" applyBorder="1"/>
    <xf numFmtId="168" fontId="30" fillId="24" borderId="4" xfId="0" applyNumberFormat="1" applyFont="1" applyFill="1" applyBorder="1"/>
    <xf numFmtId="3" fontId="28" fillId="17" borderId="23" xfId="0" applyNumberFormat="1" applyFont="1" applyFill="1" applyBorder="1" applyAlignment="1">
      <alignment horizontal="center" vertical="center" wrapText="1"/>
    </xf>
    <xf numFmtId="3" fontId="28" fillId="17" borderId="238" xfId="0" applyNumberFormat="1" applyFont="1" applyFill="1" applyBorder="1" applyAlignment="1">
      <alignment horizontal="center" vertical="center" wrapText="1"/>
    </xf>
    <xf numFmtId="9" fontId="25" fillId="18" borderId="4" xfId="2" applyFont="1" applyFill="1" applyBorder="1"/>
    <xf numFmtId="3" fontId="30" fillId="42" borderId="0" xfId="0" applyNumberFormat="1" applyFont="1" applyFill="1"/>
    <xf numFmtId="168" fontId="44" fillId="11" borderId="105" xfId="0" applyNumberFormat="1" applyFont="1" applyFill="1" applyBorder="1"/>
    <xf numFmtId="3" fontId="30" fillId="38" borderId="250" xfId="0" applyNumberFormat="1" applyFont="1" applyFill="1" applyBorder="1" applyAlignment="1">
      <alignment horizontal="center"/>
    </xf>
    <xf numFmtId="9" fontId="32" fillId="24" borderId="0" xfId="0" applyNumberFormat="1" applyFont="1" applyFill="1" applyAlignment="1">
      <alignment horizontal="center" vertical="center"/>
    </xf>
    <xf numFmtId="0" fontId="64" fillId="11" borderId="167" xfId="0" applyFont="1" applyFill="1" applyBorder="1" applyAlignment="1">
      <alignment horizontal="center" vertical="center"/>
    </xf>
    <xf numFmtId="3" fontId="28" fillId="11" borderId="167" xfId="0" applyNumberFormat="1" applyFont="1" applyFill="1" applyBorder="1" applyAlignment="1">
      <alignment horizontal="center" vertical="center"/>
    </xf>
    <xf numFmtId="0" fontId="21" fillId="11" borderId="218" xfId="0" applyFont="1" applyFill="1" applyBorder="1" applyAlignment="1">
      <alignment horizontal="center" vertical="center"/>
    </xf>
    <xf numFmtId="3" fontId="28" fillId="11" borderId="218" xfId="0" applyNumberFormat="1" applyFont="1" applyFill="1" applyBorder="1" applyAlignment="1">
      <alignment horizontal="center" vertical="center"/>
    </xf>
    <xf numFmtId="168" fontId="44" fillId="17" borderId="29" xfId="0" applyNumberFormat="1" applyFont="1" applyFill="1" applyBorder="1"/>
    <xf numFmtId="9" fontId="44" fillId="38" borderId="4" xfId="2" applyFont="1" applyFill="1" applyBorder="1"/>
    <xf numFmtId="168" fontId="20" fillId="24" borderId="4" xfId="0" applyNumberFormat="1" applyFont="1" applyFill="1" applyBorder="1"/>
    <xf numFmtId="9" fontId="20" fillId="18" borderId="4" xfId="2" applyFont="1" applyFill="1" applyBorder="1"/>
    <xf numFmtId="168" fontId="67" fillId="2" borderId="141" xfId="0" applyNumberFormat="1" applyFont="1" applyFill="1" applyBorder="1" applyAlignment="1">
      <alignment horizontal="center"/>
    </xf>
    <xf numFmtId="14" fontId="20" fillId="44" borderId="4" xfId="0" applyNumberFormat="1" applyFont="1" applyFill="1" applyBorder="1"/>
    <xf numFmtId="0" fontId="68" fillId="10" borderId="68" xfId="4" applyFont="1" applyFill="1" applyBorder="1"/>
    <xf numFmtId="164" fontId="30" fillId="24" borderId="4" xfId="0" applyNumberFormat="1" applyFont="1" applyFill="1" applyBorder="1" applyAlignment="1">
      <alignment horizontal="center"/>
    </xf>
    <xf numFmtId="9" fontId="30" fillId="18" borderId="4" xfId="2" applyFont="1" applyFill="1" applyBorder="1"/>
    <xf numFmtId="164" fontId="0" fillId="0" borderId="4" xfId="1" applyNumberFormat="1" applyFont="1" applyFill="1" applyBorder="1"/>
    <xf numFmtId="168" fontId="30" fillId="17" borderId="29" xfId="0" applyNumberFormat="1" applyFont="1" applyFill="1" applyBorder="1"/>
    <xf numFmtId="9" fontId="21" fillId="16" borderId="4" xfId="2" applyFont="1" applyFill="1" applyBorder="1" applyAlignment="1">
      <alignment horizontal="center"/>
    </xf>
    <xf numFmtId="168" fontId="69" fillId="2" borderId="141" xfId="0" applyNumberFormat="1" applyFont="1" applyFill="1" applyBorder="1" applyAlignment="1">
      <alignment horizontal="center"/>
    </xf>
    <xf numFmtId="168" fontId="34" fillId="16" borderId="4" xfId="0" applyNumberFormat="1" applyFont="1" applyFill="1" applyBorder="1" applyAlignment="1">
      <alignment horizontal="center"/>
    </xf>
    <xf numFmtId="168" fontId="63" fillId="15" borderId="4" xfId="0" applyNumberFormat="1" applyFont="1" applyFill="1" applyBorder="1" applyAlignment="1">
      <alignment horizontal="center"/>
    </xf>
    <xf numFmtId="9" fontId="30" fillId="2" borderId="27" xfId="0" applyNumberFormat="1" applyFont="1" applyFill="1" applyBorder="1" applyAlignment="1">
      <alignment horizontal="center"/>
    </xf>
    <xf numFmtId="168" fontId="69" fillId="5" borderId="141" xfId="0" applyNumberFormat="1" applyFont="1" applyFill="1" applyBorder="1" applyAlignment="1">
      <alignment horizontal="center"/>
    </xf>
    <xf numFmtId="9" fontId="20" fillId="5" borderId="71" xfId="0" applyNumberFormat="1" applyFont="1" applyFill="1" applyBorder="1"/>
    <xf numFmtId="9" fontId="44" fillId="16" borderId="4" xfId="0" applyNumberFormat="1" applyFont="1" applyFill="1" applyBorder="1" applyAlignment="1">
      <alignment horizontal="center"/>
    </xf>
    <xf numFmtId="168" fontId="22" fillId="2" borderId="105" xfId="0" applyNumberFormat="1" applyFont="1" applyFill="1" applyBorder="1"/>
    <xf numFmtId="3" fontId="30" fillId="12" borderId="40" xfId="0" applyNumberFormat="1" applyFont="1" applyFill="1" applyBorder="1"/>
    <xf numFmtId="0" fontId="30" fillId="12" borderId="43" xfId="0" applyFont="1" applyFill="1" applyBorder="1"/>
    <xf numFmtId="9" fontId="30" fillId="16" borderId="4" xfId="0" applyNumberFormat="1" applyFont="1" applyFill="1" applyBorder="1" applyAlignment="1">
      <alignment horizontal="center"/>
    </xf>
    <xf numFmtId="9" fontId="30" fillId="5" borderId="71" xfId="0" applyNumberFormat="1" applyFont="1" applyFill="1" applyBorder="1"/>
    <xf numFmtId="0" fontId="20" fillId="30" borderId="17" xfId="0" applyFont="1" applyFill="1" applyBorder="1"/>
    <xf numFmtId="164" fontId="20" fillId="30" borderId="256" xfId="1" applyNumberFormat="1" applyFont="1" applyFill="1" applyBorder="1" applyAlignment="1">
      <alignment horizontal="center"/>
    </xf>
    <xf numFmtId="0" fontId="20" fillId="30" borderId="44" xfId="0" applyFont="1" applyFill="1" applyBorder="1" applyAlignment="1">
      <alignment horizontal="center"/>
    </xf>
    <xf numFmtId="14" fontId="20" fillId="30" borderId="16" xfId="0" applyNumberFormat="1" applyFont="1" applyFill="1" applyBorder="1" applyAlignment="1">
      <alignment horizontal="center"/>
    </xf>
    <xf numFmtId="14" fontId="20" fillId="30" borderId="257" xfId="0" applyNumberFormat="1" applyFont="1" applyFill="1" applyBorder="1" applyAlignment="1">
      <alignment horizontal="center"/>
    </xf>
    <xf numFmtId="168" fontId="0" fillId="12" borderId="38" xfId="0" applyNumberFormat="1" applyFill="1" applyBorder="1"/>
    <xf numFmtId="3" fontId="0" fillId="12" borderId="38" xfId="0" applyNumberFormat="1" applyFill="1" applyBorder="1"/>
    <xf numFmtId="0" fontId="0" fillId="0" borderId="15" xfId="0" applyBorder="1"/>
    <xf numFmtId="0" fontId="20" fillId="10" borderId="259" xfId="0" applyFont="1" applyFill="1" applyBorder="1"/>
    <xf numFmtId="0" fontId="0" fillId="0" borderId="10" xfId="0" applyBorder="1"/>
    <xf numFmtId="0" fontId="20" fillId="10" borderId="260" xfId="0" applyFont="1" applyFill="1" applyBorder="1"/>
    <xf numFmtId="164" fontId="20" fillId="10" borderId="0" xfId="1" applyNumberFormat="1" applyFont="1" applyFill="1" applyBorder="1" applyAlignment="1">
      <alignment horizontal="center"/>
    </xf>
    <xf numFmtId="0" fontId="20" fillId="18" borderId="12" xfId="0" applyFont="1" applyFill="1" applyBorder="1" applyAlignment="1">
      <alignment horizontal="center"/>
    </xf>
    <xf numFmtId="14" fontId="0" fillId="44" borderId="33" xfId="0" applyNumberFormat="1" applyFill="1" applyBorder="1"/>
    <xf numFmtId="0" fontId="21" fillId="11" borderId="4" xfId="0" applyFont="1" applyFill="1" applyBorder="1" applyAlignment="1">
      <alignment horizontal="left" vertical="center"/>
    </xf>
    <xf numFmtId="9" fontId="44" fillId="18" borderId="12" xfId="2" applyFont="1" applyFill="1" applyBorder="1"/>
    <xf numFmtId="9" fontId="25" fillId="18" borderId="12" xfId="2" applyFont="1" applyFill="1" applyBorder="1"/>
    <xf numFmtId="9" fontId="30" fillId="18" borderId="12" xfId="2" applyFont="1" applyFill="1" applyBorder="1"/>
    <xf numFmtId="14" fontId="0" fillId="21" borderId="33" xfId="0" applyNumberFormat="1" applyFill="1" applyBorder="1"/>
    <xf numFmtId="14" fontId="35" fillId="11" borderId="261" xfId="0" applyNumberFormat="1" applyFont="1" applyFill="1" applyBorder="1"/>
    <xf numFmtId="168" fontId="22" fillId="30" borderId="105" xfId="0" applyNumberFormat="1" applyFont="1" applyFill="1" applyBorder="1"/>
    <xf numFmtId="164" fontId="0" fillId="0" borderId="8" xfId="1" applyNumberFormat="1" applyFont="1" applyBorder="1"/>
    <xf numFmtId="9" fontId="0" fillId="0" borderId="8" xfId="0" applyNumberFormat="1" applyBorder="1"/>
    <xf numFmtId="0" fontId="25" fillId="0" borderId="8" xfId="0" applyFont="1" applyBorder="1"/>
    <xf numFmtId="3" fontId="0" fillId="0" borderId="8" xfId="0" applyNumberFormat="1" applyBorder="1"/>
    <xf numFmtId="0" fontId="20" fillId="30" borderId="169" xfId="0" applyFont="1" applyFill="1" applyBorder="1"/>
    <xf numFmtId="164" fontId="20" fillId="30" borderId="109" xfId="1" applyNumberFormat="1" applyFont="1" applyFill="1" applyBorder="1" applyAlignment="1">
      <alignment horizontal="center"/>
    </xf>
    <xf numFmtId="0" fontId="20" fillId="30" borderId="150" xfId="0" applyFont="1" applyFill="1" applyBorder="1" applyAlignment="1">
      <alignment horizontal="center"/>
    </xf>
    <xf numFmtId="14" fontId="20" fillId="30" borderId="0" xfId="0" applyNumberFormat="1" applyFont="1" applyFill="1" applyAlignment="1">
      <alignment horizontal="center"/>
    </xf>
    <xf numFmtId="14" fontId="20" fillId="30" borderId="170" xfId="0" applyNumberFormat="1" applyFont="1" applyFill="1" applyBorder="1" applyAlignment="1">
      <alignment horizontal="center"/>
    </xf>
    <xf numFmtId="168" fontId="0" fillId="12" borderId="218" xfId="0" applyNumberFormat="1" applyFill="1" applyBorder="1"/>
    <xf numFmtId="3" fontId="0" fillId="12" borderId="218" xfId="0" applyNumberFormat="1" applyFill="1" applyBorder="1"/>
    <xf numFmtId="170" fontId="0" fillId="0" borderId="0" xfId="1" applyNumberFormat="1" applyFont="1"/>
    <xf numFmtId="0" fontId="20" fillId="30" borderId="23" xfId="0" applyFont="1" applyFill="1" applyBorder="1"/>
    <xf numFmtId="164" fontId="20" fillId="30" borderId="262" xfId="1" applyNumberFormat="1" applyFont="1" applyFill="1" applyBorder="1" applyAlignment="1">
      <alignment horizontal="center"/>
    </xf>
    <xf numFmtId="0" fontId="20" fillId="30" borderId="263" xfId="0" applyFont="1" applyFill="1" applyBorder="1" applyAlignment="1">
      <alignment horizontal="center"/>
    </xf>
    <xf numFmtId="14" fontId="20" fillId="30" borderId="238" xfId="0" applyNumberFormat="1" applyFont="1" applyFill="1" applyBorder="1" applyAlignment="1">
      <alignment horizontal="center"/>
    </xf>
    <xf numFmtId="14" fontId="20" fillId="30" borderId="254" xfId="0" applyNumberFormat="1" applyFont="1" applyFill="1" applyBorder="1" applyAlignment="1">
      <alignment horizontal="center"/>
    </xf>
    <xf numFmtId="0" fontId="20" fillId="10" borderId="264" xfId="0" applyFont="1" applyFill="1" applyBorder="1"/>
    <xf numFmtId="164" fontId="20" fillId="10" borderId="163" xfId="1" applyNumberFormat="1" applyFont="1" applyFill="1" applyBorder="1" applyAlignment="1">
      <alignment horizontal="center"/>
    </xf>
    <xf numFmtId="3" fontId="20" fillId="10" borderId="265" xfId="0" applyNumberFormat="1" applyFont="1" applyFill="1" applyBorder="1" applyAlignment="1">
      <alignment horizontal="center"/>
    </xf>
    <xf numFmtId="3" fontId="30" fillId="38" borderId="266" xfId="0" applyNumberFormat="1" applyFont="1" applyFill="1" applyBorder="1" applyAlignment="1">
      <alignment horizontal="center"/>
    </xf>
    <xf numFmtId="9" fontId="21" fillId="16" borderId="218" xfId="0" applyNumberFormat="1" applyFont="1" applyFill="1" applyBorder="1" applyAlignment="1">
      <alignment horizontal="center"/>
    </xf>
    <xf numFmtId="164" fontId="63" fillId="2" borderId="214" xfId="1" applyNumberFormat="1" applyFont="1" applyFill="1" applyBorder="1"/>
    <xf numFmtId="3" fontId="28" fillId="11" borderId="230" xfId="0" applyNumberFormat="1" applyFont="1" applyFill="1" applyBorder="1" applyAlignment="1">
      <alignment horizontal="center" vertical="center"/>
    </xf>
    <xf numFmtId="0" fontId="0" fillId="11" borderId="4" xfId="0" applyFill="1" applyBorder="1" applyAlignment="1">
      <alignment horizontal="center"/>
    </xf>
    <xf numFmtId="9" fontId="51" fillId="24" borderId="4" xfId="0" applyNumberFormat="1" applyFont="1" applyFill="1" applyBorder="1" applyAlignment="1">
      <alignment horizontal="center" vertical="center"/>
    </xf>
    <xf numFmtId="3" fontId="28" fillId="11" borderId="23" xfId="0" applyNumberFormat="1" applyFont="1" applyFill="1" applyBorder="1" applyAlignment="1">
      <alignment horizontal="center" vertical="center"/>
    </xf>
    <xf numFmtId="168" fontId="23" fillId="17" borderId="29" xfId="0" applyNumberFormat="1" applyFont="1" applyFill="1" applyBorder="1"/>
    <xf numFmtId="0" fontId="20" fillId="30" borderId="40" xfId="0" applyFont="1" applyFill="1" applyBorder="1"/>
    <xf numFmtId="164" fontId="20" fillId="30" borderId="267" xfId="1" applyNumberFormat="1" applyFont="1" applyFill="1" applyBorder="1" applyAlignment="1">
      <alignment horizontal="center"/>
    </xf>
    <xf numFmtId="0" fontId="20" fillId="30" borderId="268" xfId="0" applyFont="1" applyFill="1" applyBorder="1" applyAlignment="1">
      <alignment horizontal="center"/>
    </xf>
    <xf numFmtId="14" fontId="20" fillId="7" borderId="41" xfId="0" applyNumberFormat="1" applyFont="1" applyFill="1" applyBorder="1" applyAlignment="1">
      <alignment horizontal="center"/>
    </xf>
    <xf numFmtId="14" fontId="20" fillId="30" borderId="269" xfId="0" applyNumberFormat="1" applyFont="1" applyFill="1" applyBorder="1" applyAlignment="1">
      <alignment horizontal="center"/>
    </xf>
    <xf numFmtId="168" fontId="0" fillId="12" borderId="246" xfId="0" applyNumberFormat="1" applyFill="1" applyBorder="1"/>
    <xf numFmtId="9" fontId="30" fillId="16" borderId="245" xfId="0" applyNumberFormat="1" applyFont="1" applyFill="1" applyBorder="1" applyAlignment="1">
      <alignment horizontal="center"/>
    </xf>
    <xf numFmtId="164" fontId="63" fillId="2" borderId="244" xfId="1" applyNumberFormat="1" applyFont="1" applyFill="1" applyBorder="1"/>
    <xf numFmtId="0" fontId="64" fillId="11" borderId="149" xfId="0" applyFont="1" applyFill="1" applyBorder="1" applyAlignment="1">
      <alignment horizontal="center" vertical="center"/>
    </xf>
    <xf numFmtId="3" fontId="28" fillId="11" borderId="152" xfId="0" applyNumberFormat="1" applyFont="1" applyFill="1" applyBorder="1" applyAlignment="1">
      <alignment horizontal="center" vertical="center"/>
    </xf>
    <xf numFmtId="3" fontId="20" fillId="23" borderId="23" xfId="0" applyNumberFormat="1" applyFont="1" applyFill="1" applyBorder="1" applyAlignment="1">
      <alignment horizontal="center" vertical="center"/>
    </xf>
    <xf numFmtId="0" fontId="20" fillId="23" borderId="239" xfId="0" applyFont="1" applyFill="1" applyBorder="1" applyAlignment="1">
      <alignment horizontal="center" vertical="center"/>
    </xf>
    <xf numFmtId="3" fontId="0" fillId="23" borderId="23" xfId="0" applyNumberFormat="1" applyFill="1" applyBorder="1" applyAlignment="1">
      <alignment horizontal="center" vertical="center"/>
    </xf>
    <xf numFmtId="43" fontId="0" fillId="5" borderId="11" xfId="1" applyFont="1" applyFill="1" applyBorder="1"/>
    <xf numFmtId="43" fontId="0" fillId="0" borderId="22" xfId="0" applyNumberFormat="1" applyBorder="1"/>
    <xf numFmtId="43" fontId="0" fillId="7" borderId="11" xfId="1" applyFont="1" applyFill="1" applyBorder="1"/>
    <xf numFmtId="43" fontId="0" fillId="0" borderId="21" xfId="0" applyNumberFormat="1" applyBorder="1"/>
    <xf numFmtId="43" fontId="0" fillId="5" borderId="40" xfId="0" applyNumberFormat="1" applyFill="1" applyBorder="1"/>
    <xf numFmtId="0" fontId="0" fillId="0" borderId="43" xfId="0" applyBorder="1"/>
    <xf numFmtId="43" fontId="0" fillId="0" borderId="9" xfId="0" applyNumberFormat="1" applyBorder="1"/>
    <xf numFmtId="43" fontId="0" fillId="0" borderId="20" xfId="0" applyNumberFormat="1" applyBorder="1"/>
    <xf numFmtId="3" fontId="0" fillId="23" borderId="242" xfId="0" applyNumberFormat="1" applyFill="1" applyBorder="1" applyAlignment="1">
      <alignment horizontal="center" vertical="center"/>
    </xf>
    <xf numFmtId="9" fontId="20" fillId="2" borderId="4" xfId="0" applyNumberFormat="1" applyFont="1" applyFill="1" applyBorder="1"/>
    <xf numFmtId="9" fontId="21" fillId="16" borderId="149" xfId="0" applyNumberFormat="1" applyFont="1" applyFill="1" applyBorder="1" applyAlignment="1">
      <alignment horizontal="center" vertical="center"/>
    </xf>
    <xf numFmtId="0" fontId="20" fillId="10" borderId="40" xfId="0" applyFont="1" applyFill="1" applyBorder="1"/>
    <xf numFmtId="164" fontId="20" fillId="10" borderId="267" xfId="1" applyNumberFormat="1" applyFont="1" applyFill="1" applyBorder="1" applyAlignment="1">
      <alignment horizontal="center"/>
    </xf>
    <xf numFmtId="0" fontId="20" fillId="10" borderId="268" xfId="0" applyFont="1" applyFill="1" applyBorder="1" applyAlignment="1">
      <alignment horizontal="center"/>
    </xf>
    <xf numFmtId="14" fontId="20" fillId="10" borderId="41" xfId="0" applyNumberFormat="1" applyFont="1" applyFill="1" applyBorder="1" applyAlignment="1">
      <alignment horizontal="center"/>
    </xf>
    <xf numFmtId="14" fontId="20" fillId="10" borderId="269" xfId="0" applyNumberFormat="1" applyFont="1" applyFill="1" applyBorder="1" applyAlignment="1">
      <alignment horizontal="center"/>
    </xf>
    <xf numFmtId="9" fontId="70" fillId="16" borderId="245" xfId="0" applyNumberFormat="1" applyFont="1" applyFill="1" applyBorder="1" applyAlignment="1">
      <alignment horizontal="center"/>
    </xf>
    <xf numFmtId="9" fontId="70" fillId="16" borderId="4" xfId="0" applyNumberFormat="1" applyFont="1" applyFill="1" applyBorder="1" applyAlignment="1">
      <alignment horizontal="center"/>
    </xf>
    <xf numFmtId="9" fontId="71" fillId="2" borderId="4" xfId="0" applyNumberFormat="1" applyFont="1" applyFill="1" applyBorder="1" applyAlignment="1">
      <alignment horizontal="center"/>
    </xf>
    <xf numFmtId="9" fontId="71" fillId="16" borderId="4" xfId="0" applyNumberFormat="1" applyFont="1" applyFill="1" applyBorder="1" applyAlignment="1">
      <alignment horizontal="center"/>
    </xf>
    <xf numFmtId="9" fontId="44" fillId="2" borderId="4" xfId="0" applyNumberFormat="1" applyFont="1" applyFill="1" applyBorder="1" applyAlignment="1">
      <alignment horizontal="center"/>
    </xf>
    <xf numFmtId="168" fontId="71" fillId="24" borderId="4" xfId="0" applyNumberFormat="1" applyFont="1" applyFill="1" applyBorder="1"/>
    <xf numFmtId="9" fontId="71" fillId="18" borderId="4" xfId="2" applyFont="1" applyFill="1" applyBorder="1"/>
    <xf numFmtId="0" fontId="0" fillId="11" borderId="246" xfId="0" applyFill="1" applyBorder="1" applyAlignment="1">
      <alignment horizontal="center"/>
    </xf>
    <xf numFmtId="0" fontId="20" fillId="23" borderId="0" xfId="0" applyFont="1" applyFill="1" applyAlignment="1">
      <alignment horizontal="center" vertical="center"/>
    </xf>
    <xf numFmtId="3" fontId="0" fillId="8" borderId="245" xfId="0" applyNumberFormat="1" applyFill="1" applyBorder="1"/>
    <xf numFmtId="3" fontId="0" fillId="8" borderId="225" xfId="0" applyNumberFormat="1" applyFill="1" applyBorder="1"/>
    <xf numFmtId="164" fontId="22" fillId="11" borderId="105" xfId="1" applyNumberFormat="1" applyFont="1" applyFill="1" applyBorder="1"/>
    <xf numFmtId="14" fontId="20" fillId="30" borderId="41" xfId="0" applyNumberFormat="1" applyFont="1" applyFill="1" applyBorder="1" applyAlignment="1">
      <alignment horizontal="center"/>
    </xf>
    <xf numFmtId="9" fontId="64" fillId="16" borderId="245" xfId="0" applyNumberFormat="1" applyFont="1" applyFill="1" applyBorder="1" applyAlignment="1">
      <alignment horizontal="center"/>
    </xf>
    <xf numFmtId="9" fontId="21" fillId="24" borderId="4" xfId="0" applyNumberFormat="1" applyFont="1" applyFill="1" applyBorder="1" applyAlignment="1">
      <alignment horizontal="center" vertical="center"/>
    </xf>
    <xf numFmtId="9" fontId="20" fillId="5" borderId="58" xfId="0" applyNumberFormat="1" applyFont="1" applyFill="1" applyBorder="1"/>
    <xf numFmtId="14" fontId="20" fillId="11" borderId="41" xfId="0" applyNumberFormat="1" applyFont="1" applyFill="1" applyBorder="1" applyAlignment="1">
      <alignment horizontal="center"/>
    </xf>
    <xf numFmtId="9" fontId="21" fillId="16" borderId="245" xfId="0" applyNumberFormat="1" applyFont="1" applyFill="1" applyBorder="1" applyAlignment="1">
      <alignment horizontal="center"/>
    </xf>
    <xf numFmtId="3" fontId="0" fillId="44" borderId="4" xfId="0" applyNumberFormat="1" applyFill="1" applyBorder="1"/>
    <xf numFmtId="3" fontId="0" fillId="0" borderId="4" xfId="0" applyNumberFormat="1" applyBorder="1"/>
    <xf numFmtId="168" fontId="69" fillId="18" borderId="141" xfId="0" applyNumberFormat="1" applyFont="1" applyFill="1" applyBorder="1" applyAlignment="1">
      <alignment horizontal="center"/>
    </xf>
    <xf numFmtId="3" fontId="20" fillId="12" borderId="40" xfId="0" applyNumberFormat="1" applyFont="1" applyFill="1" applyBorder="1"/>
    <xf numFmtId="0" fontId="20" fillId="12" borderId="43" xfId="0" applyFont="1" applyFill="1" applyBorder="1"/>
    <xf numFmtId="3" fontId="30" fillId="10" borderId="266" xfId="0" applyNumberFormat="1" applyFont="1" applyFill="1" applyBorder="1" applyAlignment="1">
      <alignment horizontal="center"/>
    </xf>
    <xf numFmtId="9" fontId="30" fillId="18" borderId="23" xfId="2" applyFont="1" applyFill="1" applyBorder="1"/>
    <xf numFmtId="168" fontId="22" fillId="5" borderId="105" xfId="0" applyNumberFormat="1" applyFont="1" applyFill="1" applyBorder="1"/>
    <xf numFmtId="14" fontId="35" fillId="11" borderId="270" xfId="0" applyNumberFormat="1" applyFont="1" applyFill="1" applyBorder="1"/>
    <xf numFmtId="0" fontId="30" fillId="24" borderId="4" xfId="0" applyFont="1" applyFill="1" applyBorder="1" applyAlignment="1">
      <alignment horizontal="center"/>
    </xf>
    <xf numFmtId="0" fontId="30" fillId="18" borderId="4" xfId="0" applyFont="1" applyFill="1" applyBorder="1" applyAlignment="1">
      <alignment horizontal="center"/>
    </xf>
    <xf numFmtId="0" fontId="20" fillId="12" borderId="0" xfId="0" applyFont="1" applyFill="1" applyAlignment="1">
      <alignment horizontal="center"/>
    </xf>
    <xf numFmtId="14" fontId="0" fillId="2" borderId="4" xfId="0" applyNumberFormat="1" applyFill="1" applyBorder="1"/>
    <xf numFmtId="164" fontId="0" fillId="2" borderId="4" xfId="1" applyNumberFormat="1" applyFont="1" applyFill="1" applyBorder="1"/>
    <xf numFmtId="4" fontId="0" fillId="2" borderId="4" xfId="0" applyNumberFormat="1" applyFill="1" applyBorder="1"/>
    <xf numFmtId="9" fontId="21" fillId="2" borderId="245" xfId="0" applyNumberFormat="1" applyFont="1" applyFill="1" applyBorder="1" applyAlignment="1">
      <alignment horizontal="center"/>
    </xf>
    <xf numFmtId="9" fontId="32" fillId="2" borderId="4" xfId="0" applyNumberFormat="1" applyFont="1" applyFill="1" applyBorder="1" applyAlignment="1">
      <alignment horizontal="center" vertical="center"/>
    </xf>
    <xf numFmtId="0" fontId="21" fillId="2" borderId="4" xfId="0" applyFont="1" applyFill="1" applyBorder="1" applyAlignment="1">
      <alignment horizontal="center" vertical="center"/>
    </xf>
    <xf numFmtId="3" fontId="28" fillId="2" borderId="23" xfId="0" applyNumberFormat="1" applyFont="1" applyFill="1" applyBorder="1" applyAlignment="1">
      <alignment horizontal="center" vertical="center"/>
    </xf>
    <xf numFmtId="0" fontId="0" fillId="2" borderId="4" xfId="0" applyFill="1" applyBorder="1" applyAlignment="1">
      <alignment horizontal="center"/>
    </xf>
    <xf numFmtId="3" fontId="0" fillId="2" borderId="4" xfId="0" applyNumberFormat="1" applyFill="1" applyBorder="1" applyAlignment="1">
      <alignment horizontal="center" vertical="center"/>
    </xf>
    <xf numFmtId="0" fontId="0" fillId="2" borderId="0" xfId="0" applyFill="1"/>
    <xf numFmtId="0" fontId="20" fillId="2" borderId="4" xfId="0" applyFont="1" applyFill="1" applyBorder="1" applyAlignment="1">
      <alignment horizontal="center" vertical="center"/>
    </xf>
    <xf numFmtId="164" fontId="30" fillId="2" borderId="4" xfId="0" applyNumberFormat="1" applyFont="1" applyFill="1" applyBorder="1" applyAlignment="1">
      <alignment horizontal="center"/>
    </xf>
    <xf numFmtId="168" fontId="23" fillId="2" borderId="4" xfId="0" applyNumberFormat="1" applyFont="1" applyFill="1" applyBorder="1"/>
    <xf numFmtId="9" fontId="44" fillId="2" borderId="4" xfId="2" applyFont="1" applyFill="1" applyBorder="1"/>
    <xf numFmtId="9" fontId="30" fillId="2" borderId="4" xfId="0" applyNumberFormat="1" applyFont="1" applyFill="1" applyBorder="1"/>
    <xf numFmtId="14" fontId="20" fillId="4" borderId="41" xfId="0" applyNumberFormat="1" applyFont="1" applyFill="1" applyBorder="1" applyAlignment="1">
      <alignment horizontal="center"/>
    </xf>
    <xf numFmtId="164" fontId="22" fillId="2" borderId="105" xfId="1" applyNumberFormat="1" applyFont="1" applyFill="1" applyBorder="1"/>
    <xf numFmtId="164" fontId="22" fillId="5" borderId="105" xfId="1" applyNumberFormat="1" applyFont="1" applyFill="1" applyBorder="1"/>
    <xf numFmtId="0" fontId="64" fillId="11" borderId="271" xfId="0" applyFont="1" applyFill="1" applyBorder="1" applyAlignment="1">
      <alignment horizontal="center" vertical="center"/>
    </xf>
    <xf numFmtId="3" fontId="0" fillId="23" borderId="0" xfId="0" applyNumberFormat="1" applyFill="1" applyAlignment="1">
      <alignment horizontal="center" vertical="center"/>
    </xf>
    <xf numFmtId="168" fontId="23" fillId="24" borderId="214" xfId="0" applyNumberFormat="1" applyFont="1" applyFill="1" applyBorder="1"/>
    <xf numFmtId="3" fontId="30" fillId="8" borderId="266" xfId="0" applyNumberFormat="1" applyFont="1" applyFill="1" applyBorder="1" applyAlignment="1">
      <alignment horizontal="center"/>
    </xf>
    <xf numFmtId="164" fontId="0" fillId="5" borderId="0" xfId="1" applyNumberFormat="1" applyFont="1" applyFill="1"/>
    <xf numFmtId="14" fontId="0" fillId="5" borderId="4" xfId="0" applyNumberFormat="1" applyFill="1" applyBorder="1"/>
    <xf numFmtId="164" fontId="0" fillId="5" borderId="4" xfId="1" applyNumberFormat="1" applyFont="1" applyFill="1" applyBorder="1"/>
    <xf numFmtId="165" fontId="34" fillId="27" borderId="23" xfId="0" applyNumberFormat="1" applyFont="1" applyFill="1" applyBorder="1" applyAlignment="1">
      <alignment horizontal="center" vertical="center"/>
    </xf>
    <xf numFmtId="0" fontId="25" fillId="7" borderId="272" xfId="0" applyFont="1" applyFill="1" applyBorder="1"/>
    <xf numFmtId="3" fontId="0" fillId="7" borderId="225" xfId="0" applyNumberFormat="1" applyFill="1" applyBorder="1"/>
    <xf numFmtId="0" fontId="0" fillId="7" borderId="225" xfId="0" applyFill="1" applyBorder="1"/>
    <xf numFmtId="3" fontId="28" fillId="5" borderId="23" xfId="0" applyNumberFormat="1" applyFont="1" applyFill="1" applyBorder="1" applyAlignment="1">
      <alignment horizontal="center" vertical="center"/>
    </xf>
    <xf numFmtId="3" fontId="0" fillId="23" borderId="214" xfId="0" applyNumberFormat="1" applyFill="1" applyBorder="1" applyAlignment="1">
      <alignment horizontal="center" vertical="center"/>
    </xf>
    <xf numFmtId="164" fontId="30" fillId="24" borderId="214" xfId="0" applyNumberFormat="1" applyFont="1" applyFill="1" applyBorder="1" applyAlignment="1">
      <alignment horizontal="center"/>
    </xf>
    <xf numFmtId="168" fontId="30" fillId="24" borderId="214" xfId="0" applyNumberFormat="1" applyFont="1" applyFill="1" applyBorder="1"/>
    <xf numFmtId="9" fontId="30" fillId="18" borderId="214" xfId="2" applyFont="1" applyFill="1" applyBorder="1"/>
    <xf numFmtId="4" fontId="0" fillId="5" borderId="4" xfId="0" applyNumberFormat="1" applyFill="1" applyBorder="1"/>
    <xf numFmtId="3" fontId="28" fillId="17" borderId="245" xfId="0" applyNumberFormat="1" applyFont="1" applyFill="1" applyBorder="1" applyAlignment="1">
      <alignment horizontal="center" vertical="center" wrapText="1"/>
    </xf>
    <xf numFmtId="3" fontId="28" fillId="17" borderId="225" xfId="0" applyNumberFormat="1" applyFont="1" applyFill="1" applyBorder="1" applyAlignment="1">
      <alignment horizontal="center" vertical="center" wrapText="1"/>
    </xf>
    <xf numFmtId="168" fontId="30" fillId="17" borderId="273" xfId="0" applyNumberFormat="1" applyFont="1" applyFill="1" applyBorder="1"/>
    <xf numFmtId="9" fontId="30" fillId="2" borderId="218" xfId="0" applyNumberFormat="1" applyFont="1" applyFill="1" applyBorder="1"/>
    <xf numFmtId="165" fontId="34" fillId="21" borderId="241" xfId="0" applyNumberFormat="1" applyFont="1" applyFill="1" applyBorder="1" applyAlignment="1">
      <alignment horizontal="center" vertical="center"/>
    </xf>
    <xf numFmtId="165" fontId="34" fillId="21" borderId="0" xfId="0" applyNumberFormat="1" applyFont="1" applyFill="1" applyAlignment="1">
      <alignment horizontal="center" vertical="center"/>
    </xf>
    <xf numFmtId="164" fontId="35" fillId="0" borderId="0" xfId="1" applyNumberFormat="1" applyFont="1" applyFill="1" applyBorder="1"/>
    <xf numFmtId="4" fontId="35" fillId="0" borderId="138" xfId="0" applyNumberFormat="1" applyFont="1" applyBorder="1"/>
    <xf numFmtId="164" fontId="22" fillId="0" borderId="0" xfId="1" applyNumberFormat="1" applyFont="1" applyFill="1" applyBorder="1"/>
    <xf numFmtId="168" fontId="69" fillId="0" borderId="151" xfId="0" applyNumberFormat="1" applyFont="1" applyBorder="1" applyAlignment="1">
      <alignment horizontal="center"/>
    </xf>
    <xf numFmtId="9" fontId="30" fillId="0" borderId="0" xfId="0" applyNumberFormat="1" applyFont="1"/>
    <xf numFmtId="0" fontId="20" fillId="11" borderId="4" xfId="0" applyFont="1" applyFill="1" applyBorder="1" applyAlignment="1">
      <alignment horizontal="center"/>
    </xf>
    <xf numFmtId="14" fontId="0" fillId="0" borderId="214" xfId="0" applyNumberFormat="1" applyBorder="1"/>
    <xf numFmtId="164" fontId="0" fillId="11" borderId="241" xfId="1" applyNumberFormat="1" applyFont="1" applyFill="1" applyBorder="1"/>
    <xf numFmtId="14" fontId="0" fillId="0" borderId="241" xfId="0" applyNumberFormat="1" applyBorder="1"/>
    <xf numFmtId="164" fontId="44" fillId="24" borderId="214" xfId="0" applyNumberFormat="1" applyFont="1" applyFill="1" applyBorder="1" applyAlignment="1">
      <alignment horizontal="center"/>
    </xf>
    <xf numFmtId="168" fontId="44" fillId="24" borderId="214" xfId="0" applyNumberFormat="1" applyFont="1" applyFill="1" applyBorder="1"/>
    <xf numFmtId="9" fontId="44" fillId="18" borderId="214" xfId="2" applyFont="1" applyFill="1" applyBorder="1"/>
    <xf numFmtId="164" fontId="20" fillId="24" borderId="214" xfId="0" applyNumberFormat="1" applyFont="1" applyFill="1" applyBorder="1" applyAlignment="1">
      <alignment horizontal="center"/>
    </xf>
    <xf numFmtId="168" fontId="20" fillId="24" borderId="214" xfId="0" applyNumberFormat="1" applyFont="1" applyFill="1" applyBorder="1"/>
    <xf numFmtId="9" fontId="20" fillId="18" borderId="214" xfId="2" applyFont="1" applyFill="1" applyBorder="1"/>
    <xf numFmtId="0" fontId="0" fillId="11" borderId="23" xfId="0" applyFill="1" applyBorder="1" applyAlignment="1">
      <alignment horizontal="center"/>
    </xf>
    <xf numFmtId="14" fontId="0" fillId="0" borderId="218" xfId="0" applyNumberFormat="1" applyBorder="1"/>
    <xf numFmtId="164" fontId="0" fillId="11" borderId="218" xfId="1" applyNumberFormat="1" applyFont="1" applyFill="1" applyBorder="1"/>
    <xf numFmtId="0" fontId="25" fillId="7" borderId="23" xfId="0" applyFont="1" applyFill="1" applyBorder="1"/>
    <xf numFmtId="165" fontId="34" fillId="7" borderId="4" xfId="0" applyNumberFormat="1" applyFont="1" applyFill="1" applyBorder="1" applyAlignment="1">
      <alignment horizontal="center" vertical="center"/>
    </xf>
    <xf numFmtId="165" fontId="34" fillId="7" borderId="274" xfId="0" applyNumberFormat="1" applyFont="1" applyFill="1" applyBorder="1" applyAlignment="1">
      <alignment horizontal="center" vertical="center"/>
    </xf>
    <xf numFmtId="164" fontId="0" fillId="11" borderId="4" xfId="1" applyNumberFormat="1" applyFont="1" applyFill="1" applyBorder="1" applyAlignment="1">
      <alignment horizontal="center" vertical="top"/>
    </xf>
    <xf numFmtId="164" fontId="0" fillId="11" borderId="23" xfId="1" applyNumberFormat="1" applyFont="1" applyFill="1" applyBorder="1" applyAlignment="1">
      <alignment horizontal="center" vertical="top"/>
    </xf>
    <xf numFmtId="3" fontId="28" fillId="17" borderId="4" xfId="0" applyNumberFormat="1" applyFont="1" applyFill="1" applyBorder="1" applyAlignment="1">
      <alignment horizontal="center" vertical="center" wrapText="1"/>
    </xf>
    <xf numFmtId="164" fontId="17" fillId="11" borderId="23" xfId="1" applyNumberFormat="1" applyFont="1" applyFill="1" applyBorder="1" applyAlignment="1">
      <alignment horizontal="center" vertical="top"/>
    </xf>
    <xf numFmtId="14" fontId="20" fillId="6" borderId="41" xfId="0" applyNumberFormat="1" applyFont="1" applyFill="1" applyBorder="1" applyAlignment="1">
      <alignment horizontal="center"/>
    </xf>
    <xf numFmtId="164" fontId="0" fillId="5" borderId="241" xfId="1" applyNumberFormat="1" applyFont="1" applyFill="1" applyBorder="1"/>
    <xf numFmtId="3" fontId="28" fillId="45" borderId="23" xfId="0" applyNumberFormat="1" applyFont="1" applyFill="1" applyBorder="1" applyAlignment="1">
      <alignment horizontal="center" vertical="center"/>
    </xf>
    <xf numFmtId="165" fontId="34" fillId="7" borderId="214" xfId="0" applyNumberFormat="1" applyFont="1" applyFill="1" applyBorder="1" applyAlignment="1">
      <alignment horizontal="center" vertical="center"/>
    </xf>
    <xf numFmtId="165" fontId="34" fillId="7" borderId="275" xfId="0" applyNumberFormat="1" applyFont="1" applyFill="1" applyBorder="1" applyAlignment="1">
      <alignment horizontal="center" vertical="center"/>
    </xf>
    <xf numFmtId="3" fontId="30" fillId="28" borderId="169" xfId="0" applyNumberFormat="1" applyFont="1" applyFill="1" applyBorder="1"/>
    <xf numFmtId="3" fontId="0" fillId="12" borderId="58" xfId="0" applyNumberFormat="1" applyFill="1" applyBorder="1"/>
    <xf numFmtId="168" fontId="0" fillId="12" borderId="239" xfId="0" applyNumberFormat="1" applyFill="1" applyBorder="1"/>
    <xf numFmtId="172" fontId="20" fillId="7" borderId="0" xfId="1" applyNumberFormat="1" applyFont="1" applyFill="1" applyAlignment="1">
      <alignment horizontal="center"/>
    </xf>
    <xf numFmtId="9" fontId="32" fillId="24" borderId="218" xfId="0" applyNumberFormat="1" applyFont="1" applyFill="1" applyBorder="1" applyAlignment="1">
      <alignment horizontal="center" vertical="center"/>
    </xf>
    <xf numFmtId="3" fontId="33" fillId="2" borderId="23" xfId="0" applyNumberFormat="1" applyFont="1" applyFill="1" applyBorder="1" applyAlignment="1">
      <alignment horizontal="center" vertical="center"/>
    </xf>
    <xf numFmtId="3" fontId="33" fillId="5" borderId="23" xfId="0" applyNumberFormat="1" applyFont="1" applyFill="1" applyBorder="1" applyAlignment="1">
      <alignment horizontal="center" vertical="center"/>
    </xf>
    <xf numFmtId="3" fontId="33" fillId="11" borderId="23" xfId="0" applyNumberFormat="1" applyFont="1" applyFill="1" applyBorder="1" applyAlignment="1">
      <alignment horizontal="center" vertical="center"/>
    </xf>
    <xf numFmtId="3" fontId="73" fillId="45" borderId="23" xfId="0" applyNumberFormat="1" applyFont="1" applyFill="1" applyBorder="1" applyAlignment="1">
      <alignment horizontal="center" vertical="center"/>
    </xf>
    <xf numFmtId="0" fontId="23" fillId="7" borderId="242" xfId="0" applyFont="1" applyFill="1" applyBorder="1" applyAlignment="1">
      <alignment horizontal="right"/>
    </xf>
    <xf numFmtId="9" fontId="30" fillId="5" borderId="83" xfId="0" applyNumberFormat="1" applyFont="1" applyFill="1" applyBorder="1"/>
    <xf numFmtId="0" fontId="23" fillId="8" borderId="40" xfId="0" applyFont="1" applyFill="1" applyBorder="1" applyAlignment="1">
      <alignment horizontal="right"/>
    </xf>
    <xf numFmtId="3" fontId="0" fillId="8" borderId="43" xfId="0" applyNumberFormat="1" applyFill="1" applyBorder="1" applyAlignment="1">
      <alignment horizontal="center"/>
    </xf>
    <xf numFmtId="0" fontId="44" fillId="17" borderId="40" xfId="0" applyFont="1" applyFill="1" applyBorder="1"/>
    <xf numFmtId="3" fontId="44" fillId="17" borderId="43" xfId="0" applyNumberFormat="1" applyFont="1" applyFill="1" applyBorder="1"/>
    <xf numFmtId="3" fontId="44" fillId="38" borderId="266" xfId="0" applyNumberFormat="1" applyFont="1" applyFill="1" applyBorder="1" applyAlignment="1">
      <alignment horizontal="center"/>
    </xf>
    <xf numFmtId="9" fontId="64" fillId="2" borderId="245" xfId="0" applyNumberFormat="1" applyFont="1" applyFill="1" applyBorder="1" applyAlignment="1">
      <alignment horizontal="center"/>
    </xf>
    <xf numFmtId="3" fontId="44" fillId="38" borderId="276" xfId="0" applyNumberFormat="1" applyFont="1" applyFill="1" applyBorder="1" applyAlignment="1">
      <alignment horizontal="center"/>
    </xf>
    <xf numFmtId="9" fontId="64" fillId="2" borderId="240" xfId="0" applyNumberFormat="1" applyFont="1" applyFill="1" applyBorder="1" applyAlignment="1">
      <alignment horizontal="center"/>
    </xf>
    <xf numFmtId="9" fontId="32" fillId="24" borderId="241" xfId="0" applyNumberFormat="1" applyFont="1" applyFill="1" applyBorder="1" applyAlignment="1">
      <alignment horizontal="center" vertical="center"/>
    </xf>
    <xf numFmtId="0" fontId="64" fillId="11" borderId="232" xfId="0" applyFont="1" applyFill="1" applyBorder="1" applyAlignment="1">
      <alignment horizontal="center" vertical="center"/>
    </xf>
    <xf numFmtId="3" fontId="28" fillId="11" borderId="165" xfId="0" applyNumberFormat="1" applyFont="1" applyFill="1" applyBorder="1" applyAlignment="1">
      <alignment horizontal="center" vertical="center"/>
    </xf>
    <xf numFmtId="3" fontId="28" fillId="11" borderId="214" xfId="0" applyNumberFormat="1" applyFont="1" applyFill="1" applyBorder="1" applyAlignment="1">
      <alignment horizontal="center" vertical="center"/>
    </xf>
    <xf numFmtId="0" fontId="0" fillId="11" borderId="214" xfId="0" applyFill="1" applyBorder="1" applyAlignment="1">
      <alignment horizontal="center"/>
    </xf>
    <xf numFmtId="3" fontId="20" fillId="23" borderId="214" xfId="0" applyNumberFormat="1" applyFont="1" applyFill="1" applyBorder="1" applyAlignment="1">
      <alignment horizontal="center" vertical="center"/>
    </xf>
    <xf numFmtId="0" fontId="20" fillId="23" borderId="214" xfId="0" applyFont="1" applyFill="1" applyBorder="1" applyAlignment="1">
      <alignment horizontal="center" vertical="center"/>
    </xf>
    <xf numFmtId="0" fontId="20" fillId="18" borderId="214" xfId="0" applyFont="1" applyFill="1" applyBorder="1" applyAlignment="1">
      <alignment horizontal="center"/>
    </xf>
    <xf numFmtId="14" fontId="0" fillId="0" borderId="39" xfId="0" applyNumberFormat="1" applyBorder="1"/>
    <xf numFmtId="164" fontId="0" fillId="21" borderId="38" xfId="1" applyNumberFormat="1" applyFont="1" applyFill="1" applyBorder="1"/>
    <xf numFmtId="4" fontId="0" fillId="21" borderId="38" xfId="0" applyNumberFormat="1" applyFill="1" applyBorder="1"/>
    <xf numFmtId="9" fontId="21" fillId="16" borderId="54" xfId="0" applyNumberFormat="1" applyFont="1" applyFill="1" applyBorder="1" applyAlignment="1">
      <alignment horizontal="center"/>
    </xf>
    <xf numFmtId="9" fontId="32" fillId="24" borderId="38" xfId="0" applyNumberFormat="1" applyFont="1" applyFill="1" applyBorder="1" applyAlignment="1">
      <alignment horizontal="center" vertical="center"/>
    </xf>
    <xf numFmtId="0" fontId="21" fillId="11" borderId="38" xfId="0" applyFont="1" applyFill="1" applyBorder="1" applyAlignment="1">
      <alignment horizontal="center" vertical="center"/>
    </xf>
    <xf numFmtId="3" fontId="33" fillId="2" borderId="54" xfId="0" applyNumberFormat="1" applyFont="1" applyFill="1" applyBorder="1" applyAlignment="1">
      <alignment horizontal="center" vertical="center"/>
    </xf>
    <xf numFmtId="164" fontId="0" fillId="11" borderId="38" xfId="1" applyNumberFormat="1" applyFont="1" applyFill="1" applyBorder="1" applyAlignment="1">
      <alignment horizontal="center" vertical="top"/>
    </xf>
    <xf numFmtId="3" fontId="0" fillId="23" borderId="38" xfId="0" applyNumberFormat="1" applyFill="1" applyBorder="1" applyAlignment="1">
      <alignment horizontal="center" vertical="center"/>
    </xf>
    <xf numFmtId="167" fontId="20" fillId="23" borderId="38" xfId="0" applyNumberFormat="1" applyFont="1" applyFill="1" applyBorder="1" applyAlignment="1">
      <alignment horizontal="center" vertical="center"/>
    </xf>
    <xf numFmtId="164" fontId="30" fillId="24" borderId="38" xfId="0" applyNumberFormat="1" applyFont="1" applyFill="1" applyBorder="1" applyAlignment="1">
      <alignment horizontal="center"/>
    </xf>
    <xf numFmtId="168" fontId="30" fillId="24" borderId="38" xfId="0" applyNumberFormat="1" applyFont="1" applyFill="1" applyBorder="1"/>
    <xf numFmtId="9" fontId="30" fillId="18" borderId="37" xfId="2" applyFont="1" applyFill="1" applyBorder="1"/>
    <xf numFmtId="14" fontId="0" fillId="0" borderId="244" xfId="0" applyNumberFormat="1" applyBorder="1"/>
    <xf numFmtId="14" fontId="0" fillId="0" borderId="59" xfId="0" applyNumberFormat="1" applyBorder="1"/>
    <xf numFmtId="14" fontId="0" fillId="0" borderId="33" xfId="0" applyNumberFormat="1" applyBorder="1"/>
    <xf numFmtId="168" fontId="44" fillId="7" borderId="214" xfId="0" applyNumberFormat="1" applyFont="1" applyFill="1" applyBorder="1"/>
    <xf numFmtId="9" fontId="44" fillId="7" borderId="277" xfId="2" applyFont="1" applyFill="1" applyBorder="1"/>
    <xf numFmtId="14" fontId="0" fillId="0" borderId="31" xfId="0" applyNumberFormat="1" applyBorder="1"/>
    <xf numFmtId="164" fontId="0" fillId="21" borderId="2" xfId="1" applyNumberFormat="1" applyFont="1" applyFill="1" applyBorder="1"/>
    <xf numFmtId="4" fontId="0" fillId="21" borderId="2" xfId="0" applyNumberFormat="1" applyFill="1" applyBorder="1"/>
    <xf numFmtId="9" fontId="21" fillId="16" borderId="52" xfId="0" applyNumberFormat="1" applyFont="1" applyFill="1" applyBorder="1" applyAlignment="1">
      <alignment horizontal="center"/>
    </xf>
    <xf numFmtId="9" fontId="32" fillId="24" borderId="2" xfId="0" applyNumberFormat="1" applyFont="1" applyFill="1" applyBorder="1" applyAlignment="1">
      <alignment horizontal="center" vertical="center"/>
    </xf>
    <xf numFmtId="0" fontId="21" fillId="11" borderId="2" xfId="0" applyFont="1" applyFill="1" applyBorder="1" applyAlignment="1">
      <alignment horizontal="center" vertical="center"/>
    </xf>
    <xf numFmtId="3" fontId="33" fillId="5" borderId="51" xfId="0" applyNumberFormat="1" applyFont="1" applyFill="1" applyBorder="1" applyAlignment="1">
      <alignment horizontal="center" vertical="center"/>
    </xf>
    <xf numFmtId="164" fontId="0" fillId="11" borderId="51" xfId="1" applyNumberFormat="1" applyFont="1" applyFill="1" applyBorder="1" applyAlignment="1">
      <alignment horizontal="center" vertical="top"/>
    </xf>
    <xf numFmtId="164" fontId="0" fillId="11" borderId="2" xfId="1" applyNumberFormat="1" applyFont="1" applyFill="1" applyBorder="1" applyAlignment="1">
      <alignment horizontal="center" vertical="top"/>
    </xf>
    <xf numFmtId="3" fontId="0" fillId="23" borderId="2" xfId="0" applyNumberFormat="1" applyFill="1" applyBorder="1" applyAlignment="1">
      <alignment horizontal="center" vertical="center"/>
    </xf>
    <xf numFmtId="167" fontId="20" fillId="23" borderId="2" xfId="0" applyNumberFormat="1" applyFont="1" applyFill="1" applyBorder="1" applyAlignment="1">
      <alignment horizontal="center" vertical="center"/>
    </xf>
    <xf numFmtId="164" fontId="30" fillId="24" borderId="2" xfId="0" applyNumberFormat="1" applyFont="1" applyFill="1" applyBorder="1" applyAlignment="1">
      <alignment horizontal="center"/>
    </xf>
    <xf numFmtId="168" fontId="30" fillId="24" borderId="2" xfId="0" applyNumberFormat="1" applyFont="1" applyFill="1" applyBorder="1"/>
    <xf numFmtId="168" fontId="44" fillId="7" borderId="2" xfId="0" applyNumberFormat="1" applyFont="1" applyFill="1" applyBorder="1"/>
    <xf numFmtId="9" fontId="44" fillId="7" borderId="1" xfId="2" applyFont="1" applyFill="1" applyBorder="1"/>
    <xf numFmtId="14" fontId="0" fillId="44" borderId="218" xfId="0" applyNumberFormat="1" applyFill="1" applyBorder="1"/>
    <xf numFmtId="164" fontId="0" fillId="44" borderId="218" xfId="1" applyNumberFormat="1" applyFont="1" applyFill="1" applyBorder="1"/>
    <xf numFmtId="4" fontId="0" fillId="44" borderId="218" xfId="0" applyNumberFormat="1" applyFill="1" applyBorder="1"/>
    <xf numFmtId="0" fontId="34" fillId="13" borderId="218" xfId="0" applyFont="1" applyFill="1" applyBorder="1" applyAlignment="1">
      <alignment horizontal="center" vertical="center"/>
    </xf>
    <xf numFmtId="165" fontId="34" fillId="27" borderId="245" xfId="0" applyNumberFormat="1" applyFont="1" applyFill="1" applyBorder="1" applyAlignment="1">
      <alignment horizontal="center" vertical="center"/>
    </xf>
    <xf numFmtId="168" fontId="44" fillId="7" borderId="273" xfId="0" applyNumberFormat="1" applyFont="1" applyFill="1" applyBorder="1"/>
    <xf numFmtId="9" fontId="44" fillId="7" borderId="273" xfId="0" applyNumberFormat="1" applyFont="1" applyFill="1" applyBorder="1"/>
    <xf numFmtId="164" fontId="0" fillId="21" borderId="214" xfId="1" applyNumberFormat="1" applyFont="1" applyFill="1" applyBorder="1"/>
    <xf numFmtId="4" fontId="0" fillId="21" borderId="214" xfId="0" applyNumberFormat="1" applyFill="1" applyBorder="1"/>
    <xf numFmtId="9" fontId="21" fillId="16" borderId="214" xfId="0" applyNumberFormat="1" applyFont="1" applyFill="1" applyBorder="1" applyAlignment="1">
      <alignment horizontal="center"/>
    </xf>
    <xf numFmtId="9" fontId="32" fillId="24" borderId="214" xfId="0" applyNumberFormat="1" applyFont="1" applyFill="1" applyBorder="1" applyAlignment="1">
      <alignment horizontal="center" vertical="center"/>
    </xf>
    <xf numFmtId="165" fontId="34" fillId="7" borderId="2" xfId="0" applyNumberFormat="1" applyFont="1" applyFill="1" applyBorder="1" applyAlignment="1">
      <alignment horizontal="center" vertical="center"/>
    </xf>
    <xf numFmtId="14" fontId="35" fillId="11" borderId="42" xfId="0" applyNumberFormat="1" applyFont="1" applyFill="1" applyBorder="1"/>
    <xf numFmtId="164" fontId="35" fillId="11" borderId="278" xfId="1" applyNumberFormat="1" applyFont="1" applyFill="1" applyBorder="1"/>
    <xf numFmtId="4" fontId="35" fillId="11" borderId="278" xfId="0" applyNumberFormat="1" applyFont="1" applyFill="1" applyBorder="1"/>
    <xf numFmtId="164" fontId="22" fillId="2" borderId="269" xfId="1" applyNumberFormat="1" applyFont="1" applyFill="1" applyBorder="1"/>
    <xf numFmtId="3" fontId="0" fillId="29" borderId="43" xfId="0" applyNumberFormat="1" applyFill="1" applyBorder="1" applyAlignment="1">
      <alignment horizontal="center"/>
    </xf>
    <xf numFmtId="167" fontId="20" fillId="0" borderId="0" xfId="1" applyNumberFormat="1" applyFont="1" applyFill="1" applyBorder="1"/>
    <xf numFmtId="43" fontId="20" fillId="0" borderId="0" xfId="0" applyNumberFormat="1" applyFont="1"/>
    <xf numFmtId="164" fontId="22" fillId="5" borderId="269" xfId="1" applyNumberFormat="1" applyFont="1" applyFill="1" applyBorder="1"/>
    <xf numFmtId="168" fontId="69" fillId="5" borderId="42" xfId="0" applyNumberFormat="1" applyFont="1" applyFill="1" applyBorder="1" applyAlignment="1">
      <alignment horizontal="center"/>
    </xf>
    <xf numFmtId="9" fontId="30" fillId="5" borderId="26" xfId="0" applyNumberFormat="1" applyFont="1" applyFill="1" applyBorder="1"/>
    <xf numFmtId="3" fontId="44" fillId="29" borderId="43" xfId="0" applyNumberFormat="1" applyFont="1" applyFill="1" applyBorder="1" applyAlignment="1">
      <alignment horizontal="center"/>
    </xf>
    <xf numFmtId="3" fontId="30" fillId="16" borderId="266" xfId="0" applyNumberFormat="1" applyFont="1" applyFill="1" applyBorder="1" applyAlignment="1">
      <alignment horizontal="center"/>
    </xf>
    <xf numFmtId="168" fontId="30" fillId="24" borderId="29" xfId="0" applyNumberFormat="1" applyFont="1" applyFill="1" applyBorder="1"/>
    <xf numFmtId="9" fontId="30" fillId="18" borderId="279" xfId="2" applyFont="1" applyFill="1" applyBorder="1"/>
    <xf numFmtId="0" fontId="0" fillId="17" borderId="14" xfId="0" applyFill="1" applyBorder="1"/>
    <xf numFmtId="3" fontId="30" fillId="29" borderId="43" xfId="0" applyNumberFormat="1" applyFont="1" applyFill="1" applyBorder="1" applyAlignment="1">
      <alignment horizontal="center"/>
    </xf>
    <xf numFmtId="14" fontId="20" fillId="0" borderId="244" xfId="0" applyNumberFormat="1" applyFont="1" applyBorder="1" applyAlignment="1">
      <alignment horizontal="center"/>
    </xf>
    <xf numFmtId="43" fontId="0" fillId="44" borderId="4" xfId="1" applyFont="1" applyFill="1" applyBorder="1"/>
    <xf numFmtId="14" fontId="20" fillId="0" borderId="59" xfId="0" applyNumberFormat="1" applyFont="1" applyBorder="1" applyAlignment="1">
      <alignment horizontal="center"/>
    </xf>
    <xf numFmtId="168" fontId="44" fillId="7" borderId="4" xfId="0" applyNumberFormat="1" applyFont="1" applyFill="1" applyBorder="1"/>
    <xf numFmtId="9" fontId="44" fillId="7" borderId="12" xfId="2" applyFont="1" applyFill="1" applyBorder="1"/>
    <xf numFmtId="43" fontId="0" fillId="21" borderId="2" xfId="1" applyFont="1" applyFill="1" applyBorder="1"/>
    <xf numFmtId="43" fontId="0" fillId="21" borderId="4" xfId="1" applyFont="1" applyFill="1" applyBorder="1"/>
    <xf numFmtId="3" fontId="33" fillId="5" borderId="4" xfId="0" applyNumberFormat="1" applyFont="1" applyFill="1" applyBorder="1" applyAlignment="1">
      <alignment horizontal="center" vertical="center"/>
    </xf>
    <xf numFmtId="164" fontId="0" fillId="11" borderId="214" xfId="1" applyNumberFormat="1" applyFont="1" applyFill="1" applyBorder="1"/>
    <xf numFmtId="164" fontId="0" fillId="16" borderId="4" xfId="1" applyNumberFormat="1" applyFont="1" applyFill="1" applyBorder="1"/>
    <xf numFmtId="4" fontId="0" fillId="16" borderId="4" xfId="0" applyNumberFormat="1" applyFill="1" applyBorder="1"/>
    <xf numFmtId="3" fontId="33" fillId="2" borderId="4" xfId="0" applyNumberFormat="1" applyFont="1" applyFill="1" applyBorder="1" applyAlignment="1">
      <alignment horizontal="center" vertical="center"/>
    </xf>
    <xf numFmtId="9" fontId="44" fillId="7" borderId="4" xfId="2" applyFont="1" applyFill="1" applyBorder="1"/>
    <xf numFmtId="164" fontId="0" fillId="5" borderId="240" xfId="1" applyNumberFormat="1" applyFont="1" applyFill="1" applyBorder="1"/>
    <xf numFmtId="168" fontId="29" fillId="30" borderId="58" xfId="0" applyNumberFormat="1" applyFont="1" applyFill="1" applyBorder="1"/>
    <xf numFmtId="164" fontId="22" fillId="5" borderId="280" xfId="1" applyNumberFormat="1" applyFont="1" applyFill="1" applyBorder="1"/>
    <xf numFmtId="168" fontId="69" fillId="5" borderId="27" xfId="0" applyNumberFormat="1" applyFont="1" applyFill="1" applyBorder="1" applyAlignment="1">
      <alignment horizontal="center"/>
    </xf>
    <xf numFmtId="3" fontId="20" fillId="23" borderId="241" xfId="0" applyNumberFormat="1" applyFont="1" applyFill="1" applyBorder="1" applyAlignment="1">
      <alignment horizontal="center" vertical="center"/>
    </xf>
    <xf numFmtId="0" fontId="20" fillId="23" borderId="241" xfId="0" applyFont="1" applyFill="1" applyBorder="1" applyAlignment="1">
      <alignment horizontal="center" vertical="center"/>
    </xf>
    <xf numFmtId="0" fontId="20" fillId="24" borderId="241" xfId="0" applyFont="1" applyFill="1" applyBorder="1" applyAlignment="1">
      <alignment horizontal="center"/>
    </xf>
    <xf numFmtId="0" fontId="20" fillId="18" borderId="241" xfId="0" applyFont="1" applyFill="1" applyBorder="1" applyAlignment="1">
      <alignment horizontal="center"/>
    </xf>
    <xf numFmtId="168" fontId="30" fillId="7" borderId="4" xfId="0" applyNumberFormat="1" applyFont="1" applyFill="1" applyBorder="1"/>
    <xf numFmtId="9" fontId="30" fillId="7" borderId="4" xfId="2" applyFont="1" applyFill="1" applyBorder="1"/>
    <xf numFmtId="164" fontId="0" fillId="2" borderId="218" xfId="1" applyNumberFormat="1" applyFont="1" applyFill="1" applyBorder="1"/>
    <xf numFmtId="3" fontId="30" fillId="2" borderId="266" xfId="0" applyNumberFormat="1" applyFont="1" applyFill="1" applyBorder="1" applyAlignment="1">
      <alignment horizontal="center"/>
    </xf>
    <xf numFmtId="9" fontId="0" fillId="0" borderId="4" xfId="0" applyNumberFormat="1" applyBorder="1"/>
    <xf numFmtId="164" fontId="0" fillId="7" borderId="241" xfId="1" applyNumberFormat="1" applyFont="1" applyFill="1" applyBorder="1"/>
    <xf numFmtId="164" fontId="38" fillId="46" borderId="269" xfId="1" applyNumberFormat="1" applyFont="1" applyFill="1" applyBorder="1"/>
    <xf numFmtId="168" fontId="74" fillId="46" borderId="42" xfId="0" applyNumberFormat="1" applyFont="1" applyFill="1" applyBorder="1" applyAlignment="1">
      <alignment horizontal="center"/>
    </xf>
    <xf numFmtId="9" fontId="29" fillId="46" borderId="26" xfId="0" applyNumberFormat="1" applyFont="1" applyFill="1" applyBorder="1"/>
    <xf numFmtId="3" fontId="30" fillId="17" borderId="43" xfId="0" applyNumberFormat="1" applyFont="1" applyFill="1" applyBorder="1"/>
    <xf numFmtId="0" fontId="0" fillId="17" borderId="23" xfId="0" applyFill="1" applyBorder="1"/>
    <xf numFmtId="164" fontId="30" fillId="7" borderId="4" xfId="0" applyNumberFormat="1" applyFont="1" applyFill="1" applyBorder="1" applyAlignment="1">
      <alignment horizontal="center"/>
    </xf>
    <xf numFmtId="164" fontId="20" fillId="0" borderId="14" xfId="1" applyNumberFormat="1" applyFont="1" applyBorder="1"/>
    <xf numFmtId="9" fontId="29" fillId="46" borderId="26" xfId="0" applyNumberFormat="1" applyFont="1" applyFill="1" applyBorder="1" applyAlignment="1">
      <alignment horizontal="center"/>
    </xf>
    <xf numFmtId="0" fontId="30" fillId="5" borderId="40" xfId="0" applyFont="1" applyFill="1" applyBorder="1"/>
    <xf numFmtId="3" fontId="30" fillId="5" borderId="43" xfId="0" applyNumberFormat="1" applyFont="1" applyFill="1" applyBorder="1"/>
    <xf numFmtId="9" fontId="29" fillId="9" borderId="22" xfId="0" applyNumberFormat="1" applyFont="1" applyFill="1" applyBorder="1" applyAlignment="1">
      <alignment horizontal="center"/>
    </xf>
    <xf numFmtId="0" fontId="20" fillId="17" borderId="17" xfId="0" applyFont="1" applyFill="1" applyBorder="1"/>
    <xf numFmtId="0" fontId="20" fillId="17" borderId="16" xfId="0" applyFont="1" applyFill="1" applyBorder="1"/>
    <xf numFmtId="0" fontId="20" fillId="17" borderId="15" xfId="0" applyFont="1" applyFill="1" applyBorder="1"/>
    <xf numFmtId="0" fontId="20" fillId="18" borderId="240" xfId="0" applyFont="1" applyFill="1" applyBorder="1" applyAlignment="1">
      <alignment horizontal="center"/>
    </xf>
    <xf numFmtId="168" fontId="29" fillId="9" borderId="20" xfId="0" applyNumberFormat="1" applyFont="1" applyFill="1" applyBorder="1" applyAlignment="1">
      <alignment horizontal="center"/>
    </xf>
    <xf numFmtId="0" fontId="20" fillId="11" borderId="239" xfId="0" applyFont="1" applyFill="1" applyBorder="1" applyAlignment="1">
      <alignment horizontal="center"/>
    </xf>
    <xf numFmtId="43" fontId="0" fillId="0" borderId="0" xfId="1" applyFont="1" applyFill="1" applyBorder="1"/>
    <xf numFmtId="9" fontId="21" fillId="9" borderId="4" xfId="2" applyFont="1" applyFill="1" applyBorder="1" applyAlignment="1">
      <alignment horizontal="center"/>
    </xf>
    <xf numFmtId="168" fontId="30" fillId="9" borderId="4" xfId="0" applyNumberFormat="1" applyFont="1" applyFill="1" applyBorder="1"/>
    <xf numFmtId="164" fontId="0" fillId="0" borderId="0" xfId="1" applyNumberFormat="1" applyFont="1" applyFill="1" applyBorder="1"/>
    <xf numFmtId="0" fontId="0" fillId="5" borderId="11" xfId="0" applyFill="1" applyBorder="1"/>
    <xf numFmtId="14" fontId="0" fillId="0" borderId="10" xfId="0" applyNumberFormat="1" applyBorder="1"/>
    <xf numFmtId="43" fontId="0" fillId="0" borderId="0" xfId="1" applyFont="1" applyBorder="1"/>
    <xf numFmtId="164" fontId="20" fillId="0" borderId="0" xfId="1" applyNumberFormat="1" applyFont="1" applyFill="1" applyBorder="1"/>
    <xf numFmtId="0" fontId="0" fillId="7" borderId="0" xfId="0" applyFill="1"/>
    <xf numFmtId="43" fontId="0" fillId="7" borderId="0" xfId="1" applyFont="1" applyFill="1" applyBorder="1"/>
    <xf numFmtId="43" fontId="0" fillId="0" borderId="14" xfId="0" applyNumberFormat="1" applyBorder="1"/>
    <xf numFmtId="4" fontId="16" fillId="11" borderId="278" xfId="0" applyNumberFormat="1" applyFont="1" applyFill="1" applyBorder="1"/>
    <xf numFmtId="164" fontId="38" fillId="36" borderId="269" xfId="1" applyNumberFormat="1" applyFont="1" applyFill="1" applyBorder="1"/>
    <xf numFmtId="168" fontId="74" fillId="36" borderId="42" xfId="0" applyNumberFormat="1" applyFont="1" applyFill="1" applyBorder="1" applyAlignment="1">
      <alignment horizontal="center"/>
    </xf>
    <xf numFmtId="9" fontId="30" fillId="28" borderId="26" xfId="0" applyNumberFormat="1" applyFont="1" applyFill="1" applyBorder="1" applyAlignment="1">
      <alignment horizontal="center"/>
    </xf>
    <xf numFmtId="14" fontId="20" fillId="47" borderId="41" xfId="0" applyNumberFormat="1" applyFont="1" applyFill="1" applyBorder="1" applyAlignment="1">
      <alignment horizontal="center"/>
    </xf>
    <xf numFmtId="168" fontId="0" fillId="5" borderId="0" xfId="0" applyNumberFormat="1" applyFill="1"/>
    <xf numFmtId="3" fontId="28" fillId="24" borderId="214" xfId="0" applyNumberFormat="1" applyFont="1" applyFill="1" applyBorder="1" applyAlignment="1">
      <alignment horizontal="center" vertical="center"/>
    </xf>
    <xf numFmtId="0" fontId="0" fillId="24" borderId="214" xfId="0" applyFill="1" applyBorder="1" applyAlignment="1">
      <alignment horizontal="center"/>
    </xf>
    <xf numFmtId="43" fontId="0" fillId="24" borderId="4" xfId="1" applyFont="1" applyFill="1" applyBorder="1" applyAlignment="1">
      <alignment horizontal="center" vertical="top"/>
    </xf>
    <xf numFmtId="9" fontId="21" fillId="27" borderId="245" xfId="0" applyNumberFormat="1" applyFont="1" applyFill="1" applyBorder="1" applyAlignment="1">
      <alignment horizontal="center"/>
    </xf>
    <xf numFmtId="9" fontId="75" fillId="9" borderId="4" xfId="0" applyNumberFormat="1" applyFont="1" applyFill="1" applyBorder="1" applyAlignment="1">
      <alignment horizontal="center" vertical="center"/>
    </xf>
    <xf numFmtId="9" fontId="21" fillId="7" borderId="245" xfId="0" applyNumberFormat="1" applyFont="1" applyFill="1" applyBorder="1" applyAlignment="1">
      <alignment horizontal="center"/>
    </xf>
    <xf numFmtId="14" fontId="0" fillId="24" borderId="4" xfId="0" applyNumberFormat="1" applyFill="1" applyBorder="1"/>
    <xf numFmtId="4" fontId="0" fillId="24" borderId="4" xfId="0" applyNumberFormat="1" applyFill="1" applyBorder="1"/>
    <xf numFmtId="164" fontId="20" fillId="7" borderId="23" xfId="0" applyNumberFormat="1" applyFont="1" applyFill="1" applyBorder="1" applyAlignment="1">
      <alignment horizontal="center"/>
    </xf>
    <xf numFmtId="0" fontId="20" fillId="7" borderId="239" xfId="0" applyFont="1" applyFill="1" applyBorder="1" applyAlignment="1">
      <alignment horizontal="center"/>
    </xf>
    <xf numFmtId="168" fontId="30" fillId="18" borderId="29" xfId="0" applyNumberFormat="1" applyFont="1" applyFill="1" applyBorder="1"/>
    <xf numFmtId="168" fontId="20" fillId="7" borderId="0" xfId="0" applyNumberFormat="1" applyFont="1" applyFill="1"/>
    <xf numFmtId="0" fontId="64" fillId="7" borderId="0" xfId="0" applyFont="1" applyFill="1" applyAlignment="1">
      <alignment horizontal="center" vertical="center"/>
    </xf>
    <xf numFmtId="164" fontId="64" fillId="7" borderId="0" xfId="1" applyNumberFormat="1" applyFont="1" applyFill="1" applyAlignment="1">
      <alignment horizontal="center" vertical="center"/>
    </xf>
    <xf numFmtId="9" fontId="32" fillId="7" borderId="4" xfId="0" applyNumberFormat="1" applyFont="1" applyFill="1" applyBorder="1" applyAlignment="1">
      <alignment horizontal="center" vertical="center"/>
    </xf>
    <xf numFmtId="164" fontId="0" fillId="24" borderId="4" xfId="1" applyNumberFormat="1" applyFont="1" applyFill="1" applyBorder="1" applyAlignment="1">
      <alignment horizontal="center" vertical="top"/>
    </xf>
    <xf numFmtId="9" fontId="21" fillId="4" borderId="245" xfId="0" applyNumberFormat="1" applyFont="1" applyFill="1" applyBorder="1" applyAlignment="1">
      <alignment horizontal="center"/>
    </xf>
    <xf numFmtId="168" fontId="30" fillId="5" borderId="40" xfId="0" applyNumberFormat="1" applyFont="1" applyFill="1" applyBorder="1"/>
    <xf numFmtId="9" fontId="32" fillId="15" borderId="4" xfId="0" applyNumberFormat="1" applyFont="1" applyFill="1" applyBorder="1" applyAlignment="1">
      <alignment horizontal="center" vertical="center"/>
    </xf>
    <xf numFmtId="164" fontId="0" fillId="11" borderId="59" xfId="1" applyNumberFormat="1" applyFont="1" applyFill="1" applyBorder="1"/>
    <xf numFmtId="3" fontId="33" fillId="5" borderId="245" xfId="0" applyNumberFormat="1" applyFont="1" applyFill="1" applyBorder="1" applyAlignment="1">
      <alignment horizontal="center" vertical="center"/>
    </xf>
    <xf numFmtId="164" fontId="0" fillId="24" borderId="245" xfId="1" applyNumberFormat="1" applyFont="1" applyFill="1" applyBorder="1" applyAlignment="1">
      <alignment horizontal="center" vertical="top"/>
    </xf>
    <xf numFmtId="164" fontId="0" fillId="24" borderId="218" xfId="1" applyNumberFormat="1" applyFont="1" applyFill="1" applyBorder="1" applyAlignment="1">
      <alignment horizontal="center" vertical="top"/>
    </xf>
    <xf numFmtId="3" fontId="30" fillId="5" borderId="43" xfId="0" applyNumberFormat="1" applyFont="1" applyFill="1" applyBorder="1" applyAlignment="1">
      <alignment horizontal="center"/>
    </xf>
    <xf numFmtId="168" fontId="44" fillId="14" borderId="0" xfId="0" applyNumberFormat="1" applyFont="1" applyFill="1"/>
    <xf numFmtId="168" fontId="30" fillId="2" borderId="4" xfId="0" applyNumberFormat="1" applyFont="1" applyFill="1" applyBorder="1"/>
    <xf numFmtId="164" fontId="0" fillId="0" borderId="0" xfId="1" applyNumberFormat="1" applyFont="1" applyFill="1"/>
    <xf numFmtId="168" fontId="44" fillId="14" borderId="0" xfId="1" applyNumberFormat="1" applyFont="1" applyFill="1"/>
    <xf numFmtId="3" fontId="33" fillId="29" borderId="4" xfId="0" applyNumberFormat="1" applyFont="1" applyFill="1" applyBorder="1" applyAlignment="1">
      <alignment horizontal="center" vertical="center"/>
    </xf>
    <xf numFmtId="3" fontId="33" fillId="2" borderId="245" xfId="0" applyNumberFormat="1" applyFont="1" applyFill="1" applyBorder="1" applyAlignment="1">
      <alignment horizontal="center" vertical="center"/>
    </xf>
    <xf numFmtId="0" fontId="30" fillId="8" borderId="40" xfId="0" applyFont="1" applyFill="1" applyBorder="1"/>
    <xf numFmtId="3" fontId="30" fillId="8" borderId="43" xfId="0" applyNumberFormat="1" applyFont="1" applyFill="1" applyBorder="1"/>
    <xf numFmtId="164" fontId="0" fillId="18" borderId="59" xfId="1" applyNumberFormat="1" applyFont="1" applyFill="1" applyBorder="1"/>
    <xf numFmtId="3" fontId="22" fillId="5" borderId="58" xfId="0" applyNumberFormat="1" applyFont="1" applyFill="1" applyBorder="1" applyAlignment="1">
      <alignment horizontal="center"/>
    </xf>
    <xf numFmtId="9" fontId="30" fillId="5" borderId="27" xfId="0" applyNumberFormat="1" applyFont="1" applyFill="1" applyBorder="1" applyAlignment="1">
      <alignment horizontal="center"/>
    </xf>
    <xf numFmtId="0" fontId="0" fillId="10" borderId="4" xfId="0" applyFill="1" applyBorder="1" applyAlignment="1">
      <alignment horizontal="center"/>
    </xf>
    <xf numFmtId="9" fontId="21" fillId="25" borderId="245" xfId="0" applyNumberFormat="1" applyFont="1" applyFill="1" applyBorder="1" applyAlignment="1">
      <alignment horizontal="center"/>
    </xf>
    <xf numFmtId="14" fontId="0" fillId="7" borderId="23" xfId="0" applyNumberFormat="1" applyFill="1" applyBorder="1"/>
    <xf numFmtId="167" fontId="20" fillId="23" borderId="0" xfId="0" applyNumberFormat="1" applyFont="1" applyFill="1" applyAlignment="1">
      <alignment horizontal="center" vertical="center"/>
    </xf>
    <xf numFmtId="164" fontId="30" fillId="24" borderId="241" xfId="0" applyNumberFormat="1" applyFont="1" applyFill="1" applyBorder="1" applyAlignment="1">
      <alignment horizontal="center"/>
    </xf>
    <xf numFmtId="168" fontId="30" fillId="24" borderId="241" xfId="0" applyNumberFormat="1" applyFont="1" applyFill="1" applyBorder="1"/>
    <xf numFmtId="9" fontId="30" fillId="18" borderId="242" xfId="2" applyFont="1" applyFill="1" applyBorder="1"/>
    <xf numFmtId="14" fontId="0" fillId="24" borderId="0" xfId="0" applyNumberFormat="1" applyFill="1"/>
    <xf numFmtId="9" fontId="32" fillId="11" borderId="4" xfId="0" applyNumberFormat="1" applyFont="1" applyFill="1" applyBorder="1" applyAlignment="1">
      <alignment horizontal="center" vertical="center"/>
    </xf>
    <xf numFmtId="14" fontId="0" fillId="2" borderId="23" xfId="0" applyNumberFormat="1" applyFill="1" applyBorder="1"/>
    <xf numFmtId="0" fontId="20" fillId="11" borderId="214" xfId="0" applyFont="1" applyFill="1" applyBorder="1" applyAlignment="1">
      <alignment horizontal="center"/>
    </xf>
    <xf numFmtId="164" fontId="0" fillId="7" borderId="214" xfId="1" applyNumberFormat="1" applyFont="1" applyFill="1" applyBorder="1"/>
    <xf numFmtId="14" fontId="0" fillId="15" borderId="23" xfId="0" applyNumberFormat="1" applyFill="1" applyBorder="1"/>
    <xf numFmtId="164" fontId="0" fillId="15" borderId="241" xfId="1" applyNumberFormat="1" applyFont="1" applyFill="1" applyBorder="1"/>
    <xf numFmtId="14" fontId="0" fillId="15" borderId="0" xfId="0" applyNumberFormat="1" applyFill="1"/>
    <xf numFmtId="9" fontId="75" fillId="36" borderId="245" xfId="0" applyNumberFormat="1" applyFont="1" applyFill="1" applyBorder="1" applyAlignment="1">
      <alignment horizontal="center"/>
    </xf>
    <xf numFmtId="168" fontId="30" fillId="16" borderId="4" xfId="0" applyNumberFormat="1" applyFont="1" applyFill="1" applyBorder="1"/>
    <xf numFmtId="14" fontId="0" fillId="14" borderId="23" xfId="0" applyNumberFormat="1" applyFill="1" applyBorder="1"/>
    <xf numFmtId="164" fontId="0" fillId="14" borderId="4" xfId="1" applyNumberFormat="1" applyFont="1" applyFill="1" applyBorder="1"/>
    <xf numFmtId="168" fontId="30" fillId="16" borderId="241" xfId="0" applyNumberFormat="1" applyFont="1" applyFill="1" applyBorder="1"/>
    <xf numFmtId="164" fontId="0" fillId="15" borderId="4" xfId="1" applyNumberFormat="1" applyFont="1" applyFill="1" applyBorder="1"/>
    <xf numFmtId="164" fontId="0" fillId="11" borderId="4" xfId="1" applyNumberFormat="1" applyFont="1" applyFill="1" applyBorder="1"/>
    <xf numFmtId="168" fontId="0" fillId="14" borderId="23" xfId="0" applyNumberFormat="1" applyFill="1" applyBorder="1" applyAlignment="1">
      <alignment horizontal="center"/>
    </xf>
    <xf numFmtId="0" fontId="0" fillId="5" borderId="23" xfId="0" applyFill="1" applyBorder="1" applyAlignment="1">
      <alignment horizontal="center"/>
    </xf>
    <xf numFmtId="0" fontId="0" fillId="5" borderId="4" xfId="0" applyFill="1" applyBorder="1" applyAlignment="1">
      <alignment horizontal="center"/>
    </xf>
    <xf numFmtId="0" fontId="0" fillId="38" borderId="242" xfId="0" applyFill="1" applyBorder="1"/>
    <xf numFmtId="168" fontId="0" fillId="38" borderId="242" xfId="0" applyNumberFormat="1" applyFill="1" applyBorder="1"/>
    <xf numFmtId="9" fontId="0" fillId="38" borderId="214" xfId="2" applyFont="1" applyFill="1" applyBorder="1"/>
    <xf numFmtId="0" fontId="0" fillId="38" borderId="240" xfId="0" applyFill="1" applyBorder="1"/>
    <xf numFmtId="168" fontId="0" fillId="38" borderId="240" xfId="0" applyNumberFormat="1" applyFill="1" applyBorder="1"/>
    <xf numFmtId="9" fontId="0" fillId="38" borderId="241" xfId="2" applyFont="1" applyFill="1" applyBorder="1"/>
    <xf numFmtId="0" fontId="0" fillId="38" borderId="245" xfId="0" applyFill="1" applyBorder="1"/>
    <xf numFmtId="168" fontId="0" fillId="38" borderId="245" xfId="0" applyNumberFormat="1" applyFill="1" applyBorder="1"/>
    <xf numFmtId="9" fontId="0" fillId="38" borderId="218" xfId="2" applyFont="1" applyFill="1" applyBorder="1"/>
    <xf numFmtId="168" fontId="30" fillId="7" borderId="241" xfId="0" applyNumberFormat="1" applyFont="1" applyFill="1" applyBorder="1"/>
    <xf numFmtId="9" fontId="30" fillId="7" borderId="242" xfId="2" applyFont="1" applyFill="1" applyBorder="1"/>
    <xf numFmtId="164" fontId="23" fillId="5" borderId="4" xfId="1" applyNumberFormat="1" applyFont="1" applyFill="1" applyBorder="1"/>
    <xf numFmtId="168" fontId="0" fillId="5" borderId="23" xfId="0" applyNumberFormat="1" applyFill="1" applyBorder="1" applyAlignment="1">
      <alignment horizontal="center"/>
    </xf>
    <xf numFmtId="0" fontId="20" fillId="47" borderId="40" xfId="0" applyFont="1" applyFill="1" applyBorder="1"/>
    <xf numFmtId="164" fontId="20" fillId="47" borderId="267" xfId="1" applyNumberFormat="1" applyFont="1" applyFill="1" applyBorder="1" applyAlignment="1">
      <alignment horizontal="center"/>
    </xf>
    <xf numFmtId="0" fontId="20" fillId="47" borderId="268" xfId="0" applyFont="1" applyFill="1" applyBorder="1" applyAlignment="1">
      <alignment horizontal="center"/>
    </xf>
    <xf numFmtId="14" fontId="20" fillId="47" borderId="269" xfId="0" applyNumberFormat="1" applyFont="1" applyFill="1" applyBorder="1" applyAlignment="1">
      <alignment horizontal="center"/>
    </xf>
    <xf numFmtId="9" fontId="0" fillId="0" borderId="0" xfId="1" applyNumberFormat="1" applyFont="1"/>
    <xf numFmtId="168" fontId="29" fillId="35" borderId="23" xfId="0" applyNumberFormat="1" applyFont="1" applyFill="1" applyBorder="1" applyAlignment="1">
      <alignment horizontal="center"/>
    </xf>
    <xf numFmtId="0" fontId="0" fillId="5" borderId="214" xfId="0" applyFill="1" applyBorder="1" applyAlignment="1">
      <alignment horizontal="center"/>
    </xf>
    <xf numFmtId="164" fontId="0" fillId="12" borderId="4" xfId="1" applyNumberFormat="1" applyFont="1" applyFill="1" applyBorder="1"/>
    <xf numFmtId="9" fontId="21" fillId="8" borderId="245" xfId="0" applyNumberFormat="1" applyFont="1" applyFill="1" applyBorder="1" applyAlignment="1">
      <alignment horizontal="center"/>
    </xf>
    <xf numFmtId="9" fontId="32" fillId="8" borderId="4" xfId="0" applyNumberFormat="1" applyFont="1" applyFill="1" applyBorder="1" applyAlignment="1">
      <alignment horizontal="center" vertical="center"/>
    </xf>
    <xf numFmtId="164" fontId="0" fillId="48" borderId="4" xfId="1" applyNumberFormat="1" applyFont="1" applyFill="1" applyBorder="1"/>
    <xf numFmtId="164" fontId="0" fillId="8" borderId="0" xfId="1" applyNumberFormat="1" applyFont="1" applyFill="1"/>
    <xf numFmtId="0" fontId="20" fillId="11" borderId="40" xfId="0" applyFont="1" applyFill="1" applyBorder="1"/>
    <xf numFmtId="164" fontId="20" fillId="11" borderId="267" xfId="1" applyNumberFormat="1" applyFont="1" applyFill="1" applyBorder="1" applyAlignment="1">
      <alignment horizontal="center"/>
    </xf>
    <xf numFmtId="0" fontId="20" fillId="11" borderId="268" xfId="0" applyFont="1" applyFill="1" applyBorder="1" applyAlignment="1">
      <alignment horizontal="center"/>
    </xf>
    <xf numFmtId="14" fontId="20" fillId="11" borderId="269" xfId="0" applyNumberFormat="1" applyFont="1" applyFill="1" applyBorder="1" applyAlignment="1">
      <alignment horizontal="center"/>
    </xf>
    <xf numFmtId="164" fontId="32" fillId="16" borderId="4" xfId="1" applyNumberFormat="1" applyFont="1" applyFill="1" applyBorder="1" applyAlignment="1">
      <alignment horizontal="center" vertical="center"/>
    </xf>
    <xf numFmtId="164" fontId="32" fillId="8" borderId="4" xfId="1" applyNumberFormat="1" applyFont="1" applyFill="1" applyBorder="1" applyAlignment="1">
      <alignment horizontal="center" vertical="center"/>
    </xf>
    <xf numFmtId="0" fontId="0" fillId="38" borderId="4" xfId="0" applyFill="1" applyBorder="1"/>
    <xf numFmtId="168" fontId="0" fillId="38" borderId="4" xfId="0" applyNumberFormat="1" applyFill="1" applyBorder="1"/>
    <xf numFmtId="9" fontId="0" fillId="38" borderId="4" xfId="2" applyFont="1" applyFill="1" applyBorder="1"/>
    <xf numFmtId="0" fontId="29" fillId="33" borderId="40" xfId="0" applyFont="1" applyFill="1" applyBorder="1"/>
    <xf numFmtId="164" fontId="29" fillId="33" borderId="256" xfId="1" applyNumberFormat="1" applyFont="1" applyFill="1" applyBorder="1" applyAlignment="1">
      <alignment horizontal="center"/>
    </xf>
    <xf numFmtId="0" fontId="29" fillId="33" borderId="44" xfId="0" applyFont="1" applyFill="1" applyBorder="1" applyAlignment="1">
      <alignment horizontal="center"/>
    </xf>
    <xf numFmtId="14" fontId="29" fillId="33" borderId="16" xfId="0" applyNumberFormat="1" applyFont="1" applyFill="1" applyBorder="1" applyAlignment="1">
      <alignment horizontal="center"/>
    </xf>
    <xf numFmtId="14" fontId="29" fillId="33" borderId="269" xfId="0" applyNumberFormat="1" applyFont="1" applyFill="1" applyBorder="1" applyAlignment="1">
      <alignment horizontal="center"/>
    </xf>
    <xf numFmtId="0" fontId="20" fillId="10" borderId="281" xfId="0" applyFont="1" applyFill="1" applyBorder="1"/>
    <xf numFmtId="164" fontId="20" fillId="10" borderId="282" xfId="1" applyNumberFormat="1" applyFont="1" applyFill="1" applyBorder="1" applyAlignment="1">
      <alignment horizontal="center"/>
    </xf>
    <xf numFmtId="3" fontId="20" fillId="10" borderId="282" xfId="0" applyNumberFormat="1" applyFont="1" applyFill="1" applyBorder="1" applyAlignment="1">
      <alignment horizontal="center"/>
    </xf>
    <xf numFmtId="3" fontId="30" fillId="16" borderId="283" xfId="0" applyNumberFormat="1" applyFont="1" applyFill="1" applyBorder="1" applyAlignment="1">
      <alignment horizontal="center"/>
    </xf>
    <xf numFmtId="9" fontId="21" fillId="16" borderId="225" xfId="0" applyNumberFormat="1" applyFont="1" applyFill="1" applyBorder="1" applyAlignment="1">
      <alignment horizontal="center"/>
    </xf>
    <xf numFmtId="0" fontId="20" fillId="10" borderId="169" xfId="0" applyFont="1" applyFill="1" applyBorder="1"/>
    <xf numFmtId="3" fontId="20" fillId="10" borderId="241" xfId="0" applyNumberFormat="1" applyFont="1" applyFill="1" applyBorder="1" applyAlignment="1">
      <alignment horizontal="center"/>
    </xf>
    <xf numFmtId="3" fontId="30" fillId="16" borderId="284" xfId="0" applyNumberFormat="1" applyFont="1" applyFill="1" applyBorder="1" applyAlignment="1">
      <alignment horizontal="center"/>
    </xf>
    <xf numFmtId="14" fontId="0" fillId="16" borderId="23" xfId="0" applyNumberFormat="1" applyFill="1" applyBorder="1"/>
    <xf numFmtId="9" fontId="21" fillId="16" borderId="246" xfId="0" applyNumberFormat="1" applyFont="1" applyFill="1" applyBorder="1" applyAlignment="1">
      <alignment horizontal="center"/>
    </xf>
    <xf numFmtId="9" fontId="21" fillId="16" borderId="244" xfId="0" applyNumberFormat="1" applyFont="1" applyFill="1" applyBorder="1" applyAlignment="1">
      <alignment horizontal="center"/>
    </xf>
    <xf numFmtId="164" fontId="35" fillId="11" borderId="285" xfId="1" applyNumberFormat="1" applyFont="1" applyFill="1" applyBorder="1"/>
    <xf numFmtId="4" fontId="16" fillId="11" borderId="285" xfId="0" applyNumberFormat="1" applyFont="1" applyFill="1" applyBorder="1"/>
    <xf numFmtId="164" fontId="22" fillId="2" borderId="286" xfId="1" applyNumberFormat="1" applyFont="1" applyFill="1" applyBorder="1"/>
    <xf numFmtId="164" fontId="20" fillId="10" borderId="256" xfId="1" applyNumberFormat="1" applyFont="1" applyFill="1" applyBorder="1" applyAlignment="1">
      <alignment horizontal="center"/>
    </xf>
    <xf numFmtId="9" fontId="0" fillId="0" borderId="0" xfId="2" applyFont="1" applyFill="1" applyBorder="1"/>
    <xf numFmtId="9" fontId="21" fillId="16" borderId="225" xfId="2" applyFont="1" applyFill="1" applyBorder="1" applyAlignment="1">
      <alignment horizontal="center"/>
    </xf>
    <xf numFmtId="3" fontId="33" fillId="29" borderId="245" xfId="0" applyNumberFormat="1" applyFont="1" applyFill="1" applyBorder="1" applyAlignment="1">
      <alignment horizontal="center" vertical="center"/>
    </xf>
    <xf numFmtId="168" fontId="30" fillId="2" borderId="287" xfId="0" applyNumberFormat="1" applyFont="1" applyFill="1" applyBorder="1"/>
    <xf numFmtId="9" fontId="30" fillId="2" borderId="288" xfId="2" applyFont="1" applyFill="1" applyBorder="1"/>
    <xf numFmtId="164" fontId="22" fillId="30" borderId="286" xfId="1" applyNumberFormat="1" applyFont="1" applyFill="1" applyBorder="1"/>
    <xf numFmtId="3" fontId="22" fillId="30" borderId="58" xfId="0" applyNumberFormat="1" applyFont="1" applyFill="1" applyBorder="1" applyAlignment="1">
      <alignment horizontal="center"/>
    </xf>
    <xf numFmtId="9" fontId="30" fillId="30" borderId="27" xfId="0" applyNumberFormat="1" applyFont="1" applyFill="1" applyBorder="1" applyAlignment="1">
      <alignment horizontal="center"/>
    </xf>
    <xf numFmtId="164" fontId="20" fillId="10" borderId="40" xfId="1" applyNumberFormat="1" applyFont="1" applyFill="1" applyBorder="1" applyAlignment="1">
      <alignment horizontal="center"/>
    </xf>
    <xf numFmtId="164" fontId="20" fillId="10" borderId="289" xfId="1" applyNumberFormat="1" applyFont="1" applyFill="1" applyBorder="1" applyAlignment="1">
      <alignment horizontal="center"/>
    </xf>
    <xf numFmtId="3" fontId="20" fillId="10" borderId="289" xfId="0" applyNumberFormat="1" applyFont="1" applyFill="1" applyBorder="1" applyAlignment="1">
      <alignment horizontal="center"/>
    </xf>
    <xf numFmtId="164" fontId="22" fillId="30" borderId="61" xfId="1" applyNumberFormat="1" applyFont="1" applyFill="1" applyBorder="1"/>
    <xf numFmtId="164" fontId="20" fillId="11" borderId="40" xfId="1" applyNumberFormat="1" applyFont="1" applyFill="1" applyBorder="1" applyAlignment="1">
      <alignment horizontal="center"/>
    </xf>
    <xf numFmtId="9" fontId="30" fillId="30" borderId="41" xfId="0" applyNumberFormat="1" applyFont="1" applyFill="1" applyBorder="1" applyAlignment="1">
      <alignment horizontal="center"/>
    </xf>
    <xf numFmtId="0" fontId="23" fillId="29" borderId="42" xfId="0" applyFont="1" applyFill="1" applyBorder="1" applyAlignment="1">
      <alignment horizontal="center"/>
    </xf>
    <xf numFmtId="167" fontId="0" fillId="23" borderId="4" xfId="0" applyNumberFormat="1" applyFill="1" applyBorder="1" applyAlignment="1">
      <alignment horizontal="center" vertical="center"/>
    </xf>
    <xf numFmtId="164" fontId="23" fillId="24" borderId="4" xfId="0" applyNumberFormat="1" applyFont="1" applyFill="1" applyBorder="1" applyAlignment="1">
      <alignment horizontal="center"/>
    </xf>
    <xf numFmtId="9" fontId="23" fillId="18" borderId="4" xfId="2" applyFont="1" applyFill="1" applyBorder="1"/>
    <xf numFmtId="164" fontId="23" fillId="7" borderId="4" xfId="0" applyNumberFormat="1" applyFont="1" applyFill="1" applyBorder="1" applyAlignment="1">
      <alignment horizontal="center"/>
    </xf>
    <xf numFmtId="168" fontId="23" fillId="7" borderId="4" xfId="0" applyNumberFormat="1" applyFont="1" applyFill="1" applyBorder="1"/>
    <xf numFmtId="9" fontId="23" fillId="7" borderId="4" xfId="2" applyFont="1" applyFill="1" applyBorder="1"/>
    <xf numFmtId="3" fontId="21" fillId="11" borderId="218" xfId="0" applyNumberFormat="1" applyFont="1" applyFill="1" applyBorder="1" applyAlignment="1">
      <alignment horizontal="center" vertical="center"/>
    </xf>
    <xf numFmtId="43" fontId="0" fillId="24" borderId="245" xfId="1" applyFont="1" applyFill="1" applyBorder="1" applyAlignment="1">
      <alignment horizontal="center" vertical="top"/>
    </xf>
    <xf numFmtId="43" fontId="0" fillId="24" borderId="218" xfId="1" applyFont="1" applyFill="1" applyBorder="1" applyAlignment="1">
      <alignment horizontal="center" vertical="top"/>
    </xf>
    <xf numFmtId="164" fontId="30" fillId="28" borderId="29" xfId="0" applyNumberFormat="1" applyFont="1" applyFill="1" applyBorder="1" applyAlignment="1">
      <alignment horizontal="center"/>
    </xf>
    <xf numFmtId="168" fontId="30" fillId="28" borderId="29" xfId="0" applyNumberFormat="1" applyFont="1" applyFill="1" applyBorder="1"/>
    <xf numFmtId="168" fontId="30" fillId="7" borderId="29" xfId="0" applyNumberFormat="1" applyFont="1" applyFill="1" applyBorder="1"/>
    <xf numFmtId="9" fontId="30" fillId="28" borderId="29" xfId="2" applyFont="1" applyFill="1" applyBorder="1"/>
    <xf numFmtId="164" fontId="30" fillId="17" borderId="29" xfId="0" applyNumberFormat="1" applyFont="1" applyFill="1" applyBorder="1" applyAlignment="1">
      <alignment horizontal="center"/>
    </xf>
    <xf numFmtId="9" fontId="30" fillId="17" borderId="29" xfId="2" applyFont="1" applyFill="1" applyBorder="1"/>
    <xf numFmtId="4" fontId="0" fillId="10" borderId="4" xfId="0" applyNumberFormat="1" applyFill="1" applyBorder="1"/>
    <xf numFmtId="167" fontId="0" fillId="23" borderId="239" xfId="0" applyNumberFormat="1" applyFill="1" applyBorder="1" applyAlignment="1">
      <alignment horizontal="center" vertical="center"/>
    </xf>
    <xf numFmtId="14" fontId="0" fillId="14" borderId="0" xfId="0" applyNumberFormat="1" applyFill="1"/>
    <xf numFmtId="9" fontId="30" fillId="7" borderId="29" xfId="2" applyFont="1" applyFill="1" applyBorder="1"/>
    <xf numFmtId="0" fontId="20" fillId="49" borderId="40" xfId="0" applyFont="1" applyFill="1" applyBorder="1"/>
    <xf numFmtId="164" fontId="20" fillId="49" borderId="40" xfId="1" applyNumberFormat="1" applyFont="1" applyFill="1" applyBorder="1" applyAlignment="1">
      <alignment horizontal="center"/>
    </xf>
    <xf numFmtId="0" fontId="20" fillId="49" borderId="268" xfId="0" applyFont="1" applyFill="1" applyBorder="1" applyAlignment="1">
      <alignment horizontal="center"/>
    </xf>
    <xf numFmtId="14" fontId="20" fillId="49" borderId="41" xfId="0" applyNumberFormat="1" applyFont="1" applyFill="1" applyBorder="1" applyAlignment="1">
      <alignment horizontal="center"/>
    </xf>
    <xf numFmtId="14" fontId="20" fillId="49" borderId="269" xfId="0" applyNumberFormat="1" applyFont="1" applyFill="1" applyBorder="1" applyAlignment="1">
      <alignment horizontal="center"/>
    </xf>
    <xf numFmtId="3" fontId="0" fillId="12" borderId="23" xfId="0" applyNumberFormat="1" applyFill="1" applyBorder="1"/>
    <xf numFmtId="0" fontId="0" fillId="5" borderId="40" xfId="0" applyFill="1" applyBorder="1"/>
    <xf numFmtId="0" fontId="0" fillId="5" borderId="43" xfId="0" applyFill="1" applyBorder="1"/>
    <xf numFmtId="0" fontId="0" fillId="30" borderId="40" xfId="0" applyFill="1" applyBorder="1"/>
    <xf numFmtId="0" fontId="0" fillId="30" borderId="43" xfId="0" applyFill="1" applyBorder="1"/>
    <xf numFmtId="0" fontId="31" fillId="12" borderId="218" xfId="4" applyFont="1" applyFill="1" applyBorder="1"/>
    <xf numFmtId="0" fontId="0" fillId="12" borderId="218" xfId="0" applyFill="1" applyBorder="1"/>
    <xf numFmtId="3" fontId="30" fillId="16" borderId="241" xfId="0" applyNumberFormat="1" applyFont="1" applyFill="1" applyBorder="1" applyAlignment="1">
      <alignment horizontal="center"/>
    </xf>
    <xf numFmtId="14" fontId="0" fillId="5" borderId="28" xfId="0" applyNumberFormat="1" applyFill="1" applyBorder="1"/>
    <xf numFmtId="164" fontId="0" fillId="5" borderId="38" xfId="1" applyNumberFormat="1" applyFont="1" applyFill="1" applyBorder="1"/>
    <xf numFmtId="4" fontId="0" fillId="5" borderId="38" xfId="0" applyNumberFormat="1" applyFill="1" applyBorder="1"/>
    <xf numFmtId="3" fontId="0" fillId="5" borderId="37" xfId="0" applyNumberFormat="1" applyFill="1" applyBorder="1"/>
    <xf numFmtId="164" fontId="23" fillId="5" borderId="4" xfId="0" applyNumberFormat="1" applyFont="1" applyFill="1" applyBorder="1" applyAlignment="1">
      <alignment horizontal="center"/>
    </xf>
    <xf numFmtId="168" fontId="23" fillId="5" borderId="4" xfId="0" applyNumberFormat="1" applyFont="1" applyFill="1" applyBorder="1"/>
    <xf numFmtId="9" fontId="23" fillId="5" borderId="4" xfId="2" applyFont="1" applyFill="1" applyBorder="1"/>
    <xf numFmtId="14" fontId="0" fillId="5" borderId="5" xfId="0" applyNumberFormat="1" applyFill="1" applyBorder="1"/>
    <xf numFmtId="3" fontId="0" fillId="5" borderId="12" xfId="0" applyNumberFormat="1" applyFill="1" applyBorder="1"/>
    <xf numFmtId="14" fontId="0" fillId="5" borderId="64" xfId="0" applyNumberFormat="1" applyFill="1" applyBorder="1"/>
    <xf numFmtId="164" fontId="0" fillId="5" borderId="2" xfId="1" applyNumberFormat="1" applyFont="1" applyFill="1" applyBorder="1"/>
    <xf numFmtId="4" fontId="0" fillId="5" borderId="2" xfId="0" applyNumberFormat="1" applyFill="1" applyBorder="1"/>
    <xf numFmtId="3" fontId="0" fillId="5" borderId="1" xfId="0" applyNumberFormat="1" applyFill="1" applyBorder="1"/>
    <xf numFmtId="14" fontId="0" fillId="0" borderId="245" xfId="0" applyNumberFormat="1" applyBorder="1"/>
    <xf numFmtId="164" fontId="0" fillId="21" borderId="218" xfId="1" applyNumberFormat="1" applyFont="1" applyFill="1" applyBorder="1"/>
    <xf numFmtId="4" fontId="0" fillId="21" borderId="218" xfId="0" applyNumberFormat="1" applyFill="1" applyBorder="1"/>
    <xf numFmtId="3" fontId="0" fillId="10" borderId="218" xfId="0" applyNumberFormat="1" applyFill="1" applyBorder="1"/>
    <xf numFmtId="3" fontId="0" fillId="10" borderId="4" xfId="0" applyNumberFormat="1" applyFill="1" applyBorder="1"/>
    <xf numFmtId="164" fontId="34" fillId="13" borderId="218" xfId="1" applyNumberFormat="1" applyFont="1" applyFill="1" applyBorder="1" applyAlignment="1">
      <alignment horizontal="left" vertical="center"/>
    </xf>
    <xf numFmtId="0" fontId="0" fillId="2" borderId="38" xfId="0" applyFill="1" applyBorder="1"/>
    <xf numFmtId="0" fontId="0" fillId="0" borderId="38" xfId="0" applyBorder="1"/>
    <xf numFmtId="164" fontId="0" fillId="0" borderId="15" xfId="1" applyNumberFormat="1" applyFont="1" applyBorder="1"/>
    <xf numFmtId="0" fontId="18" fillId="0" borderId="17" xfId="4" applyBorder="1"/>
    <xf numFmtId="0" fontId="18" fillId="0" borderId="9" xfId="4" applyBorder="1"/>
    <xf numFmtId="164" fontId="0" fillId="0" borderId="2" xfId="1" applyNumberFormat="1" applyFont="1" applyBorder="1"/>
    <xf numFmtId="164" fontId="0" fillId="0" borderId="7" xfId="0" applyNumberFormat="1" applyBorder="1"/>
    <xf numFmtId="3" fontId="0" fillId="2" borderId="214" xfId="0" applyNumberFormat="1" applyFill="1" applyBorder="1"/>
    <xf numFmtId="0" fontId="31" fillId="12" borderId="214" xfId="4" applyFont="1" applyFill="1" applyBorder="1"/>
    <xf numFmtId="0" fontId="0" fillId="12" borderId="214" xfId="0" applyFill="1" applyBorder="1"/>
    <xf numFmtId="0" fontId="0" fillId="11" borderId="242" xfId="0" applyFill="1" applyBorder="1" applyAlignment="1">
      <alignment horizontal="center"/>
    </xf>
    <xf numFmtId="3" fontId="20" fillId="23" borderId="59" xfId="0" applyNumberFormat="1" applyFont="1" applyFill="1" applyBorder="1" applyAlignment="1">
      <alignment horizontal="center" vertical="center"/>
    </xf>
    <xf numFmtId="164" fontId="0" fillId="24" borderId="23" xfId="1" applyNumberFormat="1" applyFont="1" applyFill="1" applyBorder="1" applyAlignment="1">
      <alignment horizontal="center" vertical="top"/>
    </xf>
    <xf numFmtId="3" fontId="0" fillId="23" borderId="239" xfId="0" applyNumberFormat="1" applyFill="1" applyBorder="1" applyAlignment="1">
      <alignment horizontal="center" vertical="center"/>
    </xf>
    <xf numFmtId="3" fontId="30" fillId="28" borderId="245" xfId="0" applyNumberFormat="1" applyFont="1" applyFill="1" applyBorder="1"/>
    <xf numFmtId="3" fontId="20" fillId="16" borderId="4" xfId="0" applyNumberFormat="1" applyFont="1" applyFill="1" applyBorder="1"/>
    <xf numFmtId="0" fontId="20" fillId="16" borderId="214" xfId="0" applyFont="1" applyFill="1" applyBorder="1"/>
    <xf numFmtId="43" fontId="22" fillId="16" borderId="58" xfId="1" applyFont="1" applyFill="1" applyBorder="1" applyAlignment="1">
      <alignment horizontal="center"/>
    </xf>
    <xf numFmtId="164" fontId="0" fillId="0" borderId="15" xfId="1" applyNumberFormat="1" applyFont="1" applyFill="1" applyBorder="1"/>
    <xf numFmtId="0" fontId="18" fillId="0" borderId="11" xfId="4" applyBorder="1"/>
    <xf numFmtId="164" fontId="0" fillId="0" borderId="8" xfId="1" applyNumberFormat="1" applyFont="1" applyFill="1" applyBorder="1"/>
    <xf numFmtId="14" fontId="0" fillId="0" borderId="28" xfId="0" applyNumberFormat="1" applyBorder="1"/>
    <xf numFmtId="164" fontId="0" fillId="0" borderId="38" xfId="1" applyNumberFormat="1" applyFont="1" applyFill="1" applyBorder="1"/>
    <xf numFmtId="4" fontId="0" fillId="0" borderId="38" xfId="0" applyNumberFormat="1" applyBorder="1"/>
    <xf numFmtId="3" fontId="0" fillId="0" borderId="37" xfId="0" applyNumberFormat="1" applyBorder="1"/>
    <xf numFmtId="164" fontId="23" fillId="2" borderId="4" xfId="0" applyNumberFormat="1" applyFont="1" applyFill="1" applyBorder="1" applyAlignment="1">
      <alignment horizontal="center"/>
    </xf>
    <xf numFmtId="9" fontId="23" fillId="2" borderId="4" xfId="2" applyFont="1" applyFill="1" applyBorder="1"/>
    <xf numFmtId="14" fontId="0" fillId="0" borderId="5" xfId="0" applyNumberFormat="1" applyBorder="1"/>
    <xf numFmtId="3" fontId="0" fillId="0" borderId="12" xfId="0" applyNumberFormat="1" applyBorder="1"/>
    <xf numFmtId="3" fontId="0" fillId="0" borderId="218" xfId="0" applyNumberFormat="1" applyBorder="1"/>
    <xf numFmtId="167" fontId="0" fillId="23" borderId="0" xfId="0" applyNumberFormat="1" applyFill="1" applyAlignment="1">
      <alignment horizontal="center" vertical="center"/>
    </xf>
    <xf numFmtId="164" fontId="23" fillId="2" borderId="214" xfId="0" applyNumberFormat="1" applyFont="1" applyFill="1" applyBorder="1" applyAlignment="1">
      <alignment horizontal="center"/>
    </xf>
    <xf numFmtId="168" fontId="23" fillId="2" borderId="214" xfId="0" applyNumberFormat="1" applyFont="1" applyFill="1" applyBorder="1"/>
    <xf numFmtId="9" fontId="23" fillId="2" borderId="214" xfId="2" applyFont="1" applyFill="1" applyBorder="1"/>
    <xf numFmtId="164" fontId="0" fillId="15" borderId="0" xfId="1" applyNumberFormat="1" applyFont="1" applyFill="1" applyBorder="1"/>
    <xf numFmtId="164" fontId="34" fillId="27" borderId="245" xfId="1" applyNumberFormat="1" applyFont="1" applyFill="1" applyBorder="1" applyAlignment="1">
      <alignment horizontal="center" vertical="center"/>
    </xf>
    <xf numFmtId="3" fontId="20" fillId="16" borderId="214" xfId="0" applyNumberFormat="1" applyFont="1" applyFill="1" applyBorder="1"/>
    <xf numFmtId="0" fontId="18" fillId="0" borderId="0" xfId="4" applyBorder="1"/>
    <xf numFmtId="0" fontId="23" fillId="16" borderId="17" xfId="0" applyFont="1" applyFill="1" applyBorder="1"/>
    <xf numFmtId="43" fontId="23" fillId="16" borderId="16" xfId="1" applyFont="1" applyFill="1" applyBorder="1"/>
    <xf numFmtId="164" fontId="23" fillId="16" borderId="16" xfId="1" applyNumberFormat="1" applyFont="1" applyFill="1" applyBorder="1"/>
    <xf numFmtId="0" fontId="23" fillId="16" borderId="16" xfId="0" applyFont="1" applyFill="1" applyBorder="1"/>
    <xf numFmtId="43" fontId="23" fillId="16" borderId="16" xfId="0" applyNumberFormat="1" applyFont="1" applyFill="1" applyBorder="1"/>
    <xf numFmtId="0" fontId="23" fillId="16" borderId="15" xfId="0" applyFont="1" applyFill="1" applyBorder="1"/>
    <xf numFmtId="0" fontId="23" fillId="7" borderId="11" xfId="0" applyFont="1" applyFill="1" applyBorder="1"/>
    <xf numFmtId="43" fontId="23" fillId="7" borderId="0" xfId="1" applyFont="1" applyFill="1" applyBorder="1"/>
    <xf numFmtId="164" fontId="23" fillId="7" borderId="0" xfId="1" applyNumberFormat="1" applyFont="1" applyFill="1" applyBorder="1"/>
    <xf numFmtId="43" fontId="23" fillId="7" borderId="0" xfId="0" applyNumberFormat="1" applyFont="1" applyFill="1"/>
    <xf numFmtId="0" fontId="23" fillId="7" borderId="10" xfId="0" applyFont="1" applyFill="1" applyBorder="1"/>
    <xf numFmtId="0" fontId="23" fillId="16" borderId="9" xfId="0" applyFont="1" applyFill="1" applyBorder="1"/>
    <xf numFmtId="43" fontId="23" fillId="16" borderId="8" xfId="1" applyFont="1" applyFill="1" applyBorder="1"/>
    <xf numFmtId="164" fontId="23" fillId="16" borderId="8" xfId="1" applyNumberFormat="1" applyFont="1" applyFill="1" applyBorder="1"/>
    <xf numFmtId="0" fontId="23" fillId="16" borderId="8" xfId="0" applyFont="1" applyFill="1" applyBorder="1"/>
    <xf numFmtId="43" fontId="23" fillId="16" borderId="0" xfId="0" applyNumberFormat="1" applyFont="1" applyFill="1"/>
    <xf numFmtId="0" fontId="23" fillId="16" borderId="7" xfId="0" applyFont="1" applyFill="1" applyBorder="1"/>
    <xf numFmtId="164" fontId="0" fillId="0" borderId="0" xfId="1" applyNumberFormat="1" applyFont="1" applyBorder="1"/>
    <xf numFmtId="9" fontId="21" fillId="0" borderId="225" xfId="0" applyNumberFormat="1" applyFont="1" applyBorder="1" applyAlignment="1">
      <alignment horizontal="center"/>
    </xf>
    <xf numFmtId="0" fontId="21" fillId="0" borderId="4" xfId="0" applyFont="1" applyBorder="1" applyAlignment="1">
      <alignment horizontal="center" vertical="center"/>
    </xf>
    <xf numFmtId="9" fontId="0" fillId="24" borderId="4" xfId="2" applyFont="1" applyFill="1" applyBorder="1" applyAlignment="1">
      <alignment horizontal="center" vertical="top"/>
    </xf>
    <xf numFmtId="9" fontId="0" fillId="24" borderId="23" xfId="2" applyFont="1" applyFill="1" applyBorder="1" applyAlignment="1">
      <alignment horizontal="center" vertical="top"/>
    </xf>
    <xf numFmtId="3" fontId="0" fillId="0" borderId="239" xfId="0" applyNumberFormat="1" applyBorder="1" applyAlignment="1">
      <alignment horizontal="center" vertical="center"/>
    </xf>
    <xf numFmtId="167" fontId="0" fillId="0" borderId="4" xfId="0" applyNumberFormat="1" applyBorder="1" applyAlignment="1">
      <alignment horizontal="center" vertical="center"/>
    </xf>
    <xf numFmtId="164" fontId="23" fillId="0" borderId="4" xfId="0" applyNumberFormat="1" applyFont="1" applyBorder="1" applyAlignment="1">
      <alignment horizontal="center"/>
    </xf>
    <xf numFmtId="14" fontId="0" fillId="14" borderId="4" xfId="0" applyNumberFormat="1" applyFill="1" applyBorder="1"/>
    <xf numFmtId="164" fontId="0" fillId="15" borderId="239" xfId="1" applyNumberFormat="1" applyFont="1" applyFill="1" applyBorder="1"/>
    <xf numFmtId="164" fontId="0" fillId="0" borderId="218" xfId="1" applyNumberFormat="1" applyFont="1" applyFill="1" applyBorder="1"/>
    <xf numFmtId="4" fontId="0" fillId="0" borderId="218" xfId="0" applyNumberFormat="1" applyBorder="1"/>
    <xf numFmtId="0" fontId="21" fillId="0" borderId="218" xfId="0" applyFont="1" applyBorder="1" applyAlignment="1">
      <alignment horizontal="center" vertical="center"/>
    </xf>
    <xf numFmtId="9" fontId="0" fillId="24" borderId="245" xfId="2" applyFont="1" applyFill="1" applyBorder="1" applyAlignment="1">
      <alignment horizontal="center" vertical="top"/>
    </xf>
    <xf numFmtId="9" fontId="21" fillId="0" borderId="218" xfId="0" applyNumberFormat="1" applyFont="1" applyBorder="1" applyAlignment="1">
      <alignment horizontal="center" vertical="center"/>
    </xf>
    <xf numFmtId="14" fontId="0" fillId="17" borderId="245" xfId="0" applyNumberFormat="1" applyFill="1" applyBorder="1"/>
    <xf numFmtId="164" fontId="0" fillId="17" borderId="218" xfId="1" applyNumberFormat="1" applyFont="1" applyFill="1" applyBorder="1"/>
    <xf numFmtId="4" fontId="0" fillId="17" borderId="218" xfId="0" applyNumberFormat="1" applyFill="1" applyBorder="1"/>
    <xf numFmtId="3" fontId="0" fillId="17" borderId="218" xfId="0" applyNumberFormat="1" applyFill="1" applyBorder="1"/>
    <xf numFmtId="9" fontId="21" fillId="17" borderId="225" xfId="0" applyNumberFormat="1" applyFont="1" applyFill="1" applyBorder="1" applyAlignment="1">
      <alignment horizontal="center"/>
    </xf>
    <xf numFmtId="0" fontId="21" fillId="17" borderId="218" xfId="0" applyFont="1" applyFill="1" applyBorder="1" applyAlignment="1">
      <alignment horizontal="center" vertical="center"/>
    </xf>
    <xf numFmtId="3" fontId="33" fillId="17" borderId="245" xfId="0" applyNumberFormat="1" applyFont="1" applyFill="1" applyBorder="1" applyAlignment="1">
      <alignment horizontal="center" vertical="center"/>
    </xf>
    <xf numFmtId="9" fontId="0" fillId="17" borderId="245" xfId="2" applyFont="1" applyFill="1" applyBorder="1" applyAlignment="1">
      <alignment horizontal="center" vertical="top"/>
    </xf>
    <xf numFmtId="3" fontId="0" fillId="17" borderId="0" xfId="0" applyNumberFormat="1" applyFill="1" applyAlignment="1">
      <alignment horizontal="center" vertical="center"/>
    </xf>
    <xf numFmtId="167" fontId="0" fillId="17" borderId="0" xfId="0" applyNumberFormat="1" applyFill="1" applyAlignment="1">
      <alignment horizontal="center" vertical="center"/>
    </xf>
    <xf numFmtId="164" fontId="23" fillId="17" borderId="214" xfId="0" applyNumberFormat="1" applyFont="1" applyFill="1" applyBorder="1" applyAlignment="1">
      <alignment horizontal="center"/>
    </xf>
    <xf numFmtId="168" fontId="23" fillId="17" borderId="214" xfId="0" applyNumberFormat="1" applyFont="1" applyFill="1" applyBorder="1"/>
    <xf numFmtId="9" fontId="23" fillId="17" borderId="214" xfId="2" applyFont="1" applyFill="1" applyBorder="1"/>
    <xf numFmtId="168" fontId="30" fillId="17" borderId="214" xfId="0" applyNumberFormat="1" applyFont="1" applyFill="1" applyBorder="1"/>
    <xf numFmtId="0" fontId="18" fillId="7" borderId="17" xfId="4" applyFill="1" applyBorder="1"/>
    <xf numFmtId="0" fontId="0" fillId="7" borderId="16" xfId="0" applyFill="1" applyBorder="1"/>
    <xf numFmtId="0" fontId="0" fillId="7" borderId="15" xfId="0" applyFill="1" applyBorder="1"/>
    <xf numFmtId="164" fontId="0" fillId="0" borderId="10" xfId="0" applyNumberFormat="1" applyBorder="1"/>
    <xf numFmtId="0" fontId="18" fillId="7" borderId="11" xfId="4" applyFill="1" applyBorder="1"/>
    <xf numFmtId="0" fontId="0" fillId="7" borderId="10" xfId="0" applyFill="1" applyBorder="1"/>
    <xf numFmtId="0" fontId="18" fillId="7" borderId="9" xfId="4" applyFill="1" applyBorder="1"/>
    <xf numFmtId="0" fontId="0" fillId="7" borderId="8" xfId="0" applyFill="1" applyBorder="1"/>
    <xf numFmtId="0" fontId="0" fillId="7" borderId="7" xfId="0" applyFill="1" applyBorder="1"/>
    <xf numFmtId="14" fontId="0" fillId="5" borderId="245" xfId="0" applyNumberFormat="1" applyFill="1" applyBorder="1"/>
    <xf numFmtId="0" fontId="0" fillId="24" borderId="0" xfId="0" applyFill="1"/>
    <xf numFmtId="3" fontId="28" fillId="0" borderId="4" xfId="0" applyNumberFormat="1" applyFont="1" applyBorder="1" applyAlignment="1">
      <alignment horizontal="center" vertical="center" wrapText="1"/>
    </xf>
    <xf numFmtId="0" fontId="21" fillId="24" borderId="218" xfId="0" applyFont="1" applyFill="1" applyBorder="1" applyAlignment="1">
      <alignment horizontal="center" vertical="center"/>
    </xf>
    <xf numFmtId="3" fontId="21" fillId="24" borderId="218" xfId="0" applyNumberFormat="1" applyFont="1" applyFill="1" applyBorder="1" applyAlignment="1">
      <alignment horizontal="center" vertical="center"/>
    </xf>
    <xf numFmtId="14" fontId="0" fillId="28" borderId="5" xfId="0" applyNumberFormat="1" applyFill="1" applyBorder="1"/>
    <xf numFmtId="3" fontId="0" fillId="28" borderId="4" xfId="0" applyNumberFormat="1" applyFill="1" applyBorder="1"/>
    <xf numFmtId="3" fontId="0" fillId="28" borderId="12" xfId="0" applyNumberFormat="1" applyFill="1" applyBorder="1"/>
    <xf numFmtId="9" fontId="21" fillId="28" borderId="225" xfId="0" applyNumberFormat="1" applyFont="1" applyFill="1" applyBorder="1" applyAlignment="1">
      <alignment horizontal="center"/>
    </xf>
    <xf numFmtId="9" fontId="32" fillId="28" borderId="4" xfId="0" applyNumberFormat="1" applyFont="1" applyFill="1" applyBorder="1" applyAlignment="1">
      <alignment horizontal="center" vertical="center"/>
    </xf>
    <xf numFmtId="0" fontId="21" fillId="28" borderId="4" xfId="0" applyFont="1" applyFill="1" applyBorder="1" applyAlignment="1">
      <alignment horizontal="center" vertical="center"/>
    </xf>
    <xf numFmtId="14" fontId="0" fillId="28" borderId="245" xfId="0" applyNumberFormat="1" applyFill="1" applyBorder="1"/>
    <xf numFmtId="164" fontId="0" fillId="28" borderId="218" xfId="1" applyNumberFormat="1" applyFont="1" applyFill="1" applyBorder="1"/>
    <xf numFmtId="3" fontId="0" fillId="28" borderId="218" xfId="0" applyNumberFormat="1" applyFill="1" applyBorder="1"/>
    <xf numFmtId="0" fontId="21" fillId="28" borderId="218" xfId="0" applyFont="1" applyFill="1" applyBorder="1" applyAlignment="1">
      <alignment horizontal="center" vertical="center"/>
    </xf>
    <xf numFmtId="3" fontId="21" fillId="28" borderId="218" xfId="0" applyNumberFormat="1" applyFont="1" applyFill="1" applyBorder="1" applyAlignment="1">
      <alignment horizontal="center" vertical="center"/>
    </xf>
    <xf numFmtId="164" fontId="39" fillId="19" borderId="40" xfId="1" applyNumberFormat="1" applyFont="1" applyFill="1" applyBorder="1" applyAlignment="1">
      <alignment horizontal="center"/>
    </xf>
    <xf numFmtId="43" fontId="39" fillId="19" borderId="43" xfId="0" applyNumberFormat="1" applyFont="1" applyFill="1" applyBorder="1" applyAlignment="1">
      <alignment horizontal="center"/>
    </xf>
    <xf numFmtId="3" fontId="33" fillId="8" borderId="245" xfId="0" applyNumberFormat="1" applyFont="1" applyFill="1" applyBorder="1" applyAlignment="1">
      <alignment horizontal="center" vertical="center"/>
    </xf>
    <xf numFmtId="3" fontId="12" fillId="24" borderId="4" xfId="0" applyNumberFormat="1" applyFont="1" applyFill="1" applyBorder="1"/>
    <xf numFmtId="9" fontId="21" fillId="5" borderId="225" xfId="0" applyNumberFormat="1" applyFont="1" applyFill="1" applyBorder="1" applyAlignment="1">
      <alignment horizontal="center"/>
    </xf>
    <xf numFmtId="14" fontId="0" fillId="8" borderId="245" xfId="0" applyNumberFormat="1" applyFill="1" applyBorder="1"/>
    <xf numFmtId="3" fontId="21" fillId="0" borderId="218" xfId="0" applyNumberFormat="1" applyFont="1" applyBorder="1" applyAlignment="1">
      <alignment horizontal="center" vertical="center"/>
    </xf>
    <xf numFmtId="0" fontId="29" fillId="9" borderId="232" xfId="0" applyFont="1" applyFill="1" applyBorder="1" applyAlignment="1">
      <alignment horizontal="center" vertical="center"/>
    </xf>
    <xf numFmtId="0" fontId="29" fillId="9" borderId="4" xfId="0" applyFont="1" applyFill="1" applyBorder="1" applyAlignment="1">
      <alignment horizontal="center" vertical="center"/>
    </xf>
    <xf numFmtId="0" fontId="29" fillId="9" borderId="218" xfId="0" applyFont="1" applyFill="1" applyBorder="1" applyAlignment="1">
      <alignment horizontal="center" vertical="center"/>
    </xf>
    <xf numFmtId="3" fontId="29" fillId="9" borderId="218" xfId="0" applyNumberFormat="1" applyFont="1" applyFill="1" applyBorder="1" applyAlignment="1">
      <alignment horizontal="center" vertical="center"/>
    </xf>
    <xf numFmtId="0" fontId="0" fillId="5" borderId="58" xfId="0" applyFill="1" applyBorder="1" applyAlignment="1">
      <alignment horizontal="center"/>
    </xf>
    <xf numFmtId="14" fontId="0" fillId="5" borderId="58" xfId="0" applyNumberFormat="1" applyFill="1" applyBorder="1"/>
    <xf numFmtId="14" fontId="0" fillId="3" borderId="5" xfId="0" applyNumberFormat="1" applyFill="1" applyBorder="1"/>
    <xf numFmtId="164" fontId="0" fillId="3" borderId="4" xfId="1" applyNumberFormat="1" applyFont="1" applyFill="1" applyBorder="1"/>
    <xf numFmtId="14" fontId="0" fillId="3" borderId="245" xfId="0" applyNumberFormat="1" applyFill="1" applyBorder="1"/>
    <xf numFmtId="164" fontId="0" fillId="3" borderId="218" xfId="1" applyNumberFormat="1" applyFont="1" applyFill="1" applyBorder="1"/>
    <xf numFmtId="3" fontId="0" fillId="3" borderId="218" xfId="0" applyNumberFormat="1" applyFill="1" applyBorder="1"/>
    <xf numFmtId="164" fontId="22" fillId="5" borderId="61" xfId="1" applyNumberFormat="1" applyFont="1" applyFill="1" applyBorder="1"/>
    <xf numFmtId="164" fontId="34" fillId="2" borderId="244" xfId="1" applyNumberFormat="1" applyFont="1" applyFill="1" applyBorder="1"/>
    <xf numFmtId="3" fontId="0" fillId="8" borderId="218" xfId="0" applyNumberFormat="1" applyFill="1" applyBorder="1"/>
    <xf numFmtId="168" fontId="29" fillId="22" borderId="239" xfId="0" applyNumberFormat="1" applyFont="1" applyFill="1" applyBorder="1"/>
    <xf numFmtId="164" fontId="29" fillId="22" borderId="244" xfId="1" applyNumberFormat="1" applyFont="1" applyFill="1" applyBorder="1"/>
    <xf numFmtId="167" fontId="0" fillId="4" borderId="4" xfId="0" applyNumberFormat="1" applyFill="1" applyBorder="1"/>
    <xf numFmtId="167" fontId="0" fillId="10" borderId="4" xfId="0" applyNumberFormat="1" applyFill="1" applyBorder="1"/>
    <xf numFmtId="167" fontId="0" fillId="2" borderId="4" xfId="0" applyNumberFormat="1" applyFill="1" applyBorder="1"/>
    <xf numFmtId="167" fontId="0" fillId="2" borderId="214" xfId="0" applyNumberFormat="1" applyFill="1" applyBorder="1"/>
    <xf numFmtId="167" fontId="0" fillId="0" borderId="214" xfId="0" applyNumberFormat="1" applyBorder="1"/>
    <xf numFmtId="168" fontId="0" fillId="0" borderId="17" xfId="0" applyNumberFormat="1" applyBorder="1"/>
    <xf numFmtId="0" fontId="20" fillId="11" borderId="238" xfId="0" applyFont="1" applyFill="1" applyBorder="1" applyAlignment="1">
      <alignment wrapText="1"/>
    </xf>
    <xf numFmtId="0" fontId="20" fillId="11" borderId="32" xfId="0" applyFont="1" applyFill="1" applyBorder="1" applyAlignment="1">
      <alignment wrapText="1"/>
    </xf>
    <xf numFmtId="3" fontId="0" fillId="11" borderId="290" xfId="0" applyNumberFormat="1" applyFill="1" applyBorder="1" applyAlignment="1">
      <alignment horizontal="center" vertical="center"/>
    </xf>
    <xf numFmtId="0" fontId="20" fillId="18" borderId="239" xfId="0" applyFont="1" applyFill="1" applyBorder="1" applyAlignment="1">
      <alignment horizontal="center"/>
    </xf>
    <xf numFmtId="0" fontId="20" fillId="18" borderId="238" xfId="0" applyFont="1" applyFill="1" applyBorder="1" applyAlignment="1">
      <alignment horizontal="center"/>
    </xf>
    <xf numFmtId="167" fontId="0" fillId="8" borderId="245" xfId="0" applyNumberFormat="1" applyFill="1" applyBorder="1" applyAlignment="1">
      <alignment horizontal="center" vertical="center"/>
    </xf>
    <xf numFmtId="14" fontId="23" fillId="0" borderId="238" xfId="2" applyNumberFormat="1" applyFont="1" applyFill="1" applyBorder="1" applyAlignment="1">
      <alignment horizontal="center"/>
    </xf>
    <xf numFmtId="164" fontId="23" fillId="0" borderId="23" xfId="1" applyNumberFormat="1" applyFont="1" applyFill="1" applyBorder="1"/>
    <xf numFmtId="14" fontId="0" fillId="5" borderId="33" xfId="0" applyNumberFormat="1" applyFill="1" applyBorder="1"/>
    <xf numFmtId="0" fontId="78" fillId="5" borderId="0" xfId="0" applyFont="1" applyFill="1" applyAlignment="1">
      <alignment horizontal="center" vertical="center" wrapText="1"/>
    </xf>
    <xf numFmtId="164" fontId="0" fillId="5" borderId="0" xfId="1" applyNumberFormat="1" applyFont="1" applyFill="1" applyBorder="1"/>
    <xf numFmtId="9" fontId="0" fillId="0" borderId="0" xfId="2" applyFont="1" applyBorder="1"/>
    <xf numFmtId="43" fontId="0" fillId="0" borderId="10" xfId="0" applyNumberFormat="1" applyBorder="1"/>
    <xf numFmtId="14" fontId="0" fillId="14" borderId="33" xfId="0" applyNumberFormat="1" applyFill="1" applyBorder="1"/>
    <xf numFmtId="9" fontId="21" fillId="2" borderId="225" xfId="0" applyNumberFormat="1" applyFont="1" applyFill="1" applyBorder="1" applyAlignment="1">
      <alignment horizontal="center"/>
    </xf>
    <xf numFmtId="14" fontId="0" fillId="5" borderId="11" xfId="0" applyNumberFormat="1" applyFill="1" applyBorder="1"/>
    <xf numFmtId="168" fontId="30" fillId="17" borderId="2" xfId="0" applyNumberFormat="1" applyFont="1" applyFill="1" applyBorder="1"/>
    <xf numFmtId="168" fontId="30" fillId="17" borderId="3" xfId="0" applyNumberFormat="1" applyFont="1" applyFill="1" applyBorder="1"/>
    <xf numFmtId="168" fontId="30" fillId="17" borderId="51" xfId="0" applyNumberFormat="1" applyFont="1" applyFill="1" applyBorder="1"/>
    <xf numFmtId="164" fontId="0" fillId="0" borderId="8" xfId="0" applyNumberFormat="1" applyBorder="1"/>
    <xf numFmtId="0" fontId="20" fillId="10" borderId="291" xfId="0" applyFont="1" applyFill="1" applyBorder="1"/>
    <xf numFmtId="3" fontId="20" fillId="10" borderId="292" xfId="0" applyNumberFormat="1" applyFont="1" applyFill="1" applyBorder="1" applyAlignment="1">
      <alignment horizontal="center"/>
    </xf>
    <xf numFmtId="3" fontId="30" fillId="16" borderId="292" xfId="0" applyNumberFormat="1" applyFont="1" applyFill="1" applyBorder="1" applyAlignment="1">
      <alignment horizontal="center"/>
    </xf>
    <xf numFmtId="9" fontId="21" fillId="16" borderId="8" xfId="0" applyNumberFormat="1" applyFont="1" applyFill="1" applyBorder="1" applyAlignment="1">
      <alignment horizontal="center"/>
    </xf>
    <xf numFmtId="9" fontId="32" fillId="24" borderId="292" xfId="0" applyNumberFormat="1" applyFont="1" applyFill="1" applyBorder="1" applyAlignment="1">
      <alignment horizontal="center" vertical="center"/>
    </xf>
    <xf numFmtId="3" fontId="20" fillId="23" borderId="293" xfId="0" applyNumberFormat="1" applyFont="1" applyFill="1" applyBorder="1" applyAlignment="1">
      <alignment horizontal="center" vertical="center"/>
    </xf>
    <xf numFmtId="0" fontId="20" fillId="23" borderId="292" xfId="0" applyFont="1" applyFill="1" applyBorder="1" applyAlignment="1">
      <alignment horizontal="center" vertical="center"/>
    </xf>
    <xf numFmtId="0" fontId="20" fillId="14" borderId="292" xfId="0" applyFont="1" applyFill="1" applyBorder="1" applyAlignment="1">
      <alignment horizontal="center"/>
    </xf>
    <xf numFmtId="0" fontId="20" fillId="14" borderId="294" xfId="0" applyFont="1" applyFill="1" applyBorder="1" applyAlignment="1">
      <alignment horizontal="center"/>
    </xf>
    <xf numFmtId="0" fontId="20" fillId="18" borderId="2" xfId="0" applyFont="1" applyFill="1" applyBorder="1" applyAlignment="1">
      <alignment horizontal="center"/>
    </xf>
    <xf numFmtId="0" fontId="20" fillId="16" borderId="2" xfId="0" applyFont="1" applyFill="1" applyBorder="1" applyAlignment="1">
      <alignment horizontal="center"/>
    </xf>
    <xf numFmtId="9" fontId="32" fillId="16" borderId="218" xfId="0" applyNumberFormat="1" applyFont="1" applyFill="1" applyBorder="1" applyAlignment="1">
      <alignment horizontal="center" vertical="center"/>
    </xf>
    <xf numFmtId="3" fontId="29" fillId="26" borderId="218" xfId="0" applyNumberFormat="1" applyFont="1" applyFill="1" applyBorder="1" applyAlignment="1">
      <alignment horizontal="center" vertical="center"/>
    </xf>
    <xf numFmtId="167" fontId="33" fillId="8" borderId="245" xfId="0" applyNumberFormat="1" applyFont="1" applyFill="1" applyBorder="1" applyAlignment="1">
      <alignment horizontal="center" vertical="center"/>
    </xf>
    <xf numFmtId="9" fontId="0" fillId="24" borderId="218" xfId="2" applyFont="1" applyFill="1" applyBorder="1" applyAlignment="1">
      <alignment horizontal="center" vertical="top"/>
    </xf>
    <xf numFmtId="3" fontId="28" fillId="0" borderId="218" xfId="0" applyNumberFormat="1" applyFont="1" applyBorder="1" applyAlignment="1">
      <alignment vertical="center" wrapText="1"/>
    </xf>
    <xf numFmtId="3" fontId="0" fillId="0" borderId="246" xfId="0" applyNumberFormat="1" applyBorder="1" applyAlignment="1">
      <alignment horizontal="center" vertical="center"/>
    </xf>
    <xf numFmtId="167" fontId="0" fillId="0" borderId="218" xfId="0" applyNumberFormat="1" applyBorder="1" applyAlignment="1">
      <alignment horizontal="center" vertical="center"/>
    </xf>
    <xf numFmtId="164" fontId="23" fillId="14" borderId="218" xfId="0" applyNumberFormat="1" applyFont="1" applyFill="1" applyBorder="1" applyAlignment="1">
      <alignment horizontal="center"/>
    </xf>
    <xf numFmtId="168" fontId="23" fillId="14" borderId="218" xfId="0" applyNumberFormat="1" applyFont="1" applyFill="1" applyBorder="1"/>
    <xf numFmtId="9" fontId="23" fillId="14" borderId="245" xfId="2" applyFont="1" applyFill="1" applyBorder="1"/>
    <xf numFmtId="14" fontId="23" fillId="0" borderId="218" xfId="2" applyNumberFormat="1" applyFont="1" applyFill="1" applyBorder="1" applyAlignment="1">
      <alignment horizontal="center"/>
    </xf>
    <xf numFmtId="164" fontId="23" fillId="0" borderId="218" xfId="1" applyNumberFormat="1" applyFont="1" applyFill="1" applyBorder="1"/>
    <xf numFmtId="2" fontId="0" fillId="16" borderId="218" xfId="0" applyNumberFormat="1" applyFill="1" applyBorder="1"/>
    <xf numFmtId="43" fontId="0" fillId="16" borderId="218" xfId="1" applyFont="1" applyFill="1" applyBorder="1"/>
    <xf numFmtId="9" fontId="0" fillId="25" borderId="245" xfId="2" applyFont="1" applyFill="1" applyBorder="1" applyAlignment="1">
      <alignment horizontal="center" vertical="top"/>
    </xf>
    <xf numFmtId="9" fontId="23" fillId="14" borderId="23" xfId="2" applyFont="1" applyFill="1" applyBorder="1"/>
    <xf numFmtId="14" fontId="23" fillId="0" borderId="4" xfId="2" applyNumberFormat="1" applyFont="1" applyFill="1" applyBorder="1" applyAlignment="1">
      <alignment horizontal="center"/>
    </xf>
    <xf numFmtId="164" fontId="23" fillId="0" borderId="4" xfId="1" applyNumberFormat="1" applyFont="1" applyFill="1" applyBorder="1"/>
    <xf numFmtId="2" fontId="0" fillId="16" borderId="4" xfId="0" applyNumberFormat="1" applyFill="1" applyBorder="1"/>
    <xf numFmtId="43" fontId="0" fillId="16" borderId="4" xfId="1" applyFont="1" applyFill="1" applyBorder="1"/>
    <xf numFmtId="3" fontId="30" fillId="30" borderId="218" xfId="0" applyNumberFormat="1" applyFont="1" applyFill="1" applyBorder="1" applyAlignment="1">
      <alignment horizontal="center" vertical="center"/>
    </xf>
    <xf numFmtId="14" fontId="0" fillId="2" borderId="245" xfId="0" applyNumberFormat="1" applyFill="1" applyBorder="1"/>
    <xf numFmtId="3" fontId="0" fillId="0" borderId="225" xfId="0" applyNumberFormat="1" applyBorder="1" applyAlignment="1">
      <alignment horizontal="center" vertical="center"/>
    </xf>
    <xf numFmtId="167" fontId="0" fillId="0" borderId="225" xfId="0" applyNumberFormat="1" applyBorder="1" applyAlignment="1">
      <alignment horizontal="center" vertical="center"/>
    </xf>
    <xf numFmtId="3" fontId="28" fillId="0" borderId="218" xfId="0" applyNumberFormat="1" applyFont="1" applyBorder="1" applyAlignment="1">
      <alignment horizontal="center" vertical="center" wrapText="1"/>
    </xf>
    <xf numFmtId="164" fontId="23" fillId="14" borderId="241" xfId="0" applyNumberFormat="1" applyFont="1" applyFill="1" applyBorder="1" applyAlignment="1">
      <alignment horizontal="center"/>
    </xf>
    <xf numFmtId="168" fontId="23" fillId="14" borderId="241" xfId="0" applyNumberFormat="1" applyFont="1" applyFill="1" applyBorder="1"/>
    <xf numFmtId="9" fontId="23" fillId="14" borderId="240" xfId="2" applyFont="1" applyFill="1" applyBorder="1"/>
    <xf numFmtId="14" fontId="23" fillId="0" borderId="241" xfId="2" applyNumberFormat="1" applyFont="1" applyFill="1" applyBorder="1" applyAlignment="1">
      <alignment horizontal="center"/>
    </xf>
    <xf numFmtId="164" fontId="23" fillId="0" borderId="241" xfId="1" applyNumberFormat="1" applyFont="1" applyFill="1" applyBorder="1"/>
    <xf numFmtId="164" fontId="23" fillId="14" borderId="214" xfId="0" applyNumberFormat="1" applyFont="1" applyFill="1" applyBorder="1" applyAlignment="1">
      <alignment horizontal="center"/>
    </xf>
    <xf numFmtId="168" fontId="23" fillId="14" borderId="214" xfId="0" applyNumberFormat="1" applyFont="1" applyFill="1" applyBorder="1"/>
    <xf numFmtId="9" fontId="23" fillId="14" borderId="242" xfId="2" applyFont="1" applyFill="1" applyBorder="1"/>
    <xf numFmtId="14" fontId="23" fillId="0" borderId="214" xfId="2" applyNumberFormat="1" applyFont="1" applyFill="1" applyBorder="1" applyAlignment="1">
      <alignment horizontal="center"/>
    </xf>
    <xf numFmtId="164" fontId="23" fillId="0" borderId="214" xfId="1" applyNumberFormat="1" applyFont="1" applyFill="1" applyBorder="1"/>
    <xf numFmtId="9" fontId="44" fillId="14" borderId="245" xfId="2" applyFont="1" applyFill="1" applyBorder="1" applyAlignment="1">
      <alignment horizontal="center" vertical="top"/>
    </xf>
    <xf numFmtId="164" fontId="0" fillId="3" borderId="241" xfId="1" applyNumberFormat="1" applyFont="1" applyFill="1" applyBorder="1"/>
    <xf numFmtId="3" fontId="0" fillId="3" borderId="241" xfId="0" applyNumberFormat="1" applyFill="1" applyBorder="1"/>
    <xf numFmtId="3" fontId="30" fillId="30" borderId="292" xfId="0" applyNumberFormat="1" applyFont="1" applyFill="1" applyBorder="1" applyAlignment="1">
      <alignment horizontal="center" vertical="center"/>
    </xf>
    <xf numFmtId="164" fontId="0" fillId="30" borderId="42" xfId="1" applyNumberFormat="1" applyFont="1" applyFill="1" applyBorder="1"/>
    <xf numFmtId="4" fontId="0" fillId="30" borderId="25" xfId="0" applyNumberFormat="1" applyFill="1" applyBorder="1"/>
    <xf numFmtId="3" fontId="0" fillId="24" borderId="239" xfId="0" applyNumberFormat="1" applyFill="1" applyBorder="1"/>
    <xf numFmtId="168" fontId="30" fillId="14" borderId="214" xfId="0" applyNumberFormat="1" applyFont="1" applyFill="1" applyBorder="1"/>
    <xf numFmtId="9" fontId="30" fillId="14" borderId="242" xfId="2" applyFont="1" applyFill="1" applyBorder="1"/>
    <xf numFmtId="173" fontId="0" fillId="16" borderId="14" xfId="6" applyNumberFormat="1" applyFont="1" applyFill="1" applyBorder="1"/>
    <xf numFmtId="164" fontId="0" fillId="24" borderId="218" xfId="1" applyNumberFormat="1" applyFont="1" applyFill="1" applyBorder="1"/>
    <xf numFmtId="3" fontId="12" fillId="24" borderId="218" xfId="0" applyNumberFormat="1" applyFont="1" applyFill="1" applyBorder="1"/>
    <xf numFmtId="0" fontId="18" fillId="7" borderId="242" xfId="4" applyFill="1" applyBorder="1"/>
    <xf numFmtId="0" fontId="0" fillId="7" borderId="243" xfId="0" applyFill="1" applyBorder="1"/>
    <xf numFmtId="0" fontId="0" fillId="7" borderId="295" xfId="0" applyFill="1" applyBorder="1"/>
    <xf numFmtId="0" fontId="0" fillId="0" borderId="295" xfId="0" applyBorder="1"/>
    <xf numFmtId="0" fontId="0" fillId="0" borderId="296" xfId="0" applyBorder="1"/>
    <xf numFmtId="164" fontId="0" fillId="0" borderId="243" xfId="1" applyNumberFormat="1" applyFont="1" applyFill="1" applyBorder="1"/>
    <xf numFmtId="164" fontId="0" fillId="0" borderId="244" xfId="0" applyNumberFormat="1" applyBorder="1"/>
    <xf numFmtId="0" fontId="18" fillId="7" borderId="240" xfId="4" applyFill="1" applyBorder="1"/>
    <xf numFmtId="0" fontId="0" fillId="0" borderId="59" xfId="0" applyBorder="1"/>
    <xf numFmtId="0" fontId="18" fillId="7" borderId="245" xfId="4" applyFill="1" applyBorder="1"/>
    <xf numFmtId="0" fontId="0" fillId="7" borderId="297" xfId="0" applyFill="1" applyBorder="1"/>
    <xf numFmtId="0" fontId="0" fillId="0" borderId="297" xfId="0" applyBorder="1"/>
    <xf numFmtId="164" fontId="0" fillId="0" borderId="225" xfId="1" applyNumberFormat="1" applyFont="1" applyFill="1" applyBorder="1"/>
    <xf numFmtId="164" fontId="0" fillId="0" borderId="246" xfId="0" applyNumberFormat="1" applyBorder="1"/>
    <xf numFmtId="167" fontId="0" fillId="7" borderId="4" xfId="0" applyNumberFormat="1" applyFill="1" applyBorder="1"/>
    <xf numFmtId="0" fontId="20" fillId="18" borderId="294" xfId="0" applyFont="1" applyFill="1" applyBorder="1" applyAlignment="1">
      <alignment horizontal="center"/>
    </xf>
    <xf numFmtId="9" fontId="23" fillId="0" borderId="245" xfId="2" applyFont="1" applyFill="1" applyBorder="1"/>
    <xf numFmtId="3" fontId="0" fillId="14" borderId="12" xfId="0" applyNumberFormat="1" applyFill="1" applyBorder="1"/>
    <xf numFmtId="3" fontId="0" fillId="14" borderId="4" xfId="0" applyNumberFormat="1" applyFill="1" applyBorder="1"/>
    <xf numFmtId="3" fontId="0" fillId="14" borderId="218" xfId="0" applyNumberFormat="1" applyFill="1" applyBorder="1"/>
    <xf numFmtId="9" fontId="23" fillId="0" borderId="242" xfId="2" applyFont="1" applyFill="1" applyBorder="1"/>
    <xf numFmtId="3" fontId="0" fillId="30" borderId="25" xfId="0" applyNumberFormat="1" applyFill="1" applyBorder="1"/>
    <xf numFmtId="9" fontId="30" fillId="17" borderId="242" xfId="2" applyFont="1" applyFill="1" applyBorder="1"/>
    <xf numFmtId="9" fontId="0" fillId="30" borderId="16" xfId="2" applyFont="1" applyFill="1" applyBorder="1"/>
    <xf numFmtId="2" fontId="0" fillId="0" borderId="0" xfId="0" applyNumberFormat="1"/>
    <xf numFmtId="14" fontId="0" fillId="16" borderId="245" xfId="0" applyNumberFormat="1" applyFill="1" applyBorder="1"/>
    <xf numFmtId="173" fontId="0" fillId="0" borderId="0" xfId="6" applyNumberFormat="1" applyFont="1" applyFill="1" applyBorder="1"/>
    <xf numFmtId="164" fontId="0" fillId="0" borderId="59" xfId="0" applyNumberFormat="1" applyBorder="1"/>
    <xf numFmtId="0" fontId="18" fillId="0" borderId="245" xfId="4" applyBorder="1"/>
    <xf numFmtId="0" fontId="0" fillId="0" borderId="246" xfId="0" applyBorder="1"/>
    <xf numFmtId="3" fontId="0" fillId="9" borderId="214" xfId="0" applyNumberFormat="1" applyFill="1" applyBorder="1"/>
    <xf numFmtId="3" fontId="30" fillId="9" borderId="214" xfId="4" applyNumberFormat="1" applyFont="1" applyFill="1" applyBorder="1" applyAlignment="1">
      <alignment horizontal="center"/>
    </xf>
    <xf numFmtId="3" fontId="0" fillId="3" borderId="298" xfId="0" applyNumberFormat="1" applyFill="1" applyBorder="1"/>
    <xf numFmtId="14" fontId="0" fillId="9" borderId="245" xfId="0" applyNumberFormat="1" applyFill="1" applyBorder="1"/>
    <xf numFmtId="164" fontId="0" fillId="24" borderId="42" xfId="1" applyNumberFormat="1" applyFont="1" applyFill="1" applyBorder="1"/>
    <xf numFmtId="3" fontId="0" fillId="24" borderId="25" xfId="0" applyNumberFormat="1" applyFill="1" applyBorder="1"/>
    <xf numFmtId="43" fontId="29" fillId="45" borderId="4" xfId="1" applyFont="1" applyFill="1" applyBorder="1"/>
    <xf numFmtId="164" fontId="29" fillId="45" borderId="244" xfId="1" applyNumberFormat="1" applyFont="1" applyFill="1" applyBorder="1"/>
    <xf numFmtId="0" fontId="30" fillId="0" borderId="218" xfId="0" applyFont="1" applyBorder="1" applyAlignment="1">
      <alignment horizontal="center" vertical="center"/>
    </xf>
    <xf numFmtId="3" fontId="30" fillId="0" borderId="218" xfId="0" applyNumberFormat="1" applyFont="1" applyBorder="1" applyAlignment="1">
      <alignment horizontal="center" vertical="center"/>
    </xf>
    <xf numFmtId="164" fontId="29" fillId="26" borderId="61" xfId="1" applyNumberFormat="1" applyFont="1" applyFill="1" applyBorder="1"/>
    <xf numFmtId="0" fontId="30" fillId="14" borderId="218" xfId="0" applyFont="1" applyFill="1" applyBorder="1" applyAlignment="1">
      <alignment horizontal="center" vertical="center"/>
    </xf>
    <xf numFmtId="3" fontId="30" fillId="14" borderId="218" xfId="0" applyNumberFormat="1" applyFont="1" applyFill="1" applyBorder="1" applyAlignment="1">
      <alignment horizontal="center" vertical="center"/>
    </xf>
    <xf numFmtId="164" fontId="0" fillId="18" borderId="4" xfId="1" applyNumberFormat="1" applyFont="1" applyFill="1" applyBorder="1"/>
    <xf numFmtId="0" fontId="26" fillId="7" borderId="242" xfId="4" applyFont="1" applyFill="1" applyBorder="1"/>
    <xf numFmtId="0" fontId="27" fillId="7" borderId="243" xfId="0" applyFont="1" applyFill="1" applyBorder="1"/>
    <xf numFmtId="0" fontId="27" fillId="0" borderId="243" xfId="0" applyFont="1" applyBorder="1"/>
    <xf numFmtId="164" fontId="27" fillId="0" borderId="243" xfId="1" applyNumberFormat="1" applyFont="1" applyFill="1" applyBorder="1"/>
    <xf numFmtId="164" fontId="27" fillId="0" borderId="244" xfId="0" applyNumberFormat="1" applyFont="1" applyBorder="1"/>
    <xf numFmtId="0" fontId="26" fillId="7" borderId="240" xfId="4" applyFont="1" applyFill="1" applyBorder="1"/>
    <xf numFmtId="0" fontId="26" fillId="0" borderId="245" xfId="4" applyFont="1" applyBorder="1"/>
    <xf numFmtId="0" fontId="27" fillId="0" borderId="225" xfId="0" applyFont="1" applyBorder="1"/>
    <xf numFmtId="0" fontId="27" fillId="0" borderId="246" xfId="0" applyFont="1" applyBorder="1"/>
    <xf numFmtId="0" fontId="20" fillId="47" borderId="17" xfId="0" applyFont="1" applyFill="1" applyBorder="1"/>
    <xf numFmtId="164" fontId="20" fillId="47" borderId="17" xfId="1" applyNumberFormat="1" applyFont="1" applyFill="1" applyBorder="1" applyAlignment="1">
      <alignment horizontal="center"/>
    </xf>
    <xf numFmtId="0" fontId="20" fillId="47" borderId="44" xfId="0" applyFont="1" applyFill="1" applyBorder="1" applyAlignment="1">
      <alignment horizontal="center"/>
    </xf>
    <xf numFmtId="14" fontId="20" fillId="47" borderId="16" xfId="0" applyNumberFormat="1" applyFont="1" applyFill="1" applyBorder="1" applyAlignment="1">
      <alignment horizontal="center"/>
    </xf>
    <xf numFmtId="14" fontId="20" fillId="47" borderId="45" xfId="0" applyNumberFormat="1" applyFont="1" applyFill="1" applyBorder="1" applyAlignment="1">
      <alignment horizontal="center"/>
    </xf>
    <xf numFmtId="167" fontId="0" fillId="16" borderId="4" xfId="0" applyNumberFormat="1" applyFill="1" applyBorder="1"/>
    <xf numFmtId="9" fontId="32" fillId="24" borderId="293" xfId="0" applyNumberFormat="1" applyFont="1" applyFill="1" applyBorder="1" applyAlignment="1">
      <alignment horizontal="center" vertical="center"/>
    </xf>
    <xf numFmtId="164" fontId="0" fillId="3" borderId="214" xfId="1" applyNumberFormat="1" applyFont="1" applyFill="1" applyBorder="1"/>
    <xf numFmtId="3" fontId="0" fillId="3" borderId="214" xfId="0" applyNumberFormat="1" applyFill="1" applyBorder="1"/>
    <xf numFmtId="170" fontId="0" fillId="3" borderId="218" xfId="1" applyNumberFormat="1" applyFont="1" applyFill="1" applyBorder="1"/>
    <xf numFmtId="9" fontId="21" fillId="24" borderId="225" xfId="0" applyNumberFormat="1" applyFont="1" applyFill="1" applyBorder="1" applyAlignment="1">
      <alignment horizontal="center"/>
    </xf>
    <xf numFmtId="170" fontId="0" fillId="3" borderId="214" xfId="1" applyNumberFormat="1" applyFont="1" applyFill="1" applyBorder="1"/>
    <xf numFmtId="43" fontId="29" fillId="30" borderId="4" xfId="1" applyFont="1" applyFill="1" applyBorder="1"/>
    <xf numFmtId="167" fontId="0" fillId="24" borderId="4" xfId="0" applyNumberFormat="1" applyFill="1" applyBorder="1"/>
    <xf numFmtId="3" fontId="0" fillId="4" borderId="214" xfId="0" applyNumberFormat="1" applyFill="1" applyBorder="1"/>
    <xf numFmtId="0" fontId="0" fillId="4" borderId="0" xfId="0" applyFill="1"/>
    <xf numFmtId="168" fontId="30" fillId="4" borderId="214" xfId="0" applyNumberFormat="1" applyFont="1" applyFill="1" applyBorder="1"/>
    <xf numFmtId="9" fontId="30" fillId="4" borderId="242" xfId="2" applyFont="1" applyFill="1" applyBorder="1"/>
    <xf numFmtId="3" fontId="20" fillId="16" borderId="242" xfId="0" applyNumberFormat="1" applyFont="1" applyFill="1" applyBorder="1"/>
    <xf numFmtId="0" fontId="20" fillId="24" borderId="42" xfId="0" applyFont="1" applyFill="1" applyBorder="1"/>
    <xf numFmtId="0" fontId="20" fillId="24" borderId="26" xfId="0" applyFont="1" applyFill="1" applyBorder="1"/>
    <xf numFmtId="0" fontId="20" fillId="24" borderId="41" xfId="0" applyFont="1" applyFill="1" applyBorder="1"/>
    <xf numFmtId="0" fontId="20" fillId="24" borderId="40" xfId="0" applyFont="1" applyFill="1" applyBorder="1"/>
    <xf numFmtId="164" fontId="20" fillId="24" borderId="27" xfId="1" applyNumberFormat="1" applyFont="1" applyFill="1" applyBorder="1"/>
    <xf numFmtId="164" fontId="20" fillId="24" borderId="26" xfId="1" applyNumberFormat="1" applyFont="1" applyFill="1" applyBorder="1"/>
    <xf numFmtId="164" fontId="30" fillId="24" borderId="26" xfId="1" applyNumberFormat="1" applyFont="1" applyFill="1" applyBorder="1"/>
    <xf numFmtId="9" fontId="20" fillId="24" borderId="43" xfId="2" applyFont="1" applyFill="1" applyBorder="1"/>
    <xf numFmtId="0" fontId="20" fillId="7" borderId="17" xfId="0" applyFont="1" applyFill="1" applyBorder="1"/>
    <xf numFmtId="164" fontId="20" fillId="7" borderId="17" xfId="1" applyNumberFormat="1" applyFont="1" applyFill="1" applyBorder="1" applyAlignment="1">
      <alignment horizontal="center"/>
    </xf>
    <xf numFmtId="0" fontId="20" fillId="7" borderId="44" xfId="0" applyFont="1" applyFill="1" applyBorder="1" applyAlignment="1">
      <alignment horizontal="center"/>
    </xf>
    <xf numFmtId="14" fontId="20" fillId="7" borderId="16" xfId="0" applyNumberFormat="1" applyFont="1" applyFill="1" applyBorder="1" applyAlignment="1">
      <alignment horizontal="center"/>
    </xf>
    <xf numFmtId="14" fontId="20" fillId="7" borderId="45" xfId="0" applyNumberFormat="1" applyFont="1" applyFill="1" applyBorder="1" applyAlignment="1">
      <alignment horizontal="center"/>
    </xf>
    <xf numFmtId="1" fontId="29" fillId="9" borderId="218" xfId="0" applyNumberFormat="1" applyFont="1" applyFill="1" applyBorder="1" applyAlignment="1">
      <alignment horizontal="center" vertical="center"/>
    </xf>
    <xf numFmtId="10" fontId="25" fillId="25" borderId="10" xfId="0" applyNumberFormat="1" applyFont="1" applyFill="1" applyBorder="1"/>
    <xf numFmtId="10" fontId="20" fillId="25" borderId="10" xfId="0" applyNumberFormat="1" applyFont="1" applyFill="1" applyBorder="1"/>
    <xf numFmtId="164" fontId="30" fillId="15" borderId="16" xfId="2" applyNumberFormat="1" applyFont="1" applyFill="1" applyBorder="1"/>
    <xf numFmtId="164" fontId="61" fillId="15" borderId="0" xfId="0" applyNumberFormat="1" applyFont="1" applyFill="1"/>
    <xf numFmtId="3" fontId="48" fillId="17" borderId="11" xfId="0" applyNumberFormat="1" applyFont="1" applyFill="1" applyBorder="1"/>
    <xf numFmtId="168" fontId="48" fillId="17" borderId="9" xfId="0" applyNumberFormat="1" applyFont="1" applyFill="1" applyBorder="1"/>
    <xf numFmtId="164" fontId="36" fillId="24" borderId="41" xfId="0" applyNumberFormat="1" applyFont="1" applyFill="1" applyBorder="1"/>
    <xf numFmtId="20" fontId="9" fillId="0" borderId="305" xfId="22" applyNumberFormat="1" applyBorder="1" applyAlignment="1">
      <alignment horizontal="center" vertical="center"/>
    </xf>
    <xf numFmtId="20" fontId="16" fillId="15" borderId="303" xfId="15" applyNumberFormat="1" applyFont="1" applyFill="1" applyBorder="1" applyAlignment="1">
      <alignment horizontal="center"/>
    </xf>
    <xf numFmtId="172" fontId="0" fillId="0" borderId="0" xfId="0" applyNumberFormat="1"/>
    <xf numFmtId="0" fontId="17" fillId="0" borderId="303" xfId="14" applyBorder="1"/>
    <xf numFmtId="0" fontId="83" fillId="0" borderId="0" xfId="0" applyFont="1"/>
    <xf numFmtId="0" fontId="82" fillId="0" borderId="0" xfId="0" applyFont="1"/>
    <xf numFmtId="0" fontId="86" fillId="0" borderId="0" xfId="0" applyFont="1"/>
    <xf numFmtId="14" fontId="83" fillId="0" borderId="0" xfId="0" applyNumberFormat="1" applyFont="1"/>
    <xf numFmtId="0" fontId="0" fillId="0" borderId="0" xfId="0" pivotButton="1"/>
    <xf numFmtId="0" fontId="0" fillId="0" borderId="0" xfId="0" applyAlignment="1">
      <alignment horizontal="left"/>
    </xf>
    <xf numFmtId="9" fontId="0" fillId="0" borderId="0" xfId="2" applyFont="1" applyAlignment="1">
      <alignment horizontal="center"/>
    </xf>
    <xf numFmtId="0" fontId="7" fillId="0" borderId="0" xfId="26" applyAlignment="1">
      <alignment vertical="top"/>
    </xf>
    <xf numFmtId="0" fontId="19" fillId="0" borderId="0" xfId="26" applyFont="1"/>
    <xf numFmtId="0" fontId="19" fillId="0" borderId="0" xfId="26" applyFont="1" applyAlignment="1">
      <alignment horizontal="center"/>
    </xf>
    <xf numFmtId="0" fontId="7" fillId="0" borderId="0" xfId="26"/>
    <xf numFmtId="0" fontId="30" fillId="37" borderId="0" xfId="26" applyFont="1" applyFill="1" applyAlignment="1">
      <alignment horizontal="center"/>
    </xf>
    <xf numFmtId="0" fontId="16" fillId="11" borderId="303" xfId="14" applyFont="1" applyFill="1" applyBorder="1"/>
    <xf numFmtId="0" fontId="16" fillId="11" borderId="303" xfId="14" applyFont="1" applyFill="1" applyBorder="1" applyAlignment="1">
      <alignment horizontal="center"/>
    </xf>
    <xf numFmtId="0" fontId="16" fillId="11" borderId="303" xfId="14" applyFont="1" applyFill="1" applyBorder="1" applyAlignment="1">
      <alignment horizontal="center" wrapText="1"/>
    </xf>
    <xf numFmtId="0" fontId="7" fillId="11" borderId="303" xfId="14" applyFont="1" applyFill="1" applyBorder="1" applyAlignment="1">
      <alignment horizontal="center" wrapText="1"/>
    </xf>
    <xf numFmtId="0" fontId="16" fillId="11" borderId="303" xfId="14" applyFont="1" applyFill="1" applyBorder="1" applyAlignment="1">
      <alignment vertical="top"/>
    </xf>
    <xf numFmtId="0" fontId="7" fillId="17" borderId="73" xfId="26" applyFill="1" applyBorder="1"/>
    <xf numFmtId="171" fontId="23" fillId="37" borderId="0" xfId="26" applyNumberFormat="1" applyFont="1" applyFill="1"/>
    <xf numFmtId="0" fontId="0" fillId="15" borderId="303" xfId="14" applyFont="1" applyFill="1" applyBorder="1"/>
    <xf numFmtId="0" fontId="0" fillId="15" borderId="303" xfId="14" applyFont="1" applyFill="1" applyBorder="1" applyAlignment="1">
      <alignment horizontal="center"/>
    </xf>
    <xf numFmtId="18" fontId="23" fillId="15" borderId="303" xfId="14" applyNumberFormat="1" applyFont="1" applyFill="1" applyBorder="1" applyAlignment="1">
      <alignment horizontal="center"/>
    </xf>
    <xf numFmtId="18" fontId="16" fillId="15" borderId="303" xfId="14" applyNumberFormat="1" applyFont="1" applyFill="1" applyBorder="1" applyAlignment="1">
      <alignment horizontal="center"/>
    </xf>
    <xf numFmtId="0" fontId="17" fillId="0" borderId="73" xfId="14" applyBorder="1"/>
    <xf numFmtId="0" fontId="17" fillId="15" borderId="303" xfId="14" applyFill="1" applyBorder="1" applyAlignment="1">
      <alignment horizontal="center"/>
    </xf>
    <xf numFmtId="18" fontId="0" fillId="15" borderId="303" xfId="14" applyNumberFormat="1" applyFont="1" applyFill="1" applyBorder="1" applyAlignment="1">
      <alignment horizontal="center"/>
    </xf>
    <xf numFmtId="182" fontId="0" fillId="15" borderId="303" xfId="15" applyNumberFormat="1" applyFont="1" applyFill="1" applyBorder="1" applyAlignment="1">
      <alignment horizontal="center"/>
    </xf>
    <xf numFmtId="0" fontId="0" fillId="15" borderId="303" xfId="14" applyFont="1" applyFill="1" applyBorder="1" applyAlignment="1">
      <alignment horizontal="center" wrapText="1"/>
    </xf>
    <xf numFmtId="0" fontId="7" fillId="15" borderId="303" xfId="14" applyFont="1" applyFill="1" applyBorder="1" applyAlignment="1">
      <alignment horizontal="center" wrapText="1"/>
    </xf>
    <xf numFmtId="0" fontId="7" fillId="0" borderId="313" xfId="26" applyBorder="1" applyAlignment="1">
      <alignment horizontal="center"/>
    </xf>
    <xf numFmtId="18" fontId="17" fillId="0" borderId="303" xfId="14" applyNumberFormat="1" applyBorder="1" applyAlignment="1">
      <alignment horizontal="center"/>
    </xf>
    <xf numFmtId="182" fontId="0" fillId="0" borderId="303" xfId="15" applyNumberFormat="1" applyFont="1" applyBorder="1" applyAlignment="1">
      <alignment horizontal="center"/>
    </xf>
    <xf numFmtId="20" fontId="23" fillId="0" borderId="303" xfId="14" applyNumberFormat="1" applyFont="1" applyBorder="1" applyAlignment="1">
      <alignment horizontal="center" vertical="center"/>
    </xf>
    <xf numFmtId="164" fontId="80" fillId="0" borderId="303" xfId="14" applyNumberFormat="1" applyFont="1" applyBorder="1" applyAlignment="1">
      <alignment horizontal="center"/>
    </xf>
    <xf numFmtId="0" fontId="23" fillId="0" borderId="303" xfId="14" applyFont="1" applyBorder="1"/>
    <xf numFmtId="0" fontId="23" fillId="0" borderId="303" xfId="14" applyFont="1" applyBorder="1" applyAlignment="1">
      <alignment horizontal="center"/>
    </xf>
    <xf numFmtId="18" fontId="23" fillId="0" borderId="303" xfId="14" applyNumberFormat="1" applyFont="1" applyBorder="1" applyAlignment="1">
      <alignment horizontal="center"/>
    </xf>
    <xf numFmtId="182" fontId="23" fillId="0" borderId="303" xfId="15" applyNumberFormat="1" applyFont="1" applyBorder="1" applyAlignment="1">
      <alignment horizontal="center"/>
    </xf>
    <xf numFmtId="164" fontId="19" fillId="0" borderId="303" xfId="14" applyNumberFormat="1" applyFont="1" applyBorder="1" applyAlignment="1">
      <alignment horizontal="center" vertical="center"/>
    </xf>
    <xf numFmtId="0" fontId="7" fillId="0" borderId="0" xfId="26" applyAlignment="1">
      <alignment horizontal="center" vertical="center"/>
    </xf>
    <xf numFmtId="0" fontId="23" fillId="16" borderId="303" xfId="14" applyFont="1" applyFill="1" applyBorder="1"/>
    <xf numFmtId="0" fontId="23" fillId="16" borderId="303" xfId="14" applyFont="1" applyFill="1" applyBorder="1" applyAlignment="1">
      <alignment horizontal="center"/>
    </xf>
    <xf numFmtId="18" fontId="23" fillId="16" borderId="303" xfId="14" applyNumberFormat="1" applyFont="1" applyFill="1" applyBorder="1" applyAlignment="1">
      <alignment horizontal="center"/>
    </xf>
    <xf numFmtId="182" fontId="23" fillId="16" borderId="303" xfId="15" applyNumberFormat="1" applyFont="1" applyFill="1" applyBorder="1" applyAlignment="1">
      <alignment horizontal="center"/>
    </xf>
    <xf numFmtId="20" fontId="23" fillId="16" borderId="303" xfId="14" applyNumberFormat="1" applyFont="1" applyFill="1" applyBorder="1" applyAlignment="1">
      <alignment horizontal="center" vertical="center"/>
    </xf>
    <xf numFmtId="172" fontId="19" fillId="16" borderId="303" xfId="14" applyNumberFormat="1" applyFont="1" applyFill="1" applyBorder="1" applyAlignment="1">
      <alignment horizontal="center" vertical="center"/>
    </xf>
    <xf numFmtId="164" fontId="81" fillId="16" borderId="303" xfId="14" applyNumberFormat="1" applyFont="1" applyFill="1" applyBorder="1" applyAlignment="1">
      <alignment horizontal="center"/>
    </xf>
    <xf numFmtId="172" fontId="19" fillId="16" borderId="303" xfId="14" applyNumberFormat="1" applyFont="1" applyFill="1" applyBorder="1" applyAlignment="1">
      <alignment horizontal="center"/>
    </xf>
    <xf numFmtId="182" fontId="23" fillId="0" borderId="303" xfId="15" applyNumberFormat="1" applyFont="1" applyFill="1" applyBorder="1" applyAlignment="1">
      <alignment horizontal="center"/>
    </xf>
    <xf numFmtId="172" fontId="19" fillId="0" borderId="303" xfId="14" applyNumberFormat="1" applyFont="1" applyBorder="1" applyAlignment="1">
      <alignment horizontal="center"/>
    </xf>
    <xf numFmtId="0" fontId="23" fillId="15" borderId="303" xfId="14" applyFont="1" applyFill="1" applyBorder="1"/>
    <xf numFmtId="0" fontId="23" fillId="15" borderId="303" xfId="14" applyFont="1" applyFill="1" applyBorder="1" applyAlignment="1">
      <alignment horizontal="center"/>
    </xf>
    <xf numFmtId="182" fontId="23" fillId="15" borderId="303" xfId="15" applyNumberFormat="1" applyFont="1" applyFill="1" applyBorder="1" applyAlignment="1">
      <alignment horizontal="center"/>
    </xf>
    <xf numFmtId="20" fontId="23" fillId="15" borderId="303" xfId="14" applyNumberFormat="1" applyFont="1" applyFill="1" applyBorder="1" applyAlignment="1">
      <alignment horizontal="center" vertical="center"/>
    </xf>
    <xf numFmtId="172" fontId="19" fillId="15" borderId="303" xfId="14" applyNumberFormat="1" applyFont="1" applyFill="1" applyBorder="1" applyAlignment="1">
      <alignment horizontal="center"/>
    </xf>
    <xf numFmtId="0" fontId="30" fillId="17" borderId="303" xfId="14" applyFont="1" applyFill="1" applyBorder="1" applyAlignment="1">
      <alignment horizontal="center"/>
    </xf>
    <xf numFmtId="0" fontId="17" fillId="29" borderId="303" xfId="14" applyFill="1" applyBorder="1"/>
    <xf numFmtId="0" fontId="17" fillId="29" borderId="303" xfId="14" applyFill="1" applyBorder="1" applyAlignment="1">
      <alignment horizontal="center"/>
    </xf>
    <xf numFmtId="18" fontId="20" fillId="29" borderId="303" xfId="14" applyNumberFormat="1" applyFont="1" applyFill="1" applyBorder="1" applyAlignment="1">
      <alignment horizontal="center"/>
    </xf>
    <xf numFmtId="182" fontId="20" fillId="29" borderId="303" xfId="15" applyNumberFormat="1" applyFont="1" applyFill="1" applyBorder="1" applyAlignment="1">
      <alignment horizontal="center"/>
    </xf>
    <xf numFmtId="20" fontId="35" fillId="29" borderId="303" xfId="14" applyNumberFormat="1" applyFont="1" applyFill="1" applyBorder="1" applyAlignment="1">
      <alignment horizontal="center" vertical="center"/>
    </xf>
    <xf numFmtId="164" fontId="16" fillId="29" borderId="303" xfId="14" applyNumberFormat="1" applyFont="1" applyFill="1" applyBorder="1"/>
    <xf numFmtId="20" fontId="20" fillId="29" borderId="303" xfId="14" applyNumberFormat="1" applyFont="1" applyFill="1" applyBorder="1" applyAlignment="1">
      <alignment horizontal="center" vertical="center"/>
    </xf>
    <xf numFmtId="172" fontId="16" fillId="29" borderId="303" xfId="14" applyNumberFormat="1" applyFont="1" applyFill="1" applyBorder="1" applyAlignment="1">
      <alignment horizontal="center" vertical="center"/>
    </xf>
    <xf numFmtId="172" fontId="16" fillId="29" borderId="303" xfId="14" applyNumberFormat="1" applyFont="1" applyFill="1" applyBorder="1" applyAlignment="1">
      <alignment horizontal="center"/>
    </xf>
    <xf numFmtId="0" fontId="30" fillId="17" borderId="303" xfId="14" applyFont="1" applyFill="1" applyBorder="1" applyAlignment="1">
      <alignment horizontal="left"/>
    </xf>
    <xf numFmtId="18" fontId="0" fillId="17" borderId="303" xfId="14" applyNumberFormat="1" applyFont="1" applyFill="1" applyBorder="1" applyAlignment="1">
      <alignment horizontal="center"/>
    </xf>
    <xf numFmtId="182" fontId="0" fillId="17" borderId="303" xfId="15" applyNumberFormat="1" applyFont="1" applyFill="1" applyBorder="1" applyAlignment="1">
      <alignment horizontal="center"/>
    </xf>
    <xf numFmtId="182" fontId="16" fillId="17" borderId="303" xfId="14" applyNumberFormat="1" applyFont="1" applyFill="1" applyBorder="1" applyAlignment="1">
      <alignment horizontal="center" vertical="center"/>
    </xf>
    <xf numFmtId="20" fontId="7" fillId="17" borderId="303" xfId="14" applyNumberFormat="1" applyFont="1" applyFill="1" applyBorder="1" applyAlignment="1">
      <alignment horizontal="center" vertical="center"/>
    </xf>
    <xf numFmtId="43" fontId="7" fillId="0" borderId="0" xfId="26" applyNumberFormat="1"/>
    <xf numFmtId="14" fontId="7" fillId="0" borderId="0" xfId="26" applyNumberFormat="1"/>
    <xf numFmtId="0" fontId="94" fillId="0" borderId="0" xfId="26" applyFont="1" applyAlignment="1">
      <alignment wrapText="1"/>
    </xf>
    <xf numFmtId="0" fontId="16" fillId="0" borderId="0" xfId="14" applyFont="1" applyAlignment="1">
      <alignment horizontal="left" vertical="top" wrapText="1"/>
    </xf>
    <xf numFmtId="0" fontId="16" fillId="0" borderId="0" xfId="14" applyFont="1" applyAlignment="1">
      <alignment horizontal="center" vertical="top" wrapText="1"/>
    </xf>
    <xf numFmtId="0" fontId="16" fillId="0" borderId="0" xfId="14" applyFont="1"/>
    <xf numFmtId="0" fontId="16" fillId="0" borderId="0" xfId="14" applyFont="1" applyAlignment="1">
      <alignment horizontal="center"/>
    </xf>
    <xf numFmtId="0" fontId="16" fillId="0" borderId="0" xfId="14" applyFont="1" applyAlignment="1">
      <alignment horizontal="center" wrapText="1"/>
    </xf>
    <xf numFmtId="0" fontId="7" fillId="0" borderId="0" xfId="14" applyFont="1" applyAlignment="1">
      <alignment horizontal="center" wrapText="1"/>
    </xf>
    <xf numFmtId="0" fontId="16" fillId="10" borderId="303" xfId="14" applyFont="1" applyFill="1" applyBorder="1"/>
    <xf numFmtId="0" fontId="16" fillId="10" borderId="303" xfId="14" applyFont="1" applyFill="1" applyBorder="1" applyAlignment="1">
      <alignment horizontal="center"/>
    </xf>
    <xf numFmtId="0" fontId="16" fillId="10" borderId="303" xfId="14" applyFont="1" applyFill="1" applyBorder="1" applyAlignment="1">
      <alignment horizontal="center" wrapText="1"/>
    </xf>
    <xf numFmtId="0" fontId="7" fillId="10" borderId="303" xfId="14" applyFont="1" applyFill="1" applyBorder="1" applyAlignment="1">
      <alignment horizontal="center" wrapText="1"/>
    </xf>
    <xf numFmtId="43" fontId="0" fillId="0" borderId="0" xfId="27" applyFont="1" applyFill="1"/>
    <xf numFmtId="169" fontId="7" fillId="0" borderId="0" xfId="26" applyNumberFormat="1"/>
    <xf numFmtId="0" fontId="95" fillId="0" borderId="0" xfId="26" applyFont="1"/>
    <xf numFmtId="166" fontId="16" fillId="0" borderId="0" xfId="14" applyNumberFormat="1" applyFont="1" applyAlignment="1">
      <alignment horizontal="left" wrapText="1"/>
    </xf>
    <xf numFmtId="0" fontId="17" fillId="0" borderId="0" xfId="14" applyAlignment="1">
      <alignment wrapText="1"/>
    </xf>
    <xf numFmtId="0" fontId="7" fillId="0" borderId="0" xfId="26" applyAlignment="1">
      <alignment horizontal="center"/>
    </xf>
    <xf numFmtId="20" fontId="9" fillId="17" borderId="302" xfId="22" applyNumberFormat="1" applyFill="1" applyBorder="1" applyAlignment="1">
      <alignment horizontal="center" vertical="center"/>
    </xf>
    <xf numFmtId="0" fontId="9" fillId="0" borderId="305" xfId="22" applyBorder="1" applyAlignment="1">
      <alignment horizontal="center" vertical="center"/>
    </xf>
    <xf numFmtId="20" fontId="9" fillId="0" borderId="302" xfId="22" applyNumberFormat="1" applyBorder="1" applyAlignment="1">
      <alignment horizontal="center" vertical="center"/>
    </xf>
    <xf numFmtId="20" fontId="9" fillId="0" borderId="31" xfId="22" applyNumberFormat="1" applyBorder="1" applyAlignment="1">
      <alignment horizontal="center" vertical="center"/>
    </xf>
    <xf numFmtId="0" fontId="9" fillId="0" borderId="1" xfId="22" applyBorder="1" applyAlignment="1">
      <alignment horizontal="center" vertical="center"/>
    </xf>
    <xf numFmtId="0" fontId="9" fillId="17" borderId="305" xfId="22" applyFill="1" applyBorder="1" applyAlignment="1">
      <alignment horizontal="center" vertical="center"/>
    </xf>
    <xf numFmtId="20" fontId="9" fillId="17" borderId="305" xfId="22" applyNumberFormat="1" applyFill="1" applyBorder="1" applyAlignment="1">
      <alignment horizontal="center" vertical="center"/>
    </xf>
    <xf numFmtId="20" fontId="9" fillId="0" borderId="1" xfId="22" applyNumberFormat="1" applyBorder="1" applyAlignment="1">
      <alignment horizontal="center" vertical="center"/>
    </xf>
    <xf numFmtId="0" fontId="16" fillId="0" borderId="0" xfId="0" applyFont="1" applyAlignment="1">
      <alignment horizontal="left"/>
    </xf>
    <xf numFmtId="0" fontId="0" fillId="17" borderId="4" xfId="0" applyFill="1" applyBorder="1"/>
    <xf numFmtId="0" fontId="35" fillId="17" borderId="4" xfId="0" applyFont="1" applyFill="1" applyBorder="1"/>
    <xf numFmtId="0" fontId="35" fillId="17" borderId="4" xfId="0" applyFont="1" applyFill="1" applyBorder="1" applyAlignment="1">
      <alignment horizontal="center"/>
    </xf>
    <xf numFmtId="0" fontId="24" fillId="51" borderId="0" xfId="0" applyFont="1" applyFill="1"/>
    <xf numFmtId="0" fontId="0" fillId="51" borderId="0" xfId="0" applyFill="1"/>
    <xf numFmtId="0" fontId="48" fillId="51" borderId="0" xfId="0" applyFont="1" applyFill="1"/>
    <xf numFmtId="10" fontId="82" fillId="0" borderId="0" xfId="0" applyNumberFormat="1" applyFont="1"/>
    <xf numFmtId="181" fontId="82" fillId="0" borderId="0" xfId="0" applyNumberFormat="1" applyFont="1"/>
    <xf numFmtId="1" fontId="82" fillId="0" borderId="0" xfId="0" quotePrefix="1" applyNumberFormat="1" applyFont="1"/>
    <xf numFmtId="1" fontId="82" fillId="0" borderId="0" xfId="0" applyNumberFormat="1" applyFont="1"/>
    <xf numFmtId="14" fontId="88" fillId="0" borderId="0" xfId="0" quotePrefix="1" applyNumberFormat="1" applyFont="1" applyAlignment="1">
      <alignment horizontal="center"/>
    </xf>
    <xf numFmtId="164" fontId="82" fillId="0" borderId="0" xfId="1" applyNumberFormat="1" applyFont="1" applyAlignment="1" applyProtection="1"/>
    <xf numFmtId="0" fontId="0" fillId="28" borderId="300" xfId="0" applyFill="1" applyBorder="1"/>
    <xf numFmtId="164" fontId="82" fillId="0" borderId="0" xfId="1" applyNumberFormat="1" applyFont="1" applyFill="1" applyProtection="1"/>
    <xf numFmtId="0" fontId="27" fillId="28" borderId="46" xfId="0" applyFont="1" applyFill="1" applyBorder="1"/>
    <xf numFmtId="0" fontId="27" fillId="28" borderId="301" xfId="0" applyFont="1" applyFill="1" applyBorder="1"/>
    <xf numFmtId="0" fontId="27" fillId="28" borderId="306" xfId="0" applyFont="1" applyFill="1" applyBorder="1"/>
    <xf numFmtId="14" fontId="90" fillId="28" borderId="21" xfId="0" applyNumberFormat="1" applyFont="1" applyFill="1" applyBorder="1"/>
    <xf numFmtId="0" fontId="91" fillId="0" borderId="0" xfId="0" applyFont="1" applyAlignment="1">
      <alignment horizontal="center" vertical="center"/>
    </xf>
    <xf numFmtId="0" fontId="92" fillId="28" borderId="20" xfId="0" applyFont="1" applyFill="1" applyBorder="1"/>
    <xf numFmtId="0" fontId="0" fillId="10" borderId="17" xfId="0" applyFill="1" applyBorder="1"/>
    <xf numFmtId="0" fontId="0" fillId="10" borderId="16" xfId="0" applyFill="1" applyBorder="1"/>
    <xf numFmtId="0" fontId="0" fillId="10" borderId="15" xfId="0" applyFill="1" applyBorder="1"/>
    <xf numFmtId="0" fontId="83" fillId="17" borderId="62" xfId="0" applyFont="1" applyFill="1" applyBorder="1" applyAlignment="1">
      <alignment horizontal="center"/>
    </xf>
    <xf numFmtId="0" fontId="83" fillId="17" borderId="54" xfId="0" applyFont="1" applyFill="1" applyBorder="1" applyAlignment="1">
      <alignment horizontal="center"/>
    </xf>
    <xf numFmtId="9" fontId="93" fillId="17" borderId="66" xfId="2" applyFont="1" applyFill="1" applyBorder="1" applyAlignment="1" applyProtection="1">
      <alignment horizontal="center"/>
    </xf>
    <xf numFmtId="0" fontId="83" fillId="11" borderId="53" xfId="0" quotePrefix="1" applyFont="1" applyFill="1" applyBorder="1" applyAlignment="1">
      <alignment horizontal="center" vertical="center"/>
    </xf>
    <xf numFmtId="0" fontId="83" fillId="11" borderId="299" xfId="0" quotePrefix="1" applyFont="1" applyFill="1" applyBorder="1" applyAlignment="1">
      <alignment horizontal="center" vertical="center"/>
    </xf>
    <xf numFmtId="0" fontId="83" fillId="11" borderId="246" xfId="0" applyFont="1" applyFill="1" applyBorder="1" applyAlignment="1">
      <alignment horizontal="center" vertical="center"/>
    </xf>
    <xf numFmtId="0" fontId="83" fillId="11" borderId="297" xfId="0" applyFont="1" applyFill="1" applyBorder="1" applyAlignment="1">
      <alignment horizontal="center" vertical="center"/>
    </xf>
    <xf numFmtId="0" fontId="83" fillId="11" borderId="36" xfId="0" quotePrefix="1" applyFont="1" applyFill="1" applyBorder="1" applyAlignment="1">
      <alignment horizontal="center" vertical="center"/>
    </xf>
    <xf numFmtId="0" fontId="83" fillId="11" borderId="36" xfId="0" quotePrefix="1" applyFont="1" applyFill="1" applyBorder="1" applyAlignment="1">
      <alignment horizontal="center"/>
    </xf>
    <xf numFmtId="0" fontId="83" fillId="11" borderId="36" xfId="0" applyFont="1" applyFill="1" applyBorder="1" applyAlignment="1">
      <alignment horizontal="center" vertical="center"/>
    </xf>
    <xf numFmtId="14" fontId="85" fillId="0" borderId="0" xfId="0" applyNumberFormat="1" applyFont="1" applyAlignment="1">
      <alignment horizontal="center"/>
    </xf>
    <xf numFmtId="0" fontId="85" fillId="0" borderId="0" xfId="0" applyFont="1"/>
    <xf numFmtId="167" fontId="83" fillId="0" borderId="0" xfId="0" applyNumberFormat="1" applyFont="1"/>
    <xf numFmtId="0" fontId="83" fillId="0" borderId="11" xfId="0" applyFont="1" applyBorder="1"/>
    <xf numFmtId="165" fontId="83" fillId="0" borderId="0" xfId="2" applyNumberFormat="1" applyFont="1" applyBorder="1" applyProtection="1"/>
    <xf numFmtId="165" fontId="83" fillId="0" borderId="10" xfId="2" applyNumberFormat="1" applyFont="1" applyBorder="1" applyProtection="1"/>
    <xf numFmtId="0" fontId="87" fillId="0" borderId="0" xfId="0" applyFont="1"/>
    <xf numFmtId="0" fontId="0" fillId="0" borderId="63" xfId="0" applyBorder="1" applyAlignment="1">
      <alignment horizontal="center"/>
    </xf>
    <xf numFmtId="0" fontId="0" fillId="11" borderId="304" xfId="0" applyFill="1" applyBorder="1" applyAlignment="1">
      <alignment horizontal="center"/>
    </xf>
    <xf numFmtId="9" fontId="89" fillId="11" borderId="63" xfId="2" applyFont="1" applyFill="1" applyBorder="1" applyAlignment="1" applyProtection="1">
      <alignment horizontal="center"/>
    </xf>
    <xf numFmtId="0" fontId="83" fillId="11" borderId="5" xfId="0" quotePrefix="1" applyFont="1" applyFill="1" applyBorder="1" applyAlignment="1">
      <alignment horizontal="center" vertical="center"/>
    </xf>
    <xf numFmtId="0" fontId="83" fillId="11" borderId="303" xfId="0" quotePrefix="1" applyFont="1" applyFill="1" applyBorder="1" applyAlignment="1">
      <alignment horizontal="center" vertical="center"/>
    </xf>
    <xf numFmtId="0" fontId="83" fillId="11" borderId="300" xfId="0" applyFont="1" applyFill="1" applyBorder="1" applyAlignment="1">
      <alignment horizontal="center" vertical="center"/>
    </xf>
    <xf numFmtId="0" fontId="83" fillId="11" borderId="32" xfId="0" applyFont="1" applyFill="1" applyBorder="1" applyAlignment="1">
      <alignment horizontal="center" vertical="center"/>
    </xf>
    <xf numFmtId="0" fontId="83" fillId="11" borderId="302" xfId="0" quotePrefix="1" applyFont="1" applyFill="1" applyBorder="1" applyAlignment="1">
      <alignment horizontal="center" vertical="center"/>
    </xf>
    <xf numFmtId="0" fontId="83" fillId="11" borderId="302" xfId="0" applyFont="1" applyFill="1" applyBorder="1" applyAlignment="1">
      <alignment horizontal="center" vertical="center"/>
    </xf>
    <xf numFmtId="14" fontId="82" fillId="0" borderId="0" xfId="0" applyNumberFormat="1" applyFont="1" applyAlignment="1">
      <alignment horizontal="center"/>
    </xf>
    <xf numFmtId="164" fontId="82" fillId="0" borderId="0" xfId="1" applyNumberFormat="1" applyFont="1" applyAlignment="1" applyProtection="1">
      <alignment horizontal="center"/>
    </xf>
    <xf numFmtId="164" fontId="82" fillId="0" borderId="0" xfId="1" applyNumberFormat="1" applyFont="1" applyFill="1" applyBorder="1" applyProtection="1"/>
    <xf numFmtId="0" fontId="0" fillId="0" borderId="308" xfId="0" applyBorder="1" applyAlignment="1">
      <alignment horizontal="center"/>
    </xf>
    <xf numFmtId="9" fontId="89" fillId="11" borderId="308" xfId="2" applyFont="1" applyFill="1" applyBorder="1" applyAlignment="1" applyProtection="1">
      <alignment horizontal="center"/>
    </xf>
    <xf numFmtId="0" fontId="83" fillId="11" borderId="64" xfId="0" quotePrefix="1" applyFont="1" applyFill="1" applyBorder="1" applyAlignment="1">
      <alignment horizontal="center" vertical="center"/>
    </xf>
    <xf numFmtId="0" fontId="83" fillId="11" borderId="2" xfId="0" quotePrefix="1" applyFont="1" applyFill="1" applyBorder="1" applyAlignment="1">
      <alignment horizontal="center" vertical="center"/>
    </xf>
    <xf numFmtId="0" fontId="83" fillId="11" borderId="3" xfId="0" applyFont="1" applyFill="1" applyBorder="1" applyAlignment="1">
      <alignment horizontal="center" vertical="center"/>
    </xf>
    <xf numFmtId="0" fontId="83" fillId="11" borderId="30" xfId="0" applyFont="1" applyFill="1" applyBorder="1" applyAlignment="1">
      <alignment horizontal="center" vertical="center"/>
    </xf>
    <xf numFmtId="0" fontId="83" fillId="11" borderId="31" xfId="0" quotePrefix="1" applyFont="1" applyFill="1" applyBorder="1" applyAlignment="1">
      <alignment horizontal="center" vertical="center"/>
    </xf>
    <xf numFmtId="0" fontId="83" fillId="11" borderId="60" xfId="0" quotePrefix="1" applyFont="1" applyFill="1" applyBorder="1" applyAlignment="1">
      <alignment horizontal="center"/>
    </xf>
    <xf numFmtId="0" fontId="83" fillId="11" borderId="31" xfId="0" applyFont="1" applyFill="1" applyBorder="1" applyAlignment="1">
      <alignment horizontal="center" vertical="center"/>
    </xf>
    <xf numFmtId="0" fontId="8" fillId="0" borderId="62" xfId="0" applyFont="1" applyBorder="1" applyAlignment="1">
      <alignment horizontal="center"/>
    </xf>
    <xf numFmtId="0" fontId="8" fillId="12" borderId="54" xfId="0" applyFont="1" applyFill="1" applyBorder="1" applyAlignment="1">
      <alignment horizontal="center"/>
    </xf>
    <xf numFmtId="9" fontId="89" fillId="12" borderId="62" xfId="2" applyFont="1" applyFill="1" applyBorder="1" applyAlignment="1" applyProtection="1">
      <alignment horizontal="center"/>
    </xf>
    <xf numFmtId="0" fontId="83" fillId="12" borderId="39" xfId="0" quotePrefix="1" applyFont="1" applyFill="1" applyBorder="1" applyAlignment="1">
      <alignment horizontal="center" vertical="center"/>
    </xf>
    <xf numFmtId="0" fontId="83" fillId="12" borderId="38" xfId="0" quotePrefix="1" applyFont="1" applyFill="1" applyBorder="1" applyAlignment="1">
      <alignment horizontal="center" vertical="center"/>
    </xf>
    <xf numFmtId="0" fontId="83" fillId="12" borderId="38" xfId="0" applyFont="1" applyFill="1" applyBorder="1" applyAlignment="1">
      <alignment horizontal="center" vertical="center"/>
    </xf>
    <xf numFmtId="0" fontId="83" fillId="12" borderId="37" xfId="0" applyFont="1" applyFill="1" applyBorder="1" applyAlignment="1">
      <alignment horizontal="center" vertical="center"/>
    </xf>
    <xf numFmtId="0" fontId="83" fillId="12" borderId="39" xfId="0" quotePrefix="1" applyFont="1" applyFill="1" applyBorder="1" applyAlignment="1">
      <alignment horizontal="center"/>
    </xf>
    <xf numFmtId="0" fontId="83" fillId="12" borderId="39" xfId="0" applyFont="1" applyFill="1" applyBorder="1" applyAlignment="1">
      <alignment horizontal="center" vertical="center"/>
    </xf>
    <xf numFmtId="0" fontId="83" fillId="12" borderId="55" xfId="0" applyFont="1" applyFill="1" applyBorder="1" applyAlignment="1">
      <alignment horizontal="center" vertical="center"/>
    </xf>
    <xf numFmtId="0" fontId="8" fillId="0" borderId="63" xfId="0" applyFont="1" applyBorder="1" applyAlignment="1">
      <alignment horizontal="center"/>
    </xf>
    <xf numFmtId="0" fontId="8" fillId="12" borderId="304" xfId="0" applyFont="1" applyFill="1" applyBorder="1" applyAlignment="1">
      <alignment horizontal="center"/>
    </xf>
    <xf numFmtId="9" fontId="89" fillId="12" borderId="63" xfId="2" applyFont="1" applyFill="1" applyBorder="1" applyAlignment="1" applyProtection="1">
      <alignment horizontal="center"/>
    </xf>
    <xf numFmtId="0" fontId="83" fillId="12" borderId="302" xfId="0" quotePrefix="1" applyFont="1" applyFill="1" applyBorder="1" applyAlignment="1">
      <alignment horizontal="center" vertical="center"/>
    </xf>
    <xf numFmtId="0" fontId="83" fillId="12" borderId="303" xfId="0" quotePrefix="1" applyFont="1" applyFill="1" applyBorder="1" applyAlignment="1">
      <alignment horizontal="center" vertical="center"/>
    </xf>
    <xf numFmtId="0" fontId="83" fillId="12" borderId="303" xfId="0" applyFont="1" applyFill="1" applyBorder="1" applyAlignment="1">
      <alignment horizontal="center" vertical="center"/>
    </xf>
    <xf numFmtId="0" fontId="83" fillId="12" borderId="305" xfId="0" applyFont="1" applyFill="1" applyBorder="1" applyAlignment="1">
      <alignment horizontal="center" vertical="center"/>
    </xf>
    <xf numFmtId="0" fontId="83" fillId="12" borderId="302" xfId="0" quotePrefix="1" applyFont="1" applyFill="1" applyBorder="1" applyAlignment="1">
      <alignment horizontal="center"/>
    </xf>
    <xf numFmtId="0" fontId="83" fillId="12" borderId="302" xfId="0" applyFont="1" applyFill="1" applyBorder="1" applyAlignment="1">
      <alignment horizontal="center" vertical="center"/>
    </xf>
    <xf numFmtId="0" fontId="83" fillId="12" borderId="300" xfId="0" applyFont="1" applyFill="1" applyBorder="1" applyAlignment="1">
      <alignment horizontal="center" vertical="center"/>
    </xf>
    <xf numFmtId="0" fontId="8" fillId="0" borderId="308" xfId="0" applyFont="1" applyBorder="1" applyAlignment="1">
      <alignment horizontal="center"/>
    </xf>
    <xf numFmtId="0" fontId="8" fillId="12" borderId="242" xfId="0" applyFont="1" applyFill="1" applyBorder="1" applyAlignment="1">
      <alignment horizontal="center"/>
    </xf>
    <xf numFmtId="9" fontId="89" fillId="12" borderId="308" xfId="2" applyFont="1" applyFill="1" applyBorder="1" applyAlignment="1" applyProtection="1">
      <alignment horizontal="center"/>
    </xf>
    <xf numFmtId="0" fontId="83" fillId="12" borderId="213" xfId="0" quotePrefix="1" applyFont="1" applyFill="1" applyBorder="1" applyAlignment="1">
      <alignment horizontal="center" vertical="center"/>
    </xf>
    <xf numFmtId="0" fontId="83" fillId="12" borderId="214" xfId="0" quotePrefix="1" applyFont="1" applyFill="1" applyBorder="1" applyAlignment="1">
      <alignment horizontal="center" vertical="center"/>
    </xf>
    <xf numFmtId="0" fontId="83" fillId="12" borderId="214" xfId="0" applyFont="1" applyFill="1" applyBorder="1" applyAlignment="1">
      <alignment horizontal="center" vertical="center"/>
    </xf>
    <xf numFmtId="0" fontId="83" fillId="12" borderId="277" xfId="0" applyFont="1" applyFill="1" applyBorder="1" applyAlignment="1">
      <alignment horizontal="center" vertical="center"/>
    </xf>
    <xf numFmtId="0" fontId="83" fillId="12" borderId="213" xfId="0" quotePrefix="1" applyFont="1" applyFill="1" applyBorder="1" applyAlignment="1">
      <alignment horizontal="center"/>
    </xf>
    <xf numFmtId="0" fontId="83" fillId="12" borderId="213" xfId="0" applyFont="1" applyFill="1" applyBorder="1" applyAlignment="1">
      <alignment horizontal="center" vertical="center"/>
    </xf>
    <xf numFmtId="0" fontId="83" fillId="12" borderId="244" xfId="0" applyFont="1" applyFill="1" applyBorder="1" applyAlignment="1">
      <alignment horizontal="center" vertical="center"/>
    </xf>
    <xf numFmtId="0" fontId="8" fillId="15" borderId="54" xfId="0" applyFont="1" applyFill="1" applyBorder="1" applyAlignment="1">
      <alignment horizontal="center"/>
    </xf>
    <xf numFmtId="9" fontId="89" fillId="15" borderId="62" xfId="2" applyFont="1" applyFill="1" applyBorder="1" applyAlignment="1" applyProtection="1">
      <alignment horizontal="center"/>
    </xf>
    <xf numFmtId="0" fontId="83" fillId="15" borderId="39" xfId="0" quotePrefix="1" applyFont="1" applyFill="1" applyBorder="1" applyAlignment="1">
      <alignment horizontal="center" vertical="center"/>
    </xf>
    <xf numFmtId="0" fontId="83" fillId="15" borderId="38" xfId="0" quotePrefix="1" applyFont="1" applyFill="1" applyBorder="1" applyAlignment="1">
      <alignment horizontal="center" vertical="center"/>
    </xf>
    <xf numFmtId="0" fontId="83" fillId="15" borderId="38" xfId="0" applyFont="1" applyFill="1" applyBorder="1" applyAlignment="1">
      <alignment horizontal="center" vertical="center"/>
    </xf>
    <xf numFmtId="0" fontId="83" fillId="15" borderId="37" xfId="0" applyFont="1" applyFill="1" applyBorder="1" applyAlignment="1">
      <alignment horizontal="center" vertical="center"/>
    </xf>
    <xf numFmtId="0" fontId="83" fillId="15" borderId="39" xfId="0" quotePrefix="1" applyFont="1" applyFill="1" applyBorder="1" applyAlignment="1">
      <alignment horizontal="center"/>
    </xf>
    <xf numFmtId="0" fontId="83" fillId="15" borderId="39" xfId="0" applyFont="1" applyFill="1" applyBorder="1" applyAlignment="1">
      <alignment horizontal="center" vertical="center"/>
    </xf>
    <xf numFmtId="0" fontId="83" fillId="15" borderId="55" xfId="0" applyFont="1" applyFill="1" applyBorder="1" applyAlignment="1">
      <alignment horizontal="center" vertical="center"/>
    </xf>
    <xf numFmtId="0" fontId="8" fillId="15" borderId="242" xfId="0" applyFont="1" applyFill="1" applyBorder="1" applyAlignment="1">
      <alignment horizontal="center"/>
    </xf>
    <xf numFmtId="9" fontId="89" fillId="15" borderId="308" xfId="2" applyFont="1" applyFill="1" applyBorder="1" applyAlignment="1" applyProtection="1">
      <alignment horizontal="center"/>
    </xf>
    <xf numFmtId="0" fontId="83" fillId="15" borderId="213" xfId="0" quotePrefix="1" applyFont="1" applyFill="1" applyBorder="1" applyAlignment="1">
      <alignment horizontal="center" vertical="center"/>
    </xf>
    <xf numFmtId="0" fontId="83" fillId="15" borderId="214" xfId="0" quotePrefix="1" applyFont="1" applyFill="1" applyBorder="1" applyAlignment="1">
      <alignment horizontal="center" vertical="center"/>
    </xf>
    <xf numFmtId="0" fontId="83" fillId="15" borderId="214" xfId="0" applyFont="1" applyFill="1" applyBorder="1" applyAlignment="1">
      <alignment horizontal="center" vertical="center"/>
    </xf>
    <xf numFmtId="0" fontId="83" fillId="15" borderId="277" xfId="0" applyFont="1" applyFill="1" applyBorder="1" applyAlignment="1">
      <alignment horizontal="center" vertical="center"/>
    </xf>
    <xf numFmtId="0" fontId="83" fillId="15" borderId="213" xfId="0" quotePrefix="1" applyFont="1" applyFill="1" applyBorder="1" applyAlignment="1">
      <alignment horizontal="center"/>
    </xf>
    <xf numFmtId="0" fontId="83" fillId="15" borderId="213" xfId="0" applyFont="1" applyFill="1" applyBorder="1" applyAlignment="1">
      <alignment horizontal="center" vertical="center"/>
    </xf>
    <xf numFmtId="0" fontId="83" fillId="15" borderId="244" xfId="0" applyFont="1" applyFill="1" applyBorder="1" applyAlignment="1">
      <alignment horizontal="center" vertical="center"/>
    </xf>
    <xf numFmtId="0" fontId="8" fillId="11" borderId="54" xfId="0" applyFont="1" applyFill="1" applyBorder="1" applyAlignment="1">
      <alignment horizontal="center"/>
    </xf>
    <xf numFmtId="9" fontId="89" fillId="11" borderId="62" xfId="2" applyFont="1" applyFill="1" applyBorder="1" applyAlignment="1" applyProtection="1">
      <alignment horizontal="center"/>
    </xf>
    <xf numFmtId="0" fontId="83" fillId="11" borderId="39" xfId="0" quotePrefix="1" applyFont="1" applyFill="1" applyBorder="1" applyAlignment="1">
      <alignment horizontal="center" vertical="center"/>
    </xf>
    <xf numFmtId="0" fontId="83" fillId="11" borderId="38" xfId="0" quotePrefix="1" applyFont="1" applyFill="1" applyBorder="1" applyAlignment="1">
      <alignment horizontal="center" vertical="center"/>
    </xf>
    <xf numFmtId="0" fontId="83" fillId="11" borderId="38" xfId="0" applyFont="1" applyFill="1" applyBorder="1" applyAlignment="1">
      <alignment horizontal="center" vertical="center"/>
    </xf>
    <xf numFmtId="0" fontId="83" fillId="11" borderId="37" xfId="0" applyFont="1" applyFill="1" applyBorder="1" applyAlignment="1">
      <alignment horizontal="center" vertical="center"/>
    </xf>
    <xf numFmtId="0" fontId="83" fillId="11" borderId="39" xfId="0" quotePrefix="1" applyFont="1" applyFill="1" applyBorder="1" applyAlignment="1">
      <alignment horizontal="center"/>
    </xf>
    <xf numFmtId="0" fontId="83" fillId="11" borderId="39" xfId="0" applyFont="1" applyFill="1" applyBorder="1" applyAlignment="1">
      <alignment horizontal="center" vertical="center"/>
    </xf>
    <xf numFmtId="0" fontId="83" fillId="11" borderId="55" xfId="0" applyFont="1" applyFill="1" applyBorder="1" applyAlignment="1">
      <alignment horizontal="center" vertical="center"/>
    </xf>
    <xf numFmtId="0" fontId="8" fillId="11" borderId="304" xfId="0" applyFont="1" applyFill="1" applyBorder="1" applyAlignment="1">
      <alignment horizontal="center"/>
    </xf>
    <xf numFmtId="0" fontId="83" fillId="11" borderId="303" xfId="0" applyFont="1" applyFill="1" applyBorder="1" applyAlignment="1">
      <alignment horizontal="center" vertical="center"/>
    </xf>
    <xf numFmtId="0" fontId="83" fillId="11" borderId="305" xfId="0" applyFont="1" applyFill="1" applyBorder="1" applyAlignment="1">
      <alignment horizontal="center" vertical="center"/>
    </xf>
    <xf numFmtId="0" fontId="83" fillId="11" borderId="302" xfId="0" quotePrefix="1" applyFont="1" applyFill="1" applyBorder="1" applyAlignment="1">
      <alignment horizontal="center"/>
    </xf>
    <xf numFmtId="16" fontId="82" fillId="0" borderId="0" xfId="0" quotePrefix="1" applyNumberFormat="1" applyFont="1"/>
    <xf numFmtId="0" fontId="8" fillId="11" borderId="242" xfId="0" applyFont="1" applyFill="1" applyBorder="1" applyAlignment="1">
      <alignment horizontal="center"/>
    </xf>
    <xf numFmtId="0" fontId="83" fillId="11" borderId="213" xfId="0" quotePrefix="1" applyFont="1" applyFill="1" applyBorder="1" applyAlignment="1">
      <alignment horizontal="center" vertical="center"/>
    </xf>
    <xf numFmtId="0" fontId="83" fillId="11" borderId="214" xfId="0" quotePrefix="1" applyFont="1" applyFill="1" applyBorder="1" applyAlignment="1">
      <alignment horizontal="center" vertical="center"/>
    </xf>
    <xf numFmtId="0" fontId="83" fillId="11" borderId="214" xfId="0" applyFont="1" applyFill="1" applyBorder="1" applyAlignment="1">
      <alignment horizontal="center" vertical="center"/>
    </xf>
    <xf numFmtId="0" fontId="83" fillId="11" borderId="277" xfId="0" applyFont="1" applyFill="1" applyBorder="1" applyAlignment="1">
      <alignment horizontal="center" vertical="center"/>
    </xf>
    <xf numFmtId="0" fontId="83" fillId="11" borderId="213" xfId="0" quotePrefix="1" applyFont="1" applyFill="1" applyBorder="1" applyAlignment="1">
      <alignment horizontal="center"/>
    </xf>
    <xf numFmtId="0" fontId="83" fillId="11" borderId="213" xfId="0" applyFont="1" applyFill="1" applyBorder="1" applyAlignment="1">
      <alignment horizontal="center" vertical="center"/>
    </xf>
    <xf numFmtId="0" fontId="83" fillId="11" borderId="244" xfId="0" applyFont="1" applyFill="1" applyBorder="1" applyAlignment="1">
      <alignment horizontal="center" vertical="center"/>
    </xf>
    <xf numFmtId="0" fontId="8" fillId="0" borderId="65" xfId="0" applyFont="1" applyBorder="1" applyAlignment="1">
      <alignment horizontal="center"/>
    </xf>
    <xf numFmtId="0" fontId="8" fillId="12" borderId="51" xfId="0" applyFont="1" applyFill="1" applyBorder="1" applyAlignment="1">
      <alignment horizontal="center"/>
    </xf>
    <xf numFmtId="9" fontId="89" fillId="12" borderId="65" xfId="2" applyFont="1" applyFill="1" applyBorder="1" applyAlignment="1" applyProtection="1">
      <alignment horizontal="center"/>
    </xf>
    <xf numFmtId="0" fontId="83" fillId="12" borderId="31" xfId="0" quotePrefix="1" applyFont="1" applyFill="1" applyBorder="1" applyAlignment="1">
      <alignment horizontal="center" vertical="center"/>
    </xf>
    <xf numFmtId="0" fontId="83" fillId="12" borderId="2" xfId="0" quotePrefix="1" applyFont="1" applyFill="1" applyBorder="1" applyAlignment="1">
      <alignment horizontal="center" vertical="center"/>
    </xf>
    <xf numFmtId="0" fontId="83" fillId="12" borderId="2" xfId="0" applyFont="1" applyFill="1" applyBorder="1" applyAlignment="1">
      <alignment horizontal="center" vertical="center"/>
    </xf>
    <xf numFmtId="0" fontId="83" fillId="12" borderId="1" xfId="0" applyFont="1" applyFill="1" applyBorder="1" applyAlignment="1">
      <alignment horizontal="center" vertical="center"/>
    </xf>
    <xf numFmtId="0" fontId="83" fillId="12" borderId="31" xfId="0" quotePrefix="1" applyFont="1" applyFill="1" applyBorder="1" applyAlignment="1">
      <alignment horizontal="center"/>
    </xf>
    <xf numFmtId="0" fontId="83" fillId="12" borderId="31" xfId="0" applyFont="1" applyFill="1" applyBorder="1" applyAlignment="1">
      <alignment horizontal="center" vertical="center"/>
    </xf>
    <xf numFmtId="0" fontId="83" fillId="12" borderId="3" xfId="0" applyFont="1" applyFill="1" applyBorder="1" applyAlignment="1">
      <alignment horizontal="center" vertical="center"/>
    </xf>
    <xf numFmtId="0" fontId="8" fillId="50" borderId="85" xfId="0" applyFont="1" applyFill="1" applyBorder="1" applyAlignment="1">
      <alignment horizontal="center"/>
    </xf>
    <xf numFmtId="9" fontId="89" fillId="50" borderId="62" xfId="2" applyFont="1" applyFill="1" applyBorder="1" applyAlignment="1" applyProtection="1">
      <alignment horizontal="center"/>
    </xf>
    <xf numFmtId="0" fontId="83" fillId="50" borderId="28" xfId="0" quotePrefix="1" applyFont="1" applyFill="1" applyBorder="1" applyAlignment="1">
      <alignment horizontal="center" vertical="center"/>
    </xf>
    <xf numFmtId="0" fontId="83" fillId="50" borderId="38" xfId="0" quotePrefix="1" applyFont="1" applyFill="1" applyBorder="1" applyAlignment="1">
      <alignment horizontal="center" vertical="center"/>
    </xf>
    <xf numFmtId="0" fontId="83" fillId="50" borderId="55" xfId="0" applyFont="1" applyFill="1" applyBorder="1" applyAlignment="1">
      <alignment horizontal="center" vertical="center"/>
    </xf>
    <xf numFmtId="0" fontId="83" fillId="50" borderId="34" xfId="0" applyFont="1" applyFill="1" applyBorder="1" applyAlignment="1">
      <alignment horizontal="center" vertical="center"/>
    </xf>
    <xf numFmtId="0" fontId="83" fillId="50" borderId="39" xfId="0" quotePrefix="1" applyFont="1" applyFill="1" applyBorder="1" applyAlignment="1">
      <alignment horizontal="center" vertical="center"/>
    </xf>
    <xf numFmtId="0" fontId="83" fillId="50" borderId="39" xfId="0" quotePrefix="1" applyFont="1" applyFill="1" applyBorder="1" applyAlignment="1">
      <alignment horizontal="center"/>
    </xf>
    <xf numFmtId="0" fontId="83" fillId="50" borderId="39" xfId="0" applyFont="1" applyFill="1" applyBorder="1" applyAlignment="1">
      <alignment horizontal="center" vertical="center"/>
    </xf>
    <xf numFmtId="0" fontId="86" fillId="50" borderId="22" xfId="25" applyFont="1" applyFill="1" applyBorder="1" applyAlignment="1">
      <alignment horizontal="center" vertical="center" wrapText="1"/>
    </xf>
    <xf numFmtId="0" fontId="8" fillId="50" borderId="313" xfId="0" applyFont="1" applyFill="1" applyBorder="1" applyAlignment="1">
      <alignment horizontal="center"/>
    </xf>
    <xf numFmtId="9" fontId="89" fillId="50" borderId="63" xfId="2" applyFont="1" applyFill="1" applyBorder="1" applyAlignment="1" applyProtection="1">
      <alignment horizontal="center"/>
    </xf>
    <xf numFmtId="0" fontId="83" fillId="50" borderId="5" xfId="0" quotePrefix="1" applyFont="1" applyFill="1" applyBorder="1" applyAlignment="1">
      <alignment horizontal="center" vertical="center"/>
    </xf>
    <xf numFmtId="0" fontId="83" fillId="50" borderId="303" xfId="0" quotePrefix="1" applyFont="1" applyFill="1" applyBorder="1" applyAlignment="1">
      <alignment horizontal="center" vertical="center"/>
    </xf>
    <xf numFmtId="0" fontId="83" fillId="50" borderId="300" xfId="0" applyFont="1" applyFill="1" applyBorder="1" applyAlignment="1">
      <alignment horizontal="center" vertical="center"/>
    </xf>
    <xf numFmtId="0" fontId="83" fillId="50" borderId="32" xfId="0" applyFont="1" applyFill="1" applyBorder="1" applyAlignment="1">
      <alignment horizontal="center" vertical="center"/>
    </xf>
    <xf numFmtId="0" fontId="83" fillId="50" borderId="302" xfId="0" quotePrefix="1" applyFont="1" applyFill="1" applyBorder="1" applyAlignment="1">
      <alignment horizontal="center" vertical="center"/>
    </xf>
    <xf numFmtId="0" fontId="83" fillId="50" borderId="36" xfId="0" quotePrefix="1" applyFont="1" applyFill="1" applyBorder="1" applyAlignment="1">
      <alignment horizontal="center"/>
    </xf>
    <xf numFmtId="0" fontId="83" fillId="50" borderId="302" xfId="0" applyFont="1" applyFill="1" applyBorder="1" applyAlignment="1">
      <alignment horizontal="center" vertical="center"/>
    </xf>
    <xf numFmtId="0" fontId="86" fillId="50" borderId="21" xfId="25" applyFont="1" applyFill="1" applyBorder="1" applyAlignment="1">
      <alignment horizontal="center" vertical="center" wrapText="1"/>
    </xf>
    <xf numFmtId="0" fontId="8" fillId="50" borderId="18" xfId="0" applyFont="1" applyFill="1" applyBorder="1" applyAlignment="1">
      <alignment horizontal="center"/>
    </xf>
    <xf numFmtId="9" fontId="89" fillId="50" borderId="65" xfId="2" applyFont="1" applyFill="1" applyBorder="1" applyAlignment="1" applyProtection="1">
      <alignment horizontal="center"/>
    </xf>
    <xf numFmtId="0" fontId="83" fillId="50" borderId="64" xfId="0" quotePrefix="1" applyFont="1" applyFill="1" applyBorder="1" applyAlignment="1">
      <alignment horizontal="center" vertical="center"/>
    </xf>
    <xf numFmtId="0" fontId="83" fillId="50" borderId="2" xfId="0" quotePrefix="1" applyFont="1" applyFill="1" applyBorder="1" applyAlignment="1">
      <alignment horizontal="center" vertical="center"/>
    </xf>
    <xf numFmtId="0" fontId="83" fillId="50" borderId="3" xfId="0" applyFont="1" applyFill="1" applyBorder="1" applyAlignment="1">
      <alignment horizontal="center" vertical="center"/>
    </xf>
    <xf numFmtId="0" fontId="83" fillId="50" borderId="30" xfId="0" applyFont="1" applyFill="1" applyBorder="1" applyAlignment="1">
      <alignment horizontal="center" vertical="center"/>
    </xf>
    <xf numFmtId="0" fontId="83" fillId="50" borderId="31" xfId="0" quotePrefix="1" applyFont="1" applyFill="1" applyBorder="1" applyAlignment="1">
      <alignment horizontal="center" vertical="center"/>
    </xf>
    <xf numFmtId="0" fontId="83" fillId="50" borderId="60" xfId="0" quotePrefix="1" applyFont="1" applyFill="1" applyBorder="1" applyAlignment="1">
      <alignment horizontal="center"/>
    </xf>
    <xf numFmtId="0" fontId="83" fillId="50" borderId="31" xfId="0" applyFont="1" applyFill="1" applyBorder="1" applyAlignment="1">
      <alignment horizontal="center" vertical="center"/>
    </xf>
    <xf numFmtId="0" fontId="8" fillId="0" borderId="66" xfId="0" applyFont="1" applyBorder="1" applyAlignment="1">
      <alignment horizontal="center"/>
    </xf>
    <xf numFmtId="0" fontId="83" fillId="50" borderId="31" xfId="0" quotePrefix="1" applyFont="1" applyFill="1" applyBorder="1" applyAlignment="1">
      <alignment horizontal="center"/>
    </xf>
    <xf numFmtId="0" fontId="8" fillId="50" borderId="309" xfId="0" applyFont="1" applyFill="1" applyBorder="1" applyAlignment="1">
      <alignment horizontal="center"/>
    </xf>
    <xf numFmtId="9" fontId="89" fillId="50" borderId="66" xfId="2" applyFont="1" applyFill="1" applyBorder="1" applyAlignment="1" applyProtection="1">
      <alignment horizontal="center"/>
    </xf>
    <xf numFmtId="0" fontId="83" fillId="50" borderId="53" xfId="0" quotePrefix="1" applyFont="1" applyFill="1" applyBorder="1" applyAlignment="1">
      <alignment horizontal="center" vertical="center"/>
    </xf>
    <xf numFmtId="0" fontId="83" fillId="50" borderId="299" xfId="0" quotePrefix="1" applyFont="1" applyFill="1" applyBorder="1" applyAlignment="1">
      <alignment horizontal="center" vertical="center"/>
    </xf>
    <xf numFmtId="0" fontId="83" fillId="50" borderId="246" xfId="0" applyFont="1" applyFill="1" applyBorder="1" applyAlignment="1">
      <alignment horizontal="center" vertical="center"/>
    </xf>
    <xf numFmtId="0" fontId="83" fillId="50" borderId="297" xfId="0" applyFont="1" applyFill="1" applyBorder="1" applyAlignment="1">
      <alignment horizontal="center" vertical="center"/>
    </xf>
    <xf numFmtId="0" fontId="83" fillId="50" borderId="36" xfId="0" quotePrefix="1" applyFont="1" applyFill="1" applyBorder="1" applyAlignment="1">
      <alignment horizontal="center" vertical="center"/>
    </xf>
    <xf numFmtId="0" fontId="83" fillId="50" borderId="36" xfId="0" applyFont="1" applyFill="1" applyBorder="1" applyAlignment="1">
      <alignment horizontal="center" vertical="center"/>
    </xf>
    <xf numFmtId="0" fontId="0" fillId="50" borderId="304" xfId="0" applyFill="1" applyBorder="1" applyAlignment="1">
      <alignment horizontal="center"/>
    </xf>
    <xf numFmtId="0" fontId="0" fillId="0" borderId="65" xfId="0" applyBorder="1" applyAlignment="1">
      <alignment horizontal="center"/>
    </xf>
    <xf numFmtId="0" fontId="0" fillId="50" borderId="51" xfId="0" applyFill="1" applyBorder="1" applyAlignment="1">
      <alignment horizontal="center"/>
    </xf>
    <xf numFmtId="0" fontId="86" fillId="50" borderId="20" xfId="25" applyFont="1" applyFill="1" applyBorder="1" applyAlignment="1">
      <alignment horizontal="center" vertical="center" wrapText="1"/>
    </xf>
    <xf numFmtId="0" fontId="0" fillId="28" borderId="62" xfId="0" applyFill="1" applyBorder="1" applyAlignment="1">
      <alignment horizontal="center"/>
    </xf>
    <xf numFmtId="0" fontId="0" fillId="32" borderId="54" xfId="0" applyFill="1" applyBorder="1" applyAlignment="1">
      <alignment horizontal="center"/>
    </xf>
    <xf numFmtId="9" fontId="89" fillId="32" borderId="62" xfId="2" applyFont="1" applyFill="1" applyBorder="1" applyAlignment="1" applyProtection="1">
      <alignment horizontal="center"/>
    </xf>
    <xf numFmtId="0" fontId="83" fillId="32" borderId="28" xfId="0" quotePrefix="1" applyFont="1" applyFill="1" applyBorder="1" applyAlignment="1">
      <alignment horizontal="center" vertical="center"/>
    </xf>
    <xf numFmtId="0" fontId="83" fillId="32" borderId="38" xfId="0" quotePrefix="1" applyFont="1" applyFill="1" applyBorder="1" applyAlignment="1">
      <alignment horizontal="center" vertical="center"/>
    </xf>
    <xf numFmtId="0" fontId="83" fillId="32" borderId="55" xfId="0" applyFont="1" applyFill="1" applyBorder="1" applyAlignment="1">
      <alignment horizontal="center" vertical="center"/>
    </xf>
    <xf numFmtId="0" fontId="83" fillId="32" borderId="34" xfId="0" applyFont="1" applyFill="1" applyBorder="1" applyAlignment="1">
      <alignment horizontal="center" vertical="center"/>
    </xf>
    <xf numFmtId="0" fontId="83" fillId="32" borderId="39" xfId="0" quotePrefix="1" applyFont="1" applyFill="1" applyBorder="1" applyAlignment="1">
      <alignment horizontal="center" vertical="center"/>
    </xf>
    <xf numFmtId="0" fontId="83" fillId="32" borderId="39" xfId="0" quotePrefix="1" applyFont="1" applyFill="1" applyBorder="1" applyAlignment="1">
      <alignment horizontal="center"/>
    </xf>
    <xf numFmtId="0" fontId="83" fillId="32" borderId="39" xfId="0" applyFont="1" applyFill="1" applyBorder="1" applyAlignment="1">
      <alignment horizontal="center" vertical="center"/>
    </xf>
    <xf numFmtId="0" fontId="86" fillId="28" borderId="22" xfId="25" applyFont="1" applyFill="1" applyBorder="1" applyAlignment="1">
      <alignment horizontal="center" vertical="center"/>
    </xf>
    <xf numFmtId="0" fontId="0" fillId="28" borderId="63" xfId="0" applyFill="1" applyBorder="1" applyAlignment="1">
      <alignment horizontal="center"/>
    </xf>
    <xf numFmtId="0" fontId="0" fillId="32" borderId="304" xfId="0" applyFill="1" applyBorder="1" applyAlignment="1">
      <alignment horizontal="center"/>
    </xf>
    <xf numFmtId="9" fontId="89" fillId="32" borderId="63" xfId="2" applyFont="1" applyFill="1" applyBorder="1" applyAlignment="1" applyProtection="1">
      <alignment horizontal="center"/>
    </xf>
    <xf numFmtId="0" fontId="83" fillId="32" borderId="5" xfId="0" quotePrefix="1" applyFont="1" applyFill="1" applyBorder="1" applyAlignment="1">
      <alignment horizontal="center" vertical="center"/>
    </xf>
    <xf numFmtId="0" fontId="83" fillId="32" borderId="303" xfId="0" quotePrefix="1" applyFont="1" applyFill="1" applyBorder="1" applyAlignment="1">
      <alignment horizontal="center" vertical="center"/>
    </xf>
    <xf numFmtId="0" fontId="83" fillId="32" borderId="300" xfId="0" applyFont="1" applyFill="1" applyBorder="1" applyAlignment="1">
      <alignment horizontal="center" vertical="center"/>
    </xf>
    <xf numFmtId="0" fontId="83" fillId="32" borderId="32" xfId="0" applyFont="1" applyFill="1" applyBorder="1" applyAlignment="1">
      <alignment horizontal="center" vertical="center"/>
    </xf>
    <xf numFmtId="0" fontId="83" fillId="32" borderId="302" xfId="0" quotePrefix="1" applyFont="1" applyFill="1" applyBorder="1" applyAlignment="1">
      <alignment horizontal="center" vertical="center"/>
    </xf>
    <xf numFmtId="0" fontId="83" fillId="32" borderId="36" xfId="0" quotePrefix="1" applyFont="1" applyFill="1" applyBorder="1" applyAlignment="1">
      <alignment horizontal="center"/>
    </xf>
    <xf numFmtId="0" fontId="83" fillId="32" borderId="302" xfId="0" applyFont="1" applyFill="1" applyBorder="1" applyAlignment="1">
      <alignment horizontal="center" vertical="center"/>
    </xf>
    <xf numFmtId="0" fontId="86" fillId="28" borderId="21" xfId="25" applyFont="1" applyFill="1" applyBorder="1" applyAlignment="1">
      <alignment horizontal="center" vertical="center"/>
    </xf>
    <xf numFmtId="0" fontId="0" fillId="28" borderId="65" xfId="0" applyFill="1" applyBorder="1" applyAlignment="1">
      <alignment horizontal="center"/>
    </xf>
    <xf numFmtId="0" fontId="0" fillId="32" borderId="51" xfId="0" applyFill="1" applyBorder="1" applyAlignment="1">
      <alignment horizontal="center"/>
    </xf>
    <xf numFmtId="9" fontId="89" fillId="32" borderId="65" xfId="2" applyFont="1" applyFill="1" applyBorder="1" applyAlignment="1" applyProtection="1">
      <alignment horizontal="center"/>
    </xf>
    <xf numFmtId="0" fontId="83" fillId="32" borderId="64" xfId="0" quotePrefix="1" applyFont="1" applyFill="1" applyBorder="1" applyAlignment="1">
      <alignment horizontal="center" vertical="center"/>
    </xf>
    <xf numFmtId="0" fontId="83" fillId="32" borderId="2" xfId="0" quotePrefix="1" applyFont="1" applyFill="1" applyBorder="1" applyAlignment="1">
      <alignment horizontal="center" vertical="center"/>
    </xf>
    <xf numFmtId="0" fontId="83" fillId="32" borderId="3" xfId="0" applyFont="1" applyFill="1" applyBorder="1" applyAlignment="1">
      <alignment horizontal="center" vertical="center"/>
    </xf>
    <xf numFmtId="0" fontId="83" fillId="32" borderId="30" xfId="0" applyFont="1" applyFill="1" applyBorder="1" applyAlignment="1">
      <alignment horizontal="center" vertical="center"/>
    </xf>
    <xf numFmtId="0" fontId="83" fillId="32" borderId="31" xfId="0" quotePrefix="1" applyFont="1" applyFill="1" applyBorder="1" applyAlignment="1">
      <alignment horizontal="center" vertical="center"/>
    </xf>
    <xf numFmtId="0" fontId="83" fillId="32" borderId="60" xfId="0" quotePrefix="1" applyFont="1" applyFill="1" applyBorder="1" applyAlignment="1">
      <alignment horizontal="center"/>
    </xf>
    <xf numFmtId="0" fontId="83" fillId="32" borderId="31" xfId="0" applyFont="1" applyFill="1" applyBorder="1" applyAlignment="1">
      <alignment horizontal="center" vertical="center"/>
    </xf>
    <xf numFmtId="0" fontId="0" fillId="45" borderId="66" xfId="0" applyFill="1" applyBorder="1" applyAlignment="1">
      <alignment horizontal="center"/>
    </xf>
    <xf numFmtId="0" fontId="0" fillId="45" borderId="314" xfId="0" applyFill="1" applyBorder="1" applyAlignment="1">
      <alignment horizontal="center"/>
    </xf>
    <xf numFmtId="9" fontId="89" fillId="45" borderId="66" xfId="2" applyFont="1" applyFill="1" applyBorder="1" applyAlignment="1" applyProtection="1">
      <alignment horizontal="center"/>
    </xf>
    <xf numFmtId="0" fontId="83" fillId="45" borderId="53" xfId="0" quotePrefix="1" applyFont="1" applyFill="1" applyBorder="1" applyAlignment="1">
      <alignment horizontal="center" vertical="center"/>
    </xf>
    <xf numFmtId="0" fontId="83" fillId="45" borderId="315" xfId="0" quotePrefix="1" applyFont="1" applyFill="1" applyBorder="1" applyAlignment="1">
      <alignment horizontal="center" vertical="center"/>
    </xf>
    <xf numFmtId="0" fontId="83" fillId="45" borderId="246" xfId="0" applyFont="1" applyFill="1" applyBorder="1" applyAlignment="1">
      <alignment horizontal="center" vertical="center"/>
    </xf>
    <xf numFmtId="0" fontId="83" fillId="45" borderId="297" xfId="0" applyFont="1" applyFill="1" applyBorder="1" applyAlignment="1">
      <alignment horizontal="center" vertical="center"/>
    </xf>
    <xf numFmtId="0" fontId="83" fillId="45" borderId="36" xfId="0" quotePrefix="1" applyFont="1" applyFill="1" applyBorder="1" applyAlignment="1">
      <alignment horizontal="center" vertical="center"/>
    </xf>
    <xf numFmtId="0" fontId="83" fillId="45" borderId="36" xfId="0" quotePrefix="1" applyFont="1" applyFill="1" applyBorder="1" applyAlignment="1">
      <alignment horizontal="center"/>
    </xf>
    <xf numFmtId="0" fontId="83" fillId="45" borderId="36" xfId="0" applyFont="1" applyFill="1" applyBorder="1" applyAlignment="1">
      <alignment horizontal="center" vertical="center"/>
    </xf>
    <xf numFmtId="0" fontId="86" fillId="45" borderId="21" xfId="25" applyFont="1" applyFill="1" applyBorder="1" applyAlignment="1">
      <alignment horizontal="center" vertical="center"/>
    </xf>
    <xf numFmtId="0" fontId="0" fillId="45" borderId="63" xfId="0" applyFill="1" applyBorder="1" applyAlignment="1">
      <alignment horizontal="center"/>
    </xf>
    <xf numFmtId="0" fontId="0" fillId="45" borderId="304" xfId="0" applyFill="1" applyBorder="1" applyAlignment="1">
      <alignment horizontal="center"/>
    </xf>
    <xf numFmtId="9" fontId="89" fillId="45" borderId="63" xfId="2" applyFont="1" applyFill="1" applyBorder="1" applyAlignment="1" applyProtection="1">
      <alignment horizontal="center"/>
    </xf>
    <xf numFmtId="0" fontId="83" fillId="45" borderId="5" xfId="0" quotePrefix="1" applyFont="1" applyFill="1" applyBorder="1" applyAlignment="1">
      <alignment horizontal="center" vertical="center"/>
    </xf>
    <xf numFmtId="0" fontId="83" fillId="45" borderId="303" xfId="0" quotePrefix="1" applyFont="1" applyFill="1" applyBorder="1" applyAlignment="1">
      <alignment horizontal="center" vertical="center"/>
    </xf>
    <xf numFmtId="0" fontId="83" fillId="45" borderId="300" xfId="0" applyFont="1" applyFill="1" applyBorder="1" applyAlignment="1">
      <alignment horizontal="center" vertical="center"/>
    </xf>
    <xf numFmtId="0" fontId="83" fillId="45" borderId="32" xfId="0" applyFont="1" applyFill="1" applyBorder="1" applyAlignment="1">
      <alignment horizontal="center" vertical="center"/>
    </xf>
    <xf numFmtId="0" fontId="83" fillId="45" borderId="302" xfId="0" quotePrefix="1" applyFont="1" applyFill="1" applyBorder="1" applyAlignment="1">
      <alignment horizontal="center" vertical="center"/>
    </xf>
    <xf numFmtId="0" fontId="83" fillId="45" borderId="302" xfId="0" applyFont="1" applyFill="1" applyBorder="1" applyAlignment="1">
      <alignment horizontal="center" vertical="center"/>
    </xf>
    <xf numFmtId="164" fontId="83" fillId="0" borderId="17" xfId="1" applyNumberFormat="1" applyFont="1" applyFill="1" applyBorder="1" applyProtection="1"/>
    <xf numFmtId="164" fontId="83" fillId="0" borderId="16" xfId="1" applyNumberFormat="1" applyFont="1" applyFill="1" applyBorder="1" applyProtection="1"/>
    <xf numFmtId="165" fontId="0" fillId="0" borderId="16" xfId="2" applyNumberFormat="1" applyFont="1" applyBorder="1" applyProtection="1"/>
    <xf numFmtId="165" fontId="82" fillId="0" borderId="0" xfId="0" applyNumberFormat="1" applyFont="1"/>
    <xf numFmtId="179" fontId="86" fillId="0" borderId="0" xfId="0" applyNumberFormat="1" applyFont="1"/>
    <xf numFmtId="179" fontId="0" fillId="0" borderId="8" xfId="2" applyNumberFormat="1" applyFont="1" applyBorder="1" applyProtection="1"/>
    <xf numFmtId="165" fontId="0" fillId="0" borderId="8" xfId="0" applyNumberFormat="1" applyBorder="1"/>
    <xf numFmtId="165" fontId="0" fillId="0" borderId="0" xfId="2" applyNumberFormat="1" applyFont="1" applyProtection="1"/>
    <xf numFmtId="166" fontId="96" fillId="0" borderId="4" xfId="3" applyNumberFormat="1" applyFont="1" applyBorder="1" applyAlignment="1">
      <alignment horizontal="center"/>
    </xf>
    <xf numFmtId="0" fontId="33" fillId="14" borderId="4" xfId="3" applyFont="1" applyFill="1" applyBorder="1" applyAlignment="1">
      <alignment horizontal="center"/>
    </xf>
    <xf numFmtId="0" fontId="86" fillId="28" borderId="20" xfId="25" applyFont="1" applyFill="1" applyBorder="1" applyAlignment="1">
      <alignment horizontal="center" vertical="center"/>
    </xf>
    <xf numFmtId="0" fontId="16" fillId="10" borderId="58" xfId="26" applyFont="1" applyFill="1" applyBorder="1" applyAlignment="1">
      <alignment horizontal="center"/>
    </xf>
    <xf numFmtId="0" fontId="102" fillId="0" borderId="0" xfId="26" applyFont="1"/>
    <xf numFmtId="0" fontId="23" fillId="24" borderId="303" xfId="14" applyFont="1" applyFill="1" applyBorder="1"/>
    <xf numFmtId="0" fontId="23" fillId="24" borderId="303" xfId="14" applyFont="1" applyFill="1" applyBorder="1" applyAlignment="1">
      <alignment horizontal="center"/>
    </xf>
    <xf numFmtId="18" fontId="23" fillId="24" borderId="303" xfId="14" applyNumberFormat="1" applyFont="1" applyFill="1" applyBorder="1" applyAlignment="1">
      <alignment horizontal="center"/>
    </xf>
    <xf numFmtId="182" fontId="23" fillId="24" borderId="303" xfId="15" applyNumberFormat="1" applyFont="1" applyFill="1" applyBorder="1" applyAlignment="1">
      <alignment horizontal="center"/>
    </xf>
    <xf numFmtId="182" fontId="19" fillId="24" borderId="303" xfId="14" applyNumberFormat="1" applyFont="1" applyFill="1" applyBorder="1" applyAlignment="1">
      <alignment horizontal="center" vertical="center"/>
    </xf>
    <xf numFmtId="20" fontId="0" fillId="24" borderId="303" xfId="14" applyNumberFormat="1" applyFont="1" applyFill="1" applyBorder="1" applyAlignment="1">
      <alignment horizontal="center" vertical="center"/>
    </xf>
    <xf numFmtId="0" fontId="23" fillId="16" borderId="303" xfId="0" applyFont="1" applyFill="1" applyBorder="1" applyAlignment="1">
      <alignment wrapText="1"/>
    </xf>
    <xf numFmtId="0" fontId="23" fillId="16" borderId="303" xfId="0" applyFont="1" applyFill="1" applyBorder="1" applyAlignment="1">
      <alignment horizontal="center" wrapText="1"/>
    </xf>
    <xf numFmtId="18" fontId="23" fillId="16" borderId="303" xfId="14" applyNumberFormat="1" applyFont="1" applyFill="1" applyBorder="1" applyAlignment="1">
      <alignment vertical="center"/>
    </xf>
    <xf numFmtId="18" fontId="17" fillId="29" borderId="303" xfId="14" applyNumberFormat="1" applyFill="1" applyBorder="1" applyAlignment="1">
      <alignment horizontal="center"/>
    </xf>
    <xf numFmtId="18" fontId="17" fillId="29" borderId="303" xfId="14" applyNumberFormat="1" applyFill="1" applyBorder="1" applyAlignment="1">
      <alignment vertical="center"/>
    </xf>
    <xf numFmtId="182" fontId="17" fillId="29" borderId="303" xfId="15" applyNumberFormat="1" applyFont="1" applyFill="1" applyBorder="1" applyAlignment="1">
      <alignment horizontal="center"/>
    </xf>
    <xf numFmtId="20" fontId="17" fillId="29" borderId="303" xfId="14" applyNumberFormat="1" applyFill="1" applyBorder="1" applyAlignment="1">
      <alignment horizontal="center" vertical="center"/>
    </xf>
    <xf numFmtId="172" fontId="0" fillId="29" borderId="303" xfId="14" applyNumberFormat="1" applyFont="1" applyFill="1" applyBorder="1" applyAlignment="1">
      <alignment horizontal="center"/>
    </xf>
    <xf numFmtId="172" fontId="19" fillId="17" borderId="303" xfId="14" applyNumberFormat="1" applyFont="1" applyFill="1" applyBorder="1" applyAlignment="1">
      <alignment horizontal="center"/>
    </xf>
    <xf numFmtId="0" fontId="29" fillId="52" borderId="242" xfId="14" applyFont="1" applyFill="1" applyBorder="1" applyAlignment="1">
      <alignment horizontal="left"/>
    </xf>
    <xf numFmtId="0" fontId="29" fillId="52" borderId="243" xfId="14" applyFont="1" applyFill="1" applyBorder="1" applyAlignment="1">
      <alignment horizontal="center"/>
    </xf>
    <xf numFmtId="18" fontId="39" fillId="52" borderId="243" xfId="14" applyNumberFormat="1" applyFont="1" applyFill="1" applyBorder="1" applyAlignment="1">
      <alignment horizontal="center"/>
    </xf>
    <xf numFmtId="182" fontId="39" fillId="52" borderId="243" xfId="15" applyNumberFormat="1" applyFont="1" applyFill="1" applyBorder="1" applyAlignment="1">
      <alignment horizontal="center"/>
    </xf>
    <xf numFmtId="182" fontId="81" fillId="52" borderId="243" xfId="14" applyNumberFormat="1" applyFont="1" applyFill="1" applyBorder="1" applyAlignment="1">
      <alignment horizontal="center" vertical="center"/>
    </xf>
    <xf numFmtId="20" fontId="80" fillId="52" borderId="244" xfId="14" applyNumberFormat="1" applyFont="1" applyFill="1" applyBorder="1" applyAlignment="1">
      <alignment horizontal="center" vertical="center"/>
    </xf>
    <xf numFmtId="0" fontId="30" fillId="50" borderId="303" xfId="14" applyFont="1" applyFill="1" applyBorder="1"/>
    <xf numFmtId="0" fontId="30" fillId="50" borderId="303" xfId="14" applyFont="1" applyFill="1" applyBorder="1" applyAlignment="1">
      <alignment horizontal="center"/>
    </xf>
    <xf numFmtId="18" fontId="23" fillId="50" borderId="303" xfId="14" applyNumberFormat="1" applyFont="1" applyFill="1" applyBorder="1" applyAlignment="1">
      <alignment horizontal="center"/>
    </xf>
    <xf numFmtId="182" fontId="23" fillId="50" borderId="303" xfId="15" applyNumberFormat="1" applyFont="1" applyFill="1" applyBorder="1" applyAlignment="1">
      <alignment horizontal="center"/>
    </xf>
    <xf numFmtId="20" fontId="20" fillId="50" borderId="303" xfId="14" applyNumberFormat="1" applyFont="1" applyFill="1" applyBorder="1" applyAlignment="1">
      <alignment horizontal="center" vertical="center"/>
    </xf>
    <xf numFmtId="0" fontId="30" fillId="53" borderId="303" xfId="0" applyFont="1" applyFill="1" applyBorder="1" applyAlignment="1">
      <alignment wrapText="1"/>
    </xf>
    <xf numFmtId="0" fontId="30" fillId="53" borderId="303" xfId="0" applyFont="1" applyFill="1" applyBorder="1" applyAlignment="1">
      <alignment horizontal="center" wrapText="1"/>
    </xf>
    <xf numFmtId="21" fontId="23" fillId="50" borderId="303" xfId="0" applyNumberFormat="1" applyFont="1" applyFill="1" applyBorder="1" applyAlignment="1">
      <alignment wrapText="1"/>
    </xf>
    <xf numFmtId="20" fontId="29" fillId="50" borderId="303" xfId="0" applyNumberFormat="1" applyFont="1" applyFill="1" applyBorder="1" applyAlignment="1">
      <alignment wrapText="1"/>
    </xf>
    <xf numFmtId="182" fontId="17" fillId="50" borderId="303" xfId="0" applyNumberFormat="1" applyFont="1" applyFill="1" applyBorder="1" applyAlignment="1">
      <alignment horizontal="center" wrapText="1"/>
    </xf>
    <xf numFmtId="20" fontId="20" fillId="50" borderId="303" xfId="0" applyNumberFormat="1" applyFont="1" applyFill="1" applyBorder="1" applyAlignment="1">
      <alignment wrapText="1"/>
    </xf>
    <xf numFmtId="164" fontId="23" fillId="0" borderId="0" xfId="1" applyNumberFormat="1" applyFont="1" applyFill="1" applyBorder="1"/>
    <xf numFmtId="0" fontId="5" fillId="0" borderId="0" xfId="26" applyFont="1"/>
    <xf numFmtId="0" fontId="84" fillId="17" borderId="55" xfId="0" applyFont="1" applyFill="1" applyBorder="1" applyAlignment="1" applyProtection="1">
      <alignment horizontal="center"/>
      <protection locked="0"/>
    </xf>
    <xf numFmtId="177" fontId="83" fillId="17" borderId="38" xfId="0" applyNumberFormat="1" applyFont="1" applyFill="1" applyBorder="1" applyProtection="1">
      <protection locked="0"/>
    </xf>
    <xf numFmtId="0" fontId="83" fillId="17" borderId="38" xfId="0" applyFont="1" applyFill="1" applyBorder="1" applyProtection="1">
      <protection locked="0"/>
    </xf>
    <xf numFmtId="0" fontId="0" fillId="11" borderId="303" xfId="0" applyFill="1" applyBorder="1" applyProtection="1">
      <protection locked="0"/>
    </xf>
    <xf numFmtId="0" fontId="0" fillId="11" borderId="214" xfId="0" applyFill="1" applyBorder="1" applyProtection="1">
      <protection locked="0"/>
    </xf>
    <xf numFmtId="0" fontId="8" fillId="12" borderId="38" xfId="0" applyFont="1" applyFill="1" applyBorder="1" applyProtection="1">
      <protection locked="0"/>
    </xf>
    <xf numFmtId="0" fontId="8" fillId="12" borderId="303" xfId="0" applyFont="1" applyFill="1" applyBorder="1" applyProtection="1">
      <protection locked="0"/>
    </xf>
    <xf numFmtId="0" fontId="8" fillId="12" borderId="214" xfId="0" applyFont="1" applyFill="1" applyBorder="1" applyProtection="1">
      <protection locked="0"/>
    </xf>
    <xf numFmtId="0" fontId="8" fillId="15" borderId="38" xfId="0" applyFont="1" applyFill="1" applyBorder="1" applyProtection="1">
      <protection locked="0"/>
    </xf>
    <xf numFmtId="0" fontId="8" fillId="15" borderId="214" xfId="0" applyFont="1" applyFill="1" applyBorder="1" applyProtection="1">
      <protection locked="0"/>
    </xf>
    <xf numFmtId="0" fontId="8" fillId="11" borderId="38" xfId="0" applyFont="1" applyFill="1" applyBorder="1" applyProtection="1">
      <protection locked="0"/>
    </xf>
    <xf numFmtId="0" fontId="8" fillId="11" borderId="303" xfId="0" applyFont="1" applyFill="1" applyBorder="1" applyProtection="1">
      <protection locked="0"/>
    </xf>
    <xf numFmtId="0" fontId="8" fillId="11" borderId="214" xfId="0" applyFont="1" applyFill="1" applyBorder="1" applyProtection="1">
      <protection locked="0"/>
    </xf>
    <xf numFmtId="0" fontId="8" fillId="12" borderId="2" xfId="0" applyFont="1" applyFill="1" applyBorder="1" applyProtection="1">
      <protection locked="0"/>
    </xf>
    <xf numFmtId="0" fontId="8" fillId="50" borderId="55" xfId="0" applyFont="1" applyFill="1" applyBorder="1" applyProtection="1">
      <protection locked="0"/>
    </xf>
    <xf numFmtId="0" fontId="8" fillId="50" borderId="300" xfId="0" applyFont="1" applyFill="1" applyBorder="1" applyProtection="1">
      <protection locked="0"/>
    </xf>
    <xf numFmtId="0" fontId="8" fillId="50" borderId="3" xfId="0" applyFont="1" applyFill="1" applyBorder="1" applyProtection="1">
      <protection locked="0"/>
    </xf>
    <xf numFmtId="0" fontId="8" fillId="50" borderId="246" xfId="0" applyFont="1" applyFill="1" applyBorder="1" applyAlignment="1" applyProtection="1">
      <alignment horizontal="center"/>
      <protection locked="0"/>
    </xf>
    <xf numFmtId="0" fontId="0" fillId="50" borderId="303" xfId="0" applyFill="1" applyBorder="1" applyAlignment="1" applyProtection="1">
      <alignment horizontal="center"/>
      <protection locked="0"/>
    </xf>
    <xf numFmtId="0" fontId="0" fillId="50" borderId="2" xfId="0" applyFill="1" applyBorder="1" applyAlignment="1" applyProtection="1">
      <alignment horizontal="center"/>
      <protection locked="0"/>
    </xf>
    <xf numFmtId="0" fontId="0" fillId="32" borderId="38" xfId="0" applyFill="1" applyBorder="1" applyAlignment="1" applyProtection="1">
      <alignment horizontal="center"/>
      <protection locked="0"/>
    </xf>
    <xf numFmtId="0" fontId="0" fillId="32" borderId="303" xfId="0" applyFill="1" applyBorder="1" applyAlignment="1" applyProtection="1">
      <alignment horizontal="center"/>
      <protection locked="0"/>
    </xf>
    <xf numFmtId="0" fontId="0" fillId="32" borderId="2" xfId="0" applyFill="1" applyBorder="1" applyAlignment="1" applyProtection="1">
      <alignment horizontal="center"/>
      <protection locked="0"/>
    </xf>
    <xf numFmtId="0" fontId="0" fillId="45" borderId="315" xfId="0" applyFill="1" applyBorder="1" applyAlignment="1" applyProtection="1">
      <alignment horizontal="center"/>
      <protection locked="0"/>
    </xf>
    <xf numFmtId="0" fontId="0" fillId="45" borderId="303" xfId="0" applyFill="1" applyBorder="1" applyAlignment="1" applyProtection="1">
      <alignment horizontal="center"/>
      <protection locked="0"/>
    </xf>
    <xf numFmtId="0" fontId="0" fillId="31" borderId="0" xfId="0" applyFill="1"/>
    <xf numFmtId="0" fontId="104" fillId="31" borderId="0" xfId="0" applyFont="1" applyFill="1"/>
    <xf numFmtId="0" fontId="8" fillId="50" borderId="246" xfId="0" applyFont="1" applyFill="1" applyBorder="1" applyAlignment="1" applyProtection="1">
      <alignment horizontal="left"/>
      <protection locked="0"/>
    </xf>
    <xf numFmtId="0" fontId="4" fillId="50" borderId="300" xfId="0" applyFont="1" applyFill="1" applyBorder="1" applyProtection="1">
      <protection locked="0"/>
    </xf>
    <xf numFmtId="9" fontId="0" fillId="0" borderId="0" xfId="2" applyFont="1" applyFill="1"/>
    <xf numFmtId="0" fontId="23" fillId="0" borderId="0" xfId="0" applyFont="1" applyAlignment="1">
      <alignment horizontal="center"/>
    </xf>
    <xf numFmtId="14" fontId="23" fillId="0" borderId="0" xfId="0" applyNumberFormat="1" applyFont="1" applyAlignment="1">
      <alignment horizontal="center"/>
    </xf>
    <xf numFmtId="0" fontId="91" fillId="0" borderId="0" xfId="0" applyFont="1" applyAlignment="1">
      <alignment horizontal="center"/>
    </xf>
    <xf numFmtId="0" fontId="91" fillId="0" borderId="0" xfId="0" applyFont="1"/>
    <xf numFmtId="164" fontId="91" fillId="0" borderId="0" xfId="1" applyNumberFormat="1" applyFont="1" applyFill="1" applyBorder="1"/>
    <xf numFmtId="171" fontId="0" fillId="0" borderId="0" xfId="0" applyNumberFormat="1"/>
    <xf numFmtId="180" fontId="0" fillId="0" borderId="0" xfId="0" applyNumberFormat="1"/>
    <xf numFmtId="180" fontId="0" fillId="0" borderId="8" xfId="0" applyNumberFormat="1" applyBorder="1"/>
    <xf numFmtId="171" fontId="0" fillId="0" borderId="8" xfId="0" applyNumberFormat="1" applyBorder="1"/>
    <xf numFmtId="172" fontId="0" fillId="0" borderId="8" xfId="0" applyNumberFormat="1" applyBorder="1"/>
    <xf numFmtId="14" fontId="0" fillId="2" borderId="0" xfId="0" applyNumberFormat="1" applyFill="1"/>
    <xf numFmtId="180" fontId="0" fillId="0" borderId="16" xfId="0" applyNumberFormat="1" applyBorder="1"/>
    <xf numFmtId="171" fontId="0" fillId="0" borderId="16" xfId="0" applyNumberFormat="1" applyBorder="1"/>
    <xf numFmtId="172" fontId="0" fillId="0" borderId="16" xfId="0" applyNumberFormat="1" applyBorder="1"/>
    <xf numFmtId="9" fontId="0" fillId="0" borderId="10" xfId="2" applyFont="1" applyFill="1" applyBorder="1"/>
    <xf numFmtId="0" fontId="0" fillId="2" borderId="0" xfId="0" applyFill="1" applyAlignment="1">
      <alignment horizontal="center"/>
    </xf>
    <xf numFmtId="172" fontId="0" fillId="0" borderId="0" xfId="0" applyNumberFormat="1" applyAlignment="1">
      <alignment horizontal="center"/>
    </xf>
    <xf numFmtId="172" fontId="0" fillId="0" borderId="8" xfId="0" applyNumberFormat="1" applyBorder="1" applyAlignment="1">
      <alignment horizontal="center"/>
    </xf>
    <xf numFmtId="172" fontId="0" fillId="0" borderId="16" xfId="0" applyNumberFormat="1" applyBorder="1" applyAlignment="1">
      <alignment horizontal="center"/>
    </xf>
    <xf numFmtId="0" fontId="0" fillId="0" borderId="0" xfId="0" quotePrefix="1"/>
    <xf numFmtId="172" fontId="9" fillId="17" borderId="305" xfId="22" applyNumberFormat="1" applyFill="1" applyBorder="1" applyAlignment="1">
      <alignment horizontal="center" vertical="center"/>
    </xf>
    <xf numFmtId="20" fontId="20" fillId="54" borderId="317" xfId="0" applyNumberFormat="1" applyFont="1" applyFill="1" applyBorder="1" applyAlignment="1">
      <alignment horizontal="center"/>
    </xf>
    <xf numFmtId="20" fontId="0" fillId="17" borderId="303" xfId="15" applyNumberFormat="1" applyFont="1" applyFill="1" applyBorder="1" applyAlignment="1">
      <alignment horizontal="center"/>
    </xf>
    <xf numFmtId="0" fontId="9" fillId="17" borderId="309" xfId="22" applyFill="1" applyBorder="1"/>
    <xf numFmtId="0" fontId="6" fillId="0" borderId="300" xfId="22" applyFont="1" applyBorder="1"/>
    <xf numFmtId="0" fontId="9" fillId="17" borderId="300" xfId="22" applyFill="1" applyBorder="1"/>
    <xf numFmtId="0" fontId="9" fillId="0" borderId="300" xfId="22" applyBorder="1"/>
    <xf numFmtId="0" fontId="6" fillId="17" borderId="300" xfId="22" applyFont="1" applyFill="1" applyBorder="1"/>
    <xf numFmtId="0" fontId="9" fillId="0" borderId="3" xfId="22" applyBorder="1"/>
    <xf numFmtId="0" fontId="82" fillId="0" borderId="17" xfId="0" applyFont="1" applyBorder="1" applyAlignment="1">
      <alignment horizontal="center"/>
    </xf>
    <xf numFmtId="0" fontId="82" fillId="0" borderId="16" xfId="0" applyFont="1" applyBorder="1" applyAlignment="1">
      <alignment horizontal="center"/>
    </xf>
    <xf numFmtId="9" fontId="0" fillId="0" borderId="15" xfId="2" applyFont="1" applyFill="1" applyBorder="1"/>
    <xf numFmtId="0" fontId="0" fillId="0" borderId="0" xfId="1" applyNumberFormat="1" applyFont="1" applyFill="1" applyBorder="1" applyAlignment="1">
      <alignment horizontal="center"/>
    </xf>
    <xf numFmtId="0" fontId="0" fillId="16" borderId="0" xfId="1" applyNumberFormat="1" applyFont="1" applyFill="1" applyBorder="1" applyAlignment="1">
      <alignment horizontal="center"/>
    </xf>
    <xf numFmtId="0" fontId="0" fillId="16" borderId="11" xfId="1" applyNumberFormat="1" applyFont="1" applyFill="1" applyBorder="1" applyAlignment="1">
      <alignment horizontal="center"/>
    </xf>
    <xf numFmtId="9" fontId="0" fillId="16" borderId="10" xfId="2" applyFont="1" applyFill="1" applyBorder="1" applyAlignment="1">
      <alignment horizontal="center"/>
    </xf>
    <xf numFmtId="0" fontId="0" fillId="0" borderId="11" xfId="1" applyNumberFormat="1" applyFont="1" applyFill="1" applyBorder="1" applyAlignment="1">
      <alignment horizontal="center"/>
    </xf>
    <xf numFmtId="9" fontId="0" fillId="0" borderId="10" xfId="2" applyFont="1" applyFill="1" applyBorder="1" applyAlignment="1">
      <alignment horizontal="center"/>
    </xf>
    <xf numFmtId="172" fontId="20" fillId="54" borderId="317" xfId="0" applyNumberFormat="1" applyFont="1" applyFill="1" applyBorder="1" applyAlignment="1">
      <alignment horizontal="center"/>
    </xf>
    <xf numFmtId="9" fontId="0" fillId="0" borderId="7" xfId="2" applyFont="1" applyFill="1" applyBorder="1" applyAlignment="1">
      <alignment horizontal="center"/>
    </xf>
    <xf numFmtId="14" fontId="105" fillId="31" borderId="0" xfId="0" applyNumberFormat="1" applyFont="1" applyFill="1"/>
    <xf numFmtId="14" fontId="0" fillId="0" borderId="15" xfId="0" applyNumberFormat="1" applyBorder="1"/>
    <xf numFmtId="14" fontId="0" fillId="0" borderId="7" xfId="0" applyNumberFormat="1" applyBorder="1"/>
    <xf numFmtId="0" fontId="91" fillId="55" borderId="317" xfId="0" applyFont="1" applyFill="1" applyBorder="1"/>
    <xf numFmtId="172" fontId="3" fillId="0" borderId="0" xfId="22" applyNumberFormat="1" applyFont="1" applyAlignment="1">
      <alignment horizontal="center" vertical="center"/>
    </xf>
    <xf numFmtId="172" fontId="9" fillId="0" borderId="0" xfId="22" applyNumberFormat="1" applyAlignment="1">
      <alignment horizontal="center" vertical="center"/>
    </xf>
    <xf numFmtId="0" fontId="17" fillId="11" borderId="34" xfId="22" applyFont="1" applyFill="1" applyBorder="1" applyAlignment="1">
      <alignment horizontal="center" vertical="center"/>
    </xf>
    <xf numFmtId="0" fontId="17" fillId="11" borderId="39" xfId="22" applyFont="1" applyFill="1" applyBorder="1" applyAlignment="1">
      <alignment horizontal="center" vertical="center"/>
    </xf>
    <xf numFmtId="172" fontId="20" fillId="5" borderId="317" xfId="0" applyNumberFormat="1" applyFont="1" applyFill="1" applyBorder="1"/>
    <xf numFmtId="164" fontId="9" fillId="0" borderId="0" xfId="1" applyNumberFormat="1" applyFont="1" applyFill="1" applyBorder="1" applyAlignment="1">
      <alignment horizontal="center" vertical="center"/>
    </xf>
    <xf numFmtId="0" fontId="0" fillId="0" borderId="9" xfId="1" applyNumberFormat="1" applyFont="1" applyFill="1" applyBorder="1" applyAlignment="1">
      <alignment horizontal="center"/>
    </xf>
    <xf numFmtId="0" fontId="0" fillId="0" borderId="8" xfId="1" applyNumberFormat="1" applyFont="1" applyFill="1" applyBorder="1" applyAlignment="1">
      <alignment horizontal="center"/>
    </xf>
    <xf numFmtId="0" fontId="0" fillId="0" borderId="0" xfId="0" applyAlignment="1">
      <alignment wrapText="1" shrinkToFit="1"/>
    </xf>
    <xf numFmtId="0" fontId="0" fillId="0" borderId="0" xfId="0" applyAlignment="1">
      <alignment horizontal="center" wrapText="1"/>
    </xf>
    <xf numFmtId="9" fontId="0" fillId="0" borderId="15" xfId="2" applyFont="1" applyFill="1" applyBorder="1" applyAlignment="1">
      <alignment horizontal="center"/>
    </xf>
    <xf numFmtId="0" fontId="103" fillId="31" borderId="0" xfId="0" applyFont="1" applyFill="1" applyAlignment="1">
      <alignment horizontal="center" vertical="center"/>
    </xf>
    <xf numFmtId="0" fontId="105" fillId="31" borderId="0" xfId="0" applyFont="1" applyFill="1"/>
    <xf numFmtId="9" fontId="105" fillId="31" borderId="0" xfId="0" applyNumberFormat="1" applyFont="1" applyFill="1"/>
    <xf numFmtId="9" fontId="105" fillId="31" borderId="0" xfId="2" applyFont="1" applyFill="1"/>
    <xf numFmtId="0" fontId="0" fillId="22" borderId="0" xfId="0" applyFill="1"/>
    <xf numFmtId="172" fontId="30" fillId="0" borderId="0" xfId="0" applyNumberFormat="1" applyFont="1"/>
    <xf numFmtId="0" fontId="1" fillId="12" borderId="303" xfId="0" applyFont="1" applyFill="1" applyBorder="1" applyProtection="1">
      <protection locked="0"/>
    </xf>
    <xf numFmtId="0" fontId="110" fillId="12" borderId="37" xfId="0" applyFont="1" applyFill="1" applyBorder="1" applyAlignment="1">
      <alignment horizontal="center" vertical="center"/>
    </xf>
    <xf numFmtId="0" fontId="111" fillId="50" borderId="34" xfId="0" applyFont="1" applyFill="1" applyBorder="1" applyAlignment="1">
      <alignment horizontal="center" vertical="center"/>
    </xf>
    <xf numFmtId="0" fontId="1" fillId="11" borderId="38" xfId="0" applyFont="1" applyFill="1" applyBorder="1" applyProtection="1">
      <protection locked="0"/>
    </xf>
    <xf numFmtId="0" fontId="1" fillId="11" borderId="303" xfId="0" applyFont="1" applyFill="1" applyBorder="1" applyProtection="1">
      <protection locked="0"/>
    </xf>
    <xf numFmtId="0" fontId="1" fillId="12" borderId="214" xfId="0" applyFont="1" applyFill="1" applyBorder="1" applyProtection="1">
      <protection locked="0"/>
    </xf>
    <xf numFmtId="0" fontId="1" fillId="15" borderId="214" xfId="0" applyFont="1" applyFill="1" applyBorder="1" applyProtection="1">
      <protection locked="0"/>
    </xf>
    <xf numFmtId="0" fontId="1" fillId="15" borderId="38" xfId="0" applyFont="1" applyFill="1" applyBorder="1" applyProtection="1">
      <protection locked="0"/>
    </xf>
    <xf numFmtId="0" fontId="23" fillId="24" borderId="303" xfId="0" applyFont="1" applyFill="1" applyBorder="1" applyAlignment="1">
      <alignment wrapText="1"/>
    </xf>
    <xf numFmtId="0" fontId="23" fillId="24" borderId="303" xfId="0" applyFont="1" applyFill="1" applyBorder="1" applyAlignment="1">
      <alignment horizontal="center" wrapText="1"/>
    </xf>
    <xf numFmtId="20" fontId="23" fillId="24" borderId="303" xfId="14" applyNumberFormat="1" applyFont="1" applyFill="1" applyBorder="1" applyAlignment="1">
      <alignment horizontal="center" vertical="center"/>
    </xf>
    <xf numFmtId="164" fontId="19" fillId="24" borderId="303" xfId="14" applyNumberFormat="1" applyFont="1" applyFill="1" applyBorder="1" applyAlignment="1">
      <alignment horizontal="center" vertical="center"/>
    </xf>
    <xf numFmtId="0" fontId="17" fillId="0" borderId="325" xfId="14" applyBorder="1"/>
    <xf numFmtId="183" fontId="77" fillId="56" borderId="330" xfId="1" applyNumberFormat="1" applyFont="1" applyFill="1" applyBorder="1" applyAlignment="1">
      <alignment horizontal="center"/>
    </xf>
    <xf numFmtId="0" fontId="77" fillId="56" borderId="329" xfId="0" applyFont="1" applyFill="1" applyBorder="1" applyAlignment="1">
      <alignment horizontal="center"/>
    </xf>
    <xf numFmtId="0" fontId="17" fillId="0" borderId="0" xfId="14"/>
    <xf numFmtId="0" fontId="7" fillId="17" borderId="331" xfId="26" applyFill="1" applyBorder="1"/>
    <xf numFmtId="171" fontId="7" fillId="0" borderId="0" xfId="26" applyNumberFormat="1"/>
    <xf numFmtId="18" fontId="23" fillId="16" borderId="303" xfId="14" quotePrefix="1" applyNumberFormat="1" applyFont="1" applyFill="1" applyBorder="1" applyAlignment="1">
      <alignment horizontal="center"/>
    </xf>
    <xf numFmtId="22" fontId="16" fillId="0" borderId="0" xfId="14" applyNumberFormat="1" applyFont="1" applyAlignment="1">
      <alignment horizontal="left" vertical="top" wrapText="1"/>
    </xf>
    <xf numFmtId="14" fontId="16" fillId="0" borderId="0" xfId="14" applyNumberFormat="1" applyFont="1" applyAlignment="1">
      <alignment horizontal="left" vertical="top" wrapText="1"/>
    </xf>
    <xf numFmtId="165" fontId="113" fillId="31" borderId="77" xfId="0" applyNumberFormat="1" applyFont="1" applyFill="1" applyBorder="1"/>
    <xf numFmtId="0" fontId="113" fillId="31" borderId="74" xfId="0" applyFont="1" applyFill="1" applyBorder="1" applyAlignment="1">
      <alignment horizontal="center"/>
    </xf>
    <xf numFmtId="0" fontId="29" fillId="57" borderId="334" xfId="0" applyFont="1" applyFill="1" applyBorder="1" applyAlignment="1">
      <alignment horizontal="center" vertical="center"/>
    </xf>
    <xf numFmtId="0" fontId="81" fillId="51" borderId="334" xfId="0" applyFont="1" applyFill="1" applyBorder="1"/>
    <xf numFmtId="164" fontId="81" fillId="51" borderId="334" xfId="1" quotePrefix="1" applyNumberFormat="1" applyFont="1" applyFill="1" applyBorder="1" applyAlignment="1">
      <alignment horizontal="center" vertical="center"/>
    </xf>
    <xf numFmtId="0" fontId="80" fillId="51" borderId="334" xfId="0" applyFont="1" applyFill="1" applyBorder="1" applyAlignment="1">
      <alignment horizontal="left" vertical="center"/>
    </xf>
    <xf numFmtId="0" fontId="80" fillId="51" borderId="334" xfId="0" applyFont="1" applyFill="1" applyBorder="1" applyAlignment="1">
      <alignment horizontal="center" vertical="center"/>
    </xf>
    <xf numFmtId="164" fontId="81" fillId="51" borderId="334" xfId="1" quotePrefix="1" applyNumberFormat="1" applyFont="1" applyFill="1" applyBorder="1" applyAlignment="1">
      <alignment horizontal="center"/>
    </xf>
    <xf numFmtId="0" fontId="80" fillId="51" borderId="334" xfId="0" applyFont="1" applyFill="1" applyBorder="1"/>
    <xf numFmtId="0" fontId="80" fillId="51" borderId="334" xfId="0" quotePrefix="1" applyFont="1" applyFill="1" applyBorder="1" applyAlignment="1">
      <alignment horizontal="center"/>
    </xf>
    <xf numFmtId="0" fontId="77" fillId="51" borderId="318" xfId="0" applyFont="1" applyFill="1" applyBorder="1" applyAlignment="1">
      <alignment horizontal="center"/>
    </xf>
    <xf numFmtId="171" fontId="77" fillId="51" borderId="328" xfId="1" applyNumberFormat="1" applyFont="1" applyFill="1" applyBorder="1" applyAlignment="1">
      <alignment horizontal="center"/>
    </xf>
    <xf numFmtId="167" fontId="112" fillId="51" borderId="324" xfId="0" applyNumberFormat="1" applyFont="1" applyFill="1" applyBorder="1" applyAlignment="1">
      <alignment horizontal="center"/>
    </xf>
    <xf numFmtId="0" fontId="112" fillId="51" borderId="324" xfId="0" applyFont="1" applyFill="1" applyBorder="1" applyAlignment="1">
      <alignment horizontal="center"/>
    </xf>
    <xf numFmtId="0" fontId="29" fillId="51" borderId="332" xfId="0" applyFont="1" applyFill="1" applyBorder="1" applyAlignment="1">
      <alignment horizontal="center"/>
    </xf>
    <xf numFmtId="0" fontId="114" fillId="51" borderId="332" xfId="0" applyFont="1" applyFill="1" applyBorder="1" applyAlignment="1">
      <alignment horizontal="center"/>
    </xf>
    <xf numFmtId="0" fontId="29" fillId="51" borderId="334" xfId="0" applyFont="1" applyFill="1" applyBorder="1"/>
    <xf numFmtId="0" fontId="29" fillId="51" borderId="334" xfId="0" applyFont="1" applyFill="1" applyBorder="1" applyAlignment="1">
      <alignment horizontal="center" vertical="center"/>
    </xf>
    <xf numFmtId="165" fontId="113" fillId="31" borderId="74" xfId="0" applyNumberFormat="1" applyFont="1" applyFill="1" applyBorder="1" applyAlignment="1">
      <alignment horizontal="center"/>
    </xf>
    <xf numFmtId="14" fontId="89" fillId="0" borderId="0" xfId="0" applyNumberFormat="1" applyFont="1"/>
    <xf numFmtId="14" fontId="0" fillId="0" borderId="0" xfId="0" applyNumberFormat="1" applyAlignment="1">
      <alignment horizontal="center"/>
    </xf>
    <xf numFmtId="0" fontId="0" fillId="45" borderId="0" xfId="0" applyFill="1"/>
    <xf numFmtId="0" fontId="0" fillId="0" borderId="17" xfId="1" applyNumberFormat="1" applyFont="1" applyFill="1" applyBorder="1" applyAlignment="1">
      <alignment horizontal="center"/>
    </xf>
    <xf numFmtId="0" fontId="0" fillId="0" borderId="16" xfId="1" applyNumberFormat="1" applyFont="1" applyFill="1" applyBorder="1" applyAlignment="1">
      <alignment horizontal="center"/>
    </xf>
    <xf numFmtId="0" fontId="0" fillId="0" borderId="309" xfId="0" applyBorder="1"/>
    <xf numFmtId="14" fontId="0" fillId="0" borderId="297" xfId="0" applyNumberFormat="1" applyBorder="1"/>
    <xf numFmtId="20" fontId="30" fillId="0" borderId="0" xfId="0" applyNumberFormat="1" applyFont="1"/>
    <xf numFmtId="9" fontId="29" fillId="51" borderId="333" xfId="2" applyFont="1" applyFill="1" applyBorder="1" applyAlignment="1">
      <alignment horizontal="center"/>
    </xf>
    <xf numFmtId="9" fontId="17" fillId="0" borderId="0" xfId="2" applyFont="1" applyAlignment="1">
      <alignment horizontal="left"/>
    </xf>
    <xf numFmtId="9" fontId="114" fillId="51" borderId="333" xfId="2" applyFont="1" applyFill="1" applyBorder="1" applyAlignment="1">
      <alignment horizontal="center"/>
    </xf>
    <xf numFmtId="0" fontId="77" fillId="51" borderId="318" xfId="0" applyFont="1" applyFill="1" applyBorder="1" applyAlignment="1">
      <alignment horizontal="center"/>
    </xf>
    <xf numFmtId="0" fontId="77" fillId="51" borderId="319" xfId="0" applyFont="1" applyFill="1" applyBorder="1" applyAlignment="1">
      <alignment horizontal="center"/>
    </xf>
    <xf numFmtId="167" fontId="112" fillId="57" borderId="326" xfId="0" applyNumberFormat="1" applyFont="1" applyFill="1" applyBorder="1" applyAlignment="1">
      <alignment horizontal="center"/>
    </xf>
    <xf numFmtId="167" fontId="112" fillId="57" borderId="327" xfId="0" applyNumberFormat="1" applyFont="1" applyFill="1" applyBorder="1" applyAlignment="1">
      <alignment horizontal="center"/>
    </xf>
    <xf numFmtId="0" fontId="98" fillId="15" borderId="40" xfId="0" applyFont="1" applyFill="1" applyBorder="1" applyAlignment="1">
      <alignment horizontal="center" vertical="center"/>
    </xf>
    <xf numFmtId="0" fontId="98" fillId="15" borderId="41" xfId="0" applyFont="1" applyFill="1" applyBorder="1" applyAlignment="1">
      <alignment horizontal="center" vertical="center"/>
    </xf>
    <xf numFmtId="0" fontId="98" fillId="15" borderId="43" xfId="0" applyFont="1" applyFill="1" applyBorder="1" applyAlignment="1">
      <alignment horizontal="center" vertical="center"/>
    </xf>
    <xf numFmtId="14" fontId="97" fillId="15" borderId="40" xfId="0" applyNumberFormat="1" applyFont="1" applyFill="1" applyBorder="1" applyAlignment="1" applyProtection="1">
      <alignment horizontal="center"/>
      <protection locked="0"/>
    </xf>
    <xf numFmtId="0" fontId="97" fillId="15" borderId="41" xfId="0" applyFont="1" applyFill="1" applyBorder="1" applyAlignment="1" applyProtection="1">
      <alignment horizontal="center"/>
      <protection locked="0"/>
    </xf>
    <xf numFmtId="0" fontId="97" fillId="15" borderId="43" xfId="0" applyFont="1" applyFill="1" applyBorder="1" applyAlignment="1" applyProtection="1">
      <alignment horizontal="center"/>
      <protection locked="0"/>
    </xf>
    <xf numFmtId="0" fontId="20" fillId="12" borderId="301" xfId="0" applyFont="1" applyFill="1" applyBorder="1" applyAlignment="1">
      <alignment horizontal="center"/>
    </xf>
    <xf numFmtId="9" fontId="100" fillId="12" borderId="301" xfId="2" applyFont="1" applyFill="1" applyBorder="1" applyAlignment="1" applyProtection="1">
      <alignment horizontal="center" vertical="center"/>
    </xf>
    <xf numFmtId="0" fontId="101" fillId="12" borderId="16" xfId="0" applyFont="1" applyFill="1" applyBorder="1" applyAlignment="1">
      <alignment horizontal="center"/>
    </xf>
    <xf numFmtId="0" fontId="101" fillId="12" borderId="67" xfId="0" applyFont="1" applyFill="1" applyBorder="1" applyAlignment="1">
      <alignment horizontal="center"/>
    </xf>
    <xf numFmtId="178" fontId="35" fillId="10" borderId="17" xfId="1" quotePrefix="1" applyNumberFormat="1" applyFont="1" applyFill="1" applyBorder="1" applyAlignment="1" applyProtection="1">
      <alignment horizontal="center"/>
    </xf>
    <xf numFmtId="178" fontId="35" fillId="10" borderId="16" xfId="1" quotePrefix="1" applyNumberFormat="1" applyFont="1" applyFill="1" applyBorder="1" applyAlignment="1" applyProtection="1">
      <alignment horizontal="center"/>
    </xf>
    <xf numFmtId="178" fontId="35" fillId="10" borderId="67" xfId="1" quotePrefix="1" applyNumberFormat="1" applyFont="1" applyFill="1" applyBorder="1" applyAlignment="1" applyProtection="1">
      <alignment horizontal="center"/>
    </xf>
    <xf numFmtId="9" fontId="35" fillId="10" borderId="316" xfId="2" applyFont="1" applyFill="1" applyBorder="1" applyAlignment="1" applyProtection="1">
      <alignment horizontal="center"/>
    </xf>
    <xf numFmtId="9" fontId="35" fillId="10" borderId="16" xfId="2" applyFont="1" applyFill="1" applyBorder="1" applyAlignment="1" applyProtection="1">
      <alignment horizontal="center"/>
    </xf>
    <xf numFmtId="9" fontId="35" fillId="10" borderId="15" xfId="2" applyFont="1" applyFill="1" applyBorder="1" applyAlignment="1" applyProtection="1">
      <alignment horizontal="center"/>
    </xf>
    <xf numFmtId="164" fontId="99" fillId="12" borderId="17" xfId="1" applyNumberFormat="1" applyFont="1" applyFill="1" applyBorder="1" applyAlignment="1" applyProtection="1">
      <alignment horizontal="center" vertical="center"/>
    </xf>
    <xf numFmtId="164" fontId="99" fillId="12" borderId="16" xfId="1" applyNumberFormat="1" applyFont="1" applyFill="1" applyBorder="1" applyAlignment="1" applyProtection="1">
      <alignment horizontal="center" vertical="center"/>
    </xf>
    <xf numFmtId="164" fontId="99" fillId="12" borderId="11" xfId="1" applyNumberFormat="1" applyFont="1" applyFill="1" applyBorder="1" applyAlignment="1" applyProtection="1">
      <alignment horizontal="center" vertical="center"/>
    </xf>
    <xf numFmtId="164" fontId="99" fillId="12" borderId="0" xfId="1" applyNumberFormat="1" applyFont="1" applyFill="1" applyBorder="1" applyAlignment="1" applyProtection="1">
      <alignment horizontal="center" vertical="center"/>
    </xf>
    <xf numFmtId="164" fontId="99" fillId="12" borderId="10" xfId="1" applyNumberFormat="1" applyFont="1" applyFill="1" applyBorder="1" applyAlignment="1" applyProtection="1">
      <alignment horizontal="center" vertical="center"/>
    </xf>
    <xf numFmtId="164" fontId="99" fillId="12" borderId="9" xfId="1" applyNumberFormat="1" applyFont="1" applyFill="1" applyBorder="1" applyAlignment="1" applyProtection="1">
      <alignment horizontal="center" vertical="center"/>
    </xf>
    <xf numFmtId="164" fontId="99" fillId="12" borderId="8" xfId="1" applyNumberFormat="1" applyFont="1" applyFill="1" applyBorder="1" applyAlignment="1" applyProtection="1">
      <alignment horizontal="center" vertical="center"/>
    </xf>
    <xf numFmtId="164" fontId="99" fillId="12" borderId="7" xfId="1" applyNumberFormat="1" applyFont="1" applyFill="1" applyBorder="1" applyAlignment="1" applyProtection="1">
      <alignment horizontal="center" vertical="center"/>
    </xf>
    <xf numFmtId="0" fontId="0" fillId="10" borderId="9" xfId="0" applyFill="1" applyBorder="1" applyAlignment="1">
      <alignment horizontal="center"/>
    </xf>
    <xf numFmtId="0" fontId="0" fillId="10" borderId="8" xfId="0" applyFill="1" applyBorder="1" applyAlignment="1">
      <alignment horizontal="center"/>
    </xf>
    <xf numFmtId="0" fontId="0" fillId="10" borderId="293" xfId="0" applyFill="1" applyBorder="1" applyAlignment="1">
      <alignment horizontal="center"/>
    </xf>
    <xf numFmtId="9" fontId="17" fillId="10" borderId="294" xfId="2" applyFont="1" applyFill="1" applyBorder="1" applyAlignment="1" applyProtection="1">
      <alignment horizontal="center"/>
    </xf>
    <xf numFmtId="9" fontId="17" fillId="10" borderId="8" xfId="2" applyFont="1" applyFill="1" applyBorder="1" applyAlignment="1" applyProtection="1">
      <alignment horizontal="center"/>
    </xf>
    <xf numFmtId="9" fontId="17" fillId="10" borderId="7" xfId="2" applyFont="1" applyFill="1" applyBorder="1" applyAlignment="1" applyProtection="1">
      <alignment horizontal="center"/>
    </xf>
    <xf numFmtId="0" fontId="20" fillId="28" borderId="5" xfId="0" applyFont="1" applyFill="1" applyBorder="1" applyAlignment="1">
      <alignment horizontal="center"/>
    </xf>
    <xf numFmtId="0" fontId="20" fillId="28" borderId="313" xfId="0" applyFont="1" applyFill="1" applyBorder="1" applyAlignment="1">
      <alignment horizontal="center"/>
    </xf>
    <xf numFmtId="14" fontId="101" fillId="12" borderId="294" xfId="0" quotePrefix="1" applyNumberFormat="1" applyFont="1" applyFill="1" applyBorder="1" applyAlignment="1">
      <alignment horizontal="center"/>
    </xf>
    <xf numFmtId="14" fontId="101" fillId="12" borderId="8" xfId="0" quotePrefix="1" applyNumberFormat="1" applyFont="1" applyFill="1" applyBorder="1" applyAlignment="1">
      <alignment horizontal="center"/>
    </xf>
    <xf numFmtId="0" fontId="20" fillId="28" borderId="22" xfId="0" applyFont="1" applyFill="1" applyBorder="1" applyAlignment="1">
      <alignment horizontal="center" vertical="center"/>
    </xf>
    <xf numFmtId="0" fontId="20" fillId="28" borderId="20" xfId="0" applyFont="1" applyFill="1" applyBorder="1" applyAlignment="1">
      <alignment horizontal="center" vertical="center"/>
    </xf>
    <xf numFmtId="0" fontId="0" fillId="10" borderId="40" xfId="0" applyFill="1" applyBorder="1" applyAlignment="1">
      <alignment horizontal="center"/>
    </xf>
    <xf numFmtId="0" fontId="0" fillId="10" borderId="41" xfId="0" applyFill="1" applyBorder="1" applyAlignment="1">
      <alignment horizontal="center"/>
    </xf>
    <xf numFmtId="0" fontId="0" fillId="10" borderId="43" xfId="0" applyFill="1" applyBorder="1" applyAlignment="1">
      <alignment horizontal="center"/>
    </xf>
    <xf numFmtId="0" fontId="53" fillId="12" borderId="304" xfId="0" applyFont="1" applyFill="1" applyBorder="1" applyAlignment="1">
      <alignment horizontal="center"/>
    </xf>
    <xf numFmtId="0" fontId="53" fillId="12" borderId="313" xfId="0" applyFont="1" applyFill="1" applyBorder="1" applyAlignment="1">
      <alignment horizontal="center"/>
    </xf>
    <xf numFmtId="0" fontId="53" fillId="12" borderId="300" xfId="0" applyFont="1" applyFill="1" applyBorder="1" applyAlignment="1">
      <alignment horizontal="center"/>
    </xf>
    <xf numFmtId="0" fontId="48" fillId="12" borderId="304" xfId="0" applyFont="1" applyFill="1" applyBorder="1" applyAlignment="1">
      <alignment horizontal="center"/>
    </xf>
    <xf numFmtId="0" fontId="48" fillId="12" borderId="313" xfId="0" applyFont="1" applyFill="1" applyBorder="1" applyAlignment="1">
      <alignment horizontal="center"/>
    </xf>
    <xf numFmtId="0" fontId="48" fillId="12" borderId="300" xfId="0" applyFont="1" applyFill="1" applyBorder="1" applyAlignment="1">
      <alignment horizontal="center"/>
    </xf>
    <xf numFmtId="0" fontId="20" fillId="0" borderId="243" xfId="0" applyFont="1" applyBorder="1" applyAlignment="1">
      <alignment horizontal="center" vertical="center"/>
    </xf>
    <xf numFmtId="0" fontId="20" fillId="0" borderId="0" xfId="0" applyFont="1" applyAlignment="1">
      <alignment horizontal="center" vertical="center"/>
    </xf>
    <xf numFmtId="0" fontId="20" fillId="0" borderId="311" xfId="0" applyFont="1" applyBorder="1" applyAlignment="1">
      <alignment horizontal="center" vertical="center"/>
    </xf>
    <xf numFmtId="0" fontId="20" fillId="0" borderId="22" xfId="0" applyFont="1" applyBorder="1" applyAlignment="1">
      <alignment horizontal="center" vertical="center"/>
    </xf>
    <xf numFmtId="0" fontId="20" fillId="0" borderId="21" xfId="0" applyFont="1" applyBorder="1" applyAlignment="1">
      <alignment horizontal="center" vertical="center"/>
    </xf>
    <xf numFmtId="0" fontId="20" fillId="0" borderId="20" xfId="0" applyFont="1" applyBorder="1" applyAlignment="1">
      <alignment horizontal="center" vertical="center"/>
    </xf>
    <xf numFmtId="0" fontId="20" fillId="28" borderId="21" xfId="0" applyFont="1" applyFill="1" applyBorder="1" applyAlignment="1">
      <alignment horizontal="center" vertical="center"/>
    </xf>
    <xf numFmtId="9" fontId="20" fillId="28" borderId="11" xfId="2" applyFont="1" applyFill="1" applyBorder="1" applyAlignment="1" applyProtection="1">
      <alignment horizontal="center" vertical="center" wrapText="1"/>
    </xf>
    <xf numFmtId="9" fontId="20" fillId="28" borderId="9" xfId="2" applyFont="1" applyFill="1" applyBorder="1" applyAlignment="1" applyProtection="1">
      <alignment horizontal="center" vertical="center" wrapText="1"/>
    </xf>
    <xf numFmtId="0" fontId="86" fillId="16" borderId="22" xfId="25" applyFont="1" applyFill="1" applyBorder="1" applyAlignment="1">
      <alignment horizontal="center" vertical="center" wrapText="1"/>
    </xf>
    <xf numFmtId="0" fontId="86" fillId="16" borderId="21" xfId="25" applyFont="1" applyFill="1" applyBorder="1" applyAlignment="1">
      <alignment horizontal="center" vertical="center" wrapText="1"/>
    </xf>
    <xf numFmtId="0" fontId="86" fillId="16" borderId="20" xfId="25" applyFont="1" applyFill="1" applyBorder="1" applyAlignment="1">
      <alignment horizontal="center" vertical="center" wrapText="1"/>
    </xf>
    <xf numFmtId="0" fontId="86" fillId="11" borderId="22" xfId="25" applyFont="1" applyFill="1" applyBorder="1" applyAlignment="1">
      <alignment horizontal="center" vertical="center"/>
    </xf>
    <xf numFmtId="0" fontId="86" fillId="11" borderId="21" xfId="25" applyFont="1" applyFill="1" applyBorder="1" applyAlignment="1">
      <alignment horizontal="center" vertical="center"/>
    </xf>
    <xf numFmtId="0" fontId="86" fillId="11" borderId="20" xfId="25" applyFont="1" applyFill="1" applyBorder="1" applyAlignment="1">
      <alignment horizontal="center" vertical="center"/>
    </xf>
    <xf numFmtId="0" fontId="86" fillId="12" borderId="22" xfId="25" applyFont="1" applyFill="1" applyBorder="1" applyAlignment="1">
      <alignment horizontal="center" vertical="center" wrapText="1"/>
    </xf>
    <xf numFmtId="0" fontId="86" fillId="12" borderId="21" xfId="25" applyFont="1" applyFill="1" applyBorder="1" applyAlignment="1">
      <alignment horizontal="center" vertical="center" wrapText="1"/>
    </xf>
    <xf numFmtId="0" fontId="86" fillId="12" borderId="20" xfId="25" applyFont="1" applyFill="1" applyBorder="1" applyAlignment="1">
      <alignment horizontal="center" vertical="center" wrapText="1"/>
    </xf>
    <xf numFmtId="0" fontId="86" fillId="15" borderId="22" xfId="25" applyFont="1" applyFill="1" applyBorder="1" applyAlignment="1">
      <alignment horizontal="center" vertical="center"/>
    </xf>
    <xf numFmtId="0" fontId="86" fillId="15" borderId="20" xfId="25" applyFont="1" applyFill="1" applyBorder="1" applyAlignment="1">
      <alignment horizontal="center" vertical="center"/>
    </xf>
    <xf numFmtId="0" fontId="16" fillId="0" borderId="303" xfId="14" applyFont="1" applyBorder="1" applyAlignment="1">
      <alignment horizontal="left" vertical="top" wrapText="1"/>
    </xf>
    <xf numFmtId="166" fontId="16" fillId="10" borderId="303" xfId="14" applyNumberFormat="1" applyFont="1" applyFill="1" applyBorder="1" applyAlignment="1">
      <alignment horizontal="left" wrapText="1"/>
    </xf>
    <xf numFmtId="0" fontId="17" fillId="10" borderId="303" xfId="14" applyFill="1" applyBorder="1" applyAlignment="1">
      <alignment wrapText="1"/>
    </xf>
    <xf numFmtId="0" fontId="16" fillId="0" borderId="242" xfId="14" applyFont="1" applyBorder="1" applyAlignment="1">
      <alignment horizontal="left" vertical="top" wrapText="1"/>
    </xf>
    <xf numFmtId="0" fontId="16" fillId="0" borderId="243" xfId="14" applyFont="1" applyBorder="1" applyAlignment="1">
      <alignment horizontal="left" vertical="top" wrapText="1"/>
    </xf>
    <xf numFmtId="0" fontId="16" fillId="0" borderId="244" xfId="14" applyFont="1" applyBorder="1" applyAlignment="1">
      <alignment horizontal="left" vertical="top" wrapText="1"/>
    </xf>
    <xf numFmtId="0" fontId="16" fillId="0" borderId="307" xfId="14" applyFont="1" applyBorder="1" applyAlignment="1">
      <alignment horizontal="left" vertical="top" wrapText="1"/>
    </xf>
    <xf numFmtId="0" fontId="16" fillId="0" borderId="0" xfId="14" applyFont="1" applyAlignment="1">
      <alignment horizontal="left" vertical="top" wrapText="1"/>
    </xf>
    <xf numFmtId="0" fontId="16" fillId="0" borderId="312" xfId="14" applyFont="1" applyBorder="1" applyAlignment="1">
      <alignment horizontal="left" vertical="top" wrapText="1"/>
    </xf>
    <xf numFmtId="0" fontId="16" fillId="0" borderId="314" xfId="14" applyFont="1" applyBorder="1" applyAlignment="1">
      <alignment horizontal="left" vertical="top" wrapText="1"/>
    </xf>
    <xf numFmtId="0" fontId="16" fillId="0" borderId="309" xfId="14" applyFont="1" applyBorder="1" applyAlignment="1">
      <alignment horizontal="left" vertical="top" wrapText="1"/>
    </xf>
    <xf numFmtId="0" fontId="16" fillId="0" borderId="310" xfId="14" applyFont="1" applyBorder="1" applyAlignment="1">
      <alignment horizontal="left" vertical="top" wrapText="1"/>
    </xf>
    <xf numFmtId="166" fontId="16" fillId="10" borderId="304" xfId="14" applyNumberFormat="1" applyFont="1" applyFill="1" applyBorder="1" applyAlignment="1">
      <alignment horizontal="left" wrapText="1"/>
    </xf>
    <xf numFmtId="166" fontId="16" fillId="10" borderId="313" xfId="14" applyNumberFormat="1" applyFont="1" applyFill="1" applyBorder="1" applyAlignment="1">
      <alignment horizontal="left" wrapText="1"/>
    </xf>
    <xf numFmtId="166" fontId="16" fillId="10" borderId="300" xfId="14" applyNumberFormat="1" applyFont="1" applyFill="1" applyBorder="1" applyAlignment="1">
      <alignment horizontal="left" wrapText="1"/>
    </xf>
    <xf numFmtId="166" fontId="16" fillId="11" borderId="304" xfId="14" applyNumberFormat="1" applyFont="1" applyFill="1" applyBorder="1" applyAlignment="1">
      <alignment horizontal="left" wrapText="1"/>
    </xf>
    <xf numFmtId="166" fontId="16" fillId="11" borderId="313" xfId="14" applyNumberFormat="1" applyFont="1" applyFill="1" applyBorder="1" applyAlignment="1">
      <alignment horizontal="left" wrapText="1"/>
    </xf>
    <xf numFmtId="166" fontId="16" fillId="11" borderId="300" xfId="14" applyNumberFormat="1" applyFont="1" applyFill="1" applyBorder="1" applyAlignment="1">
      <alignment horizontal="left" wrapText="1"/>
    </xf>
    <xf numFmtId="0" fontId="16" fillId="0" borderId="323" xfId="14" applyFont="1" applyBorder="1" applyAlignment="1">
      <alignment horizontal="left" vertical="top" wrapText="1"/>
    </xf>
    <xf numFmtId="0" fontId="0" fillId="0" borderId="0" xfId="0" applyAlignment="1">
      <alignment horizontal="center"/>
    </xf>
    <xf numFmtId="0" fontId="24" fillId="11" borderId="40" xfId="0" applyFont="1" applyFill="1" applyBorder="1" applyAlignment="1">
      <alignment horizontal="center"/>
    </xf>
    <xf numFmtId="0" fontId="24" fillId="11" borderId="41" xfId="0" applyFont="1" applyFill="1" applyBorder="1" applyAlignment="1">
      <alignment horizontal="center"/>
    </xf>
    <xf numFmtId="0" fontId="24" fillId="11" borderId="11" xfId="0" applyFont="1" applyFill="1" applyBorder="1" applyAlignment="1">
      <alignment horizontal="center" vertical="center"/>
    </xf>
    <xf numFmtId="0" fontId="24" fillId="11" borderId="0" xfId="0" applyFont="1" applyFill="1" applyAlignment="1">
      <alignment horizontal="center" vertical="center"/>
    </xf>
    <xf numFmtId="3" fontId="28" fillId="0" borderId="23" xfId="0" applyNumberFormat="1" applyFont="1" applyBorder="1" applyAlignment="1">
      <alignment horizontal="center" vertical="center" wrapText="1"/>
    </xf>
    <xf numFmtId="3" fontId="28" fillId="0" borderId="239" xfId="0" applyNumberFormat="1" applyFont="1" applyBorder="1" applyAlignment="1">
      <alignment horizontal="center" vertical="center" wrapText="1"/>
    </xf>
    <xf numFmtId="14" fontId="29" fillId="31" borderId="16" xfId="0" applyNumberFormat="1" applyFont="1" applyFill="1" applyBorder="1" applyAlignment="1">
      <alignment horizontal="left" vertical="top" wrapText="1"/>
    </xf>
    <xf numFmtId="14" fontId="29" fillId="31" borderId="0" xfId="0" applyNumberFormat="1" applyFont="1" applyFill="1" applyAlignment="1">
      <alignment horizontal="left" vertical="top" wrapText="1"/>
    </xf>
    <xf numFmtId="0" fontId="20" fillId="23" borderId="146" xfId="0" applyFont="1" applyFill="1" applyBorder="1" applyAlignment="1">
      <alignment horizontal="center"/>
    </xf>
    <xf numFmtId="0" fontId="20" fillId="23" borderId="207" xfId="0" applyFont="1" applyFill="1" applyBorder="1" applyAlignment="1">
      <alignment horizontal="center"/>
    </xf>
    <xf numFmtId="0" fontId="20" fillId="15" borderId="40" xfId="0" applyFont="1" applyFill="1" applyBorder="1" applyAlignment="1">
      <alignment horizontal="center"/>
    </xf>
    <xf numFmtId="0" fontId="20" fillId="15" borderId="43" xfId="0" applyFont="1" applyFill="1" applyBorder="1" applyAlignment="1">
      <alignment horizontal="center"/>
    </xf>
    <xf numFmtId="0" fontId="20" fillId="5" borderId="40" xfId="0" applyFont="1" applyFill="1" applyBorder="1" applyAlignment="1">
      <alignment horizontal="center"/>
    </xf>
    <xf numFmtId="0" fontId="20" fillId="5" borderId="41" xfId="0" applyFont="1" applyFill="1" applyBorder="1" applyAlignment="1">
      <alignment horizontal="center"/>
    </xf>
    <xf numFmtId="167" fontId="30" fillId="17" borderId="23" xfId="0" applyNumberFormat="1" applyFont="1" applyFill="1" applyBorder="1" applyAlignment="1">
      <alignment horizontal="center" wrapText="1"/>
    </xf>
    <xf numFmtId="167" fontId="30" fillId="17" borderId="239" xfId="0" applyNumberFormat="1" applyFont="1" applyFill="1" applyBorder="1" applyAlignment="1">
      <alignment horizontal="center" wrapText="1"/>
    </xf>
    <xf numFmtId="0" fontId="20" fillId="11" borderId="23" xfId="0" applyFont="1" applyFill="1" applyBorder="1" applyAlignment="1">
      <alignment wrapText="1"/>
    </xf>
    <xf numFmtId="0" fontId="20" fillId="11" borderId="238" xfId="0" applyFont="1" applyFill="1" applyBorder="1" applyAlignment="1">
      <alignment wrapText="1"/>
    </xf>
    <xf numFmtId="3" fontId="20" fillId="17" borderId="51" xfId="0" applyNumberFormat="1" applyFont="1" applyFill="1" applyBorder="1" applyAlignment="1">
      <alignment horizontal="center" vertical="center" wrapText="1"/>
    </xf>
    <xf numFmtId="3" fontId="20" fillId="17" borderId="18" xfId="0" applyNumberFormat="1" applyFont="1" applyFill="1" applyBorder="1" applyAlignment="1">
      <alignment horizontal="center" vertical="center" wrapText="1"/>
    </xf>
    <xf numFmtId="3" fontId="20" fillId="17" borderId="3" xfId="0" applyNumberFormat="1" applyFont="1" applyFill="1" applyBorder="1" applyAlignment="1">
      <alignment horizontal="center" vertical="center" wrapText="1"/>
    </xf>
    <xf numFmtId="3" fontId="28" fillId="0" borderId="54" xfId="0" applyNumberFormat="1" applyFont="1" applyBorder="1" applyAlignment="1">
      <alignment horizontal="center" vertical="center" wrapText="1"/>
    </xf>
    <xf numFmtId="3" fontId="28" fillId="0" borderId="55" xfId="0" applyNumberFormat="1" applyFont="1" applyBorder="1" applyAlignment="1">
      <alignment horizontal="center" vertical="center" wrapText="1"/>
    </xf>
    <xf numFmtId="9" fontId="28" fillId="2" borderId="17" xfId="0" applyNumberFormat="1" applyFont="1" applyFill="1" applyBorder="1" applyAlignment="1">
      <alignment horizontal="center" vertical="center" wrapText="1"/>
    </xf>
    <xf numFmtId="9" fontId="28" fillId="2" borderId="16" xfId="0" applyNumberFormat="1" applyFont="1" applyFill="1" applyBorder="1" applyAlignment="1">
      <alignment horizontal="center" vertical="center" wrapText="1"/>
    </xf>
    <xf numFmtId="9" fontId="28" fillId="2" borderId="15" xfId="0" applyNumberFormat="1" applyFont="1" applyFill="1" applyBorder="1" applyAlignment="1">
      <alignment horizontal="center" vertical="center" wrapText="1"/>
    </xf>
    <xf numFmtId="9" fontId="28" fillId="2" borderId="8" xfId="0" applyNumberFormat="1" applyFont="1" applyFill="1" applyBorder="1" applyAlignment="1">
      <alignment horizontal="center" vertical="center" wrapText="1"/>
    </xf>
    <xf numFmtId="9" fontId="28" fillId="2" borderId="7" xfId="0" applyNumberFormat="1" applyFont="1" applyFill="1" applyBorder="1" applyAlignment="1">
      <alignment horizontal="center" vertical="center" wrapText="1"/>
    </xf>
    <xf numFmtId="9" fontId="28" fillId="30" borderId="17" xfId="0" applyNumberFormat="1" applyFont="1" applyFill="1" applyBorder="1" applyAlignment="1">
      <alignment horizontal="center" vertical="center" wrapText="1"/>
    </xf>
    <xf numFmtId="9" fontId="28" fillId="30" borderId="16" xfId="0" applyNumberFormat="1" applyFont="1" applyFill="1" applyBorder="1" applyAlignment="1">
      <alignment horizontal="center" vertical="center" wrapText="1"/>
    </xf>
    <xf numFmtId="9" fontId="28" fillId="30" borderId="15" xfId="0" applyNumberFormat="1" applyFont="1" applyFill="1" applyBorder="1" applyAlignment="1">
      <alignment horizontal="center" vertical="center" wrapText="1"/>
    </xf>
    <xf numFmtId="9" fontId="28" fillId="30" borderId="8" xfId="0" applyNumberFormat="1" applyFont="1" applyFill="1" applyBorder="1" applyAlignment="1">
      <alignment horizontal="center" vertical="center" wrapText="1"/>
    </xf>
    <xf numFmtId="9" fontId="28" fillId="30" borderId="7" xfId="0" applyNumberFormat="1" applyFont="1" applyFill="1" applyBorder="1" applyAlignment="1">
      <alignment horizontal="center" vertical="center" wrapText="1"/>
    </xf>
    <xf numFmtId="167" fontId="30" fillId="24" borderId="23" xfId="0" applyNumberFormat="1" applyFont="1" applyFill="1" applyBorder="1" applyAlignment="1">
      <alignment horizontal="center" wrapText="1"/>
    </xf>
    <xf numFmtId="167" fontId="30" fillId="24" borderId="239" xfId="0" applyNumberFormat="1" applyFont="1" applyFill="1" applyBorder="1" applyAlignment="1">
      <alignment horizontal="center" wrapText="1"/>
    </xf>
    <xf numFmtId="167" fontId="30" fillId="2" borderId="23" xfId="0" applyNumberFormat="1" applyFont="1" applyFill="1" applyBorder="1" applyAlignment="1">
      <alignment horizontal="center" wrapText="1"/>
    </xf>
    <xf numFmtId="167" fontId="30" fillId="2" borderId="239" xfId="0" applyNumberFormat="1" applyFont="1" applyFill="1" applyBorder="1" applyAlignment="1">
      <alignment horizontal="center" wrapText="1"/>
    </xf>
    <xf numFmtId="9" fontId="28" fillId="2" borderId="9" xfId="0" applyNumberFormat="1" applyFont="1" applyFill="1" applyBorder="1" applyAlignment="1">
      <alignment horizontal="center" vertical="center" wrapText="1"/>
    </xf>
    <xf numFmtId="3" fontId="44" fillId="14" borderId="23" xfId="0" applyNumberFormat="1" applyFont="1" applyFill="1" applyBorder="1" applyAlignment="1">
      <alignment horizontal="center" wrapText="1"/>
    </xf>
    <xf numFmtId="0" fontId="44" fillId="14" borderId="238" xfId="0" applyFont="1" applyFill="1" applyBorder="1" applyAlignment="1">
      <alignment horizontal="center" wrapText="1"/>
    </xf>
    <xf numFmtId="0" fontId="20" fillId="0" borderId="0" xfId="0" applyFont="1" applyAlignment="1">
      <alignment horizontal="center"/>
    </xf>
    <xf numFmtId="3" fontId="28" fillId="0" borderId="245" xfId="0" applyNumberFormat="1" applyFont="1" applyBorder="1" applyAlignment="1">
      <alignment horizontal="center" vertical="center" wrapText="1"/>
    </xf>
    <xf numFmtId="3" fontId="28" fillId="0" borderId="246" xfId="0" applyNumberFormat="1" applyFont="1" applyBorder="1" applyAlignment="1">
      <alignment horizontal="center" vertical="center" wrapText="1"/>
    </xf>
    <xf numFmtId="3" fontId="20" fillId="17" borderId="2" xfId="0" applyNumberFormat="1" applyFont="1" applyFill="1" applyBorder="1" applyAlignment="1">
      <alignment horizontal="center" vertical="center" wrapText="1"/>
    </xf>
    <xf numFmtId="0" fontId="0" fillId="0" borderId="2" xfId="0" applyBorder="1" applyAlignment="1">
      <alignment wrapText="1"/>
    </xf>
    <xf numFmtId="0" fontId="28" fillId="2" borderId="16"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9"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2" borderId="7" xfId="0" applyFont="1" applyFill="1" applyBorder="1" applyAlignment="1">
      <alignment horizontal="center" vertical="center" wrapText="1"/>
    </xf>
    <xf numFmtId="167" fontId="30" fillId="17" borderId="4" xfId="0" applyNumberFormat="1" applyFont="1" applyFill="1" applyBorder="1" applyAlignment="1">
      <alignment horizontal="center" wrapText="1"/>
    </xf>
    <xf numFmtId="167" fontId="30" fillId="2" borderId="4" xfId="0" applyNumberFormat="1" applyFont="1" applyFill="1" applyBorder="1" applyAlignment="1">
      <alignment horizontal="center" wrapText="1"/>
    </xf>
    <xf numFmtId="0" fontId="20" fillId="16" borderId="4" xfId="0" applyFont="1" applyFill="1" applyBorder="1" applyAlignment="1">
      <alignment horizontal="center"/>
    </xf>
    <xf numFmtId="3" fontId="28" fillId="0" borderId="4" xfId="0" applyNumberFormat="1" applyFont="1" applyBorder="1" applyAlignment="1">
      <alignment horizontal="center" vertical="center" wrapText="1"/>
    </xf>
    <xf numFmtId="3" fontId="20" fillId="17" borderId="4" xfId="0" applyNumberFormat="1" applyFont="1" applyFill="1" applyBorder="1" applyAlignment="1">
      <alignment horizontal="center" vertical="center" wrapText="1"/>
    </xf>
    <xf numFmtId="0" fontId="0" fillId="0" borderId="4" xfId="0" applyBorder="1" applyAlignment="1">
      <alignment wrapText="1"/>
    </xf>
    <xf numFmtId="167" fontId="30" fillId="2" borderId="214" xfId="0" applyNumberFormat="1" applyFont="1" applyFill="1" applyBorder="1" applyAlignment="1">
      <alignment horizontal="center" wrapText="1"/>
    </xf>
    <xf numFmtId="9" fontId="28" fillId="5" borderId="17" xfId="0" applyNumberFormat="1" applyFont="1" applyFill="1" applyBorder="1" applyAlignment="1">
      <alignment horizontal="center" vertical="center" wrapText="1"/>
    </xf>
    <xf numFmtId="0" fontId="28" fillId="5" borderId="16" xfId="0" applyFont="1" applyFill="1" applyBorder="1" applyAlignment="1">
      <alignment horizontal="center" vertical="center" wrapText="1"/>
    </xf>
    <xf numFmtId="0" fontId="28" fillId="5" borderId="15" xfId="0" applyFont="1" applyFill="1" applyBorder="1" applyAlignment="1">
      <alignment horizontal="center" vertical="center" wrapText="1"/>
    </xf>
    <xf numFmtId="0" fontId="28" fillId="5" borderId="9"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30" fillId="5" borderId="17" xfId="0" applyFont="1" applyFill="1" applyBorder="1" applyAlignment="1">
      <alignment horizontal="center" wrapText="1"/>
    </xf>
    <xf numFmtId="0" fontId="30" fillId="5" borderId="15" xfId="0" applyFont="1" applyFill="1" applyBorder="1" applyAlignment="1">
      <alignment horizontal="center" wrapText="1"/>
    </xf>
    <xf numFmtId="0" fontId="20" fillId="11" borderId="239" xfId="0" applyFont="1" applyFill="1" applyBorder="1" applyAlignment="1">
      <alignment wrapText="1"/>
    </xf>
    <xf numFmtId="3" fontId="20" fillId="17" borderId="39" xfId="0" applyNumberFormat="1" applyFont="1" applyFill="1" applyBorder="1" applyAlignment="1">
      <alignment horizontal="center" vertical="center" wrapText="1"/>
    </xf>
    <xf numFmtId="0" fontId="0" fillId="0" borderId="38" xfId="0" applyBorder="1" applyAlignment="1">
      <alignment wrapText="1"/>
    </xf>
    <xf numFmtId="0" fontId="0" fillId="0" borderId="37" xfId="0" applyBorder="1" applyAlignment="1">
      <alignment wrapText="1"/>
    </xf>
    <xf numFmtId="3" fontId="28" fillId="0" borderId="33" xfId="0" applyNumberFormat="1" applyFont="1" applyBorder="1" applyAlignment="1">
      <alignment horizontal="center" vertical="center" wrapText="1"/>
    </xf>
    <xf numFmtId="3" fontId="28" fillId="0" borderId="12" xfId="0" applyNumberFormat="1" applyFont="1" applyBorder="1" applyAlignment="1">
      <alignment horizontal="center" vertical="center" wrapText="1"/>
    </xf>
    <xf numFmtId="3" fontId="28" fillId="0" borderId="31" xfId="0" applyNumberFormat="1" applyFont="1" applyBorder="1" applyAlignment="1">
      <alignment horizontal="center" vertical="center" wrapText="1"/>
    </xf>
    <xf numFmtId="3" fontId="28" fillId="0" borderId="2" xfId="0" applyNumberFormat="1" applyFont="1" applyBorder="1" applyAlignment="1">
      <alignment horizontal="center" vertical="center" wrapText="1"/>
    </xf>
    <xf numFmtId="3" fontId="28" fillId="0" borderId="1" xfId="0" applyNumberFormat="1" applyFont="1" applyBorder="1" applyAlignment="1">
      <alignment horizontal="center" vertical="center" wrapText="1"/>
    </xf>
    <xf numFmtId="3" fontId="28" fillId="5" borderId="4" xfId="0" applyNumberFormat="1" applyFont="1" applyFill="1" applyBorder="1" applyAlignment="1">
      <alignment horizontal="center" vertical="center" wrapText="1"/>
    </xf>
    <xf numFmtId="3" fontId="28" fillId="17" borderId="4" xfId="0" applyNumberFormat="1" applyFont="1" applyFill="1" applyBorder="1" applyAlignment="1">
      <alignment horizontal="center" vertical="center" wrapText="1"/>
    </xf>
    <xf numFmtId="3" fontId="28" fillId="2" borderId="4" xfId="0" applyNumberFormat="1" applyFont="1" applyFill="1" applyBorder="1" applyAlignment="1">
      <alignment horizontal="center" vertical="center" wrapText="1"/>
    </xf>
    <xf numFmtId="14" fontId="29" fillId="31" borderId="17" xfId="0" applyNumberFormat="1" applyFont="1" applyFill="1" applyBorder="1" applyAlignment="1">
      <alignment horizontal="left" vertical="top" wrapText="1"/>
    </xf>
    <xf numFmtId="0" fontId="29" fillId="31" borderId="16" xfId="0" applyFont="1" applyFill="1" applyBorder="1" applyAlignment="1">
      <alignment horizontal="left" vertical="top" wrapText="1"/>
    </xf>
    <xf numFmtId="0" fontId="29" fillId="31" borderId="15" xfId="0" applyFont="1" applyFill="1" applyBorder="1" applyAlignment="1">
      <alignment horizontal="left" vertical="top" wrapText="1"/>
    </xf>
    <xf numFmtId="0" fontId="29" fillId="31" borderId="9" xfId="0" applyFont="1" applyFill="1" applyBorder="1" applyAlignment="1">
      <alignment horizontal="left" vertical="top" wrapText="1"/>
    </xf>
    <xf numFmtId="0" fontId="29" fillId="31" borderId="8" xfId="0" applyFont="1" applyFill="1" applyBorder="1" applyAlignment="1">
      <alignment horizontal="left" vertical="top" wrapText="1"/>
    </xf>
    <xf numFmtId="0" fontId="29" fillId="31" borderId="7" xfId="0" applyFont="1" applyFill="1" applyBorder="1" applyAlignment="1">
      <alignment horizontal="left" vertical="top" wrapText="1"/>
    </xf>
    <xf numFmtId="0" fontId="20" fillId="11" borderId="225" xfId="0" applyFont="1" applyFill="1" applyBorder="1" applyAlignment="1">
      <alignment wrapText="1"/>
    </xf>
    <xf numFmtId="3" fontId="20" fillId="17" borderId="214" xfId="0" applyNumberFormat="1" applyFont="1" applyFill="1" applyBorder="1" applyAlignment="1">
      <alignment horizontal="center" vertical="center" wrapText="1"/>
    </xf>
    <xf numFmtId="0" fontId="0" fillId="0" borderId="214" xfId="0" applyBorder="1" applyAlignment="1">
      <alignment wrapText="1"/>
    </xf>
    <xf numFmtId="14" fontId="0" fillId="2" borderId="17" xfId="0" applyNumberFormat="1" applyFill="1" applyBorder="1" applyAlignment="1">
      <alignment horizontal="left" vertical="top" wrapText="1"/>
    </xf>
    <xf numFmtId="0" fontId="0" fillId="2" borderId="16" xfId="0" applyFill="1" applyBorder="1" applyAlignment="1">
      <alignment horizontal="left" vertical="top" wrapText="1"/>
    </xf>
    <xf numFmtId="0" fontId="0" fillId="2" borderId="15" xfId="0" applyFill="1" applyBorder="1" applyAlignment="1">
      <alignment horizontal="left" vertical="top" wrapText="1"/>
    </xf>
    <xf numFmtId="0" fontId="0" fillId="2" borderId="9" xfId="0" applyFill="1" applyBorder="1" applyAlignment="1">
      <alignment horizontal="left" vertical="top" wrapText="1"/>
    </xf>
    <xf numFmtId="0" fontId="0" fillId="2" borderId="8" xfId="0" applyFill="1" applyBorder="1" applyAlignment="1">
      <alignment horizontal="left" vertical="top" wrapText="1"/>
    </xf>
    <xf numFmtId="0" fontId="0" fillId="2" borderId="7" xfId="0" applyFill="1" applyBorder="1" applyAlignment="1">
      <alignment horizontal="left" vertical="top" wrapText="1"/>
    </xf>
    <xf numFmtId="14" fontId="35" fillId="2" borderId="17" xfId="0" applyNumberFormat="1" applyFont="1" applyFill="1" applyBorder="1" applyAlignment="1">
      <alignment horizontal="left" vertical="top" wrapText="1"/>
    </xf>
    <xf numFmtId="0" fontId="30" fillId="5" borderId="40" xfId="0" applyFont="1" applyFill="1" applyBorder="1" applyAlignment="1">
      <alignment horizontal="center" wrapText="1"/>
    </xf>
    <xf numFmtId="0" fontId="30" fillId="5" borderId="43" xfId="0" applyFont="1" applyFill="1" applyBorder="1" applyAlignment="1">
      <alignment horizontal="center" wrapText="1"/>
    </xf>
    <xf numFmtId="0" fontId="20" fillId="11" borderId="246" xfId="0" applyFont="1" applyFill="1" applyBorder="1" applyAlignment="1">
      <alignment wrapText="1"/>
    </xf>
    <xf numFmtId="14" fontId="20" fillId="2" borderId="17" xfId="0" applyNumberFormat="1" applyFont="1" applyFill="1" applyBorder="1" applyAlignment="1">
      <alignment horizontal="left" vertical="top" wrapText="1"/>
    </xf>
    <xf numFmtId="14" fontId="35" fillId="5" borderId="17" xfId="0" applyNumberFormat="1" applyFont="1" applyFill="1" applyBorder="1" applyAlignment="1">
      <alignment horizontal="left" vertical="top" wrapText="1"/>
    </xf>
    <xf numFmtId="0" fontId="0" fillId="5" borderId="16" xfId="0" applyFill="1" applyBorder="1" applyAlignment="1">
      <alignment horizontal="left" vertical="top" wrapText="1"/>
    </xf>
    <xf numFmtId="0" fontId="0" fillId="5" borderId="15" xfId="0" applyFill="1" applyBorder="1" applyAlignment="1">
      <alignment horizontal="left" vertical="top" wrapText="1"/>
    </xf>
    <xf numFmtId="0" fontId="0" fillId="5" borderId="9" xfId="0" applyFill="1" applyBorder="1" applyAlignment="1">
      <alignment horizontal="left" vertical="top" wrapText="1"/>
    </xf>
    <xf numFmtId="0" fontId="0" fillId="5" borderId="8" xfId="0" applyFill="1" applyBorder="1" applyAlignment="1">
      <alignment horizontal="left" vertical="top" wrapText="1"/>
    </xf>
    <xf numFmtId="0" fontId="0" fillId="5" borderId="7" xfId="0" applyFill="1" applyBorder="1" applyAlignment="1">
      <alignment horizontal="left" vertical="top" wrapText="1"/>
    </xf>
    <xf numFmtId="9" fontId="28" fillId="17" borderId="17" xfId="0" applyNumberFormat="1" applyFont="1" applyFill="1" applyBorder="1" applyAlignment="1">
      <alignment horizontal="center" vertical="center" wrapText="1"/>
    </xf>
    <xf numFmtId="0" fontId="28" fillId="0" borderId="16"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7" xfId="0" applyFont="1" applyBorder="1" applyAlignment="1">
      <alignment horizontal="center" vertical="center" wrapText="1"/>
    </xf>
    <xf numFmtId="9" fontId="28" fillId="15" borderId="17" xfId="0" applyNumberFormat="1" applyFont="1" applyFill="1" applyBorder="1" applyAlignment="1">
      <alignment horizontal="center" vertical="center" wrapText="1"/>
    </xf>
    <xf numFmtId="0" fontId="28" fillId="15" borderId="16" xfId="0" applyFont="1" applyFill="1" applyBorder="1" applyAlignment="1">
      <alignment horizontal="center" vertical="center" wrapText="1"/>
    </xf>
    <xf numFmtId="0" fontId="28" fillId="15" borderId="15" xfId="0" applyFont="1" applyFill="1" applyBorder="1" applyAlignment="1">
      <alignment horizontal="center" vertical="center" wrapText="1"/>
    </xf>
    <xf numFmtId="0" fontId="28" fillId="15" borderId="9" xfId="0" applyFont="1" applyFill="1" applyBorder="1" applyAlignment="1">
      <alignment horizontal="center" vertical="center" wrapText="1"/>
    </xf>
    <xf numFmtId="0" fontId="28" fillId="15" borderId="8" xfId="0" applyFont="1" applyFill="1" applyBorder="1" applyAlignment="1">
      <alignment horizontal="center" vertical="center" wrapText="1"/>
    </xf>
    <xf numFmtId="0" fontId="28" fillId="15" borderId="7" xfId="0" applyFont="1" applyFill="1" applyBorder="1" applyAlignment="1">
      <alignment horizontal="center" vertical="center" wrapText="1"/>
    </xf>
    <xf numFmtId="3" fontId="28" fillId="2" borderId="23" xfId="0" applyNumberFormat="1" applyFont="1" applyFill="1" applyBorder="1" applyAlignment="1">
      <alignment horizontal="center" vertical="center" wrapText="1"/>
    </xf>
    <xf numFmtId="3" fontId="28" fillId="2" borderId="238" xfId="0" applyNumberFormat="1" applyFont="1" applyFill="1" applyBorder="1" applyAlignment="1">
      <alignment horizontal="center" vertical="center" wrapText="1"/>
    </xf>
    <xf numFmtId="3" fontId="28" fillId="2" borderId="239" xfId="0" applyNumberFormat="1" applyFont="1" applyFill="1" applyBorder="1" applyAlignment="1">
      <alignment horizontal="center" vertical="center" wrapText="1"/>
    </xf>
    <xf numFmtId="0" fontId="28" fillId="0" borderId="15" xfId="0" applyFont="1" applyBorder="1" applyAlignment="1">
      <alignment horizontal="center" vertical="center" wrapText="1"/>
    </xf>
    <xf numFmtId="0" fontId="28" fillId="0" borderId="9" xfId="0" applyFont="1" applyBorder="1" applyAlignment="1">
      <alignment horizontal="center" vertical="center" wrapText="1"/>
    </xf>
    <xf numFmtId="3" fontId="28" fillId="2" borderId="2" xfId="0" applyNumberFormat="1" applyFont="1" applyFill="1" applyBorder="1" applyAlignment="1">
      <alignment horizontal="center" vertical="center" wrapText="1"/>
    </xf>
    <xf numFmtId="0" fontId="20" fillId="11" borderId="240" xfId="0" applyFont="1" applyFill="1" applyBorder="1" applyAlignment="1">
      <alignment wrapText="1"/>
    </xf>
    <xf numFmtId="0" fontId="20" fillId="11" borderId="0" xfId="0" applyFont="1" applyFill="1" applyAlignment="1">
      <alignment wrapText="1"/>
    </xf>
    <xf numFmtId="9" fontId="28" fillId="7" borderId="17" xfId="0" applyNumberFormat="1" applyFont="1" applyFill="1" applyBorder="1" applyAlignment="1">
      <alignment horizontal="center" vertical="center" wrapText="1"/>
    </xf>
    <xf numFmtId="0" fontId="28" fillId="7" borderId="16" xfId="0" applyFont="1" applyFill="1" applyBorder="1" applyAlignment="1">
      <alignment horizontal="center" vertical="center" wrapText="1"/>
    </xf>
    <xf numFmtId="0" fontId="28" fillId="7" borderId="15" xfId="0" applyFont="1" applyFill="1" applyBorder="1" applyAlignment="1">
      <alignment horizontal="center" vertical="center" wrapText="1"/>
    </xf>
    <xf numFmtId="0" fontId="28" fillId="7" borderId="9" xfId="0" applyFont="1" applyFill="1" applyBorder="1" applyAlignment="1">
      <alignment horizontal="center" vertical="center" wrapText="1"/>
    </xf>
    <xf numFmtId="0" fontId="28" fillId="7" borderId="8" xfId="0" applyFont="1" applyFill="1" applyBorder="1" applyAlignment="1">
      <alignment horizontal="center" vertical="center" wrapText="1"/>
    </xf>
    <xf numFmtId="0" fontId="28" fillId="7" borderId="7" xfId="0" applyFont="1" applyFill="1" applyBorder="1" applyAlignment="1">
      <alignment horizontal="center" vertical="center" wrapText="1"/>
    </xf>
    <xf numFmtId="3" fontId="28" fillId="2" borderId="38" xfId="0" applyNumberFormat="1" applyFont="1" applyFill="1" applyBorder="1" applyAlignment="1">
      <alignment horizontal="center" vertical="center" wrapText="1"/>
    </xf>
    <xf numFmtId="9" fontId="28" fillId="10" borderId="17" xfId="0" applyNumberFormat="1" applyFont="1" applyFill="1" applyBorder="1" applyAlignment="1">
      <alignment horizontal="center" vertical="center" wrapText="1"/>
    </xf>
    <xf numFmtId="0" fontId="28" fillId="10" borderId="16" xfId="0" applyFont="1" applyFill="1" applyBorder="1" applyAlignment="1">
      <alignment horizontal="center" vertical="center" wrapText="1"/>
    </xf>
    <xf numFmtId="0" fontId="28" fillId="10" borderId="15" xfId="0" applyFont="1" applyFill="1" applyBorder="1" applyAlignment="1">
      <alignment horizontal="center" vertical="center" wrapText="1"/>
    </xf>
    <xf numFmtId="0" fontId="28" fillId="10" borderId="9"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7" xfId="0" applyFont="1" applyFill="1" applyBorder="1" applyAlignment="1">
      <alignment horizontal="center" vertical="center" wrapText="1"/>
    </xf>
    <xf numFmtId="9" fontId="72" fillId="30" borderId="17" xfId="0" applyNumberFormat="1" applyFont="1" applyFill="1" applyBorder="1" applyAlignment="1">
      <alignment horizontal="center" vertical="center" wrapText="1"/>
    </xf>
    <xf numFmtId="0" fontId="72" fillId="30" borderId="16" xfId="0" applyFont="1" applyFill="1" applyBorder="1" applyAlignment="1">
      <alignment horizontal="center" vertical="center" wrapText="1"/>
    </xf>
    <xf numFmtId="0" fontId="72" fillId="30" borderId="15" xfId="0" applyFont="1" applyFill="1" applyBorder="1" applyAlignment="1">
      <alignment horizontal="center" vertical="center" wrapText="1"/>
    </xf>
    <xf numFmtId="0" fontId="72" fillId="30" borderId="9" xfId="0" applyFont="1" applyFill="1" applyBorder="1" applyAlignment="1">
      <alignment horizontal="center" vertical="center" wrapText="1"/>
    </xf>
    <xf numFmtId="0" fontId="72" fillId="30" borderId="8" xfId="0" applyFont="1" applyFill="1" applyBorder="1" applyAlignment="1">
      <alignment horizontal="center" vertical="center" wrapText="1"/>
    </xf>
    <xf numFmtId="0" fontId="72" fillId="30" borderId="7" xfId="0" applyFont="1" applyFill="1" applyBorder="1" applyAlignment="1">
      <alignment horizontal="center" vertical="center" wrapText="1"/>
    </xf>
    <xf numFmtId="3" fontId="28" fillId="17" borderId="238" xfId="0" applyNumberFormat="1" applyFont="1" applyFill="1" applyBorder="1" applyAlignment="1">
      <alignment horizontal="center" vertical="center" wrapText="1"/>
    </xf>
    <xf numFmtId="3" fontId="20" fillId="17" borderId="238" xfId="0" applyNumberFormat="1" applyFont="1" applyFill="1" applyBorder="1" applyAlignment="1">
      <alignment horizontal="center" vertical="center" wrapText="1"/>
    </xf>
    <xf numFmtId="0" fontId="0" fillId="0" borderId="238" xfId="0" applyBorder="1" applyAlignment="1">
      <alignment wrapText="1"/>
    </xf>
    <xf numFmtId="0" fontId="0" fillId="0" borderId="239" xfId="0" applyBorder="1" applyAlignment="1">
      <alignment wrapText="1"/>
    </xf>
    <xf numFmtId="0" fontId="0" fillId="0" borderId="17" xfId="0" applyBorder="1" applyAlignment="1">
      <alignment horizontal="center"/>
    </xf>
    <xf numFmtId="0" fontId="0" fillId="0" borderId="15" xfId="0" applyBorder="1" applyAlignment="1">
      <alignment horizontal="center"/>
    </xf>
    <xf numFmtId="3" fontId="28" fillId="17" borderId="23" xfId="0" applyNumberFormat="1" applyFont="1" applyFill="1" applyBorder="1" applyAlignment="1">
      <alignment horizontal="center" vertical="center" wrapText="1"/>
    </xf>
    <xf numFmtId="9" fontId="20" fillId="17" borderId="16" xfId="0" applyNumberFormat="1" applyFont="1" applyFill="1" applyBorder="1" applyAlignment="1">
      <alignment horizontal="center" vertical="center" wrapText="1"/>
    </xf>
    <xf numFmtId="0" fontId="20" fillId="0" borderId="16" xfId="0" applyFont="1" applyBorder="1" applyAlignment="1">
      <alignment horizontal="center" vertical="center" wrapText="1"/>
    </xf>
    <xf numFmtId="0" fontId="20" fillId="0" borderId="258" xfId="0" applyFont="1" applyBorder="1" applyAlignment="1">
      <alignment horizontal="center" vertical="center" wrapText="1"/>
    </xf>
    <xf numFmtId="0" fontId="20" fillId="0" borderId="84" xfId="0" applyFont="1" applyBorder="1" applyAlignment="1">
      <alignment horizontal="center" vertical="center" wrapText="1"/>
    </xf>
    <xf numFmtId="0" fontId="20" fillId="0" borderId="0" xfId="0" applyFont="1" applyAlignment="1">
      <alignment horizontal="center" vertical="center" wrapText="1"/>
    </xf>
    <xf numFmtId="0" fontId="20" fillId="0" borderId="182" xfId="0" applyFont="1" applyBorder="1" applyAlignment="1">
      <alignment horizontal="center" vertical="center" wrapText="1"/>
    </xf>
    <xf numFmtId="9" fontId="28" fillId="17" borderId="0" xfId="0" applyNumberFormat="1" applyFont="1" applyFill="1" applyAlignment="1">
      <alignment horizontal="center" vertical="center" wrapText="1"/>
    </xf>
    <xf numFmtId="0" fontId="28" fillId="0" borderId="0" xfId="0" applyFont="1" applyAlignment="1">
      <alignment horizontal="center" vertical="center" wrapText="1"/>
    </xf>
    <xf numFmtId="0" fontId="28" fillId="0" borderId="182" xfId="0" applyFont="1" applyBorder="1" applyAlignment="1">
      <alignment horizontal="center" vertical="center" wrapText="1"/>
    </xf>
    <xf numFmtId="0" fontId="28" fillId="0" borderId="84" xfId="0" applyFont="1" applyBorder="1" applyAlignment="1">
      <alignment horizontal="center" vertical="center" wrapText="1"/>
    </xf>
    <xf numFmtId="3" fontId="20" fillId="17" borderId="23" xfId="0" applyNumberFormat="1" applyFont="1" applyFill="1" applyBorder="1" applyAlignment="1">
      <alignment horizontal="center" vertical="center" wrapText="1"/>
    </xf>
    <xf numFmtId="9" fontId="20" fillId="17" borderId="87" xfId="0" applyNumberFormat="1" applyFont="1" applyFill="1" applyBorder="1" applyAlignment="1">
      <alignment horizontal="center" vertical="center" wrapText="1"/>
    </xf>
    <xf numFmtId="0" fontId="20" fillId="0" borderId="87" xfId="0" applyFont="1" applyBorder="1" applyAlignment="1">
      <alignment horizontal="center" vertical="center" wrapText="1"/>
    </xf>
    <xf numFmtId="0" fontId="20" fillId="0" borderId="88" xfId="0" applyFont="1" applyBorder="1" applyAlignment="1">
      <alignment horizontal="center" vertical="center" wrapText="1"/>
    </xf>
    <xf numFmtId="3" fontId="28" fillId="17" borderId="239" xfId="0" applyNumberFormat="1" applyFont="1" applyFill="1" applyBorder="1" applyAlignment="1">
      <alignment horizontal="center" vertical="center" wrapText="1"/>
    </xf>
    <xf numFmtId="0" fontId="20" fillId="0" borderId="255" xfId="0" applyFont="1" applyBorder="1" applyAlignment="1">
      <alignment horizontal="center" vertical="center" wrapText="1"/>
    </xf>
    <xf numFmtId="14" fontId="65" fillId="30" borderId="87" xfId="0" applyNumberFormat="1" applyFont="1" applyFill="1" applyBorder="1" applyAlignment="1">
      <alignment horizontal="center" vertical="center"/>
    </xf>
    <xf numFmtId="14" fontId="65" fillId="30" borderId="88" xfId="0" applyNumberFormat="1" applyFont="1" applyFill="1" applyBorder="1" applyAlignment="1">
      <alignment horizontal="center" vertical="center"/>
    </xf>
    <xf numFmtId="14" fontId="65" fillId="30" borderId="84" xfId="0" applyNumberFormat="1" applyFont="1" applyFill="1" applyBorder="1" applyAlignment="1">
      <alignment horizontal="center" vertical="center"/>
    </xf>
    <xf numFmtId="14" fontId="65" fillId="30" borderId="255" xfId="0" applyNumberFormat="1" applyFont="1" applyFill="1" applyBorder="1" applyAlignment="1">
      <alignment horizontal="center" vertical="center"/>
    </xf>
    <xf numFmtId="3" fontId="28" fillId="17" borderId="23" xfId="0" applyNumberFormat="1" applyFont="1" applyFill="1" applyBorder="1" applyAlignment="1">
      <alignment horizontal="left" vertical="center" wrapText="1"/>
    </xf>
    <xf numFmtId="3" fontId="28" fillId="17" borderId="238" xfId="0" applyNumberFormat="1" applyFont="1" applyFill="1" applyBorder="1" applyAlignment="1">
      <alignment horizontal="left" vertical="center" wrapText="1"/>
    </xf>
    <xf numFmtId="3" fontId="20" fillId="8" borderId="23" xfId="0" applyNumberFormat="1" applyFont="1" applyFill="1" applyBorder="1" applyAlignment="1">
      <alignment horizontal="left"/>
    </xf>
    <xf numFmtId="3" fontId="20" fillId="8" borderId="238" xfId="0" applyNumberFormat="1" applyFont="1" applyFill="1" applyBorder="1" applyAlignment="1">
      <alignment horizontal="left"/>
    </xf>
    <xf numFmtId="3" fontId="20" fillId="8" borderId="239" xfId="0" applyNumberFormat="1" applyFont="1" applyFill="1" applyBorder="1" applyAlignment="1">
      <alignment horizontal="left"/>
    </xf>
    <xf numFmtId="3" fontId="28" fillId="24" borderId="23" xfId="0" applyNumberFormat="1" applyFont="1" applyFill="1" applyBorder="1" applyAlignment="1">
      <alignment horizontal="left" vertical="center" wrapText="1"/>
    </xf>
    <xf numFmtId="3" fontId="28" fillId="24" borderId="238" xfId="0" applyNumberFormat="1" applyFont="1" applyFill="1" applyBorder="1" applyAlignment="1">
      <alignment horizontal="left" vertical="center" wrapText="1"/>
    </xf>
    <xf numFmtId="3" fontId="28" fillId="24" borderId="239" xfId="0" applyNumberFormat="1" applyFont="1" applyFill="1" applyBorder="1" applyAlignment="1">
      <alignment horizontal="left" vertical="center" wrapText="1"/>
    </xf>
    <xf numFmtId="3" fontId="0" fillId="8" borderId="23" xfId="0" applyNumberFormat="1" applyFill="1" applyBorder="1" applyAlignment="1">
      <alignment horizontal="left"/>
    </xf>
    <xf numFmtId="3" fontId="0" fillId="8" borderId="238" xfId="0" applyNumberFormat="1" applyFill="1" applyBorder="1" applyAlignment="1">
      <alignment horizontal="left"/>
    </xf>
    <xf numFmtId="3" fontId="0" fillId="8" borderId="239" xfId="0" applyNumberFormat="1" applyFill="1" applyBorder="1" applyAlignment="1">
      <alignment horizontal="left"/>
    </xf>
    <xf numFmtId="3" fontId="28" fillId="17" borderId="248" xfId="0" applyNumberFormat="1" applyFont="1" applyFill="1" applyBorder="1" applyAlignment="1">
      <alignment horizontal="left" vertical="center" wrapText="1"/>
    </xf>
    <xf numFmtId="3" fontId="28" fillId="7" borderId="23" xfId="0" applyNumberFormat="1" applyFont="1" applyFill="1" applyBorder="1" applyAlignment="1">
      <alignment horizontal="left" vertical="center" wrapText="1"/>
    </xf>
    <xf numFmtId="3" fontId="28" fillId="7" borderId="238" xfId="0" applyNumberFormat="1" applyFont="1" applyFill="1" applyBorder="1" applyAlignment="1">
      <alignment horizontal="left" vertical="center" wrapText="1"/>
    </xf>
    <xf numFmtId="3" fontId="28" fillId="7" borderId="248" xfId="0" applyNumberFormat="1" applyFont="1" applyFill="1" applyBorder="1" applyAlignment="1">
      <alignment horizontal="left" vertical="center" wrapText="1"/>
    </xf>
    <xf numFmtId="3" fontId="28" fillId="15" borderId="23" xfId="0" applyNumberFormat="1" applyFont="1" applyFill="1" applyBorder="1" applyAlignment="1">
      <alignment horizontal="left" vertical="center" wrapText="1"/>
    </xf>
    <xf numFmtId="3" fontId="28" fillId="15" borderId="238" xfId="0" applyNumberFormat="1" applyFont="1" applyFill="1" applyBorder="1" applyAlignment="1">
      <alignment horizontal="left" vertical="center" wrapText="1"/>
    </xf>
    <xf numFmtId="3" fontId="28" fillId="15" borderId="248" xfId="0" applyNumberFormat="1" applyFont="1" applyFill="1" applyBorder="1" applyAlignment="1">
      <alignment horizontal="left" vertical="center" wrapText="1"/>
    </xf>
    <xf numFmtId="3" fontId="28" fillId="24" borderId="248" xfId="0" applyNumberFormat="1" applyFont="1" applyFill="1" applyBorder="1" applyAlignment="1">
      <alignment horizontal="left" vertical="center" wrapText="1"/>
    </xf>
    <xf numFmtId="14" fontId="28" fillId="24" borderId="23" xfId="0" applyNumberFormat="1" applyFont="1" applyFill="1" applyBorder="1" applyAlignment="1">
      <alignment horizontal="left"/>
    </xf>
    <xf numFmtId="14" fontId="28" fillId="24" borderId="238" xfId="0" applyNumberFormat="1" applyFont="1" applyFill="1" applyBorder="1" applyAlignment="1">
      <alignment horizontal="left"/>
    </xf>
    <xf numFmtId="14" fontId="28" fillId="24" borderId="248" xfId="0" applyNumberFormat="1" applyFont="1" applyFill="1" applyBorder="1" applyAlignment="1">
      <alignment horizontal="left"/>
    </xf>
    <xf numFmtId="14" fontId="28" fillId="17" borderId="23" xfId="0" applyNumberFormat="1" applyFont="1" applyFill="1" applyBorder="1" applyAlignment="1">
      <alignment horizontal="left"/>
    </xf>
    <xf numFmtId="14" fontId="28" fillId="17" borderId="238" xfId="0" applyNumberFormat="1" applyFont="1" applyFill="1" applyBorder="1" applyAlignment="1">
      <alignment horizontal="left"/>
    </xf>
    <xf numFmtId="14" fontId="28" fillId="17" borderId="248" xfId="0" applyNumberFormat="1" applyFont="1" applyFill="1" applyBorder="1" applyAlignment="1">
      <alignment horizontal="left"/>
    </xf>
    <xf numFmtId="14" fontId="53" fillId="17" borderId="23" xfId="0" applyNumberFormat="1" applyFont="1" applyFill="1" applyBorder="1" applyAlignment="1">
      <alignment horizontal="left"/>
    </xf>
    <xf numFmtId="14" fontId="53" fillId="17" borderId="238" xfId="0" applyNumberFormat="1" applyFont="1" applyFill="1" applyBorder="1" applyAlignment="1">
      <alignment horizontal="left"/>
    </xf>
    <xf numFmtId="14" fontId="53" fillId="17" borderId="248" xfId="0" applyNumberFormat="1" applyFont="1" applyFill="1" applyBorder="1" applyAlignment="1">
      <alignment horizontal="left"/>
    </xf>
    <xf numFmtId="3" fontId="28" fillId="2" borderId="248" xfId="0" applyNumberFormat="1" applyFont="1" applyFill="1" applyBorder="1" applyAlignment="1">
      <alignment horizontal="center" vertical="center" wrapText="1"/>
    </xf>
    <xf numFmtId="3" fontId="28" fillId="17" borderId="248" xfId="0" applyNumberFormat="1" applyFont="1" applyFill="1" applyBorder="1" applyAlignment="1">
      <alignment horizontal="center" vertical="center" wrapText="1"/>
    </xf>
    <xf numFmtId="14" fontId="33" fillId="17" borderId="23" xfId="0" applyNumberFormat="1" applyFont="1" applyFill="1" applyBorder="1" applyAlignment="1">
      <alignment horizontal="left"/>
    </xf>
    <xf numFmtId="14" fontId="33" fillId="17" borderId="238" xfId="0" applyNumberFormat="1" applyFont="1" applyFill="1" applyBorder="1" applyAlignment="1">
      <alignment horizontal="left"/>
    </xf>
    <xf numFmtId="14" fontId="33" fillId="17" borderId="248" xfId="0" applyNumberFormat="1" applyFont="1" applyFill="1" applyBorder="1" applyAlignment="1">
      <alignment horizontal="left"/>
    </xf>
    <xf numFmtId="3" fontId="20" fillId="8" borderId="23" xfId="0" applyNumberFormat="1" applyFont="1" applyFill="1" applyBorder="1" applyAlignment="1">
      <alignment horizontal="center"/>
    </xf>
    <xf numFmtId="3" fontId="20" fillId="8" borderId="238" xfId="0" applyNumberFormat="1" applyFont="1" applyFill="1" applyBorder="1" applyAlignment="1">
      <alignment horizontal="center"/>
    </xf>
    <xf numFmtId="3" fontId="20" fillId="8" borderId="239" xfId="0" applyNumberFormat="1" applyFont="1" applyFill="1" applyBorder="1" applyAlignment="1">
      <alignment horizontal="center"/>
    </xf>
    <xf numFmtId="0" fontId="0" fillId="0" borderId="238" xfId="0" applyBorder="1" applyAlignment="1">
      <alignment horizontal="left" vertical="center" wrapText="1"/>
    </xf>
    <xf numFmtId="0" fontId="0" fillId="0" borderId="248" xfId="0" applyBorder="1" applyAlignment="1">
      <alignment horizontal="left" vertical="center" wrapText="1"/>
    </xf>
    <xf numFmtId="3" fontId="20" fillId="32" borderId="23" xfId="0" applyNumberFormat="1" applyFont="1" applyFill="1" applyBorder="1" applyAlignment="1">
      <alignment horizontal="center" vertical="center" wrapText="1"/>
    </xf>
    <xf numFmtId="0" fontId="0" fillId="32" borderId="238" xfId="0" applyFill="1" applyBorder="1" applyAlignment="1">
      <alignment wrapText="1"/>
    </xf>
    <xf numFmtId="0" fontId="0" fillId="32" borderId="239" xfId="0" applyFill="1" applyBorder="1" applyAlignment="1">
      <alignment wrapText="1"/>
    </xf>
    <xf numFmtId="0" fontId="20" fillId="0" borderId="23" xfId="0" applyFont="1" applyBorder="1" applyAlignment="1">
      <alignment wrapText="1"/>
    </xf>
    <xf numFmtId="0" fontId="20" fillId="0" borderId="24" xfId="0" applyFont="1" applyBorder="1" applyAlignment="1">
      <alignment wrapText="1"/>
    </xf>
    <xf numFmtId="0" fontId="20" fillId="0" borderId="13" xfId="0" applyFont="1" applyBorder="1" applyAlignment="1">
      <alignment wrapText="1"/>
    </xf>
    <xf numFmtId="0" fontId="20" fillId="23" borderId="83" xfId="0" applyFont="1" applyFill="1" applyBorder="1" applyAlignment="1">
      <alignment horizontal="center"/>
    </xf>
    <xf numFmtId="0" fontId="20" fillId="23" borderId="84" xfId="0" applyFont="1" applyFill="1" applyBorder="1" applyAlignment="1">
      <alignment horizontal="center"/>
    </xf>
    <xf numFmtId="0" fontId="20" fillId="23" borderId="77" xfId="0" applyFont="1" applyFill="1" applyBorder="1" applyAlignment="1">
      <alignment horizontal="center"/>
    </xf>
    <xf numFmtId="0" fontId="20" fillId="23" borderId="4" xfId="0" applyFont="1" applyFill="1" applyBorder="1" applyAlignment="1">
      <alignment horizontal="center"/>
    </xf>
    <xf numFmtId="0" fontId="20" fillId="23" borderId="75" xfId="0" applyFont="1" applyFill="1" applyBorder="1" applyAlignment="1">
      <alignment horizontal="center"/>
    </xf>
    <xf numFmtId="0" fontId="20" fillId="23" borderId="206" xfId="0" applyFont="1" applyFill="1" applyBorder="1" applyAlignment="1">
      <alignment horizontal="center"/>
    </xf>
    <xf numFmtId="0" fontId="20" fillId="23" borderId="39" xfId="0" applyFont="1" applyFill="1" applyBorder="1" applyAlignment="1">
      <alignment horizontal="center"/>
    </xf>
    <xf numFmtId="0" fontId="20" fillId="23" borderId="38" xfId="0" applyFont="1" applyFill="1" applyBorder="1" applyAlignment="1">
      <alignment horizontal="center"/>
    </xf>
    <xf numFmtId="3" fontId="20" fillId="16" borderId="23" xfId="0" applyNumberFormat="1" applyFont="1" applyFill="1" applyBorder="1" applyAlignment="1">
      <alignment horizontal="center" vertical="center" wrapText="1"/>
    </xf>
    <xf numFmtId="0" fontId="0" fillId="16" borderId="238" xfId="0" applyFill="1" applyBorder="1" applyAlignment="1">
      <alignment wrapText="1"/>
    </xf>
    <xf numFmtId="0" fontId="0" fillId="16" borderId="239" xfId="0" applyFill="1" applyBorder="1" applyAlignment="1">
      <alignment wrapText="1"/>
    </xf>
    <xf numFmtId="3" fontId="20" fillId="17" borderId="245" xfId="0" applyNumberFormat="1" applyFont="1" applyFill="1" applyBorder="1" applyAlignment="1">
      <alignment horizontal="center" vertical="center" wrapText="1"/>
    </xf>
    <xf numFmtId="0" fontId="20" fillId="15" borderId="41" xfId="0" applyFont="1" applyFill="1" applyBorder="1" applyAlignment="1">
      <alignment horizontal="center"/>
    </xf>
    <xf numFmtId="0" fontId="20" fillId="21" borderId="0" xfId="0" applyFont="1" applyFill="1" applyAlignment="1">
      <alignment horizontal="center"/>
    </xf>
    <xf numFmtId="0" fontId="20" fillId="5" borderId="219" xfId="0" applyFont="1" applyFill="1" applyBorder="1" applyAlignment="1">
      <alignment horizontal="center"/>
    </xf>
    <xf numFmtId="0" fontId="20" fillId="5" borderId="220" xfId="0" applyFont="1" applyFill="1" applyBorder="1" applyAlignment="1">
      <alignment horizontal="center"/>
    </xf>
    <xf numFmtId="0" fontId="20" fillId="5" borderId="69" xfId="0" applyFont="1" applyFill="1" applyBorder="1" applyAlignment="1">
      <alignment horizontal="center"/>
    </xf>
    <xf numFmtId="0" fontId="20" fillId="5" borderId="43" xfId="0" applyFont="1" applyFill="1" applyBorder="1" applyAlignment="1">
      <alignment horizontal="center"/>
    </xf>
  </cellXfs>
  <cellStyles count="36">
    <cellStyle name="Comma" xfId="1" builtinId="3"/>
    <cellStyle name="Comma 2" xfId="15" xr:uid="{17A75689-4958-4F82-B88C-6E6A3EFA0A64}"/>
    <cellStyle name="Comma 3" xfId="24" xr:uid="{AA214454-5F39-4EEF-BAA0-FFA59EF6CC8F}"/>
    <cellStyle name="Comma 4" xfId="27" xr:uid="{3C0DA78D-A316-43C0-9B4B-89713F62D55B}"/>
    <cellStyle name="Comma 5" xfId="32" xr:uid="{84711C15-4A3D-4197-BE4A-F3683A178627}"/>
    <cellStyle name="Comma 6" xfId="11" xr:uid="{04063673-F6E6-4EC3-AE85-10D83B8C793C}"/>
    <cellStyle name="Comma 6 2" xfId="21" xr:uid="{E81CF805-EF40-4755-9054-753AF6B7ECC8}"/>
    <cellStyle name="Currency" xfId="6" builtinId="4"/>
    <cellStyle name="Currency 2" xfId="19" xr:uid="{093EA387-772D-49E1-BD48-09F9067FCD3B}"/>
    <cellStyle name="Currency 2 2" xfId="23" xr:uid="{F2CB2109-C8DB-4A70-A7FB-B99B838A9040}"/>
    <cellStyle name="Heading 1 2" xfId="29" xr:uid="{8396EEC2-C0F2-4022-A41B-1E7F5A51DAB6}"/>
    <cellStyle name="Heading 1 5" xfId="8" xr:uid="{2429162B-E8FF-4A24-8B94-4EC5F00C2FD4}"/>
    <cellStyle name="Heading 2 2" xfId="30" xr:uid="{585DF2CF-2290-4A23-A149-BF0B024218C5}"/>
    <cellStyle name="Heading 2 4" xfId="9" xr:uid="{AD00EC5B-BE0C-46E3-8C53-ADB7C655DE86}"/>
    <cellStyle name="Heading 3 2" xfId="31" xr:uid="{9560A922-8A21-4ABE-A697-F9E90CFA1F2E}"/>
    <cellStyle name="Hyperlink" xfId="4" builtinId="8"/>
    <cellStyle name="Normal" xfId="0" builtinId="0"/>
    <cellStyle name="Normal 14" xfId="10" xr:uid="{9A47C055-16D0-4E3D-95EC-2342C8AC09DC}"/>
    <cellStyle name="Normal 14 2" xfId="13" xr:uid="{FAFE29BC-68AF-49D1-8B49-6E5D785977D6}"/>
    <cellStyle name="Normal 14 3" xfId="20" xr:uid="{D8C893D5-2B3D-46AB-9763-CD9E877B0D04}"/>
    <cellStyle name="Normal 2" xfId="14" xr:uid="{DEDC0598-1AD4-4358-BF60-A5A56EAAC3D9}"/>
    <cellStyle name="Normal 22" xfId="12" xr:uid="{756BDDBC-65B5-4A36-AE5F-9EDFB65037EA}"/>
    <cellStyle name="Normal 25" xfId="3" xr:uid="{D79DCCCD-35DF-4A5A-8619-1F4D7BEB1EA4}"/>
    <cellStyle name="Normal 25 2" xfId="25" xr:uid="{7A699A1A-641F-4B0D-A499-A6F74060B0A0}"/>
    <cellStyle name="Normal 27" xfId="7" xr:uid="{1C8D5F9E-8634-4A1D-BC0C-F58E39D96B2B}"/>
    <cellStyle name="Normal 3" xfId="17" xr:uid="{D9D524ED-1842-4454-8F52-7C3122C47B5A}"/>
    <cellStyle name="Normal 3 2" xfId="22" xr:uid="{CA2B246D-D63C-49AD-8745-ABC37A710A7B}"/>
    <cellStyle name="Normal 4" xfId="26" xr:uid="{D74B9BC1-A7E0-48DC-BDD5-EEB58ACB3205}"/>
    <cellStyle name="Normal 5" xfId="28" xr:uid="{513DE0F8-C815-41E0-A03F-5D74565FD1B3}"/>
    <cellStyle name="Normal 6" xfId="34" xr:uid="{81BF6676-3ACF-4FD7-8639-620EB80D7E80}"/>
    <cellStyle name="Percent" xfId="2" builtinId="5"/>
    <cellStyle name="Percent 2" xfId="16" xr:uid="{7EB2E8AC-01B6-4C10-8285-C33DF38EE5EE}"/>
    <cellStyle name="Percent 3" xfId="18" xr:uid="{1D3F073C-98AD-41B8-82C2-10BD13FBF2E5}"/>
    <cellStyle name="Percent 4" xfId="33" xr:uid="{DB22078C-32F6-420A-B67C-5417D112474B}"/>
    <cellStyle name="Percent 5" xfId="35" xr:uid="{062D3805-8A8C-43EE-A8B0-0FB817344D74}"/>
    <cellStyle name="Percent 6" xfId="5" xr:uid="{81F97ABE-08C6-40EC-A51D-66573C18153B}"/>
  </cellStyles>
  <dxfs count="1742">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ill>
        <patternFill>
          <bgColor theme="0" tint="-0.2499465926084170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FF00"/>
      </font>
      <fill>
        <patternFill>
          <bgColor theme="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FFFF00"/>
      </font>
      <fill>
        <patternFill>
          <bgColor theme="9" tint="-0.49998474074526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2"/>
        <color auto="1"/>
        <name val="Calibri"/>
        <family val="2"/>
        <scheme val="minor"/>
      </font>
      <numFmt numFmtId="164" formatCode="_(* #,##0_);_(* \(#,##0\);_(* &quot;-&quot;??_);_(@_)"/>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164" formatCode="_(* #,##0_);_(* \(#,##0\);_(* &quot;-&quot;??_);_(@_)"/>
      <fill>
        <patternFill patternType="none">
          <fgColor indexed="64"/>
          <bgColor auto="1"/>
        </patternFill>
      </fill>
    </dxf>
    <dxf>
      <font>
        <b val="0"/>
        <i val="0"/>
        <strike val="0"/>
        <condense val="0"/>
        <extend val="0"/>
        <outline val="0"/>
        <shadow val="0"/>
        <u val="none"/>
        <vertAlign val="baseline"/>
        <sz val="12"/>
        <color auto="1"/>
        <name val="Calibri"/>
        <family val="2"/>
        <scheme val="minor"/>
      </font>
      <fill>
        <patternFill patternType="none">
          <fgColor indexed="64"/>
          <bgColor auto="1"/>
        </patternFill>
      </fill>
    </dxf>
    <dxf>
      <font>
        <b/>
        <i val="0"/>
        <strike val="0"/>
        <condense val="0"/>
        <extend val="0"/>
        <outline val="0"/>
        <shadow val="0"/>
        <u val="none"/>
        <vertAlign val="baseline"/>
        <sz val="12"/>
        <color auto="1"/>
        <name val="Calibri"/>
        <family val="2"/>
        <scheme val="minor"/>
      </font>
      <numFmt numFmtId="25" formatCode="h:mm"/>
      <fill>
        <patternFill patternType="none">
          <fgColor indexed="64"/>
          <bgColor auto="1"/>
        </patternFill>
      </fill>
    </dxf>
    <dxf>
      <font>
        <b val="0"/>
        <i val="0"/>
        <strike val="0"/>
        <condense val="0"/>
        <extend val="0"/>
        <outline val="0"/>
        <shadow val="0"/>
        <u val="none"/>
        <vertAlign val="baseline"/>
        <sz val="12"/>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25" formatCode="h:mm"/>
      <fill>
        <patternFill patternType="none">
          <fgColor indexed="64"/>
          <bgColor auto="1"/>
        </patternFill>
      </fill>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numFmt numFmtId="0" formatCode="General"/>
      <fill>
        <patternFill patternType="none">
          <fgColor indexed="64"/>
          <bgColor auto="1"/>
        </patternFill>
      </fill>
    </dxf>
    <dxf>
      <border outline="0">
        <left style="thin">
          <color indexed="64"/>
        </left>
        <top style="thin">
          <color indexed="64"/>
        </top>
        <bottom style="thin">
          <color indexed="64"/>
        </bottom>
      </border>
    </dxf>
    <dxf>
      <fill>
        <patternFill patternType="none">
          <fgColor indexed="64"/>
          <bgColor auto="1"/>
        </patternFill>
      </fill>
    </dxf>
    <dxf>
      <border outline="0">
        <bottom style="thin">
          <color auto="1"/>
        </bottom>
      </border>
    </dxf>
    <dxf>
      <fill>
        <patternFill patternType="none">
          <fgColor indexed="64"/>
          <bgColor auto="1"/>
        </patternFill>
      </fill>
    </dxf>
    <dxf>
      <font>
        <color rgb="FF9C0006"/>
      </font>
      <fill>
        <patternFill>
          <bgColor rgb="FFFFC7CE"/>
        </patternFill>
      </fill>
    </dxf>
    <dxf>
      <numFmt numFmtId="13" formatCode="0%"/>
      <alignment horizontal="center" vertical="bottom" textRotation="0" wrapText="0" indent="0" justifyLastLine="0" shrinkToFit="0" readingOrder="0"/>
      <border diagonalUp="0" diagonalDown="0" outline="0">
        <left/>
        <right style="medium">
          <color indexed="64"/>
        </right>
        <top/>
        <bottom/>
      </border>
    </dxf>
    <dxf>
      <fill>
        <patternFill patternType="none">
          <fgColor indexed="64"/>
          <bgColor auto="1"/>
        </patternFill>
      </fill>
      <border diagonalUp="0" diagonalDown="0">
        <left/>
        <right style="medium">
          <color indexed="64"/>
        </right>
        <vertical/>
      </border>
    </dxf>
    <dxf>
      <alignment horizontal="center" vertical="bottom" textRotation="0" wrapText="0"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numFmt numFmtId="0" formatCode="General"/>
      <fill>
        <patternFill patternType="none">
          <fgColor indexed="64"/>
          <bgColor auto="1"/>
        </patternFill>
      </fill>
    </dxf>
    <dxf>
      <alignment horizontal="center" vertical="bottom" textRotation="0" wrapText="0" indent="0" justifyLastLine="0" shrinkToFit="0" readingOrder="0"/>
    </dxf>
    <dxf>
      <numFmt numFmtId="0" formatCode="General"/>
      <fill>
        <patternFill patternType="none">
          <fgColor indexed="64"/>
          <bgColor auto="1"/>
        </patternFill>
      </fill>
    </dxf>
    <dxf>
      <alignment horizontal="center" vertical="bottom" textRotation="0" wrapText="0" indent="0" justifyLastLine="0" shrinkToFit="0" readingOrder="0"/>
    </dxf>
    <dxf>
      <numFmt numFmtId="0" formatCode="General"/>
      <fill>
        <patternFill patternType="none">
          <fgColor indexed="64"/>
          <bgColor auto="1"/>
        </patternFill>
      </fill>
    </dxf>
    <dxf>
      <alignment horizontal="center" vertical="bottom" textRotation="0" wrapText="0" indent="0" justifyLastLine="0" shrinkToFit="0" readingOrder="0"/>
    </dxf>
    <dxf>
      <numFmt numFmtId="0" formatCode="General"/>
      <fill>
        <patternFill patternType="none">
          <fgColor indexed="64"/>
          <bgColor auto="1"/>
        </patternFill>
      </fill>
    </dxf>
    <dxf>
      <alignment horizontal="center" vertical="bottom" textRotation="0" wrapText="0" indent="0" justifyLastLine="0" shrinkToFit="0" readingOrder="0"/>
    </dxf>
    <dxf>
      <numFmt numFmtId="0" formatCode="General"/>
      <fill>
        <patternFill patternType="none">
          <fgColor indexed="64"/>
          <bgColor auto="1"/>
        </patternFill>
      </fill>
    </dxf>
    <dxf>
      <alignment horizontal="center" vertical="bottom" textRotation="0" wrapText="0" indent="0" justifyLastLine="0" shrinkToFit="0" readingOrder="0"/>
      <border diagonalUp="0" diagonalDown="0" outline="0">
        <left style="medium">
          <color indexed="64"/>
        </left>
        <right/>
        <top/>
        <bottom/>
      </border>
    </dxf>
    <dxf>
      <numFmt numFmtId="0" formatCode="General"/>
      <fill>
        <patternFill patternType="none">
          <fgColor indexed="64"/>
          <bgColor auto="1"/>
        </patternFill>
      </fill>
      <border diagonalUp="0" diagonalDown="0">
        <left style="medium">
          <color indexed="64"/>
        </left>
        <right/>
        <vertical/>
      </border>
    </dxf>
    <dxf>
      <numFmt numFmtId="172" formatCode="h:mm;@"/>
    </dxf>
    <dxf>
      <numFmt numFmtId="172" formatCode="h:mm;@"/>
      <fill>
        <patternFill patternType="none">
          <fgColor indexed="64"/>
          <bgColor auto="1"/>
        </patternFill>
      </fill>
    </dxf>
    <dxf>
      <numFmt numFmtId="172" formatCode="h:mm;@"/>
      <alignment horizontal="center" vertical="bottom" textRotation="0" wrapText="0" indent="0" justifyLastLine="0" shrinkToFit="0" readingOrder="0"/>
    </dxf>
    <dxf>
      <numFmt numFmtId="172" formatCode="h:mm;@"/>
      <fill>
        <patternFill patternType="none">
          <fgColor indexed="64"/>
          <bgColor auto="1"/>
        </patternFill>
      </fill>
      <alignment horizontal="center" vertical="bottom" textRotation="0" wrapText="0" indent="0" justifyLastLine="0" shrinkToFit="0" readingOrder="0"/>
    </dxf>
    <dxf>
      <numFmt numFmtId="172" formatCode="h:mm;@"/>
    </dxf>
    <dxf>
      <numFmt numFmtId="172" formatCode="h:mm;@"/>
      <fill>
        <patternFill patternType="none">
          <fgColor indexed="64"/>
          <bgColor auto="1"/>
        </patternFill>
      </fill>
    </dxf>
    <dxf>
      <numFmt numFmtId="172" formatCode="h:mm;@"/>
    </dxf>
    <dxf>
      <numFmt numFmtId="172" formatCode="h:mm;@"/>
      <fill>
        <patternFill patternType="none">
          <fgColor indexed="64"/>
          <bgColor auto="1"/>
        </patternFill>
      </fill>
    </dxf>
    <dxf>
      <numFmt numFmtId="172" formatCode="h:mm;@"/>
    </dxf>
    <dxf>
      <numFmt numFmtId="172" formatCode="h:mm;@"/>
      <fill>
        <patternFill patternType="none">
          <fgColor indexed="64"/>
          <bgColor auto="1"/>
        </patternFill>
      </fill>
    </dxf>
    <dxf>
      <numFmt numFmtId="172" formatCode="h:mm;@"/>
    </dxf>
    <dxf>
      <numFmt numFmtId="172" formatCode="h:mm;@"/>
      <fill>
        <patternFill patternType="none">
          <fgColor indexed="64"/>
          <bgColor auto="1"/>
        </patternFill>
      </fill>
    </dxf>
    <dxf>
      <numFmt numFmtId="172" formatCode="h:mm;@"/>
    </dxf>
    <dxf>
      <numFmt numFmtId="172" formatCode="h:mm;@"/>
      <fill>
        <patternFill patternType="none">
          <fgColor indexed="64"/>
          <bgColor auto="1"/>
        </patternFill>
      </fill>
    </dxf>
    <dxf>
      <numFmt numFmtId="172" formatCode="h:mm;@"/>
    </dxf>
    <dxf>
      <numFmt numFmtId="172" formatCode="h:mm;@"/>
      <fill>
        <patternFill patternType="none">
          <fgColor indexed="64"/>
          <bgColor auto="1"/>
        </patternFill>
      </fill>
    </dxf>
    <dxf>
      <numFmt numFmtId="172" formatCode="h:mm;@"/>
    </dxf>
    <dxf>
      <numFmt numFmtId="172" formatCode="h:mm;@"/>
      <fill>
        <patternFill patternType="none">
          <fgColor indexed="64"/>
          <bgColor auto="1"/>
        </patternFill>
      </fill>
    </dxf>
    <dxf>
      <numFmt numFmtId="172" formatCode="h:mm;@"/>
    </dxf>
    <dxf>
      <numFmt numFmtId="172" formatCode="h:mm;@"/>
    </dxf>
    <dxf>
      <numFmt numFmtId="172" formatCode="h:mm;@"/>
    </dxf>
    <dxf>
      <numFmt numFmtId="172" formatCode="h:mm;@"/>
      <fill>
        <patternFill patternType="none">
          <fgColor indexed="64"/>
          <bgColor auto="1"/>
        </patternFill>
      </fill>
    </dxf>
    <dxf>
      <numFmt numFmtId="172" formatCode="h:mm;@"/>
    </dxf>
    <dxf>
      <numFmt numFmtId="172" formatCode="h:mm;@"/>
      <fill>
        <patternFill patternType="none">
          <fgColor indexed="64"/>
          <bgColor auto="1"/>
        </patternFill>
      </fill>
    </dxf>
    <dxf>
      <numFmt numFmtId="172" formatCode="h:mm;@"/>
    </dxf>
    <dxf>
      <numFmt numFmtId="172" formatCode="h:mm;@"/>
      <fill>
        <patternFill patternType="none">
          <fgColor indexed="64"/>
          <bgColor auto="1"/>
        </patternFill>
      </fill>
    </dxf>
    <dxf>
      <numFmt numFmtId="172" formatCode="h:mm;@"/>
    </dxf>
    <dxf>
      <numFmt numFmtId="172" formatCode="h:mm;@"/>
      <fill>
        <patternFill patternType="none">
          <fgColor indexed="64"/>
          <bgColor auto="1"/>
        </patternFill>
      </fill>
    </dxf>
    <dxf>
      <numFmt numFmtId="171" formatCode="[$-409]h:mm\ AM/PM;@"/>
      <fill>
        <patternFill patternType="none">
          <fgColor indexed="64"/>
          <bgColor auto="1"/>
        </patternFill>
      </fill>
    </dxf>
    <dxf>
      <numFmt numFmtId="0" formatCode="General"/>
      <fill>
        <patternFill patternType="none">
          <fgColor indexed="64"/>
          <bgColor auto="1"/>
        </patternFill>
      </fill>
    </dxf>
    <dxf>
      <fill>
        <patternFill patternType="none">
          <fgColor indexed="64"/>
          <bgColor auto="1"/>
        </patternFill>
      </fill>
    </dxf>
    <dxf>
      <numFmt numFmtId="180" formatCode="dd"/>
    </dxf>
    <dxf>
      <numFmt numFmtId="180" formatCode="dd"/>
      <fill>
        <patternFill patternType="none">
          <fgColor indexed="64"/>
          <bgColor auto="1"/>
        </patternFill>
      </fill>
    </dxf>
    <dxf>
      <numFmt numFmtId="19" formatCode="m/d/yyyy"/>
      <border diagonalUp="0" diagonalDown="0" outline="0">
        <left/>
        <right style="medium">
          <color indexed="64"/>
        </right>
        <top/>
        <bottom style="medium">
          <color indexed="64"/>
        </bottom>
      </border>
    </dxf>
    <dxf>
      <numFmt numFmtId="19" formatCode="m/d/yyyy"/>
      <fill>
        <patternFill patternType="none">
          <fgColor indexed="64"/>
          <bgColor auto="1"/>
        </patternFill>
      </fill>
      <border diagonalUp="0" diagonalDown="0">
        <left/>
        <right style="medium">
          <color indexed="64"/>
        </right>
        <top/>
        <bottom/>
        <vertical/>
        <horizontal/>
      </border>
    </dxf>
    <dxf>
      <border diagonalUp="0" diagonalDown="0" outline="0">
        <left/>
        <right/>
        <top/>
        <bottom style="medium">
          <color indexed="64"/>
        </bottom>
      </border>
    </dxf>
    <dxf>
      <numFmt numFmtId="0" formatCode="General"/>
      <fill>
        <patternFill patternType="none">
          <fgColor indexed="64"/>
          <bgColor auto="1"/>
        </patternFill>
      </fill>
    </dxf>
    <dxf>
      <border diagonalUp="0" diagonalDown="0" outline="0">
        <left style="medium">
          <color indexed="64"/>
        </left>
        <right/>
        <top/>
        <bottom style="medium">
          <color indexed="64"/>
        </bottom>
      </border>
    </dxf>
    <dxf>
      <numFmt numFmtId="0" formatCode="General"/>
      <fill>
        <patternFill patternType="none">
          <fgColor indexed="64"/>
          <bgColor auto="1"/>
        </patternFill>
      </fill>
      <border diagonalUp="0" diagonalDown="0">
        <left style="medium">
          <color indexed="64"/>
        </left>
        <right/>
        <top/>
        <bottom/>
        <vertical/>
        <horizontal/>
      </border>
    </dxf>
    <dxf>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numFmt numFmtId="172" formatCode="h:mm;@"/>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b/>
        <i val="0"/>
        <strike val="0"/>
      </font>
      <numFmt numFmtId="172" formatCode="h:mm;@"/>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b/>
        <i val="0"/>
        <strike val="0"/>
      </font>
      <numFmt numFmtId="172" formatCode="h:mm;@"/>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b/>
        <i val="0"/>
        <strike val="0"/>
      </font>
      <numFmt numFmtId="172" formatCode="h:mm;@"/>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b/>
        <i val="0"/>
        <strike val="0"/>
      </font>
      <numFmt numFmtId="172" formatCode="h:mm;@"/>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b/>
        <i val="0"/>
        <strike val="0"/>
      </font>
      <numFmt numFmtId="172" formatCode="h:mm;@"/>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b/>
        <i val="0"/>
        <strike val="0"/>
      </font>
      <numFmt numFmtId="172" formatCode="h:mm;@"/>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b/>
        <i val="0"/>
        <strike val="0"/>
      </font>
      <numFmt numFmtId="172" formatCode="h:mm;@"/>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b/>
        <i val="0"/>
        <strike val="0"/>
      </font>
      <numFmt numFmtId="172" formatCode="h:mm;@"/>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b/>
        <i val="0"/>
        <strike val="0"/>
      </font>
      <numFmt numFmtId="172" formatCode="h:mm;@"/>
      <fill>
        <patternFill>
          <bgColor rgb="FFFF0000"/>
        </patternFill>
      </fill>
    </dxf>
    <dxf>
      <font>
        <b/>
        <i val="0"/>
      </font>
      <fill>
        <patternFill>
          <bgColor rgb="FF92D05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ill>
        <patternFill>
          <bgColor theme="7" tint="0.59996337778862885"/>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b/>
        <i val="0"/>
        <strike val="0"/>
      </font>
      <fill>
        <patternFill>
          <bgColor rgb="FF00B0F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4" tint="-0.24994659260841701"/>
      </font>
      <fill>
        <patternFill>
          <bgColor theme="4" tint="-0.24994659260841701"/>
        </patternFill>
      </fill>
    </dxf>
    <dxf>
      <font>
        <color rgb="FF9C0006"/>
      </font>
      <fill>
        <patternFill>
          <bgColor rgb="FFFFC7CE"/>
        </patternFill>
      </fill>
    </dxf>
    <dxf>
      <font>
        <color rgb="FF9C0006"/>
      </font>
      <fill>
        <patternFill>
          <bgColor rgb="FFFFC7CE"/>
        </patternFill>
      </fill>
    </dxf>
    <dxf>
      <font>
        <b/>
        <color theme="1"/>
      </font>
      <border>
        <bottom style="thin">
          <color rgb="FF4F81BD"/>
        </bottom>
        <vertical/>
        <horizontal/>
      </border>
    </dxf>
    <dxf>
      <font>
        <color theme="1"/>
      </font>
      <fill>
        <patternFill>
          <bgColor theme="8" tint="0.79998168889431442"/>
        </patternFill>
      </fill>
      <border>
        <left style="thin">
          <color rgb="FF4F81BD"/>
        </left>
        <right style="thin">
          <color rgb="FF4F81BD"/>
        </right>
        <top style="thin">
          <color rgb="FF4F81BD"/>
        </top>
        <bottom style="thin">
          <color rgb="FF4F81BD"/>
        </bottom>
        <vertical/>
        <horizontal/>
      </border>
    </dxf>
    <dxf>
      <font>
        <color theme="8" tint="-0.499984740745262"/>
      </font>
    </dxf>
    <dxf>
      <border>
        <left style="thick">
          <color auto="1"/>
        </left>
        <right style="thick">
          <color auto="1"/>
        </right>
        <top style="thick">
          <color auto="1"/>
        </top>
        <bottom style="thick">
          <color auto="1"/>
        </bottom>
      </border>
    </dxf>
    <dxf>
      <font>
        <color theme="0"/>
      </font>
      <fill>
        <patternFill>
          <bgColor rgb="FF00B0F0"/>
        </patternFill>
      </fill>
    </dxf>
    <dxf>
      <font>
        <color theme="0"/>
      </font>
      <fill>
        <patternFill>
          <bgColor rgb="FF002060"/>
        </patternFill>
      </fill>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val="0"/>
        <i val="0"/>
        <color theme="1"/>
      </font>
    </dxf>
    <dxf>
      <font>
        <b/>
        <color theme="1"/>
      </font>
      <border>
        <top style="double">
          <color theme="4"/>
        </top>
      </border>
    </dxf>
    <dxf>
      <font>
        <b/>
        <color theme="0"/>
      </font>
      <fill>
        <patternFill patternType="solid">
          <fgColor theme="4" tint="-0.499984740745262"/>
          <bgColor theme="4" tint="-0.499984740745262"/>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
      <fill>
        <patternFill patternType="solid">
          <fgColor theme="4" tint="0.79998168889431442"/>
          <bgColor theme="4" tint="0.79998168889431442"/>
        </patternFill>
      </fill>
    </dxf>
    <dxf>
      <fill>
        <patternFill patternType="solid">
          <fgColor theme="4" tint="0.79998168889431442"/>
          <bgColor theme="4" tint="0.79998168889431442"/>
        </patternFill>
      </fill>
    </dxf>
    <dxf>
      <font>
        <b/>
        <color theme="1"/>
      </font>
    </dxf>
    <dxf>
      <font>
        <b val="0"/>
        <i val="0"/>
        <color theme="1"/>
      </font>
    </dxf>
    <dxf>
      <font>
        <b/>
        <color theme="1"/>
      </font>
      <border>
        <top style="double">
          <color theme="4"/>
        </top>
      </border>
    </dxf>
    <dxf>
      <font>
        <b/>
        <color theme="0"/>
      </font>
      <fill>
        <patternFill patternType="solid">
          <fgColor theme="4" tint="-0.499984740745262"/>
          <bgColor theme="4" tint="-0.499984740745262"/>
        </patternFill>
      </fill>
    </dxf>
    <dxf>
      <font>
        <color theme="1"/>
      </font>
      <border>
        <left style="thin">
          <color theme="4" tint="0.39997558519241921"/>
        </left>
        <right style="thin">
          <color theme="4" tint="0.39997558519241921"/>
        </right>
        <top style="thin">
          <color theme="4" tint="0.39997558519241921"/>
        </top>
        <bottom style="thin">
          <color theme="4" tint="0.39997558519241921"/>
        </bottom>
        <horizontal style="thin">
          <color theme="4" tint="0.39997558519241921"/>
        </horizontal>
      </border>
    </dxf>
  </dxfs>
  <tableStyles count="7" defaultTableStyle="TableStyleMedium2" defaultPivotStyle="PivotStyleLight16">
    <tableStyle name="Personal monthly budget" pivot="0" count="7" xr9:uid="{723564C4-77CD-416D-979B-A658FF5C2CCB}">
      <tableStyleElement type="wholeTable" dxfId="1741"/>
      <tableStyleElement type="headerRow" dxfId="1740"/>
      <tableStyleElement type="totalRow" dxfId="1739"/>
      <tableStyleElement type="firstColumn" dxfId="1738"/>
      <tableStyleElement type="lastColumn" dxfId="1737"/>
      <tableStyleElement type="firstRowStripe" dxfId="1736"/>
      <tableStyleElement type="firstColumnStripe" dxfId="1735"/>
    </tableStyle>
    <tableStyle name="Personal monthly budget 2" pivot="0" count="7" xr9:uid="{BFEFCA76-915D-4AB3-AE1B-2E513D8F36E6}">
      <tableStyleElement type="wholeTable" dxfId="1734"/>
      <tableStyleElement type="headerRow" dxfId="1733"/>
      <tableStyleElement type="totalRow" dxfId="1732"/>
      <tableStyleElement type="firstColumn" dxfId="1731"/>
      <tableStyleElement type="lastColumn" dxfId="1730"/>
      <tableStyleElement type="firstRowStripe" dxfId="1729"/>
      <tableStyleElement type="firstColumnStripe" dxfId="1728"/>
    </tableStyle>
    <tableStyle name="PivotTable Style 1" table="0" count="2" xr9:uid="{ABC67433-8BD3-42AB-912A-DC77696287F4}">
      <tableStyleElement type="pageFieldLabels" dxfId="1727"/>
      <tableStyleElement type="pageFieldValues" dxfId="1726"/>
    </tableStyle>
    <tableStyle name="Slicer Style 1" pivot="0" table="0" count="5" xr9:uid="{B62A24A5-C7A5-420F-8ADB-4D9A3B4F691A}">
      <tableStyleElement type="wholeTable" dxfId="1725"/>
    </tableStyle>
    <tableStyle name="Slicer Style 2" pivot="0" table="0" count="1" xr9:uid="{35AF6283-3941-40DC-BEC1-493FD1028384}"/>
    <tableStyle name="Slicer Style 3" pivot="0" table="0" count="1" xr9:uid="{C3C3FDC8-928B-4CFB-BD0B-E7BA3A230FB9}">
      <tableStyleElement type="wholeTable" dxfId="1724"/>
    </tableStyle>
    <tableStyle name="SlicerStyleOther2 2" pivot="0" table="0" count="10" xr9:uid="{3F5B6065-7749-40F8-955A-0C653B09B6B8}">
      <tableStyleElement type="wholeTable" dxfId="1723"/>
      <tableStyleElement type="headerRow" dxfId="1722"/>
    </tableStyle>
  </tableStyles>
  <colors>
    <mruColors>
      <color rgb="FFFF99FF"/>
    </mruColors>
  </colors>
  <extLst>
    <ext xmlns:x14="http://schemas.microsoft.com/office/spreadsheetml/2009/9/main" uri="{46F421CA-312F-682f-3DD2-61675219B42D}">
      <x14:dxfs count="13">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theme="1"/>
          </font>
          <fill>
            <gradientFill degree="90">
              <stop position="0">
                <color rgb="FFF8E162"/>
              </stop>
              <stop position="1">
                <color rgb="FFFCF7F4"/>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D1E0F5"/>
              </stop>
              <stop position="1">
                <color rgb="FFE9F2FB"/>
              </stop>
            </gradient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A3BBDF"/>
              </stop>
              <stop position="1">
                <color rgb="FFCADEF6"/>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F2F4F6"/>
              </stop>
              <stop position="1">
                <color rgb="FFFEFEFE"/>
              </stop>
            </gradientFill>
          </fill>
          <border>
            <left style="thin">
              <color rgb="FFE0E0E0"/>
            </left>
            <right style="thin">
              <color rgb="FFE0E0E0"/>
            </right>
            <top style="thin">
              <color rgb="FFE0E0E0"/>
            </top>
            <bottom style="thin">
              <color rgb="FFE0E0E0"/>
            </bottom>
            <vertical/>
            <horizontal/>
          </border>
        </dxf>
        <dxf>
          <font>
            <color rgb="FF000000"/>
          </font>
          <fill>
            <gradientFill degree="90">
              <stop position="0">
                <color rgb="FFE8EBEE"/>
              </stop>
              <stop position="1">
                <color rgb="FFF8F8FA"/>
              </stop>
            </gradientFill>
          </fill>
          <border>
            <left style="thin">
              <color rgb="FFCCCCCC"/>
            </left>
            <right style="thin">
              <color rgb="FFCCCCCC"/>
            </right>
            <top style="thin">
              <color rgb="FFCCCCCC"/>
            </top>
            <bottom style="thin">
              <color rgb="FFCCCCCC"/>
            </bottom>
            <vertical/>
            <horizontal/>
          </border>
        </dxf>
        <dxf>
          <font>
            <color theme="8" tint="-0.499984740745262"/>
          </font>
        </dxf>
        <dxf>
          <fill>
            <patternFill>
              <bgColor theme="0" tint="-0.14996795556505021"/>
            </patternFill>
          </fill>
          <border>
            <left style="thick">
              <color theme="0" tint="-0.34998626667073579"/>
            </left>
            <right style="thick">
              <color theme="0" tint="-0.34998626667073579"/>
            </right>
            <top style="thick">
              <color theme="0" tint="-0.34998626667073579"/>
            </top>
            <bottom style="thick">
              <color theme="0" tint="-0.34998626667073579"/>
            </bottom>
          </border>
        </dxf>
        <dxf>
          <font>
            <color rgb="FFC00000"/>
          </font>
          <fill>
            <patternFill>
              <bgColor theme="0" tint="-0.14996795556505021"/>
            </patternFill>
          </fill>
          <border>
            <left style="thick">
              <color theme="0" tint="-0.24994659260841701"/>
            </left>
            <right style="thick">
              <color theme="0" tint="-0.24994659260841701"/>
            </right>
            <top style="thick">
              <color theme="0" tint="-0.24994659260841701"/>
            </top>
            <bottom style="thick">
              <color theme="0" tint="-0.24994659260841701"/>
            </bottom>
          </border>
        </dxf>
        <dxf>
          <font>
            <b/>
            <i val="0"/>
          </font>
          <fill>
            <patternFill>
              <bgColor rgb="FF00B0F0"/>
            </patternFill>
          </fill>
          <border>
            <left style="thick">
              <color theme="4" tint="-0.499984740745262"/>
            </left>
            <right style="thick">
              <color theme="4" tint="-0.499984740745262"/>
            </right>
            <top style="thick">
              <color theme="4" tint="-0.499984740745262"/>
            </top>
            <bottom style="thick">
              <color theme="4" tint="-0.499984740745262"/>
            </bottom>
          </border>
        </dxf>
        <dxf>
          <fill>
            <patternFill>
              <fgColor auto="1"/>
              <bgColor theme="8" tint="0.79998168889431442"/>
            </patternFill>
          </fill>
          <border>
            <left style="thick">
              <color theme="3" tint="-0.499984740745262"/>
            </left>
            <right style="thick">
              <color theme="3" tint="-0.499984740745262"/>
            </right>
            <top style="thick">
              <color theme="3" tint="-0.499984740745262"/>
            </top>
            <bottom style="thick">
              <color theme="3" tint="-0.499984740745262"/>
            </bottom>
          </border>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12"/>
            <x14:slicerStyleElement type="selectedItemWithData" dxfId="11"/>
            <x14:slicerStyleElement type="hoveredUnselectedItemWithData" dxfId="10"/>
            <x14:slicerStyleElement type="hoveredSelectedItemWithData" dxfId="9"/>
          </x14:slicerStyleElements>
        </x14:slicerStyle>
        <x14:slicerStyle name="Slicer Style 2">
          <x14:slicerStyleElements>
            <x14:slicerStyleElement type="selectedItemWithNoData" dxfId="8"/>
          </x14:slicerStyleElements>
        </x14:slicerStyle>
        <x14:slicerStyle name="Slicer Style 3"/>
        <x14:slicerStyle name="SlicerStyleOther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onnections" Target="connection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
          <c:y val="0"/>
          <c:w val="0.53888888888888886"/>
          <c:h val="0.89814814814814814"/>
        </c:manualLayout>
      </c:layout>
      <c:doughnutChart>
        <c:varyColors val="1"/>
        <c:dLbls>
          <c:showLegendKey val="0"/>
          <c:showVal val="0"/>
          <c:showCatName val="0"/>
          <c:showSerName val="0"/>
          <c:showPercent val="0"/>
          <c:showBubbleSize val="0"/>
          <c:showLeaderLines val="0"/>
        </c:dLbls>
        <c:firstSliceAng val="0"/>
        <c:holeSize val="6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
          <c:y val="0.10185185185185185"/>
          <c:w val="0.53888888888888886"/>
          <c:h val="0.89814814814814814"/>
        </c:manualLayout>
      </c:layout>
      <c:doughnutChart>
        <c:varyColors val="1"/>
        <c:ser>
          <c:idx val="0"/>
          <c:order val="0"/>
          <c:spPr>
            <a:solidFill>
              <a:srgbClr val="0070C0"/>
            </a:solidFill>
          </c:spPr>
          <c:dPt>
            <c:idx val="0"/>
            <c:bubble3D val="0"/>
            <c:spPr>
              <a:solidFill>
                <a:srgbClr val="0070C0"/>
              </a:solidFill>
              <a:ln w="19050">
                <a:solidFill>
                  <a:schemeClr val="lt1"/>
                </a:solidFill>
              </a:ln>
              <a:effectLst/>
            </c:spPr>
            <c:extLst>
              <c:ext xmlns:c16="http://schemas.microsoft.com/office/drawing/2014/chart" uri="{C3380CC4-5D6E-409C-BE32-E72D297353CC}">
                <c16:uniqueId val="{00000001-CD59-4CF7-8C76-FCD0B65D88B3}"/>
              </c:ext>
            </c:extLst>
          </c:dPt>
          <c:dPt>
            <c:idx val="1"/>
            <c:bubble3D val="0"/>
            <c:spPr>
              <a:solidFill>
                <a:srgbClr val="0070C0"/>
              </a:solidFill>
              <a:ln w="19050">
                <a:solidFill>
                  <a:schemeClr val="lt1"/>
                </a:solidFill>
              </a:ln>
              <a:effectLst/>
            </c:spPr>
            <c:extLst>
              <c:ext xmlns:c16="http://schemas.microsoft.com/office/drawing/2014/chart" uri="{C3380CC4-5D6E-409C-BE32-E72D297353CC}">
                <c16:uniqueId val="{00000003-CD59-4CF7-8C76-FCD0B65D88B3}"/>
              </c:ext>
            </c:extLst>
          </c:dPt>
          <c:dPt>
            <c:idx val="2"/>
            <c:bubble3D val="0"/>
            <c:spPr>
              <a:solidFill>
                <a:srgbClr val="0070C0"/>
              </a:solidFill>
              <a:ln w="19050">
                <a:solidFill>
                  <a:schemeClr val="lt1"/>
                </a:solidFill>
              </a:ln>
              <a:effectLst/>
            </c:spPr>
            <c:extLst>
              <c:ext xmlns:c16="http://schemas.microsoft.com/office/drawing/2014/chart" uri="{C3380CC4-5D6E-409C-BE32-E72D297353CC}">
                <c16:uniqueId val="{00000005-CD59-4CF7-8C76-FCD0B65D88B3}"/>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CD59-4CF7-8C76-FCD0B65D88B3}"/>
              </c:ext>
            </c:extLst>
          </c:dPt>
          <c:dPt>
            <c:idx val="4"/>
            <c:bubble3D val="0"/>
            <c:spPr>
              <a:solidFill>
                <a:srgbClr val="0070C0"/>
              </a:solidFill>
              <a:ln w="19050">
                <a:solidFill>
                  <a:schemeClr val="lt1"/>
                </a:solidFill>
              </a:ln>
              <a:effectLst/>
            </c:spPr>
            <c:extLst>
              <c:ext xmlns:c16="http://schemas.microsoft.com/office/drawing/2014/chart" uri="{C3380CC4-5D6E-409C-BE32-E72D297353CC}">
                <c16:uniqueId val="{00000009-CD59-4CF7-8C76-FCD0B65D88B3}"/>
              </c:ext>
            </c:extLst>
          </c:dPt>
          <c:dPt>
            <c:idx val="5"/>
            <c:bubble3D val="0"/>
            <c:spPr>
              <a:solidFill>
                <a:srgbClr val="0070C0"/>
              </a:solidFill>
              <a:ln w="19050">
                <a:solidFill>
                  <a:schemeClr val="lt1"/>
                </a:solidFill>
              </a:ln>
              <a:effectLst/>
            </c:spPr>
            <c:extLst>
              <c:ext xmlns:c16="http://schemas.microsoft.com/office/drawing/2014/chart" uri="{C3380CC4-5D6E-409C-BE32-E72D297353CC}">
                <c16:uniqueId val="{0000000B-CD59-4CF7-8C76-FCD0B65D88B3}"/>
              </c:ext>
            </c:extLst>
          </c:dPt>
          <c:dPt>
            <c:idx val="6"/>
            <c:bubble3D val="0"/>
            <c:spPr>
              <a:solidFill>
                <a:srgbClr val="0070C0"/>
              </a:solidFill>
              <a:ln w="19050">
                <a:solidFill>
                  <a:schemeClr val="lt1"/>
                </a:solidFill>
              </a:ln>
              <a:effectLst/>
            </c:spPr>
            <c:extLst>
              <c:ext xmlns:c16="http://schemas.microsoft.com/office/drawing/2014/chart" uri="{C3380CC4-5D6E-409C-BE32-E72D297353CC}">
                <c16:uniqueId val="{0000000D-CD59-4CF7-8C76-FCD0B65D88B3}"/>
              </c:ext>
            </c:extLst>
          </c:dPt>
          <c:dPt>
            <c:idx val="7"/>
            <c:bubble3D val="0"/>
            <c:spPr>
              <a:solidFill>
                <a:srgbClr val="0070C0"/>
              </a:solidFill>
              <a:ln w="19050">
                <a:solidFill>
                  <a:schemeClr val="lt1"/>
                </a:solidFill>
              </a:ln>
              <a:effectLst/>
            </c:spPr>
            <c:extLst>
              <c:ext xmlns:c16="http://schemas.microsoft.com/office/drawing/2014/chart" uri="{C3380CC4-5D6E-409C-BE32-E72D297353CC}">
                <c16:uniqueId val="{0000000F-CD59-4CF7-8C76-FCD0B65D88B3}"/>
              </c:ext>
            </c:extLst>
          </c:dPt>
          <c:dPt>
            <c:idx val="8"/>
            <c:bubble3D val="0"/>
            <c:spPr>
              <a:solidFill>
                <a:srgbClr val="0070C0"/>
              </a:solidFill>
              <a:ln w="19050">
                <a:solidFill>
                  <a:schemeClr val="lt1"/>
                </a:solidFill>
              </a:ln>
              <a:effectLst/>
            </c:spPr>
            <c:extLst>
              <c:ext xmlns:c16="http://schemas.microsoft.com/office/drawing/2014/chart" uri="{C3380CC4-5D6E-409C-BE32-E72D297353CC}">
                <c16:uniqueId val="{00000011-CD59-4CF7-8C76-FCD0B65D88B3}"/>
              </c:ext>
            </c:extLst>
          </c:dPt>
          <c:dPt>
            <c:idx val="9"/>
            <c:bubble3D val="0"/>
            <c:spPr>
              <a:solidFill>
                <a:srgbClr val="0070C0"/>
              </a:solidFill>
              <a:ln w="19050">
                <a:solidFill>
                  <a:schemeClr val="lt1"/>
                </a:solidFill>
              </a:ln>
              <a:effectLst/>
            </c:spPr>
            <c:extLst>
              <c:ext xmlns:c16="http://schemas.microsoft.com/office/drawing/2014/chart" uri="{C3380CC4-5D6E-409C-BE32-E72D297353CC}">
                <c16:uniqueId val="{00000013-CD59-4CF7-8C76-FCD0B65D88B3}"/>
              </c:ext>
            </c:extLst>
          </c:dPt>
          <c:dPt>
            <c:idx val="10"/>
            <c:bubble3D val="0"/>
            <c:spPr>
              <a:solidFill>
                <a:srgbClr val="0070C0"/>
              </a:solidFill>
              <a:ln w="19050">
                <a:solidFill>
                  <a:schemeClr val="lt1"/>
                </a:solidFill>
              </a:ln>
              <a:effectLst/>
            </c:spPr>
            <c:extLst>
              <c:ext xmlns:c16="http://schemas.microsoft.com/office/drawing/2014/chart" uri="{C3380CC4-5D6E-409C-BE32-E72D297353CC}">
                <c16:uniqueId val="{00000015-CD59-4CF7-8C76-FCD0B65D88B3}"/>
              </c:ext>
            </c:extLst>
          </c:dPt>
          <c:dPt>
            <c:idx val="11"/>
            <c:bubble3D val="0"/>
            <c:spPr>
              <a:solidFill>
                <a:srgbClr val="0070C0"/>
              </a:solidFill>
              <a:ln w="19050">
                <a:solidFill>
                  <a:schemeClr val="lt1"/>
                </a:solidFill>
              </a:ln>
              <a:effectLst/>
            </c:spPr>
            <c:extLst>
              <c:ext xmlns:c16="http://schemas.microsoft.com/office/drawing/2014/chart" uri="{C3380CC4-5D6E-409C-BE32-E72D297353CC}">
                <c16:uniqueId val="{00000017-CD59-4CF7-8C76-FCD0B65D88B3}"/>
              </c:ext>
            </c:extLst>
          </c:dPt>
          <c:dPt>
            <c:idx val="12"/>
            <c:bubble3D val="0"/>
            <c:spPr>
              <a:solidFill>
                <a:srgbClr val="0070C0"/>
              </a:solidFill>
              <a:ln w="19050">
                <a:solidFill>
                  <a:schemeClr val="lt1"/>
                </a:solidFill>
              </a:ln>
              <a:effectLst/>
            </c:spPr>
            <c:extLst>
              <c:ext xmlns:c16="http://schemas.microsoft.com/office/drawing/2014/chart" uri="{C3380CC4-5D6E-409C-BE32-E72D297353CC}">
                <c16:uniqueId val="{00000019-CD59-4CF7-8C76-FCD0B65D88B3}"/>
              </c:ext>
            </c:extLst>
          </c:dPt>
          <c:dPt>
            <c:idx val="13"/>
            <c:bubble3D val="0"/>
            <c:spPr>
              <a:solidFill>
                <a:srgbClr val="0070C0"/>
              </a:solidFill>
              <a:ln w="19050">
                <a:solidFill>
                  <a:schemeClr val="lt1"/>
                </a:solidFill>
              </a:ln>
              <a:effectLst/>
            </c:spPr>
            <c:extLst>
              <c:ext xmlns:c16="http://schemas.microsoft.com/office/drawing/2014/chart" uri="{C3380CC4-5D6E-409C-BE32-E72D297353CC}">
                <c16:uniqueId val="{0000001B-CD59-4CF7-8C76-FCD0B65D88B3}"/>
              </c:ext>
            </c:extLst>
          </c:dPt>
          <c:dPt>
            <c:idx val="14"/>
            <c:bubble3D val="0"/>
            <c:spPr>
              <a:solidFill>
                <a:srgbClr val="0070C0"/>
              </a:solidFill>
              <a:ln w="19050">
                <a:solidFill>
                  <a:schemeClr val="lt1"/>
                </a:solidFill>
              </a:ln>
              <a:effectLst/>
            </c:spPr>
            <c:extLst>
              <c:ext xmlns:c16="http://schemas.microsoft.com/office/drawing/2014/chart" uri="{C3380CC4-5D6E-409C-BE32-E72D297353CC}">
                <c16:uniqueId val="{0000001D-CD59-4CF7-8C76-FCD0B65D88B3}"/>
              </c:ext>
            </c:extLst>
          </c:dPt>
          <c:dPt>
            <c:idx val="15"/>
            <c:bubble3D val="0"/>
            <c:spPr>
              <a:solidFill>
                <a:srgbClr val="0070C0"/>
              </a:solidFill>
              <a:ln w="19050">
                <a:solidFill>
                  <a:schemeClr val="lt1"/>
                </a:solidFill>
              </a:ln>
              <a:effectLst/>
            </c:spPr>
            <c:extLst>
              <c:ext xmlns:c16="http://schemas.microsoft.com/office/drawing/2014/chart" uri="{C3380CC4-5D6E-409C-BE32-E72D297353CC}">
                <c16:uniqueId val="{0000001F-CD59-4CF7-8C76-FCD0B65D88B3}"/>
              </c:ext>
            </c:extLst>
          </c:dPt>
          <c:dPt>
            <c:idx val="16"/>
            <c:bubble3D val="0"/>
            <c:spPr>
              <a:solidFill>
                <a:srgbClr val="0070C0"/>
              </a:solidFill>
              <a:ln w="19050">
                <a:solidFill>
                  <a:schemeClr val="lt1"/>
                </a:solidFill>
              </a:ln>
              <a:effectLst/>
            </c:spPr>
            <c:extLst>
              <c:ext xmlns:c16="http://schemas.microsoft.com/office/drawing/2014/chart" uri="{C3380CC4-5D6E-409C-BE32-E72D297353CC}">
                <c16:uniqueId val="{00000021-CD59-4CF7-8C76-FCD0B65D88B3}"/>
              </c:ext>
            </c:extLst>
          </c:dPt>
          <c:dPt>
            <c:idx val="17"/>
            <c:bubble3D val="0"/>
            <c:spPr>
              <a:solidFill>
                <a:srgbClr val="0070C0"/>
              </a:solidFill>
              <a:ln w="19050">
                <a:solidFill>
                  <a:schemeClr val="lt1"/>
                </a:solidFill>
              </a:ln>
              <a:effectLst/>
            </c:spPr>
            <c:extLst>
              <c:ext xmlns:c16="http://schemas.microsoft.com/office/drawing/2014/chart" uri="{C3380CC4-5D6E-409C-BE32-E72D297353CC}">
                <c16:uniqueId val="{00000023-CD59-4CF7-8C76-FCD0B65D88B3}"/>
              </c:ext>
            </c:extLst>
          </c:dPt>
          <c:dPt>
            <c:idx val="18"/>
            <c:bubble3D val="0"/>
            <c:spPr>
              <a:solidFill>
                <a:srgbClr val="0070C0"/>
              </a:solidFill>
              <a:ln w="19050">
                <a:solidFill>
                  <a:schemeClr val="lt1"/>
                </a:solidFill>
              </a:ln>
              <a:effectLst/>
            </c:spPr>
            <c:extLst>
              <c:ext xmlns:c16="http://schemas.microsoft.com/office/drawing/2014/chart" uri="{C3380CC4-5D6E-409C-BE32-E72D297353CC}">
                <c16:uniqueId val="{00000025-CD59-4CF7-8C76-FCD0B65D88B3}"/>
              </c:ext>
            </c:extLst>
          </c:dPt>
          <c:val>
            <c:numLit>
              <c:formatCode>General</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Lit>
          </c:val>
          <c:extLst>
            <c:ext xmlns:c16="http://schemas.microsoft.com/office/drawing/2014/chart" uri="{C3380CC4-5D6E-409C-BE32-E72D297353CC}">
              <c16:uniqueId val="{00000026-CD59-4CF7-8C76-FCD0B65D88B3}"/>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Dashboard!$D$9</c:f>
              <c:strCache>
                <c:ptCount val="1"/>
                <c:pt idx="0">
                  <c:v>Weeks Left: 4,247</c:v>
                </c:pt>
              </c:strCache>
            </c:strRef>
          </c:tx>
          <c:dPt>
            <c:idx val="0"/>
            <c:bubble3D val="0"/>
            <c:spPr>
              <a:noFill/>
              <a:ln w="19050">
                <a:solidFill>
                  <a:schemeClr val="lt1"/>
                </a:solidFill>
              </a:ln>
              <a:effectLst/>
            </c:spPr>
            <c:extLst>
              <c:ext xmlns:c16="http://schemas.microsoft.com/office/drawing/2014/chart" uri="{C3380CC4-5D6E-409C-BE32-E72D297353CC}">
                <c16:uniqueId val="{00000028-CD59-4CF7-8C76-FCD0B65D88B3}"/>
              </c:ext>
            </c:extLst>
          </c:dPt>
          <c:dPt>
            <c:idx val="1"/>
            <c:bubble3D val="0"/>
            <c:spPr>
              <a:solidFill>
                <a:schemeClr val="bg2">
                  <a:lumMod val="50000"/>
                </a:schemeClr>
              </a:solidFill>
              <a:ln w="19050">
                <a:solidFill>
                  <a:schemeClr val="bg2">
                    <a:lumMod val="10000"/>
                    <a:alpha val="80000"/>
                  </a:schemeClr>
                </a:solidFill>
              </a:ln>
              <a:effectLst>
                <a:glow rad="228600">
                  <a:schemeClr val="accent1">
                    <a:satMod val="175000"/>
                    <a:alpha val="40000"/>
                  </a:schemeClr>
                </a:glow>
              </a:effectLst>
            </c:spPr>
            <c:extLst>
              <c:ext xmlns:c16="http://schemas.microsoft.com/office/drawing/2014/chart" uri="{C3380CC4-5D6E-409C-BE32-E72D297353CC}">
                <c16:uniqueId val="{0000002A-CD59-4CF7-8C76-FCD0B65D88B3}"/>
              </c:ext>
            </c:extLst>
          </c:dPt>
          <c:val>
            <c:numRef>
              <c:f>Dashboard!$E$9:$F$9</c:f>
              <c:numCache>
                <c:formatCode>0%</c:formatCode>
                <c:ptCount val="2"/>
                <c:pt idx="0">
                  <c:v>0.95897435897435745</c:v>
                </c:pt>
                <c:pt idx="1">
                  <c:v>4.1025641025642545E-2</c:v>
                </c:pt>
              </c:numCache>
            </c:numRef>
          </c:val>
          <c:extLst>
            <c:ext xmlns:c16="http://schemas.microsoft.com/office/drawing/2014/chart" uri="{C3380CC4-5D6E-409C-BE32-E72D297353CC}">
              <c16:uniqueId val="{0000002B-CD59-4CF7-8C76-FCD0B65D88B3}"/>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
          <c:y val="0.10185185185185185"/>
          <c:w val="0.53888888888888886"/>
          <c:h val="0.89814814814814814"/>
        </c:manualLayout>
      </c:layout>
      <c:doughnutChart>
        <c:varyColors val="1"/>
        <c:ser>
          <c:idx val="0"/>
          <c:order val="0"/>
          <c:spPr>
            <a:solidFill>
              <a:srgbClr val="C00000"/>
            </a:solidFill>
          </c:spPr>
          <c:dPt>
            <c:idx val="0"/>
            <c:bubble3D val="0"/>
            <c:spPr>
              <a:solidFill>
                <a:srgbClr val="C00000"/>
              </a:solidFill>
              <a:ln w="19050">
                <a:solidFill>
                  <a:schemeClr val="lt1"/>
                </a:solidFill>
              </a:ln>
              <a:effectLst/>
            </c:spPr>
            <c:extLst>
              <c:ext xmlns:c16="http://schemas.microsoft.com/office/drawing/2014/chart" uri="{C3380CC4-5D6E-409C-BE32-E72D297353CC}">
                <c16:uniqueId val="{00000001-AD5A-4948-A7DD-A59B33FD2EF9}"/>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AD5A-4948-A7DD-A59B33FD2EF9}"/>
              </c:ext>
            </c:extLst>
          </c:dPt>
          <c:dPt>
            <c:idx val="2"/>
            <c:bubble3D val="0"/>
            <c:spPr>
              <a:solidFill>
                <a:srgbClr val="C00000"/>
              </a:solidFill>
              <a:ln w="19050">
                <a:solidFill>
                  <a:schemeClr val="lt1"/>
                </a:solidFill>
              </a:ln>
              <a:effectLst/>
            </c:spPr>
            <c:extLst>
              <c:ext xmlns:c16="http://schemas.microsoft.com/office/drawing/2014/chart" uri="{C3380CC4-5D6E-409C-BE32-E72D297353CC}">
                <c16:uniqueId val="{00000005-AD5A-4948-A7DD-A59B33FD2EF9}"/>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AD5A-4948-A7DD-A59B33FD2EF9}"/>
              </c:ext>
            </c:extLst>
          </c:dPt>
          <c:dPt>
            <c:idx val="4"/>
            <c:bubble3D val="0"/>
            <c:spPr>
              <a:solidFill>
                <a:srgbClr val="C00000"/>
              </a:solidFill>
              <a:ln w="19050">
                <a:solidFill>
                  <a:schemeClr val="lt1"/>
                </a:solidFill>
              </a:ln>
              <a:effectLst/>
            </c:spPr>
            <c:extLst>
              <c:ext xmlns:c16="http://schemas.microsoft.com/office/drawing/2014/chart" uri="{C3380CC4-5D6E-409C-BE32-E72D297353CC}">
                <c16:uniqueId val="{00000009-AD5A-4948-A7DD-A59B33FD2EF9}"/>
              </c:ext>
            </c:extLst>
          </c:dPt>
          <c:dPt>
            <c:idx val="5"/>
            <c:bubble3D val="0"/>
            <c:spPr>
              <a:solidFill>
                <a:srgbClr val="C00000"/>
              </a:solidFill>
              <a:ln w="19050">
                <a:solidFill>
                  <a:schemeClr val="lt1"/>
                </a:solidFill>
              </a:ln>
              <a:effectLst/>
            </c:spPr>
            <c:extLst>
              <c:ext xmlns:c16="http://schemas.microsoft.com/office/drawing/2014/chart" uri="{C3380CC4-5D6E-409C-BE32-E72D297353CC}">
                <c16:uniqueId val="{0000000B-AD5A-4948-A7DD-A59B33FD2EF9}"/>
              </c:ext>
            </c:extLst>
          </c:dPt>
          <c:dPt>
            <c:idx val="6"/>
            <c:bubble3D val="0"/>
            <c:spPr>
              <a:solidFill>
                <a:srgbClr val="C00000"/>
              </a:solidFill>
              <a:ln w="19050">
                <a:solidFill>
                  <a:schemeClr val="lt1"/>
                </a:solidFill>
              </a:ln>
              <a:effectLst/>
            </c:spPr>
            <c:extLst>
              <c:ext xmlns:c16="http://schemas.microsoft.com/office/drawing/2014/chart" uri="{C3380CC4-5D6E-409C-BE32-E72D297353CC}">
                <c16:uniqueId val="{0000000D-AD5A-4948-A7DD-A59B33FD2EF9}"/>
              </c:ext>
            </c:extLst>
          </c:dPt>
          <c:dPt>
            <c:idx val="7"/>
            <c:bubble3D val="0"/>
            <c:spPr>
              <a:solidFill>
                <a:srgbClr val="C00000"/>
              </a:solidFill>
              <a:ln w="19050">
                <a:solidFill>
                  <a:schemeClr val="lt1"/>
                </a:solidFill>
              </a:ln>
              <a:effectLst/>
            </c:spPr>
            <c:extLst>
              <c:ext xmlns:c16="http://schemas.microsoft.com/office/drawing/2014/chart" uri="{C3380CC4-5D6E-409C-BE32-E72D297353CC}">
                <c16:uniqueId val="{0000000F-AD5A-4948-A7DD-A59B33FD2EF9}"/>
              </c:ext>
            </c:extLst>
          </c:dPt>
          <c:dPt>
            <c:idx val="8"/>
            <c:bubble3D val="0"/>
            <c:spPr>
              <a:solidFill>
                <a:srgbClr val="C00000"/>
              </a:solidFill>
              <a:ln w="19050">
                <a:solidFill>
                  <a:schemeClr val="lt1"/>
                </a:solidFill>
              </a:ln>
              <a:effectLst/>
            </c:spPr>
            <c:extLst>
              <c:ext xmlns:c16="http://schemas.microsoft.com/office/drawing/2014/chart" uri="{C3380CC4-5D6E-409C-BE32-E72D297353CC}">
                <c16:uniqueId val="{00000011-AD5A-4948-A7DD-A59B33FD2EF9}"/>
              </c:ext>
            </c:extLst>
          </c:dPt>
          <c:dPt>
            <c:idx val="9"/>
            <c:bubble3D val="0"/>
            <c:spPr>
              <a:solidFill>
                <a:srgbClr val="C00000"/>
              </a:solidFill>
              <a:ln w="19050">
                <a:solidFill>
                  <a:schemeClr val="lt1"/>
                </a:solidFill>
              </a:ln>
              <a:effectLst/>
            </c:spPr>
            <c:extLst>
              <c:ext xmlns:c16="http://schemas.microsoft.com/office/drawing/2014/chart" uri="{C3380CC4-5D6E-409C-BE32-E72D297353CC}">
                <c16:uniqueId val="{00000013-AD5A-4948-A7DD-A59B33FD2EF9}"/>
              </c:ext>
            </c:extLst>
          </c:dPt>
          <c:dPt>
            <c:idx val="10"/>
            <c:bubble3D val="0"/>
            <c:spPr>
              <a:solidFill>
                <a:srgbClr val="C00000"/>
              </a:solidFill>
              <a:ln w="19050">
                <a:solidFill>
                  <a:schemeClr val="lt1"/>
                </a:solidFill>
              </a:ln>
              <a:effectLst/>
            </c:spPr>
            <c:extLst>
              <c:ext xmlns:c16="http://schemas.microsoft.com/office/drawing/2014/chart" uri="{C3380CC4-5D6E-409C-BE32-E72D297353CC}">
                <c16:uniqueId val="{00000015-AD5A-4948-A7DD-A59B33FD2EF9}"/>
              </c:ext>
            </c:extLst>
          </c:dPt>
          <c:dPt>
            <c:idx val="11"/>
            <c:bubble3D val="0"/>
            <c:spPr>
              <a:solidFill>
                <a:srgbClr val="C00000"/>
              </a:solidFill>
              <a:ln w="19050">
                <a:solidFill>
                  <a:schemeClr val="lt1"/>
                </a:solidFill>
              </a:ln>
              <a:effectLst/>
            </c:spPr>
            <c:extLst>
              <c:ext xmlns:c16="http://schemas.microsoft.com/office/drawing/2014/chart" uri="{C3380CC4-5D6E-409C-BE32-E72D297353CC}">
                <c16:uniqueId val="{00000017-AD5A-4948-A7DD-A59B33FD2EF9}"/>
              </c:ext>
            </c:extLst>
          </c:dPt>
          <c:dPt>
            <c:idx val="12"/>
            <c:bubble3D val="0"/>
            <c:spPr>
              <a:solidFill>
                <a:srgbClr val="C00000"/>
              </a:solidFill>
              <a:ln w="19050">
                <a:solidFill>
                  <a:schemeClr val="lt1"/>
                </a:solidFill>
              </a:ln>
              <a:effectLst/>
            </c:spPr>
            <c:extLst>
              <c:ext xmlns:c16="http://schemas.microsoft.com/office/drawing/2014/chart" uri="{C3380CC4-5D6E-409C-BE32-E72D297353CC}">
                <c16:uniqueId val="{00000019-AD5A-4948-A7DD-A59B33FD2EF9}"/>
              </c:ext>
            </c:extLst>
          </c:dPt>
          <c:dPt>
            <c:idx val="13"/>
            <c:bubble3D val="0"/>
            <c:spPr>
              <a:solidFill>
                <a:srgbClr val="C00000"/>
              </a:solidFill>
              <a:ln w="19050">
                <a:solidFill>
                  <a:schemeClr val="lt1"/>
                </a:solidFill>
              </a:ln>
              <a:effectLst/>
            </c:spPr>
            <c:extLst>
              <c:ext xmlns:c16="http://schemas.microsoft.com/office/drawing/2014/chart" uri="{C3380CC4-5D6E-409C-BE32-E72D297353CC}">
                <c16:uniqueId val="{0000001B-AD5A-4948-A7DD-A59B33FD2EF9}"/>
              </c:ext>
            </c:extLst>
          </c:dPt>
          <c:dPt>
            <c:idx val="14"/>
            <c:bubble3D val="0"/>
            <c:spPr>
              <a:solidFill>
                <a:srgbClr val="C00000"/>
              </a:solidFill>
              <a:ln w="19050">
                <a:solidFill>
                  <a:schemeClr val="lt1"/>
                </a:solidFill>
              </a:ln>
              <a:effectLst/>
            </c:spPr>
            <c:extLst>
              <c:ext xmlns:c16="http://schemas.microsoft.com/office/drawing/2014/chart" uri="{C3380CC4-5D6E-409C-BE32-E72D297353CC}">
                <c16:uniqueId val="{0000001D-AD5A-4948-A7DD-A59B33FD2EF9}"/>
              </c:ext>
            </c:extLst>
          </c:dPt>
          <c:dPt>
            <c:idx val="15"/>
            <c:bubble3D val="0"/>
            <c:spPr>
              <a:solidFill>
                <a:srgbClr val="C00000"/>
              </a:solidFill>
              <a:ln w="19050">
                <a:solidFill>
                  <a:schemeClr val="lt1"/>
                </a:solidFill>
              </a:ln>
              <a:effectLst/>
            </c:spPr>
            <c:extLst>
              <c:ext xmlns:c16="http://schemas.microsoft.com/office/drawing/2014/chart" uri="{C3380CC4-5D6E-409C-BE32-E72D297353CC}">
                <c16:uniqueId val="{0000001F-AD5A-4948-A7DD-A59B33FD2EF9}"/>
              </c:ext>
            </c:extLst>
          </c:dPt>
          <c:dPt>
            <c:idx val="16"/>
            <c:bubble3D val="0"/>
            <c:spPr>
              <a:solidFill>
                <a:srgbClr val="C00000"/>
              </a:solidFill>
              <a:ln w="19050">
                <a:solidFill>
                  <a:schemeClr val="lt1"/>
                </a:solidFill>
              </a:ln>
              <a:effectLst/>
            </c:spPr>
            <c:extLst>
              <c:ext xmlns:c16="http://schemas.microsoft.com/office/drawing/2014/chart" uri="{C3380CC4-5D6E-409C-BE32-E72D297353CC}">
                <c16:uniqueId val="{00000021-AD5A-4948-A7DD-A59B33FD2EF9}"/>
              </c:ext>
            </c:extLst>
          </c:dPt>
          <c:dPt>
            <c:idx val="17"/>
            <c:bubble3D val="0"/>
            <c:spPr>
              <a:solidFill>
                <a:srgbClr val="C00000"/>
              </a:solidFill>
              <a:ln w="19050">
                <a:solidFill>
                  <a:schemeClr val="lt1"/>
                </a:solidFill>
              </a:ln>
              <a:effectLst/>
            </c:spPr>
            <c:extLst>
              <c:ext xmlns:c16="http://schemas.microsoft.com/office/drawing/2014/chart" uri="{C3380CC4-5D6E-409C-BE32-E72D297353CC}">
                <c16:uniqueId val="{00000023-AD5A-4948-A7DD-A59B33FD2EF9}"/>
              </c:ext>
            </c:extLst>
          </c:dPt>
          <c:dPt>
            <c:idx val="18"/>
            <c:bubble3D val="0"/>
            <c:spPr>
              <a:solidFill>
                <a:srgbClr val="C00000"/>
              </a:solidFill>
              <a:ln w="19050">
                <a:solidFill>
                  <a:schemeClr val="lt1"/>
                </a:solidFill>
              </a:ln>
              <a:effectLst/>
            </c:spPr>
            <c:extLst>
              <c:ext xmlns:c16="http://schemas.microsoft.com/office/drawing/2014/chart" uri="{C3380CC4-5D6E-409C-BE32-E72D297353CC}">
                <c16:uniqueId val="{00000025-AD5A-4948-A7DD-A59B33FD2EF9}"/>
              </c:ext>
            </c:extLst>
          </c:dPt>
          <c:val>
            <c:numLit>
              <c:formatCode>General</c:formatCode>
              <c:ptCount val="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numLit>
          </c:val>
          <c:extLst>
            <c:ext xmlns:c16="http://schemas.microsoft.com/office/drawing/2014/chart" uri="{C3380CC4-5D6E-409C-BE32-E72D297353CC}">
              <c16:uniqueId val="{00000026-AD5A-4948-A7DD-A59B33FD2EF9}"/>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Dashboard!$D$10</c:f>
              <c:strCache>
                <c:ptCount val="1"/>
                <c:pt idx="0">
                  <c:v>Weeks Gone: 191</c:v>
                </c:pt>
              </c:strCache>
            </c:strRef>
          </c:tx>
          <c:spPr>
            <a:solidFill>
              <a:schemeClr val="accent1"/>
            </a:solidFill>
          </c:spPr>
          <c:dPt>
            <c:idx val="0"/>
            <c:bubble3D val="0"/>
            <c:spPr>
              <a:solidFill>
                <a:schemeClr val="bg1">
                  <a:alpha val="14000"/>
                </a:schemeClr>
              </a:solidFill>
              <a:ln w="19050">
                <a:solidFill>
                  <a:schemeClr val="bg2">
                    <a:lumMod val="10000"/>
                    <a:alpha val="79000"/>
                  </a:schemeClr>
                </a:solidFill>
              </a:ln>
              <a:effectLst/>
            </c:spPr>
            <c:extLst>
              <c:ext xmlns:c16="http://schemas.microsoft.com/office/drawing/2014/chart" uri="{C3380CC4-5D6E-409C-BE32-E72D297353CC}">
                <c16:uniqueId val="{00000028-AD5A-4948-A7DD-A59B33FD2EF9}"/>
              </c:ext>
            </c:extLst>
          </c:dPt>
          <c:dPt>
            <c:idx val="1"/>
            <c:bubble3D val="0"/>
            <c:spPr>
              <a:solidFill>
                <a:schemeClr val="bg2">
                  <a:lumMod val="50000"/>
                </a:schemeClr>
              </a:solidFill>
              <a:ln w="19050">
                <a:noFill/>
              </a:ln>
              <a:effectLst>
                <a:glow rad="63500">
                  <a:schemeClr val="accent1">
                    <a:satMod val="175000"/>
                    <a:alpha val="40000"/>
                  </a:schemeClr>
                </a:glow>
              </a:effectLst>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2A-AD5A-4948-A7DD-A59B33FD2EF9}"/>
              </c:ext>
            </c:extLst>
          </c:dPt>
          <c:val>
            <c:numRef>
              <c:f>Dashboard!$E$10:$F$10</c:f>
              <c:numCache>
                <c:formatCode>0%</c:formatCode>
                <c:ptCount val="2"/>
                <c:pt idx="0">
                  <c:v>4.1025641025641026E-2</c:v>
                </c:pt>
                <c:pt idx="1">
                  <c:v>0.95897435897435901</c:v>
                </c:pt>
              </c:numCache>
            </c:numRef>
          </c:val>
          <c:extLst>
            <c:ext xmlns:c16="http://schemas.microsoft.com/office/drawing/2014/chart" uri="{C3380CC4-5D6E-409C-BE32-E72D297353CC}">
              <c16:uniqueId val="{0000002B-AD5A-4948-A7DD-A59B33FD2EF9}"/>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[LifeCalendar7.28.2023.CC.xlsx]Pivot!In Bed</c:name>
    <c:fmtId val="9"/>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In Bed</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6">
              <a:lumMod val="5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solidFill>
              <a:srgbClr val="FFFF00"/>
            </a:solid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solidFill>
              <a:srgbClr val="FFFF00"/>
            </a:solid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6">
              <a:lumMod val="5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solidFill>
              <a:srgbClr val="FFFF00"/>
            </a:solid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6">
              <a:lumMod val="5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solidFill>
              <a:srgbClr val="FFFF00"/>
            </a:solid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6">
              <a:lumMod val="50000"/>
            </a:schemeClr>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Pivot!$F$2:$F$3</c:f>
              <c:strCache>
                <c:ptCount val="1"/>
                <c:pt idx="0">
                  <c:v>2022</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solidFill>
                <a:srgbClr val="FFFF00"/>
              </a:solidFill>
            </a:ln>
            <a:effectLst>
              <a:outerShdw blurRad="57150" dist="19050" dir="5400000" algn="ctr" rotWithShape="0">
                <a:srgbClr val="000000">
                  <a:alpha val="63000"/>
                </a:srgbClr>
              </a:outerShdw>
            </a:effectLst>
          </c:spPr>
          <c:invertIfNegative val="0"/>
          <c:cat>
            <c:strRef>
              <c:f>Pivot!$E$4:$E$5</c:f>
              <c:strCache>
                <c:ptCount val="2"/>
                <c:pt idx="0">
                  <c:v>31</c:v>
                </c:pt>
                <c:pt idx="1">
                  <c:v>32</c:v>
                </c:pt>
              </c:strCache>
            </c:strRef>
          </c:cat>
          <c:val>
            <c:numRef>
              <c:f>Pivot!$F$4:$F$5</c:f>
              <c:numCache>
                <c:formatCode>h:mm;@</c:formatCode>
                <c:ptCount val="2"/>
                <c:pt idx="0">
                  <c:v>0.83333333333333337</c:v>
                </c:pt>
                <c:pt idx="1">
                  <c:v>0.87499999999999989</c:v>
                </c:pt>
              </c:numCache>
            </c:numRef>
          </c:val>
          <c:extLst>
            <c:ext xmlns:c16="http://schemas.microsoft.com/office/drawing/2014/chart" uri="{C3380CC4-5D6E-409C-BE32-E72D297353CC}">
              <c16:uniqueId val="{00000000-1725-4F97-BFB0-DF87ACDD2975}"/>
            </c:ext>
          </c:extLst>
        </c:ser>
        <c:ser>
          <c:idx val="1"/>
          <c:order val="1"/>
          <c:tx>
            <c:strRef>
              <c:f>Pivot!$G$2:$G$3</c:f>
              <c:strCache>
                <c:ptCount val="1"/>
                <c:pt idx="0">
                  <c:v>2023</c:v>
                </c:pt>
              </c:strCache>
            </c:strRef>
          </c:tx>
          <c:spPr>
            <a:solidFill>
              <a:schemeClr val="accent6">
                <a:lumMod val="50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Pivot!$E$4:$E$5</c:f>
              <c:strCache>
                <c:ptCount val="2"/>
                <c:pt idx="0">
                  <c:v>31</c:v>
                </c:pt>
                <c:pt idx="1">
                  <c:v>32</c:v>
                </c:pt>
              </c:strCache>
            </c:strRef>
          </c:cat>
          <c:val>
            <c:numRef>
              <c:f>Pivot!$G$4:$G$5</c:f>
              <c:numCache>
                <c:formatCode>h:mm;@</c:formatCode>
                <c:ptCount val="2"/>
                <c:pt idx="0">
                  <c:v>0.87946428571428581</c:v>
                </c:pt>
                <c:pt idx="1">
                  <c:v>0.86904761904761896</c:v>
                </c:pt>
              </c:numCache>
            </c:numRef>
          </c:val>
          <c:extLst>
            <c:ext xmlns:c16="http://schemas.microsoft.com/office/drawing/2014/chart" uri="{C3380CC4-5D6E-409C-BE32-E72D297353CC}">
              <c16:uniqueId val="{00000001-1725-4F97-BFB0-DF87ACDD2975}"/>
            </c:ext>
          </c:extLst>
        </c:ser>
        <c:dLbls>
          <c:showLegendKey val="0"/>
          <c:showVal val="0"/>
          <c:showCatName val="0"/>
          <c:showSerName val="0"/>
          <c:showPercent val="0"/>
          <c:showBubbleSize val="0"/>
        </c:dLbls>
        <c:gapWidth val="150"/>
        <c:axId val="1013804864"/>
        <c:axId val="1013805920"/>
      </c:barChart>
      <c:catAx>
        <c:axId val="1013804864"/>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1013805920"/>
        <c:crosses val="autoZero"/>
        <c:auto val="1"/>
        <c:lblAlgn val="ctr"/>
        <c:lblOffset val="100"/>
        <c:noMultiLvlLbl val="0"/>
      </c:catAx>
      <c:valAx>
        <c:axId val="1013805920"/>
        <c:scaling>
          <c:orientation val="minMax"/>
          <c:min val="0.30000000000000004"/>
        </c:scaling>
        <c:delete val="0"/>
        <c:axPos val="l"/>
        <c:majorGridlines>
          <c:spPr>
            <a:ln w="9525" cap="flat" cmpd="sng" algn="ctr">
              <a:solidFill>
                <a:srgbClr val="FFC000">
                  <a:alpha val="10000"/>
                </a:srgbClr>
              </a:solidFill>
              <a:round/>
            </a:ln>
            <a:effectLst/>
          </c:spPr>
        </c:majorGridlines>
        <c:minorGridlines>
          <c:spPr>
            <a:ln>
              <a:solidFill>
                <a:srgbClr val="FF99FF">
                  <a:alpha val="5000"/>
                </a:srgbClr>
              </a:solidFill>
            </a:ln>
            <a:effectLst/>
          </c:spPr>
        </c:minorGridlines>
        <c:numFmt formatCode="h:mm;@" sourceLinked="1"/>
        <c:majorTickMark val="out"/>
        <c:minorTickMark val="none"/>
        <c:tickLblPos val="nextTo"/>
        <c:spPr>
          <a:noFill/>
          <a:ln w="9525">
            <a:solidFill>
              <a:srgbClr val="FF99FF"/>
            </a:solidFill>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1013804864"/>
        <c:crosses val="autoZero"/>
        <c:crossBetween val="between"/>
        <c:majorUnit val="0.2"/>
        <c:minorUnit val="5.000000000000001E-2"/>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1" i="0" u="none" strike="noStrike" kern="1200" baseline="0">
                <a:solidFill>
                  <a:srgbClr val="FFFF00"/>
                </a:solidFill>
                <a:latin typeface="+mn-lt"/>
                <a:ea typeface="+mn-ea"/>
                <a:cs typeface="+mn-cs"/>
              </a:defRPr>
            </a:pPr>
            <a:endParaRPr lang="en-US"/>
          </a:p>
        </c:txPr>
      </c:dTable>
      <c:spPr>
        <a:noFill/>
        <a:ln cmpd="dbl">
          <a:solidFill>
            <a:schemeClr val="bg2"/>
          </a:solidFill>
        </a:ln>
        <a:effectLst/>
      </c:spPr>
    </c:plotArea>
    <c:plotVisOnly val="1"/>
    <c:dispBlanksAs val="gap"/>
    <c:showDLblsOverMax val="0"/>
    <c:extLst/>
  </c:chart>
  <c:spPr>
    <a:solidFill>
      <a:srgbClr val="002060"/>
    </a:solidFill>
    <a:ln>
      <a:noFill/>
    </a:ln>
    <a:effectLst/>
  </c:spPr>
  <c:txPr>
    <a:bodyPr/>
    <a:lstStyle/>
    <a:p>
      <a:pPr>
        <a:defRPr b="1"/>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[LifeCalendar7.28.2023.CC.xlsx]Pivot!Row</c:name>
    <c:fmtId val="4"/>
  </c:pivotSource>
  <c:chart>
    <c:title>
      <c:tx>
        <c:rich>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r>
              <a:rPr lang="en-US"/>
              <a:t>Rowing</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Pivot!$J$2:$J$3</c:f>
              <c:strCache>
                <c:ptCount val="1"/>
                <c:pt idx="0">
                  <c:v>2022</c:v>
                </c:pt>
              </c:strCache>
            </c:strRef>
          </c:tx>
          <c:spPr>
            <a:solidFill>
              <a:schemeClr val="accent1"/>
            </a:solidFill>
            <a:ln>
              <a:solidFill>
                <a:srgbClr val="92D050"/>
              </a:solidFill>
            </a:ln>
            <a:effectLst/>
          </c:spPr>
          <c:invertIfNegative val="0"/>
          <c:cat>
            <c:strRef>
              <c:f>Pivot!$I$4:$I$5</c:f>
              <c:strCache>
                <c:ptCount val="2"/>
                <c:pt idx="0">
                  <c:v>31</c:v>
                </c:pt>
                <c:pt idx="1">
                  <c:v>32</c:v>
                </c:pt>
              </c:strCache>
            </c:strRef>
          </c:cat>
          <c:val>
            <c:numRef>
              <c:f>Pivot!$J$4:$J$5</c:f>
              <c:numCache>
                <c:formatCode>h:mm;@</c:formatCode>
                <c:ptCount val="2"/>
                <c:pt idx="0">
                  <c:v>0.22916666666666666</c:v>
                </c:pt>
                <c:pt idx="1">
                  <c:v>0.23263888888888887</c:v>
                </c:pt>
              </c:numCache>
            </c:numRef>
          </c:val>
          <c:extLst>
            <c:ext xmlns:c16="http://schemas.microsoft.com/office/drawing/2014/chart" uri="{C3380CC4-5D6E-409C-BE32-E72D297353CC}">
              <c16:uniqueId val="{00000000-1E89-424F-B07E-743847AFF35A}"/>
            </c:ext>
          </c:extLst>
        </c:ser>
        <c:ser>
          <c:idx val="1"/>
          <c:order val="1"/>
          <c:tx>
            <c:strRef>
              <c:f>Pivot!$K$2:$K$3</c:f>
              <c:strCache>
                <c:ptCount val="1"/>
                <c:pt idx="0">
                  <c:v>2023</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Pivot!$I$4:$I$5</c:f>
              <c:strCache>
                <c:ptCount val="2"/>
                <c:pt idx="0">
                  <c:v>31</c:v>
                </c:pt>
                <c:pt idx="1">
                  <c:v>32</c:v>
                </c:pt>
              </c:strCache>
            </c:strRef>
          </c:cat>
          <c:val>
            <c:numRef>
              <c:f>Pivot!$K$4:$K$5</c:f>
              <c:numCache>
                <c:formatCode>h:mm;@</c:formatCode>
                <c:ptCount val="2"/>
                <c:pt idx="0">
                  <c:v>0.22023809523809529</c:v>
                </c:pt>
                <c:pt idx="1">
                  <c:v>0.23214285714285715</c:v>
                </c:pt>
              </c:numCache>
            </c:numRef>
          </c:val>
          <c:extLst>
            <c:ext xmlns:c16="http://schemas.microsoft.com/office/drawing/2014/chart" uri="{C3380CC4-5D6E-409C-BE32-E72D297353CC}">
              <c16:uniqueId val="{00000001-1E89-424F-B07E-743847AFF35A}"/>
            </c:ext>
          </c:extLst>
        </c:ser>
        <c:dLbls>
          <c:showLegendKey val="0"/>
          <c:showVal val="0"/>
          <c:showCatName val="0"/>
          <c:showSerName val="0"/>
          <c:showPercent val="0"/>
          <c:showBubbleSize val="0"/>
        </c:dLbls>
        <c:gapWidth val="150"/>
        <c:axId val="1013844640"/>
        <c:axId val="1013848864"/>
      </c:barChart>
      <c:catAx>
        <c:axId val="10138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848864"/>
        <c:crosses val="autoZero"/>
        <c:auto val="1"/>
        <c:lblAlgn val="ctr"/>
        <c:lblOffset val="100"/>
        <c:noMultiLvlLbl val="0"/>
      </c:catAx>
      <c:valAx>
        <c:axId val="1013848864"/>
        <c:scaling>
          <c:orientation val="minMax"/>
          <c:max val="0.30000000000000004"/>
          <c:min val="-1.0000000000000002E-2"/>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FFFF00"/>
                </a:solidFill>
                <a:latin typeface="+mn-lt"/>
                <a:ea typeface="+mn-ea"/>
                <a:cs typeface="+mn-cs"/>
              </a:defRPr>
            </a:pPr>
            <a:endParaRPr lang="en-US"/>
          </a:p>
        </c:txPr>
        <c:crossAx val="1013844640"/>
        <c:crosses val="autoZero"/>
        <c:crossBetween val="between"/>
        <c:majorUnit val="5.000000000000001E-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rgbClr val="FFFF00"/>
                </a:solidFill>
                <a:latin typeface="+mn-lt"/>
                <a:ea typeface="+mn-ea"/>
                <a:cs typeface="+mn-cs"/>
              </a:defRPr>
            </a:pPr>
            <a:endParaRPr lang="en-US"/>
          </a:p>
        </c:txPr>
      </c:dTable>
      <c:spPr>
        <a:noFill/>
        <a:ln>
          <a:noFill/>
        </a:ln>
        <a:effectLst/>
      </c:spPr>
    </c:plotArea>
    <c:plotVisOnly val="1"/>
    <c:dispBlanksAs val="gap"/>
    <c:showDLblsOverMax val="0"/>
    <c:extLst/>
  </c:chart>
  <c:spPr>
    <a:solidFill>
      <a:srgbClr val="00206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[LifeCalendar7.28.2023.CC.xlsx]Pivot!Gym</c:name>
    <c:fmtId val="2"/>
  </c:pivotSource>
  <c:chart>
    <c:title>
      <c:tx>
        <c:rich>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r>
              <a:rPr lang="en-US"/>
              <a:t>Gym</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Pivot!$N$2:$N$3</c:f>
              <c:strCache>
                <c:ptCount val="1"/>
                <c:pt idx="0">
                  <c:v>2022</c:v>
                </c:pt>
              </c:strCache>
            </c:strRef>
          </c:tx>
          <c:spPr>
            <a:solidFill>
              <a:schemeClr val="accent1"/>
            </a:solidFill>
            <a:ln>
              <a:solidFill>
                <a:srgbClr val="92D050"/>
              </a:solidFill>
            </a:ln>
            <a:effectLst/>
          </c:spPr>
          <c:invertIfNegative val="0"/>
          <c:cat>
            <c:strRef>
              <c:f>Pivot!$M$4:$M$5</c:f>
              <c:strCache>
                <c:ptCount val="2"/>
                <c:pt idx="0">
                  <c:v>31</c:v>
                </c:pt>
                <c:pt idx="1">
                  <c:v>32</c:v>
                </c:pt>
              </c:strCache>
            </c:strRef>
          </c:cat>
          <c:val>
            <c:numRef>
              <c:f>Pivot!$N$4:$N$5</c:f>
              <c:numCache>
                <c:formatCode>h:mm;@</c:formatCode>
                <c:ptCount val="2"/>
                <c:pt idx="0">
                  <c:v>0.14583333333333334</c:v>
                </c:pt>
                <c:pt idx="1">
                  <c:v>0.13541666666666666</c:v>
                </c:pt>
              </c:numCache>
            </c:numRef>
          </c:val>
          <c:extLst>
            <c:ext xmlns:c16="http://schemas.microsoft.com/office/drawing/2014/chart" uri="{C3380CC4-5D6E-409C-BE32-E72D297353CC}">
              <c16:uniqueId val="{00000000-2AA7-424E-9A23-ECC48FC55082}"/>
            </c:ext>
          </c:extLst>
        </c:ser>
        <c:ser>
          <c:idx val="1"/>
          <c:order val="1"/>
          <c:tx>
            <c:strRef>
              <c:f>Pivot!$O$2:$O$3</c:f>
              <c:strCache>
                <c:ptCount val="1"/>
                <c:pt idx="0">
                  <c:v>2023</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Pivot!$M$4:$M$5</c:f>
              <c:strCache>
                <c:ptCount val="2"/>
                <c:pt idx="0">
                  <c:v>31</c:v>
                </c:pt>
                <c:pt idx="1">
                  <c:v>32</c:v>
                </c:pt>
              </c:strCache>
            </c:strRef>
          </c:cat>
          <c:val>
            <c:numRef>
              <c:f>Pivot!$O$4:$O$5</c:f>
              <c:numCache>
                <c:formatCode>h:mm;@</c:formatCode>
                <c:ptCount val="2"/>
                <c:pt idx="0">
                  <c:v>0.12797619047619049</c:v>
                </c:pt>
                <c:pt idx="1">
                  <c:v>0.13690476190476192</c:v>
                </c:pt>
              </c:numCache>
            </c:numRef>
          </c:val>
          <c:extLst>
            <c:ext xmlns:c16="http://schemas.microsoft.com/office/drawing/2014/chart" uri="{C3380CC4-5D6E-409C-BE32-E72D297353CC}">
              <c16:uniqueId val="{00000001-2AA7-424E-9A23-ECC48FC55082}"/>
            </c:ext>
          </c:extLst>
        </c:ser>
        <c:dLbls>
          <c:showLegendKey val="0"/>
          <c:showVal val="0"/>
          <c:showCatName val="0"/>
          <c:showSerName val="0"/>
          <c:showPercent val="0"/>
          <c:showBubbleSize val="0"/>
        </c:dLbls>
        <c:gapWidth val="150"/>
        <c:axId val="1013844640"/>
        <c:axId val="1013848864"/>
      </c:barChart>
      <c:catAx>
        <c:axId val="10138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848864"/>
        <c:crosses val="autoZero"/>
        <c:auto val="1"/>
        <c:lblAlgn val="ctr"/>
        <c:lblOffset val="100"/>
        <c:noMultiLvlLbl val="0"/>
      </c:catAx>
      <c:valAx>
        <c:axId val="1013848864"/>
        <c:scaling>
          <c:orientation val="minMax"/>
          <c:max val="0.30000000000000004"/>
          <c:min val="-1.0000000000000002E-2"/>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FFFF00"/>
                </a:solidFill>
                <a:latin typeface="+mn-lt"/>
                <a:ea typeface="+mn-ea"/>
                <a:cs typeface="+mn-cs"/>
              </a:defRPr>
            </a:pPr>
            <a:endParaRPr lang="en-US"/>
          </a:p>
        </c:txPr>
        <c:crossAx val="1013844640"/>
        <c:crosses val="autoZero"/>
        <c:crossBetween val="between"/>
        <c:majorUnit val="5.000000000000001E-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rgbClr val="FFFF00"/>
                </a:solidFill>
                <a:latin typeface="+mn-lt"/>
                <a:ea typeface="+mn-ea"/>
                <a:cs typeface="+mn-cs"/>
              </a:defRPr>
            </a:pPr>
            <a:endParaRPr lang="en-US"/>
          </a:p>
        </c:txPr>
      </c:dTable>
      <c:spPr>
        <a:noFill/>
        <a:ln>
          <a:noFill/>
        </a:ln>
        <a:effectLst/>
      </c:spPr>
    </c:plotArea>
    <c:plotVisOnly val="1"/>
    <c:dispBlanksAs val="gap"/>
    <c:showDLblsOverMax val="0"/>
    <c:extLst/>
  </c:chart>
  <c:spPr>
    <a:solidFill>
      <a:srgbClr val="00206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[LifeCalendar7.28.2023.CC.xlsx]Pivot!EndTime</c:name>
    <c:fmtId val="5"/>
  </c:pivotSource>
  <c:chart>
    <c:title>
      <c:tx>
        <c:rich>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r>
              <a:rPr lang="en-US"/>
              <a:t>End Time</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Pivot!$R$2:$R$3</c:f>
              <c:strCache>
                <c:ptCount val="1"/>
                <c:pt idx="0">
                  <c:v>2022</c:v>
                </c:pt>
              </c:strCache>
            </c:strRef>
          </c:tx>
          <c:spPr>
            <a:solidFill>
              <a:schemeClr val="accent1"/>
            </a:solidFill>
            <a:ln>
              <a:solidFill>
                <a:srgbClr val="92D050"/>
              </a:solidFill>
            </a:ln>
            <a:effectLst/>
          </c:spPr>
          <c:invertIfNegative val="0"/>
          <c:cat>
            <c:strRef>
              <c:f>Pivot!$Q$4:$Q$5</c:f>
              <c:strCache>
                <c:ptCount val="2"/>
                <c:pt idx="0">
                  <c:v>31</c:v>
                </c:pt>
                <c:pt idx="1">
                  <c:v>32</c:v>
                </c:pt>
              </c:strCache>
            </c:strRef>
          </c:cat>
          <c:val>
            <c:numRef>
              <c:f>Pivot!$R$4:$R$5</c:f>
              <c:numCache>
                <c:formatCode>h:mm;@</c:formatCode>
                <c:ptCount val="2"/>
                <c:pt idx="0">
                  <c:v>0.35416666666666669</c:v>
                </c:pt>
                <c:pt idx="1">
                  <c:v>0.3454861111111111</c:v>
                </c:pt>
              </c:numCache>
            </c:numRef>
          </c:val>
          <c:extLst>
            <c:ext xmlns:c16="http://schemas.microsoft.com/office/drawing/2014/chart" uri="{C3380CC4-5D6E-409C-BE32-E72D297353CC}">
              <c16:uniqueId val="{00000000-6522-4AA5-980A-D8002CEBEBF7}"/>
            </c:ext>
          </c:extLst>
        </c:ser>
        <c:ser>
          <c:idx val="1"/>
          <c:order val="1"/>
          <c:tx>
            <c:strRef>
              <c:f>Pivot!$S$2:$S$3</c:f>
              <c:strCache>
                <c:ptCount val="1"/>
                <c:pt idx="0">
                  <c:v>2023</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Pivot!$Q$4:$Q$5</c:f>
              <c:strCache>
                <c:ptCount val="2"/>
                <c:pt idx="0">
                  <c:v>31</c:v>
                </c:pt>
                <c:pt idx="1">
                  <c:v>32</c:v>
                </c:pt>
              </c:strCache>
            </c:strRef>
          </c:cat>
          <c:val>
            <c:numRef>
              <c:f>Pivot!$S$4:$S$5</c:f>
              <c:numCache>
                <c:formatCode>h:mm;@</c:formatCode>
                <c:ptCount val="2"/>
                <c:pt idx="0">
                  <c:v>0.34226190476190477</c:v>
                </c:pt>
                <c:pt idx="1">
                  <c:v>0.34672619047619041</c:v>
                </c:pt>
              </c:numCache>
            </c:numRef>
          </c:val>
          <c:extLst>
            <c:ext xmlns:c16="http://schemas.microsoft.com/office/drawing/2014/chart" uri="{C3380CC4-5D6E-409C-BE32-E72D297353CC}">
              <c16:uniqueId val="{00000001-6522-4AA5-980A-D8002CEBEBF7}"/>
            </c:ext>
          </c:extLst>
        </c:ser>
        <c:dLbls>
          <c:showLegendKey val="0"/>
          <c:showVal val="0"/>
          <c:showCatName val="0"/>
          <c:showSerName val="0"/>
          <c:showPercent val="0"/>
          <c:showBubbleSize val="0"/>
        </c:dLbls>
        <c:gapWidth val="150"/>
        <c:axId val="753117672"/>
        <c:axId val="753119432"/>
      </c:barChart>
      <c:catAx>
        <c:axId val="753117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3119432"/>
        <c:crosses val="autoZero"/>
        <c:auto val="1"/>
        <c:lblAlgn val="ctr"/>
        <c:lblOffset val="100"/>
        <c:noMultiLvlLbl val="0"/>
      </c:catAx>
      <c:valAx>
        <c:axId val="753119432"/>
        <c:scaling>
          <c:orientation val="minMax"/>
          <c:max val="0.5"/>
          <c:min val="0.1"/>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FF00"/>
                </a:solidFill>
                <a:latin typeface="+mn-lt"/>
                <a:ea typeface="+mn-ea"/>
                <a:cs typeface="+mn-cs"/>
              </a:defRPr>
            </a:pPr>
            <a:endParaRPr lang="en-US"/>
          </a:p>
        </c:txPr>
        <c:crossAx val="753117672"/>
        <c:crosses val="autoZero"/>
        <c:crossBetween val="between"/>
        <c:minorUnit val="7.0000000000000007E-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rgbClr val="FFFF00"/>
                </a:solidFill>
                <a:latin typeface="+mn-lt"/>
                <a:ea typeface="+mn-ea"/>
                <a:cs typeface="+mn-cs"/>
              </a:defRPr>
            </a:pPr>
            <a:endParaRPr lang="en-US"/>
          </a:p>
        </c:txPr>
      </c:dTable>
      <c:spPr>
        <a:noFill/>
        <a:ln>
          <a:noFill/>
        </a:ln>
        <a:effectLst/>
      </c:spPr>
    </c:plotArea>
    <c:plotVisOnly val="1"/>
    <c:dispBlanksAs val="gap"/>
    <c:showDLblsOverMax val="0"/>
    <c:extLst/>
  </c:chart>
  <c:spPr>
    <a:solidFill>
      <a:srgbClr val="00206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[LifeCalendar7.28.2023.CC.xlsx]Pivot!InBed</c:name>
    <c:fmtId val="15"/>
  </c:pivotSource>
  <c:chart>
    <c:title>
      <c:tx>
        <c:rich>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r>
              <a:rPr lang="en-US"/>
              <a:t>Wake</a:t>
            </a:r>
            <a:r>
              <a:rPr lang="en-US" baseline="0"/>
              <a:t> Up/Coffee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Pivot!$B$2:$B$3</c:f>
              <c:strCache>
                <c:ptCount val="1"/>
                <c:pt idx="0">
                  <c:v>2022</c:v>
                </c:pt>
              </c:strCache>
            </c:strRef>
          </c:tx>
          <c:spPr>
            <a:solidFill>
              <a:schemeClr val="accent1"/>
            </a:solidFill>
            <a:ln>
              <a:solidFill>
                <a:srgbClr val="92D050"/>
              </a:solidFill>
            </a:ln>
            <a:effectLst/>
          </c:spPr>
          <c:invertIfNegative val="0"/>
          <c:cat>
            <c:strRef>
              <c:f>Pivot!$A$4:$A$5</c:f>
              <c:strCache>
                <c:ptCount val="2"/>
                <c:pt idx="0">
                  <c:v>31</c:v>
                </c:pt>
                <c:pt idx="1">
                  <c:v>32</c:v>
                </c:pt>
              </c:strCache>
            </c:strRef>
          </c:cat>
          <c:val>
            <c:numRef>
              <c:f>Pivot!$B$4:$B$5</c:f>
              <c:numCache>
                <c:formatCode>h:mm;@</c:formatCode>
                <c:ptCount val="2"/>
                <c:pt idx="0">
                  <c:v>0.14583333333333334</c:v>
                </c:pt>
                <c:pt idx="1">
                  <c:v>0.13541666666666666</c:v>
                </c:pt>
              </c:numCache>
            </c:numRef>
          </c:val>
          <c:extLst>
            <c:ext xmlns:c16="http://schemas.microsoft.com/office/drawing/2014/chart" uri="{C3380CC4-5D6E-409C-BE32-E72D297353CC}">
              <c16:uniqueId val="{00000000-2411-4E83-9008-490D2A01E738}"/>
            </c:ext>
          </c:extLst>
        </c:ser>
        <c:ser>
          <c:idx val="1"/>
          <c:order val="1"/>
          <c:tx>
            <c:strRef>
              <c:f>Pivot!$C$2:$C$3</c:f>
              <c:strCache>
                <c:ptCount val="1"/>
                <c:pt idx="0">
                  <c:v>2023</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Pivot!$A$4:$A$5</c:f>
              <c:strCache>
                <c:ptCount val="2"/>
                <c:pt idx="0">
                  <c:v>31</c:v>
                </c:pt>
                <c:pt idx="1">
                  <c:v>32</c:v>
                </c:pt>
              </c:strCache>
            </c:strRef>
          </c:cat>
          <c:val>
            <c:numRef>
              <c:f>Pivot!$C$4:$C$5</c:f>
              <c:numCache>
                <c:formatCode>h:mm;@</c:formatCode>
                <c:ptCount val="2"/>
                <c:pt idx="0">
                  <c:v>0.12797619047619049</c:v>
                </c:pt>
                <c:pt idx="1">
                  <c:v>0.13690476190476192</c:v>
                </c:pt>
              </c:numCache>
            </c:numRef>
          </c:val>
          <c:extLst>
            <c:ext xmlns:c16="http://schemas.microsoft.com/office/drawing/2014/chart" uri="{C3380CC4-5D6E-409C-BE32-E72D297353CC}">
              <c16:uniqueId val="{00000001-2411-4E83-9008-490D2A01E738}"/>
            </c:ext>
          </c:extLst>
        </c:ser>
        <c:dLbls>
          <c:showLegendKey val="0"/>
          <c:showVal val="0"/>
          <c:showCatName val="0"/>
          <c:showSerName val="0"/>
          <c:showPercent val="0"/>
          <c:showBubbleSize val="0"/>
        </c:dLbls>
        <c:gapWidth val="150"/>
        <c:axId val="1013844640"/>
        <c:axId val="1013848864"/>
      </c:barChart>
      <c:catAx>
        <c:axId val="10138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848864"/>
        <c:crosses val="autoZero"/>
        <c:auto val="1"/>
        <c:lblAlgn val="ctr"/>
        <c:lblOffset val="100"/>
        <c:noMultiLvlLbl val="0"/>
      </c:catAx>
      <c:valAx>
        <c:axId val="1013848864"/>
        <c:scaling>
          <c:orientation val="minMax"/>
          <c:max val="0.30000000000000004"/>
          <c:min val="-1.0000000000000002E-2"/>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FFFF00"/>
                </a:solidFill>
                <a:latin typeface="+mn-lt"/>
                <a:ea typeface="+mn-ea"/>
                <a:cs typeface="+mn-cs"/>
              </a:defRPr>
            </a:pPr>
            <a:endParaRPr lang="en-US"/>
          </a:p>
        </c:txPr>
        <c:crossAx val="1013844640"/>
        <c:crosses val="autoZero"/>
        <c:crossBetween val="between"/>
        <c:majorUnit val="5.000000000000001E-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rgbClr val="FFFF00"/>
                </a:solidFill>
                <a:latin typeface="+mn-lt"/>
                <a:ea typeface="+mn-ea"/>
                <a:cs typeface="+mn-cs"/>
              </a:defRPr>
            </a:pPr>
            <a:endParaRPr lang="en-US"/>
          </a:p>
        </c:txPr>
      </c:dTable>
      <c:spPr>
        <a:noFill/>
        <a:ln>
          <a:noFill/>
        </a:ln>
        <a:effectLst/>
      </c:spPr>
    </c:plotArea>
    <c:plotVisOnly val="1"/>
    <c:dispBlanksAs val="gap"/>
    <c:showDLblsOverMax val="0"/>
    <c:extLst/>
  </c:chart>
  <c:spPr>
    <a:solidFill>
      <a:srgbClr val="00206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[LifeCalendar7.28.2023.CC.xlsx]Pivot!Gym</c:name>
    <c:fmtId val="4"/>
  </c:pivotSource>
  <c:chart>
    <c:title>
      <c:tx>
        <c:rich>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r>
              <a:rPr lang="en-US"/>
              <a:t>Gym</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FFFF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solidFill>
              <a:srgbClr val="92D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Pivot!$N$2:$N$3</c:f>
              <c:strCache>
                <c:ptCount val="1"/>
                <c:pt idx="0">
                  <c:v>2022</c:v>
                </c:pt>
              </c:strCache>
            </c:strRef>
          </c:tx>
          <c:spPr>
            <a:solidFill>
              <a:schemeClr val="accent1"/>
            </a:solidFill>
            <a:ln>
              <a:solidFill>
                <a:srgbClr val="92D050"/>
              </a:solidFill>
            </a:ln>
            <a:effectLst/>
          </c:spPr>
          <c:invertIfNegative val="0"/>
          <c:cat>
            <c:strRef>
              <c:f>Pivot!$M$4:$M$5</c:f>
              <c:strCache>
                <c:ptCount val="2"/>
                <c:pt idx="0">
                  <c:v>31</c:v>
                </c:pt>
                <c:pt idx="1">
                  <c:v>32</c:v>
                </c:pt>
              </c:strCache>
            </c:strRef>
          </c:cat>
          <c:val>
            <c:numRef>
              <c:f>Pivot!$N$4:$N$5</c:f>
              <c:numCache>
                <c:formatCode>h:mm;@</c:formatCode>
                <c:ptCount val="2"/>
                <c:pt idx="0">
                  <c:v>0.14583333333333334</c:v>
                </c:pt>
                <c:pt idx="1">
                  <c:v>0.13541666666666666</c:v>
                </c:pt>
              </c:numCache>
            </c:numRef>
          </c:val>
          <c:extLst>
            <c:ext xmlns:c16="http://schemas.microsoft.com/office/drawing/2014/chart" uri="{C3380CC4-5D6E-409C-BE32-E72D297353CC}">
              <c16:uniqueId val="{00000000-44EA-D643-B07E-AAC30A38B52A}"/>
            </c:ext>
          </c:extLst>
        </c:ser>
        <c:ser>
          <c:idx val="1"/>
          <c:order val="1"/>
          <c:tx>
            <c:strRef>
              <c:f>Pivot!$O$2:$O$3</c:f>
              <c:strCache>
                <c:ptCount val="1"/>
                <c:pt idx="0">
                  <c:v>2023</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Pivot!$M$4:$M$5</c:f>
              <c:strCache>
                <c:ptCount val="2"/>
                <c:pt idx="0">
                  <c:v>31</c:v>
                </c:pt>
                <c:pt idx="1">
                  <c:v>32</c:v>
                </c:pt>
              </c:strCache>
            </c:strRef>
          </c:cat>
          <c:val>
            <c:numRef>
              <c:f>Pivot!$O$4:$O$5</c:f>
              <c:numCache>
                <c:formatCode>h:mm;@</c:formatCode>
                <c:ptCount val="2"/>
                <c:pt idx="0">
                  <c:v>0.12797619047619049</c:v>
                </c:pt>
                <c:pt idx="1">
                  <c:v>0.13690476190476192</c:v>
                </c:pt>
              </c:numCache>
            </c:numRef>
          </c:val>
          <c:extLst>
            <c:ext xmlns:c16="http://schemas.microsoft.com/office/drawing/2014/chart" uri="{C3380CC4-5D6E-409C-BE32-E72D297353CC}">
              <c16:uniqueId val="{00000001-44EA-D643-B07E-AAC30A38B52A}"/>
            </c:ext>
          </c:extLst>
        </c:ser>
        <c:dLbls>
          <c:showLegendKey val="0"/>
          <c:showVal val="0"/>
          <c:showCatName val="0"/>
          <c:showSerName val="0"/>
          <c:showPercent val="0"/>
          <c:showBubbleSize val="0"/>
        </c:dLbls>
        <c:gapWidth val="150"/>
        <c:axId val="1013844640"/>
        <c:axId val="1013848864"/>
      </c:barChart>
      <c:catAx>
        <c:axId val="10138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3848864"/>
        <c:crosses val="autoZero"/>
        <c:auto val="1"/>
        <c:lblAlgn val="ctr"/>
        <c:lblOffset val="100"/>
        <c:noMultiLvlLbl val="0"/>
      </c:catAx>
      <c:valAx>
        <c:axId val="1013848864"/>
        <c:scaling>
          <c:orientation val="minMax"/>
          <c:max val="0.30000000000000004"/>
          <c:min val="-1.0000000000000002E-2"/>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rgbClr val="FFFF00"/>
                </a:solidFill>
                <a:latin typeface="+mn-lt"/>
                <a:ea typeface="+mn-ea"/>
                <a:cs typeface="+mn-cs"/>
              </a:defRPr>
            </a:pPr>
            <a:endParaRPr lang="en-US"/>
          </a:p>
        </c:txPr>
        <c:crossAx val="1013844640"/>
        <c:crosses val="autoZero"/>
        <c:crossBetween val="between"/>
        <c:majorUnit val="5.000000000000001E-2"/>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rgbClr val="FFFF00"/>
                </a:solidFill>
                <a:latin typeface="+mn-lt"/>
                <a:ea typeface="+mn-ea"/>
                <a:cs typeface="+mn-cs"/>
              </a:defRPr>
            </a:pPr>
            <a:endParaRPr lang="en-US"/>
          </a:p>
        </c:txPr>
      </c:dTable>
      <c:spPr>
        <a:noFill/>
        <a:ln>
          <a:noFill/>
        </a:ln>
        <a:effectLst/>
      </c:spPr>
    </c:plotArea>
    <c:plotVisOnly val="1"/>
    <c:dispBlanksAs val="gap"/>
    <c:showDLblsOverMax val="0"/>
    <c:extLst/>
  </c:chart>
  <c:spPr>
    <a:solidFill>
      <a:srgbClr val="002060"/>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customXml" Target="../ink/ink1.xml"/><Relationship Id="rId11" Type="http://schemas.openxmlformats.org/officeDocument/2006/relationships/image" Target="../media/image50.png"/></Relationships>
</file>

<file path=xl/drawings/_rels/drawing7.xml.rels><?xml version="1.0" encoding="UTF-8" standalone="yes"?>
<Relationships xmlns="http://schemas.openxmlformats.org/package/2006/relationships"><Relationship Id="rId3" Type="http://schemas.openxmlformats.org/officeDocument/2006/relationships/customXml" Target="../ink/ink3.xml"/><Relationship Id="rId2" Type="http://schemas.openxmlformats.org/officeDocument/2006/relationships/image" Target="../media/image15.png"/><Relationship Id="rId1" Type="http://schemas.openxmlformats.org/officeDocument/2006/relationships/customXml" Target="../ink/ink2.xml"/><Relationship Id="rId6" Type="http://schemas.openxmlformats.org/officeDocument/2006/relationships/image" Target="../media/image150.png"/><Relationship Id="rId5" Type="http://schemas.openxmlformats.org/officeDocument/2006/relationships/customXml" Target="../ink/ink4.xml"/><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customXml" Target="../ink/ink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9</xdr:col>
      <xdr:colOff>377428</xdr:colOff>
      <xdr:row>38</xdr:row>
      <xdr:rowOff>0</xdr:rowOff>
    </xdr:from>
    <xdr:to>
      <xdr:col>16</xdr:col>
      <xdr:colOff>415528</xdr:colOff>
      <xdr:row>41</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337344</xdr:colOff>
      <xdr:row>0</xdr:row>
      <xdr:rowOff>0</xdr:rowOff>
    </xdr:from>
    <xdr:to>
      <xdr:col>2</xdr:col>
      <xdr:colOff>1750230</xdr:colOff>
      <xdr:row>1</xdr:row>
      <xdr:rowOff>188014</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625" y="0"/>
          <a:ext cx="2960699" cy="386452"/>
        </a:xfrm>
        <a:prstGeom prst="rect">
          <a:avLst/>
        </a:prstGeom>
        <a:solidFill>
          <a:schemeClr val="tx1">
            <a:lumMod val="95000"/>
            <a:lumOff val="5000"/>
          </a:schemeClr>
        </a:solidFill>
        <a:ln w="9525" cmpd="sng">
          <a:solidFill>
            <a:schemeClr val="accent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400" b="1">
              <a:solidFill>
                <a:srgbClr val="FFFF00"/>
              </a:solidFill>
            </a:rPr>
            <a:t>Daily</a:t>
          </a:r>
          <a:r>
            <a:rPr lang="en-US" sz="2400" b="1" baseline="0">
              <a:solidFill>
                <a:srgbClr val="FFFF00"/>
              </a:solidFill>
            </a:rPr>
            <a:t> </a:t>
          </a:r>
          <a:r>
            <a:rPr lang="en-US" sz="2800" b="1" baseline="0">
              <a:solidFill>
                <a:srgbClr val="FFFF00"/>
              </a:solidFill>
            </a:rPr>
            <a:t>Life</a:t>
          </a:r>
          <a:r>
            <a:rPr lang="en-US" sz="2400" b="1" baseline="0">
              <a:solidFill>
                <a:srgbClr val="FFFF00"/>
              </a:solidFill>
            </a:rPr>
            <a:t> Dashboard</a:t>
          </a:r>
          <a:endParaRPr lang="en-US" sz="2400" b="1">
            <a:solidFill>
              <a:srgbClr val="FFFF00"/>
            </a:solidFill>
          </a:endParaRPr>
        </a:p>
      </xdr:txBody>
    </xdr:sp>
    <xdr:clientData/>
  </xdr:twoCellAnchor>
  <xdr:twoCellAnchor>
    <xdr:from>
      <xdr:col>1</xdr:col>
      <xdr:colOff>41293</xdr:colOff>
      <xdr:row>2</xdr:row>
      <xdr:rowOff>187325</xdr:rowOff>
    </xdr:from>
    <xdr:to>
      <xdr:col>2</xdr:col>
      <xdr:colOff>1939862</xdr:colOff>
      <xdr:row>3</xdr:row>
      <xdr:rowOff>3160</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257193" y="581025"/>
          <a:ext cx="3447969" cy="12685"/>
        </a:xfrm>
        <a:prstGeom prst="line">
          <a:avLst/>
        </a:prstGeom>
        <a:ln w="15875">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145050</xdr:colOff>
      <xdr:row>7</xdr:row>
      <xdr:rowOff>68079</xdr:rowOff>
    </xdr:from>
    <xdr:to>
      <xdr:col>2</xdr:col>
      <xdr:colOff>1953419</xdr:colOff>
      <xdr:row>16</xdr:row>
      <xdr:rowOff>30083</xdr:rowOff>
    </xdr:to>
    <xdr:grpSp>
      <xdr:nvGrpSpPr>
        <xdr:cNvPr id="10" name="Group 58">
          <a:extLst>
            <a:ext uri="{FF2B5EF4-FFF2-40B4-BE49-F238E27FC236}">
              <a16:creationId xmlns:a16="http://schemas.microsoft.com/office/drawing/2014/main" id="{00000000-0008-0000-0000-00000A000000}"/>
            </a:ext>
          </a:extLst>
        </xdr:cNvPr>
        <xdr:cNvGrpSpPr/>
      </xdr:nvGrpSpPr>
      <xdr:grpSpPr>
        <a:xfrm>
          <a:off x="1912948" y="1504045"/>
          <a:ext cx="1808369" cy="1672174"/>
          <a:chOff x="7013478" y="1110535"/>
          <a:chExt cx="2427058" cy="2045130"/>
        </a:xfrm>
      </xdr:grpSpPr>
      <xdr:graphicFrame macro="">
        <xdr:nvGraphicFramePr>
          <xdr:cNvPr id="15" name="Chart 38">
            <a:extLst>
              <a:ext uri="{FF2B5EF4-FFF2-40B4-BE49-F238E27FC236}">
                <a16:creationId xmlns:a16="http://schemas.microsoft.com/office/drawing/2014/main" id="{00000000-0008-0000-0000-00000F000000}"/>
              </a:ext>
            </a:extLst>
          </xdr:cNvPr>
          <xdr:cNvGraphicFramePr/>
        </xdr:nvGraphicFramePr>
        <xdr:xfrm>
          <a:off x="7013478" y="1110535"/>
          <a:ext cx="2427058" cy="1733928"/>
        </xdr:xfrm>
        <a:graphic>
          <a:graphicData uri="http://schemas.openxmlformats.org/drawingml/2006/chart">
            <c:chart xmlns:c="http://schemas.openxmlformats.org/drawingml/2006/chart" xmlns:r="http://schemas.openxmlformats.org/officeDocument/2006/relationships" r:id="rId2"/>
          </a:graphicData>
        </a:graphic>
      </xdr:graphicFrame>
      <xdr:sp macro="" textlink="$D$9">
        <xdr:nvSpPr>
          <xdr:cNvPr id="16" name="TextBox 56">
            <a:extLst>
              <a:ext uri="{FF2B5EF4-FFF2-40B4-BE49-F238E27FC236}">
                <a16:creationId xmlns:a16="http://schemas.microsoft.com/office/drawing/2014/main" id="{00000000-0008-0000-0000-000010000000}"/>
              </a:ext>
            </a:extLst>
          </xdr:cNvPr>
          <xdr:cNvSpPr txBox="1"/>
        </xdr:nvSpPr>
        <xdr:spPr>
          <a:xfrm>
            <a:off x="7253556" y="2754620"/>
            <a:ext cx="1964711" cy="401045"/>
          </a:xfrm>
          <a:prstGeom prst="rect">
            <a:avLst/>
          </a:prstGeom>
          <a:noFill/>
          <a:ln w="9525" cmpd="sng">
            <a:solidFill>
              <a:schemeClr val="accent1">
                <a:lumMod val="75000"/>
              </a:schemeClr>
            </a:solidFill>
          </a:ln>
          <a:effectLst>
            <a:glow rad="635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4A70C9B9-5CE0-4A05-8CD2-4326A7F99C57}" type="TxLink">
              <a:rPr lang="en-US" sz="1200" b="1" i="0" u="none" strike="noStrike">
                <a:solidFill>
                  <a:srgbClr val="F2F2F2"/>
                </a:solidFill>
                <a:latin typeface="Calibri"/>
                <a:ea typeface="Calibri"/>
                <a:cs typeface="Calibri"/>
              </a:rPr>
              <a:pPr algn="ctr"/>
              <a:t>Weeks Left: 4,247</a:t>
            </a:fld>
            <a:endParaRPr lang="en-US" sz="1600" b="1">
              <a:solidFill>
                <a:schemeClr val="accent1">
                  <a:lumMod val="20000"/>
                  <a:lumOff val="80000"/>
                </a:schemeClr>
              </a:solidFill>
              <a:latin typeface="Calibri" panose="020F0502020204030204" pitchFamily="34" charset="0"/>
              <a:ea typeface="Calibri" panose="020F0502020204030204" pitchFamily="34" charset="0"/>
              <a:cs typeface="Calibri" panose="020F0502020204030204" pitchFamily="34" charset="0"/>
            </a:endParaRPr>
          </a:p>
        </xdr:txBody>
      </xdr:sp>
    </xdr:grpSp>
    <xdr:clientData/>
  </xdr:twoCellAnchor>
  <xdr:twoCellAnchor>
    <xdr:from>
      <xdr:col>0</xdr:col>
      <xdr:colOff>206737</xdr:colOff>
      <xdr:row>7</xdr:row>
      <xdr:rowOff>52745</xdr:rowOff>
    </xdr:from>
    <xdr:to>
      <xdr:col>2</xdr:col>
      <xdr:colOff>280459</xdr:colOff>
      <xdr:row>16</xdr:row>
      <xdr:rowOff>32890</xdr:rowOff>
    </xdr:to>
    <xdr:grpSp>
      <xdr:nvGrpSpPr>
        <xdr:cNvPr id="11" name="Group 59">
          <a:extLst>
            <a:ext uri="{FF2B5EF4-FFF2-40B4-BE49-F238E27FC236}">
              <a16:creationId xmlns:a16="http://schemas.microsoft.com/office/drawing/2014/main" id="{00000000-0008-0000-0000-00000B000000}"/>
            </a:ext>
          </a:extLst>
        </xdr:cNvPr>
        <xdr:cNvGrpSpPr/>
      </xdr:nvGrpSpPr>
      <xdr:grpSpPr>
        <a:xfrm>
          <a:off x="206737" y="1488711"/>
          <a:ext cx="1841620" cy="1690315"/>
          <a:chOff x="8534400" y="757237"/>
          <a:chExt cx="1938847" cy="1663382"/>
        </a:xfrm>
      </xdr:grpSpPr>
      <xdr:graphicFrame macro="">
        <xdr:nvGraphicFramePr>
          <xdr:cNvPr id="13" name="Chart 42">
            <a:extLst>
              <a:ext uri="{FF2B5EF4-FFF2-40B4-BE49-F238E27FC236}">
                <a16:creationId xmlns:a16="http://schemas.microsoft.com/office/drawing/2014/main" id="{00000000-0008-0000-0000-00000D000000}"/>
              </a:ext>
            </a:extLst>
          </xdr:cNvPr>
          <xdr:cNvGraphicFramePr>
            <a:graphicFrameLocks/>
          </xdr:cNvGraphicFramePr>
        </xdr:nvGraphicFramePr>
        <xdr:xfrm>
          <a:off x="8534400" y="757237"/>
          <a:ext cx="1938847" cy="1347787"/>
        </xdr:xfrm>
        <a:graphic>
          <a:graphicData uri="http://schemas.openxmlformats.org/drawingml/2006/chart">
            <c:chart xmlns:c="http://schemas.openxmlformats.org/drawingml/2006/chart" xmlns:r="http://schemas.openxmlformats.org/officeDocument/2006/relationships" r:id="rId3"/>
          </a:graphicData>
        </a:graphic>
      </xdr:graphicFrame>
      <xdr:sp macro="" textlink="$D$10">
        <xdr:nvSpPr>
          <xdr:cNvPr id="14" name="TextBox 57">
            <a:extLst>
              <a:ext uri="{FF2B5EF4-FFF2-40B4-BE49-F238E27FC236}">
                <a16:creationId xmlns:a16="http://schemas.microsoft.com/office/drawing/2014/main" id="{00000000-0008-0000-0000-00000E000000}"/>
              </a:ext>
            </a:extLst>
          </xdr:cNvPr>
          <xdr:cNvSpPr txBox="1"/>
        </xdr:nvSpPr>
        <xdr:spPr>
          <a:xfrm>
            <a:off x="8608039" y="2058669"/>
            <a:ext cx="1747166" cy="361950"/>
          </a:xfrm>
          <a:prstGeom prst="rect">
            <a:avLst/>
          </a:prstGeom>
          <a:no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6C4C8B1-FE7D-47D4-ACE9-3CF9FA937BF3}" type="TxLink">
              <a:rPr lang="en-US" sz="1200" b="1" i="0" u="none" strike="noStrike">
                <a:solidFill>
                  <a:srgbClr val="F2F2F2"/>
                </a:solidFill>
                <a:latin typeface="Calibri"/>
                <a:ea typeface="Calibri"/>
                <a:cs typeface="Calibri"/>
              </a:rPr>
              <a:pPr algn="ctr"/>
              <a:t>Weeks Gone: 191</a:t>
            </a:fld>
            <a:endParaRPr lang="en-US" sz="1400" b="1">
              <a:solidFill>
                <a:schemeClr val="bg1">
                  <a:lumMod val="75000"/>
                </a:schemeClr>
              </a:solidFill>
              <a:latin typeface="+mn-lt"/>
            </a:endParaRPr>
          </a:p>
        </xdr:txBody>
      </xdr:sp>
    </xdr:grpSp>
    <xdr:clientData/>
  </xdr:twoCellAnchor>
  <xdr:twoCellAnchor>
    <xdr:from>
      <xdr:col>1</xdr:col>
      <xdr:colOff>333376</xdr:colOff>
      <xdr:row>9</xdr:row>
      <xdr:rowOff>142879</xdr:rowOff>
    </xdr:from>
    <xdr:to>
      <xdr:col>1</xdr:col>
      <xdr:colOff>1345409</xdr:colOff>
      <xdr:row>11</xdr:row>
      <xdr:rowOff>192522</xdr:rowOff>
    </xdr:to>
    <xdr:sp macro="" textlink="$E$10">
      <xdr:nvSpPr>
        <xdr:cNvPr id="12" name="TextBox 11">
          <a:extLst>
            <a:ext uri="{FF2B5EF4-FFF2-40B4-BE49-F238E27FC236}">
              <a16:creationId xmlns:a16="http://schemas.microsoft.com/office/drawing/2014/main" id="{00000000-0008-0000-0000-00000C000000}"/>
            </a:ext>
          </a:extLst>
        </xdr:cNvPr>
        <xdr:cNvSpPr txBox="1"/>
      </xdr:nvSpPr>
      <xdr:spPr>
        <a:xfrm>
          <a:off x="549276" y="1952629"/>
          <a:ext cx="1012033" cy="462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C282D2-0816-4F00-B245-9149E7B495E1}" type="TxLink">
            <a:rPr lang="en-US" sz="2000" b="0" i="0" u="none" strike="noStrike">
              <a:solidFill>
                <a:srgbClr val="F2F2F2"/>
              </a:solidFill>
              <a:latin typeface="Calibri"/>
              <a:ea typeface="Calibri"/>
              <a:cs typeface="Calibri"/>
            </a:rPr>
            <a:pPr algn="ctr"/>
            <a:t>4%</a:t>
          </a:fld>
          <a:endParaRPr lang="en-US" sz="2000" b="1">
            <a:solidFill>
              <a:srgbClr val="C00000"/>
            </a:solidFill>
          </a:endParaRPr>
        </a:p>
      </xdr:txBody>
    </xdr:sp>
    <xdr:clientData/>
  </xdr:twoCellAnchor>
  <xdr:twoCellAnchor>
    <xdr:from>
      <xdr:col>1</xdr:col>
      <xdr:colOff>16139</xdr:colOff>
      <xdr:row>2</xdr:row>
      <xdr:rowOff>13229</xdr:rowOff>
    </xdr:from>
    <xdr:to>
      <xdr:col>2</xdr:col>
      <xdr:colOff>2073540</xdr:colOff>
      <xdr:row>3</xdr:row>
      <xdr:rowOff>72762</xdr:rowOff>
    </xdr:to>
    <xdr:sp macro="" textlink="">
      <xdr:nvSpPr>
        <xdr:cNvPr id="17" name="Flowchart: Process 16">
          <a:extLst>
            <a:ext uri="{FF2B5EF4-FFF2-40B4-BE49-F238E27FC236}">
              <a16:creationId xmlns:a16="http://schemas.microsoft.com/office/drawing/2014/main" id="{00000000-0008-0000-0000-000011000000}"/>
            </a:ext>
          </a:extLst>
        </xdr:cNvPr>
        <xdr:cNvSpPr/>
      </xdr:nvSpPr>
      <xdr:spPr>
        <a:xfrm>
          <a:off x="232039" y="406929"/>
          <a:ext cx="3606801" cy="256383"/>
        </a:xfrm>
        <a:prstGeom prst="flowChartProcess">
          <a:avLst/>
        </a:prstGeom>
        <a:solidFill>
          <a:schemeClr val="tx1">
            <a:lumMod val="95000"/>
            <a:lumOff val="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Get</a:t>
          </a:r>
          <a:r>
            <a:rPr lang="en-US" sz="1200" baseline="0"/>
            <a:t> Moving: Time You have Left Til Your 85 Years Old</a:t>
          </a:r>
          <a:endParaRPr lang="en-US" sz="1200"/>
        </a:p>
      </xdr:txBody>
    </xdr:sp>
    <xdr:clientData/>
  </xdr:twoCellAnchor>
  <xdr:twoCellAnchor>
    <xdr:from>
      <xdr:col>1</xdr:col>
      <xdr:colOff>928635</xdr:colOff>
      <xdr:row>4</xdr:row>
      <xdr:rowOff>26459</xdr:rowOff>
    </xdr:from>
    <xdr:to>
      <xdr:col>2</xdr:col>
      <xdr:colOff>700616</xdr:colOff>
      <xdr:row>5</xdr:row>
      <xdr:rowOff>124202</xdr:rowOff>
    </xdr:to>
    <xdr:sp macro="" textlink="">
      <xdr:nvSpPr>
        <xdr:cNvPr id="19" name="Flowchart: Process 18">
          <a:extLst>
            <a:ext uri="{FF2B5EF4-FFF2-40B4-BE49-F238E27FC236}">
              <a16:creationId xmlns:a16="http://schemas.microsoft.com/office/drawing/2014/main" id="{00000000-0008-0000-0000-000013000000}"/>
            </a:ext>
          </a:extLst>
        </xdr:cNvPr>
        <xdr:cNvSpPr/>
      </xdr:nvSpPr>
      <xdr:spPr>
        <a:xfrm>
          <a:off x="1150885" y="830792"/>
          <a:ext cx="1327731" cy="298827"/>
        </a:xfrm>
        <a:prstGeom prst="flowChartProcess">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a:t>Years</a:t>
          </a:r>
          <a:r>
            <a:rPr lang="en-US" sz="1600" baseline="0"/>
            <a:t> To Go:</a:t>
          </a:r>
          <a:endParaRPr lang="en-US" sz="1600"/>
        </a:p>
      </xdr:txBody>
    </xdr:sp>
    <xdr:clientData/>
  </xdr:twoCellAnchor>
  <xdr:twoCellAnchor>
    <xdr:from>
      <xdr:col>1</xdr:col>
      <xdr:colOff>978318</xdr:colOff>
      <xdr:row>5</xdr:row>
      <xdr:rowOff>140167</xdr:rowOff>
    </xdr:from>
    <xdr:to>
      <xdr:col>2</xdr:col>
      <xdr:colOff>702469</xdr:colOff>
      <xdr:row>7</xdr:row>
      <xdr:rowOff>111654</xdr:rowOff>
    </xdr:to>
    <xdr:sp macro="" textlink="'Digital Life Span'!BP108">
      <xdr:nvSpPr>
        <xdr:cNvPr id="20" name="Flowchart: Off-page Connector 19">
          <a:extLst>
            <a:ext uri="{FF2B5EF4-FFF2-40B4-BE49-F238E27FC236}">
              <a16:creationId xmlns:a16="http://schemas.microsoft.com/office/drawing/2014/main" id="{00000000-0008-0000-0000-000014000000}"/>
            </a:ext>
          </a:extLst>
        </xdr:cNvPr>
        <xdr:cNvSpPr/>
      </xdr:nvSpPr>
      <xdr:spPr>
        <a:xfrm>
          <a:off x="1200568" y="1145584"/>
          <a:ext cx="1279901" cy="373653"/>
        </a:xfrm>
        <a:prstGeom prst="flowChartOffpageConnector">
          <a:avLst/>
        </a:prstGeom>
        <a:solidFill>
          <a:schemeClr val="accent1">
            <a:lumMod val="40000"/>
            <a:lumOff val="60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fld id="{F1C99827-EF4A-45BD-B920-0CC0537EB038}" type="TxLink">
            <a:rPr lang="en-US" sz="1600" b="1" i="0" u="none" strike="noStrike">
              <a:solidFill>
                <a:srgbClr val="000000"/>
              </a:solidFill>
              <a:latin typeface="Calibri"/>
              <a:ea typeface="Calibri"/>
              <a:cs typeface="Calibri"/>
            </a:rPr>
            <a:pPr algn="ctr"/>
            <a:t>Years 81</a:t>
          </a:fld>
          <a:endParaRPr lang="en-US" sz="1600"/>
        </a:p>
      </xdr:txBody>
    </xdr:sp>
    <xdr:clientData/>
  </xdr:twoCellAnchor>
  <xdr:twoCellAnchor>
    <xdr:from>
      <xdr:col>2</xdr:col>
      <xdr:colOff>939800</xdr:colOff>
      <xdr:row>3</xdr:row>
      <xdr:rowOff>139700</xdr:rowOff>
    </xdr:from>
    <xdr:to>
      <xdr:col>2</xdr:col>
      <xdr:colOff>1797050</xdr:colOff>
      <xdr:row>6</xdr:row>
      <xdr:rowOff>38100</xdr:rowOff>
    </xdr:to>
    <xdr:sp macro="" textlink="'Digital Life Span'!BP106">
      <xdr:nvSpPr>
        <xdr:cNvPr id="32" name="Flowchart: Multidocument 31">
          <a:extLst>
            <a:ext uri="{FF2B5EF4-FFF2-40B4-BE49-F238E27FC236}">
              <a16:creationId xmlns:a16="http://schemas.microsoft.com/office/drawing/2014/main" id="{00000000-0008-0000-0000-000020000000}"/>
            </a:ext>
          </a:extLst>
        </xdr:cNvPr>
        <xdr:cNvSpPr/>
      </xdr:nvSpPr>
      <xdr:spPr>
        <a:xfrm>
          <a:off x="2705100" y="730250"/>
          <a:ext cx="857250" cy="488950"/>
        </a:xfrm>
        <a:prstGeom prst="flowChartMultidocument">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E36D5AF8-1F1F-46CF-B0D6-9E60CB37034B}" type="TxLink">
            <a:rPr lang="en-US" sz="900" b="1" i="0" u="none" strike="noStrike">
              <a:solidFill>
                <a:srgbClr val="000000"/>
              </a:solidFill>
              <a:latin typeface="Calibri"/>
              <a:ea typeface="Calibri"/>
              <a:cs typeface="Calibri"/>
            </a:rPr>
            <a:pPr algn="l"/>
            <a:t>Weeks 4,247</a:t>
          </a:fld>
          <a:endParaRPr lang="en-US" sz="1100"/>
        </a:p>
      </xdr:txBody>
    </xdr:sp>
    <xdr:clientData/>
  </xdr:twoCellAnchor>
  <xdr:twoCellAnchor>
    <xdr:from>
      <xdr:col>0</xdr:col>
      <xdr:colOff>95250</xdr:colOff>
      <xdr:row>3</xdr:row>
      <xdr:rowOff>184150</xdr:rowOff>
    </xdr:from>
    <xdr:to>
      <xdr:col>1</xdr:col>
      <xdr:colOff>736600</xdr:colOff>
      <xdr:row>6</xdr:row>
      <xdr:rowOff>82550</xdr:rowOff>
    </xdr:to>
    <xdr:sp macro="" textlink="'Digital Life Span'!BP107">
      <xdr:nvSpPr>
        <xdr:cNvPr id="33" name="Flowchart: Multidocument 32">
          <a:extLst>
            <a:ext uri="{FF2B5EF4-FFF2-40B4-BE49-F238E27FC236}">
              <a16:creationId xmlns:a16="http://schemas.microsoft.com/office/drawing/2014/main" id="{00000000-0008-0000-0000-000021000000}"/>
            </a:ext>
          </a:extLst>
        </xdr:cNvPr>
        <xdr:cNvSpPr/>
      </xdr:nvSpPr>
      <xdr:spPr>
        <a:xfrm>
          <a:off x="95250" y="774700"/>
          <a:ext cx="857250" cy="488950"/>
        </a:xfrm>
        <a:prstGeom prst="flowChartMultidocumen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B6473FF9-98D1-4A03-8D52-F2FB8213380B}" type="TxLink">
            <a:rPr lang="en-US" sz="900" b="1" i="0" u="none" strike="noStrike">
              <a:solidFill>
                <a:srgbClr val="000000"/>
              </a:solidFill>
              <a:latin typeface="Calibri"/>
              <a:ea typeface="Calibri"/>
              <a:cs typeface="Calibri"/>
            </a:rPr>
            <a:pPr algn="l"/>
            <a:t>Months Left 976</a:t>
          </a:fld>
          <a:endParaRPr lang="en-US" sz="1100"/>
        </a:p>
      </xdr:txBody>
    </xdr:sp>
    <xdr:clientData/>
  </xdr:twoCellAnchor>
  <xdr:twoCellAnchor>
    <xdr:from>
      <xdr:col>0</xdr:col>
      <xdr:colOff>172749</xdr:colOff>
      <xdr:row>16</xdr:row>
      <xdr:rowOff>141914</xdr:rowOff>
    </xdr:from>
    <xdr:to>
      <xdr:col>2</xdr:col>
      <xdr:colOff>1831396</xdr:colOff>
      <xdr:row>19</xdr:row>
      <xdr:rowOff>51921</xdr:rowOff>
    </xdr:to>
    <mc:AlternateContent xmlns:mc="http://schemas.openxmlformats.org/markup-compatibility/2006" xmlns:a14="http://schemas.microsoft.com/office/drawing/2010/main">
      <mc:Choice Requires="a14">
        <xdr:graphicFrame macro="">
          <xdr:nvGraphicFramePr>
            <xdr:cNvPr id="27" name="Year">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72749" y="3251538"/>
              <a:ext cx="3422937" cy="48814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169020</xdr:colOff>
      <xdr:row>19</xdr:row>
      <xdr:rowOff>86590</xdr:rowOff>
    </xdr:from>
    <xdr:to>
      <xdr:col>2</xdr:col>
      <xdr:colOff>1837190</xdr:colOff>
      <xdr:row>30</xdr:row>
      <xdr:rowOff>173181</xdr:rowOff>
    </xdr:to>
    <mc:AlternateContent xmlns:mc="http://schemas.openxmlformats.org/markup-compatibility/2006" xmlns:a14="http://schemas.microsoft.com/office/drawing/2010/main">
      <mc:Choice Requires="a14">
        <xdr:graphicFrame macro="">
          <xdr:nvGraphicFramePr>
            <xdr:cNvPr id="18" name="Wk">
              <a:extLst>
                <a:ext uri="{FF2B5EF4-FFF2-40B4-BE49-F238E27FC236}">
                  <a16:creationId xmlns:a16="http://schemas.microsoft.com/office/drawing/2014/main" id="{00000000-0008-0000-0000-000012000000}"/>
                </a:ext>
                <a:ext uri="{147F2762-F138-4A5C-976F-8EAC2B608ADB}">
                  <a16:predDERef xmlns:a16="http://schemas.microsoft.com/office/drawing/2014/main" pred="{00000000-0008-0000-0000-00001C000000}"/>
                </a:ext>
              </a:extLst>
            </xdr:cNvPr>
            <xdr:cNvGraphicFramePr/>
          </xdr:nvGraphicFramePr>
          <xdr:xfrm>
            <a:off x="0" y="0"/>
            <a:ext cx="0" cy="0"/>
          </xdr:xfrm>
          <a:graphic>
            <a:graphicData uri="http://schemas.microsoft.com/office/drawing/2010/slicer">
              <sle:slicer xmlns:sle="http://schemas.microsoft.com/office/drawing/2010/slicer" name="Wk"/>
            </a:graphicData>
          </a:graphic>
        </xdr:graphicFrame>
      </mc:Choice>
      <mc:Fallback xmlns="">
        <xdr:sp macro="" textlink="">
          <xdr:nvSpPr>
            <xdr:cNvPr id="0" name=""/>
            <xdr:cNvSpPr>
              <a:spLocks noTextEdit="1"/>
            </xdr:cNvSpPr>
          </xdr:nvSpPr>
          <xdr:spPr>
            <a:xfrm>
              <a:off x="169020" y="3817215"/>
              <a:ext cx="3436068" cy="215755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3</xdr:col>
      <xdr:colOff>43295</xdr:colOff>
      <xdr:row>11</xdr:row>
      <xdr:rowOff>93806</xdr:rowOff>
    </xdr:from>
    <xdr:to>
      <xdr:col>9</xdr:col>
      <xdr:colOff>548409</xdr:colOff>
      <xdr:row>22</xdr:row>
      <xdr:rowOff>187612</xdr:rowOff>
    </xdr:to>
    <xdr:graphicFrame macro="">
      <xdr:nvGraphicFramePr>
        <xdr:cNvPr id="22" name="Chart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621433</xdr:colOff>
      <xdr:row>11</xdr:row>
      <xdr:rowOff>79375</xdr:rowOff>
    </xdr:from>
    <xdr:to>
      <xdr:col>17</xdr:col>
      <xdr:colOff>519545</xdr:colOff>
      <xdr:row>23</xdr:row>
      <xdr:rowOff>64943</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23</xdr:row>
      <xdr:rowOff>86591</xdr:rowOff>
    </xdr:from>
    <xdr:to>
      <xdr:col>9</xdr:col>
      <xdr:colOff>490682</xdr:colOff>
      <xdr:row>37</xdr:row>
      <xdr:rowOff>87744</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591704</xdr:colOff>
      <xdr:row>23</xdr:row>
      <xdr:rowOff>108239</xdr:rowOff>
    </xdr:from>
    <xdr:to>
      <xdr:col>17</xdr:col>
      <xdr:colOff>562841</xdr:colOff>
      <xdr:row>38</xdr:row>
      <xdr:rowOff>1155</xdr:rowOff>
    </xdr:to>
    <xdr:graphicFrame macro="">
      <xdr:nvGraphicFramePr>
        <xdr:cNvPr id="28" name="Chart 27">
          <a:extLst>
            <a:ext uri="{FF2B5EF4-FFF2-40B4-BE49-F238E27FC236}">
              <a16:creationId xmlns:a16="http://schemas.microsoft.com/office/drawing/2014/main" id="{00000000-0008-0000-0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64942</xdr:colOff>
      <xdr:row>0</xdr:row>
      <xdr:rowOff>43295</xdr:rowOff>
    </xdr:from>
    <xdr:to>
      <xdr:col>14</xdr:col>
      <xdr:colOff>533976</xdr:colOff>
      <xdr:row>11</xdr:row>
      <xdr:rowOff>57727</xdr:rowOff>
    </xdr:to>
    <xdr:graphicFrame macro="">
      <xdr:nvGraphicFramePr>
        <xdr:cNvPr id="29" name="Chart 28">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41</xdr:row>
      <xdr:rowOff>0</xdr:rowOff>
    </xdr:from>
    <xdr:to>
      <xdr:col>10</xdr:col>
      <xdr:colOff>490682</xdr:colOff>
      <xdr:row>41</xdr:row>
      <xdr:rowOff>87744</xdr:rowOff>
    </xdr:to>
    <xdr:graphicFrame macro="">
      <xdr:nvGraphicFramePr>
        <xdr:cNvPr id="40" name="Chart 39">
          <a:extLst>
            <a:ext uri="{FF2B5EF4-FFF2-40B4-BE49-F238E27FC236}">
              <a16:creationId xmlns:a16="http://schemas.microsoft.com/office/drawing/2014/main" id="{00000000-0008-0000-0000-000028000000}"/>
            </a:ext>
            <a:ext uri="{147F2762-F138-4A5C-976F-8EAC2B608ADB}">
              <a16:predDERef xmlns:a16="http://schemas.microsoft.com/office/drawing/2014/main" pred="{5E9ADE9E-4A68-E24E-85C9-7052A2CFA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0.30618</cdr:x>
      <cdr:y>0.39673</cdr:y>
    </cdr:from>
    <cdr:to>
      <cdr:x>0.66618</cdr:x>
      <cdr:y>0.68244</cdr:y>
    </cdr:to>
    <cdr:sp macro="" textlink="Dashboard!$E$9">
      <cdr:nvSpPr>
        <cdr:cNvPr id="2" name="TextBox 1">
          <a:extLst xmlns:a="http://schemas.openxmlformats.org/drawingml/2006/main">
            <a:ext uri="{FF2B5EF4-FFF2-40B4-BE49-F238E27FC236}">
              <a16:creationId xmlns:a16="http://schemas.microsoft.com/office/drawing/2014/main" id="{FCA7C9EE-8DBF-F32F-149A-64352053B0AC}"/>
            </a:ext>
          </a:extLst>
        </cdr:cNvPr>
        <cdr:cNvSpPr txBox="1"/>
      </cdr:nvSpPr>
      <cdr:spPr>
        <a:xfrm xmlns:a="http://schemas.openxmlformats.org/drawingml/2006/main">
          <a:off x="538090" y="566755"/>
          <a:ext cx="632674" cy="4081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9685DCD-CE14-4A28-A6EC-17003CBAD1B6}" type="TxLink">
            <a:rPr lang="en-US" sz="1800" b="1" i="0" u="none" strike="noStrike">
              <a:solidFill>
                <a:srgbClr val="E7E6E6"/>
              </a:solidFill>
              <a:latin typeface="Calibri"/>
              <a:ea typeface="Calibri"/>
              <a:cs typeface="Calibri"/>
            </a:rPr>
            <a:pPr/>
            <a:t>96%</a:t>
          </a:fld>
          <a:endParaRPr lang="en-US" sz="1800" b="1">
            <a:solidFill>
              <a:schemeClr val="accent1">
                <a:lumMod val="20000"/>
                <a:lumOff val="80000"/>
              </a:schemeClr>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0.29577</cdr:x>
      <cdr:y>0.37842</cdr:y>
    </cdr:from>
    <cdr:to>
      <cdr:x>0.70202</cdr:x>
      <cdr:y>0.69258</cdr:y>
    </cdr:to>
    <cdr:sp macro="" textlink="#REF!">
      <cdr:nvSpPr>
        <cdr:cNvPr id="2" name="TextBox 53">
          <a:extLst xmlns:a="http://schemas.openxmlformats.org/drawingml/2006/main">
            <a:ext uri="{FF2B5EF4-FFF2-40B4-BE49-F238E27FC236}">
              <a16:creationId xmlns:a16="http://schemas.microsoft.com/office/drawing/2014/main" id="{BE657B57-5547-931C-A8EE-2667C72091FF}"/>
            </a:ext>
          </a:extLst>
        </cdr:cNvPr>
        <cdr:cNvSpPr txBox="1"/>
      </cdr:nvSpPr>
      <cdr:spPr>
        <a:xfrm xmlns:a="http://schemas.openxmlformats.org/drawingml/2006/main">
          <a:off x="557807" y="510033"/>
          <a:ext cx="766168" cy="42341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DE741B1-84EE-4D6C-9052-4337582BFC9F}" type="TxLink">
            <a:rPr lang="en-US" sz="2000" b="1" i="0" u="none" strike="noStrike">
              <a:solidFill>
                <a:srgbClr val="C00000"/>
              </a:solidFill>
              <a:latin typeface="Impact" panose="020B0806030902050204" pitchFamily="34" charset="0"/>
              <a:ea typeface="Calibri"/>
              <a:cs typeface="Calibri"/>
            </a:rPr>
            <a:pPr algn="ctr"/>
            <a:t> </a:t>
          </a:fld>
          <a:endParaRPr lang="en-US" sz="2000" b="1">
            <a:solidFill>
              <a:srgbClr val="C00000"/>
            </a:solidFill>
            <a:latin typeface="Impact" panose="020B080603090205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20</xdr:col>
      <xdr:colOff>755</xdr:colOff>
      <xdr:row>0</xdr:row>
      <xdr:rowOff>35380</xdr:rowOff>
    </xdr:from>
    <xdr:to>
      <xdr:col>35</xdr:col>
      <xdr:colOff>22678</xdr:colOff>
      <xdr:row>2</xdr:row>
      <xdr:rowOff>143631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581826" y="35380"/>
          <a:ext cx="2607281" cy="713013"/>
        </a:xfrm>
        <a:prstGeom prst="rect">
          <a:avLst/>
        </a:prstGeom>
        <a:solidFill>
          <a:schemeClr val="accent5">
            <a:lumMod val="40000"/>
            <a:lumOff val="60000"/>
          </a:schemeClr>
        </a:solidFill>
        <a:ln w="3810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Enter Date of Birth Here </a:t>
          </a:r>
        </a:p>
        <a:p>
          <a:r>
            <a:rPr lang="en-US" sz="1800" b="1"/>
            <a:t>format:</a:t>
          </a:r>
          <a:r>
            <a:rPr lang="en-US" sz="1800" b="1" baseline="0"/>
            <a:t> "mm/dd/yyyy"</a:t>
          </a:r>
          <a:endParaRPr lang="en-US" sz="1800" b="1"/>
        </a:p>
      </xdr:txBody>
    </xdr:sp>
    <xdr:clientData/>
  </xdr:twoCellAnchor>
  <xdr:twoCellAnchor>
    <xdr:from>
      <xdr:col>14</xdr:col>
      <xdr:colOff>47322</xdr:colOff>
      <xdr:row>0</xdr:row>
      <xdr:rowOff>0</xdr:rowOff>
    </xdr:from>
    <xdr:to>
      <xdr:col>19</xdr:col>
      <xdr:colOff>142475</xdr:colOff>
      <xdr:row>1</xdr:row>
      <xdr:rowOff>147628</xdr:rowOff>
    </xdr:to>
    <xdr:sp macro="" textlink="">
      <xdr:nvSpPr>
        <xdr:cNvPr id="3" name="Arrow: Left 2">
          <a:extLst>
            <a:ext uri="{FF2B5EF4-FFF2-40B4-BE49-F238E27FC236}">
              <a16:creationId xmlns:a16="http://schemas.microsoft.com/office/drawing/2014/main" id="{00000000-0008-0000-0100-000003000000}"/>
            </a:ext>
          </a:extLst>
        </xdr:cNvPr>
        <xdr:cNvSpPr/>
      </xdr:nvSpPr>
      <xdr:spPr>
        <a:xfrm>
          <a:off x="3585179" y="0"/>
          <a:ext cx="972058" cy="48780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56</xdr:col>
      <xdr:colOff>1132288</xdr:colOff>
      <xdr:row>0</xdr:row>
      <xdr:rowOff>53554</xdr:rowOff>
    </xdr:from>
    <xdr:to>
      <xdr:col>57</xdr:col>
      <xdr:colOff>1358604</xdr:colOff>
      <xdr:row>6</xdr:row>
      <xdr:rowOff>160662</xdr:rowOff>
    </xdr:to>
    <xdr:sp macro="" textlink="">
      <xdr:nvSpPr>
        <xdr:cNvPr id="9" name="Speech Bubble: Rectangle with Corners Rounded 8">
          <a:extLst>
            <a:ext uri="{FF2B5EF4-FFF2-40B4-BE49-F238E27FC236}">
              <a16:creationId xmlns:a16="http://schemas.microsoft.com/office/drawing/2014/main" id="{00000000-0008-0000-0100-000009000000}"/>
            </a:ext>
          </a:extLst>
        </xdr:cNvPr>
        <xdr:cNvSpPr/>
      </xdr:nvSpPr>
      <xdr:spPr>
        <a:xfrm>
          <a:off x="11697770" y="53554"/>
          <a:ext cx="1389207" cy="1170542"/>
        </a:xfrm>
        <a:prstGeom prst="wedgeRound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Past/Future:</a:t>
          </a:r>
          <a:r>
            <a:rPr lang="en-US" sz="1200" b="1" baseline="0"/>
            <a:t> </a:t>
          </a:r>
          <a:r>
            <a:rPr lang="en-US" sz="1200" baseline="0"/>
            <a:t>Work Places/Schools Or People you Meet.</a:t>
          </a:r>
          <a:endParaRPr lang="en-US" sz="1200"/>
        </a:p>
      </xdr:txBody>
    </xdr:sp>
    <xdr:clientData/>
  </xdr:twoCellAnchor>
  <xdr:twoCellAnchor>
    <xdr:from>
      <xdr:col>58</xdr:col>
      <xdr:colOff>36918</xdr:colOff>
      <xdr:row>0</xdr:row>
      <xdr:rowOff>206566</xdr:rowOff>
    </xdr:from>
    <xdr:to>
      <xdr:col>58</xdr:col>
      <xdr:colOff>1137093</xdr:colOff>
      <xdr:row>6</xdr:row>
      <xdr:rowOff>122408</xdr:rowOff>
    </xdr:to>
    <xdr:sp macro="" textlink="">
      <xdr:nvSpPr>
        <xdr:cNvPr id="12" name="Speech Bubble: Rectangle with Corners Rounded 11">
          <a:extLst>
            <a:ext uri="{FF2B5EF4-FFF2-40B4-BE49-F238E27FC236}">
              <a16:creationId xmlns:a16="http://schemas.microsoft.com/office/drawing/2014/main" id="{00000000-0008-0000-0100-00000C000000}"/>
            </a:ext>
          </a:extLst>
        </xdr:cNvPr>
        <xdr:cNvSpPr/>
      </xdr:nvSpPr>
      <xdr:spPr>
        <a:xfrm>
          <a:off x="13127099" y="206566"/>
          <a:ext cx="1100175" cy="979276"/>
        </a:xfrm>
        <a:prstGeom prst="wedgeRoundRectCallou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t>Past/Future:</a:t>
          </a:r>
          <a:r>
            <a:rPr lang="en-US" sz="1200" b="1" baseline="0"/>
            <a:t> </a:t>
          </a:r>
          <a:r>
            <a:rPr lang="en-US" sz="1200" baseline="0"/>
            <a:t>Places to Go</a:t>
          </a:r>
          <a:endParaRPr lang="en-US" sz="1200"/>
        </a:p>
      </xdr:txBody>
    </xdr:sp>
    <xdr:clientData/>
  </xdr:twoCellAnchor>
  <xdr:twoCellAnchor>
    <xdr:from>
      <xdr:col>58</xdr:col>
      <xdr:colOff>1174011</xdr:colOff>
      <xdr:row>0</xdr:row>
      <xdr:rowOff>191265</xdr:rowOff>
    </xdr:from>
    <xdr:to>
      <xdr:col>59</xdr:col>
      <xdr:colOff>1170542</xdr:colOff>
      <xdr:row>6</xdr:row>
      <xdr:rowOff>99458</xdr:rowOff>
    </xdr:to>
    <xdr:sp macro="" textlink="">
      <xdr:nvSpPr>
        <xdr:cNvPr id="13" name="Speech Bubble: Rectangle with Corners Rounded 12">
          <a:extLst>
            <a:ext uri="{FF2B5EF4-FFF2-40B4-BE49-F238E27FC236}">
              <a16:creationId xmlns:a16="http://schemas.microsoft.com/office/drawing/2014/main" id="{00000000-0008-0000-0100-00000D000000}"/>
            </a:ext>
          </a:extLst>
        </xdr:cNvPr>
        <xdr:cNvSpPr/>
      </xdr:nvSpPr>
      <xdr:spPr>
        <a:xfrm>
          <a:off x="14264192" y="191265"/>
          <a:ext cx="1197675" cy="971627"/>
        </a:xfrm>
        <a:prstGeom prst="wedgeRoundRectCallout">
          <a:avLst/>
        </a:prstGeom>
        <a:solidFill>
          <a:schemeClr val="accent1">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200" b="1"/>
            <a:t>Past/Future:</a:t>
          </a:r>
          <a:r>
            <a:rPr lang="en-US" sz="1200" b="1" baseline="0"/>
            <a:t> </a:t>
          </a:r>
          <a:r>
            <a:rPr lang="en-US" sz="1200" baseline="0">
              <a:latin typeface="Times New Roman" panose="02020603050405020304" pitchFamily="18" charset="0"/>
              <a:cs typeface="Times New Roman" panose="02020603050405020304" pitchFamily="18" charset="0"/>
            </a:rPr>
            <a:t>GOALS</a:t>
          </a:r>
          <a:r>
            <a:rPr lang="en-US" sz="1200" baseline="0"/>
            <a:t> to Reach</a:t>
          </a:r>
          <a:endParaRPr lang="en-US" sz="12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787400</xdr:colOff>
      <xdr:row>14</xdr:row>
      <xdr:rowOff>0</xdr:rowOff>
    </xdr:from>
    <xdr:to>
      <xdr:col>40</xdr:col>
      <xdr:colOff>877359</xdr:colOff>
      <xdr:row>23</xdr:row>
      <xdr:rowOff>114302</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58800" y="1136650"/>
          <a:ext cx="4832350" cy="189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0</xdr:row>
      <xdr:rowOff>132840</xdr:rowOff>
    </xdr:from>
    <xdr:to>
      <xdr:col>10</xdr:col>
      <xdr:colOff>0</xdr:colOff>
      <xdr:row>0</xdr:row>
      <xdr:rowOff>133200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6" name="Ink 5">
              <a:extLst>
                <a:ext uri="{FF2B5EF4-FFF2-40B4-BE49-F238E27FC236}">
                  <a16:creationId xmlns:a16="http://schemas.microsoft.com/office/drawing/2014/main" id="{00000000-0008-0000-0500-000006000000}"/>
                </a:ext>
              </a:extLst>
            </xdr14:cNvPr>
            <xdr14:cNvContentPartPr/>
          </xdr14:nvContentPartPr>
          <xdr14:nvPr macro=""/>
          <xdr14:xfrm>
            <a:off x="7677045" y="132840"/>
            <a:ext cx="360" cy="360"/>
          </xdr14:xfrm>
        </xdr:contentPart>
      </mc:Choice>
      <mc:Fallback xmlns="">
        <xdr:pic>
          <xdr:nvPicPr>
            <xdr:cNvPr id="13" name="Ink 12">
              <a:extLst>
                <a:ext uri="{FF2B5EF4-FFF2-40B4-BE49-F238E27FC236}">
                  <a16:creationId xmlns:a16="http://schemas.microsoft.com/office/drawing/2014/main" id="{61CC012B-BC77-499F-A8DA-386CE84867E5}"/>
                </a:ext>
              </a:extLst>
            </xdr:cNvPr>
            <xdr:cNvPicPr/>
          </xdr:nvPicPr>
          <xdr:blipFill>
            <a:blip xmlns:r="http://schemas.openxmlformats.org/officeDocument/2006/relationships" r:embed="rId11"/>
            <a:stretch>
              <a:fillRect/>
            </a:stretch>
          </xdr:blipFill>
          <xdr:spPr>
            <a:xfrm>
              <a:off x="7659045" y="25200"/>
              <a:ext cx="36000" cy="216000"/>
            </a:xfrm>
            <a:prstGeom prst="rect">
              <a:avLst/>
            </a:prstGeom>
          </xdr:spPr>
        </xdr:pic>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276075</xdr:colOff>
      <xdr:row>2</xdr:row>
      <xdr:rowOff>0</xdr:rowOff>
    </xdr:from>
    <xdr:to>
      <xdr:col>9</xdr:col>
      <xdr:colOff>282785</xdr:colOff>
      <xdr:row>2</xdr:row>
      <xdr:rowOff>16070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00000000-0008-0000-0600-000002000000}"/>
                </a:ext>
              </a:extLst>
            </xdr14:cNvPr>
            <xdr14:cNvContentPartPr/>
          </xdr14:nvContentPartPr>
          <xdr14:nvPr macro=""/>
          <xdr14:xfrm>
            <a:off x="7905600" y="4505400"/>
            <a:ext cx="360" cy="9720"/>
          </xdr14:xfrm>
        </xdr:contentPart>
      </mc:Choice>
      <mc:Fallback xmlns="">
        <xdr:pic>
          <xdr:nvPicPr>
            <xdr:cNvPr id="4" name="Ink 3">
              <a:extLst>
                <a:ext uri="{FF2B5EF4-FFF2-40B4-BE49-F238E27FC236}">
                  <a16:creationId xmlns:a16="http://schemas.microsoft.com/office/drawing/2014/main" id="{39463130-FE62-41EC-BB67-9E788496AF56}"/>
                </a:ext>
              </a:extLst>
            </xdr:cNvPr>
            <xdr:cNvPicPr/>
          </xdr:nvPicPr>
          <xdr:blipFill>
            <a:blip xmlns:r="http://schemas.openxmlformats.org/officeDocument/2006/relationships" r:embed="rId2"/>
            <a:stretch>
              <a:fillRect/>
            </a:stretch>
          </xdr:blipFill>
          <xdr:spPr>
            <a:xfrm>
              <a:off x="7896600" y="4496400"/>
              <a:ext cx="18000" cy="27360"/>
            </a:xfrm>
            <a:prstGeom prst="rect">
              <a:avLst/>
            </a:prstGeom>
          </xdr:spPr>
        </xdr:pic>
      </mc:Fallback>
    </mc:AlternateContent>
    <xdr:clientData/>
  </xdr:twoCellAnchor>
  <xdr:twoCellAnchor editAs="oneCell">
    <xdr:from>
      <xdr:col>11</xdr:col>
      <xdr:colOff>154395</xdr:colOff>
      <xdr:row>2</xdr:row>
      <xdr:rowOff>0</xdr:rowOff>
    </xdr:from>
    <xdr:to>
      <xdr:col>11</xdr:col>
      <xdr:colOff>168665</xdr:colOff>
      <xdr:row>2</xdr:row>
      <xdr:rowOff>74095</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00000000-0008-0000-0600-000003000000}"/>
                </a:ext>
              </a:extLst>
            </xdr14:cNvPr>
            <xdr14:cNvContentPartPr/>
          </xdr14:nvContentPartPr>
          <xdr14:nvPr macro=""/>
          <xdr14:xfrm>
            <a:off x="9155520" y="7248240"/>
            <a:ext cx="7920" cy="70920"/>
          </xdr14:xfrm>
        </xdr:contentPart>
      </mc:Choice>
      <mc:Fallback xmlns="">
        <xdr:pic>
          <xdr:nvPicPr>
            <xdr:cNvPr id="5" name="Ink 4">
              <a:extLst>
                <a:ext uri="{FF2B5EF4-FFF2-40B4-BE49-F238E27FC236}">
                  <a16:creationId xmlns:a16="http://schemas.microsoft.com/office/drawing/2014/main" id="{C6076C01-23B1-4273-BC5C-38636CE5AAA6}"/>
                </a:ext>
              </a:extLst>
            </xdr:cNvPr>
            <xdr:cNvPicPr/>
          </xdr:nvPicPr>
          <xdr:blipFill>
            <a:blip xmlns:r="http://schemas.openxmlformats.org/officeDocument/2006/relationships" r:embed="rId4"/>
            <a:stretch>
              <a:fillRect/>
            </a:stretch>
          </xdr:blipFill>
          <xdr:spPr>
            <a:xfrm>
              <a:off x="9146520" y="7239240"/>
              <a:ext cx="25560" cy="88560"/>
            </a:xfrm>
            <a:prstGeom prst="rect">
              <a:avLst/>
            </a:prstGeom>
          </xdr:spPr>
        </xdr:pic>
      </mc:Fallback>
    </mc:AlternateContent>
    <xdr:clientData/>
  </xdr:twoCellAnchor>
  <xdr:oneCellAnchor>
    <xdr:from>
      <xdr:col>9</xdr:col>
      <xdr:colOff>276075</xdr:colOff>
      <xdr:row>16</xdr:row>
      <xdr:rowOff>0</xdr:rowOff>
    </xdr:from>
    <xdr:ext cx="360" cy="972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00000000-0008-0000-0600-000004000000}"/>
                </a:ext>
              </a:extLst>
            </xdr14:cNvPr>
            <xdr14:cNvContentPartPr/>
          </xdr14:nvContentPartPr>
          <xdr14:nvPr macro=""/>
          <xdr14:xfrm>
            <a:off x="7905600" y="4505400"/>
            <a:ext cx="360" cy="9720"/>
          </xdr14:xfrm>
        </xdr:contentPart>
      </mc:Choice>
      <mc:Fallback xmlns="">
        <xdr:pic>
          <xdr:nvPicPr>
            <xdr:cNvPr id="4" name="Ink 3">
              <a:extLst>
                <a:ext uri="{FF2B5EF4-FFF2-40B4-BE49-F238E27FC236}">
                  <a16:creationId xmlns:a16="http://schemas.microsoft.com/office/drawing/2014/main" id="{39463130-FE62-41EC-BB67-9E788496AF56}"/>
                </a:ext>
              </a:extLst>
            </xdr:cNvPr>
            <xdr:cNvPicPr/>
          </xdr:nvPicPr>
          <xdr:blipFill>
            <a:blip xmlns:r="http://schemas.openxmlformats.org/officeDocument/2006/relationships" r:embed="rId6"/>
            <a:stretch>
              <a:fillRect/>
            </a:stretch>
          </xdr:blipFill>
          <xdr:spPr>
            <a:xfrm>
              <a:off x="7896600" y="4496400"/>
              <a:ext cx="18000" cy="27360"/>
            </a:xfrm>
            <a:prstGeom prst="rect">
              <a:avLst/>
            </a:prstGeom>
          </xdr:spPr>
        </xdr:pic>
      </mc:Fallback>
    </mc:AlternateContent>
    <xdr:clientData/>
  </xdr:oneCellAnchor>
</xdr:wsDr>
</file>

<file path=xl/drawings/drawing8.xml><?xml version="1.0" encoding="utf-8"?>
<xdr:wsDr xmlns:xdr="http://schemas.openxmlformats.org/drawingml/2006/spreadsheetDrawing" xmlns:a="http://schemas.openxmlformats.org/drawingml/2006/main">
  <xdr:twoCellAnchor>
    <xdr:from>
      <xdr:col>13</xdr:col>
      <xdr:colOff>162442</xdr:colOff>
      <xdr:row>678</xdr:row>
      <xdr:rowOff>0</xdr:rowOff>
    </xdr:from>
    <xdr:to>
      <xdr:col>13</xdr:col>
      <xdr:colOff>520035</xdr:colOff>
      <xdr:row>679</xdr:row>
      <xdr:rowOff>22150</xdr:rowOff>
    </xdr:to>
    <xdr:sp macro="" textlink="">
      <xdr:nvSpPr>
        <xdr:cNvPr id="2" name="Arrow: Up 1">
          <a:extLst>
            <a:ext uri="{FF2B5EF4-FFF2-40B4-BE49-F238E27FC236}">
              <a16:creationId xmlns:a16="http://schemas.microsoft.com/office/drawing/2014/main" id="{00000000-0008-0000-0700-000002000000}"/>
            </a:ext>
          </a:extLst>
        </xdr:cNvPr>
        <xdr:cNvSpPr/>
      </xdr:nvSpPr>
      <xdr:spPr>
        <a:xfrm rot="10800000">
          <a:off x="9696450" y="27441525"/>
          <a:ext cx="0" cy="0"/>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206339</xdr:colOff>
      <xdr:row>675</xdr:row>
      <xdr:rowOff>132733</xdr:rowOff>
    </xdr:from>
    <xdr:to>
      <xdr:col>14</xdr:col>
      <xdr:colOff>206699</xdr:colOff>
      <xdr:row>675</xdr:row>
      <xdr:rowOff>133093</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Ink 2">
              <a:extLst>
                <a:ext uri="{FF2B5EF4-FFF2-40B4-BE49-F238E27FC236}">
                  <a16:creationId xmlns:a16="http://schemas.microsoft.com/office/drawing/2014/main" id="{00000000-0008-0000-0700-000003000000}"/>
                </a:ext>
              </a:extLst>
            </xdr14:cNvPr>
            <xdr14:cNvContentPartPr/>
          </xdr14:nvContentPartPr>
          <xdr14:nvPr macro=""/>
          <xdr14:xfrm>
            <a:off x="10447560" y="248351280"/>
            <a:ext cx="360" cy="360"/>
          </xdr14:xfrm>
        </xdr:contentPart>
      </mc:Choice>
      <mc:Fallback xmlns="">
        <xdr:pic>
          <xdr:nvPicPr>
            <xdr:cNvPr id="4" name="Ink 3">
              <a:extLst>
                <a:ext uri="{FF2B5EF4-FFF2-40B4-BE49-F238E27FC236}">
                  <a16:creationId xmlns:a16="http://schemas.microsoft.com/office/drawing/2014/main" id="{163C8867-6BC4-4D60-B5FB-8055BD2DBCB8}"/>
                </a:ext>
              </a:extLst>
            </xdr:cNvPr>
            <xdr:cNvPicPr/>
          </xdr:nvPicPr>
          <xdr:blipFill>
            <a:blip xmlns:r="http://schemas.openxmlformats.org/officeDocument/2006/relationships" r:embed="rId2"/>
            <a:stretch>
              <a:fillRect/>
            </a:stretch>
          </xdr:blipFill>
          <xdr:spPr>
            <a:xfrm>
              <a:off x="10438920" y="248342280"/>
              <a:ext cx="18000" cy="18000"/>
            </a:xfrm>
            <a:prstGeom prst="rect">
              <a:avLst/>
            </a:prstGeom>
          </xdr:spPr>
        </xdr:pic>
      </mc:Fallback>
    </mc:AlternateContent>
    <xdr:clientData/>
  </xdr:twoCellAnchor>
  <xdr:twoCellAnchor>
    <xdr:from>
      <xdr:col>13</xdr:col>
      <xdr:colOff>165100</xdr:colOff>
      <xdr:row>693</xdr:row>
      <xdr:rowOff>184150</xdr:rowOff>
    </xdr:from>
    <xdr:to>
      <xdr:col>13</xdr:col>
      <xdr:colOff>622300</xdr:colOff>
      <xdr:row>694</xdr:row>
      <xdr:rowOff>190500</xdr:rowOff>
    </xdr:to>
    <xdr:sp macro="" textlink="">
      <xdr:nvSpPr>
        <xdr:cNvPr id="4" name="Arrow: Up 3">
          <a:extLst>
            <a:ext uri="{FF2B5EF4-FFF2-40B4-BE49-F238E27FC236}">
              <a16:creationId xmlns:a16="http://schemas.microsoft.com/office/drawing/2014/main" id="{00000000-0008-0000-0700-000004000000}"/>
            </a:ext>
          </a:extLst>
        </xdr:cNvPr>
        <xdr:cNvSpPr/>
      </xdr:nvSpPr>
      <xdr:spPr>
        <a:xfrm>
          <a:off x="9696450" y="27441525"/>
          <a:ext cx="0" cy="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177800</xdr:colOff>
      <xdr:row>709</xdr:row>
      <xdr:rowOff>184150</xdr:rowOff>
    </xdr:from>
    <xdr:to>
      <xdr:col>13</xdr:col>
      <xdr:colOff>535393</xdr:colOff>
      <xdr:row>711</xdr:row>
      <xdr:rowOff>3100</xdr:rowOff>
    </xdr:to>
    <xdr:sp macro="" textlink="">
      <xdr:nvSpPr>
        <xdr:cNvPr id="5" name="Arrow: Up 4">
          <a:extLst>
            <a:ext uri="{FF2B5EF4-FFF2-40B4-BE49-F238E27FC236}">
              <a16:creationId xmlns:a16="http://schemas.microsoft.com/office/drawing/2014/main" id="{00000000-0008-0000-0700-000005000000}"/>
            </a:ext>
          </a:extLst>
        </xdr:cNvPr>
        <xdr:cNvSpPr/>
      </xdr:nvSpPr>
      <xdr:spPr>
        <a:xfrm rot="10800000">
          <a:off x="9696450" y="27441525"/>
          <a:ext cx="0" cy="0"/>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120650</xdr:colOff>
      <xdr:row>725</xdr:row>
      <xdr:rowOff>177800</xdr:rowOff>
    </xdr:from>
    <xdr:to>
      <xdr:col>13</xdr:col>
      <xdr:colOff>577850</xdr:colOff>
      <xdr:row>726</xdr:row>
      <xdr:rowOff>180975</xdr:rowOff>
    </xdr:to>
    <xdr:sp macro="" textlink="">
      <xdr:nvSpPr>
        <xdr:cNvPr id="6" name="Arrow: Up 5">
          <a:extLst>
            <a:ext uri="{FF2B5EF4-FFF2-40B4-BE49-F238E27FC236}">
              <a16:creationId xmlns:a16="http://schemas.microsoft.com/office/drawing/2014/main" id="{00000000-0008-0000-0700-000006000000}"/>
            </a:ext>
          </a:extLst>
        </xdr:cNvPr>
        <xdr:cNvSpPr/>
      </xdr:nvSpPr>
      <xdr:spPr>
        <a:xfrm>
          <a:off x="9696450" y="27441525"/>
          <a:ext cx="0" cy="0"/>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50800</xdr:colOff>
          <xdr:row>3276</xdr:row>
          <xdr:rowOff>0</xdr:rowOff>
        </xdr:from>
        <xdr:to>
          <xdr:col>0</xdr:col>
          <xdr:colOff>323850</xdr:colOff>
          <xdr:row>3276</xdr:row>
          <xdr:rowOff>171450</xdr:rowOff>
        </xdr:to>
        <xdr:sp macro="" textlink="">
          <xdr:nvSpPr>
            <xdr:cNvPr id="12289" name="CommandButton1" hidden="1">
              <a:extLst>
                <a:ext uri="{63B3BB69-23CF-44E3-9099-C40C66FF867C}">
                  <a14:compatExt spid="_x0000_s12289"/>
                </a:ext>
                <a:ext uri="{FF2B5EF4-FFF2-40B4-BE49-F238E27FC236}">
                  <a16:creationId xmlns:a16="http://schemas.microsoft.com/office/drawing/2014/main" id="{00000000-0008-0000-07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613</xdr:row>
          <xdr:rowOff>31750</xdr:rowOff>
        </xdr:from>
        <xdr:to>
          <xdr:col>33</xdr:col>
          <xdr:colOff>381000</xdr:colOff>
          <xdr:row>613</xdr:row>
          <xdr:rowOff>184150</xdr:rowOff>
        </xdr:to>
        <xdr:sp macro="" textlink="">
          <xdr:nvSpPr>
            <xdr:cNvPr id="12290" name="CommandButton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e9dd1284ea9429\Local%2520Disk\Jobs\Excel%2520Training%25204.22\Dashboards\S13_SnacksSalesDashboard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shboard"/>
      <sheetName val="Category"/>
      <sheetName val="Stores"/>
      <sheetName val="Profession"/>
      <sheetName val="DayOfMonth"/>
      <sheetName val="data"/>
      <sheetName val="S13_SnacksSalesDashboard_FINAL"/>
    </sheetNames>
    <sheetDataSet>
      <sheetData sheetId="0"/>
      <sheetData sheetId="1"/>
      <sheetData sheetId="2"/>
      <sheetData sheetId="3"/>
      <sheetData sheetId="4"/>
      <sheetData sheetId="5"/>
      <sheetData sheetId="6"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27T16:01:53.816"/>
    </inkml:context>
    <inkml:brush xml:id="br0">
      <inkml:brushProperty name="width" value="0.1" units="cm"/>
      <inkml:brushProperty name="height" value="0.6" units="cm"/>
      <inkml:brushProperty name="color" value="#849398"/>
      <inkml:brushProperty name="ignorePressure" value="1"/>
      <inkml:brushProperty name="inkEffects" value="pencil"/>
    </inkml:brush>
  </inkml:definitions>
  <inkml:trace contextRef="#ctx0" brushRef="#br0">0 1,'0'0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2-09T15:34:53.8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0 0</inkml:trace>
  <inkml:trace contextRef="#ctx0" brushRef="#br0" timeOffset="1">0 26</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2-09T15:34:53.8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21 0,'0'5,"0"10,0 12,-4 10,-2 3,0 0,1-7</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4-04T20:09:26.6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0 0</inkml:trace>
  <inkml:trace contextRef="#ctx0" brushRef="#br0" timeOffset="1">0 26</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02-23T23:51:17.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1 0</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ke" refreshedDate="45137.385114351855" createdVersion="8" refreshedVersion="8" minRefreshableVersion="3" recordCount="42" xr:uid="{8556A315-50A6-441C-8324-F56A8E626561}">
  <cacheSource type="worksheet">
    <worksheetSource name="Table1"/>
  </cacheSource>
  <cacheFields count="33">
    <cacheField name="Wk" numFmtId="0">
      <sharedItems containsSemiMixedTypes="0" containsString="0" containsNumber="1" containsInteger="1" minValue="1" maxValue="53" count="53">
        <n v="31"/>
        <n v="32"/>
        <n v="33"/>
        <n v="34"/>
        <n v="35"/>
        <n v="7" u="1"/>
        <n v="3" u="1"/>
        <n v="53" u="1"/>
        <n v="46" u="1"/>
        <n v="29" u="1"/>
        <n v="19" u="1"/>
        <n v="39" u="1"/>
        <n v="52" u="1"/>
        <n v="22" u="1"/>
        <n v="14" u="1"/>
        <n v="9" u="1"/>
        <n v="6" u="1"/>
        <n v="1" u="1"/>
        <n v="45" u="1"/>
        <n v="38" u="1"/>
        <n v="25" u="1"/>
        <n v="51" u="1"/>
        <n v="44" u="1"/>
        <n v="28" u="1"/>
        <n v="18" u="1"/>
        <n v="12" u="1"/>
        <n v="5" u="1"/>
        <n v="2" u="1"/>
        <n v="37" u="1"/>
        <n v="50" u="1"/>
        <n v="21" u="1"/>
        <n v="43" u="1"/>
        <n v="36" u="1"/>
        <n v="24" u="1"/>
        <n v="15" u="1"/>
        <n v="10" u="1"/>
        <n v="4" u="1"/>
        <n v="49" u="1"/>
        <n v="42" u="1"/>
        <n v="27" u="1"/>
        <n v="17" u="1"/>
        <n v="48" u="1"/>
        <n v="30" u="1"/>
        <n v="20" u="1"/>
        <n v="13" u="1"/>
        <n v="8" u="1"/>
        <n v="41" u="1"/>
        <n v="23" u="1"/>
        <n v="47" u="1"/>
        <n v="40" u="1"/>
        <n v="26" u="1"/>
        <n v="16" u="1"/>
        <n v="11" u="1"/>
      </sharedItems>
    </cacheField>
    <cacheField name="Day" numFmtId="0">
      <sharedItems/>
    </cacheField>
    <cacheField name="Date" numFmtId="14">
      <sharedItems containsSemiMixedTypes="0" containsNonDate="0" containsDate="1" containsString="0" minDate="2022-07-30T00:00:00" maxDate="2023-09-03T00:00:00" count="42">
        <d v="2022-07-30T00:00:00"/>
        <d v="2022-07-31T00:00:00"/>
        <d v="2022-08-01T00:00:00"/>
        <d v="2022-08-02T00:00:00"/>
        <d v="2022-08-03T00:00:00"/>
        <d v="2022-08-04T00:00:00"/>
        <d v="2022-08-05T00:00:00"/>
        <d v="2023-07-30T00:00:00"/>
        <d v="2023-07-31T00:00:00"/>
        <d v="2023-08-01T00:00:00"/>
        <d v="2023-08-02T00:00:00"/>
        <d v="2023-08-03T00:00:00"/>
        <d v="2023-08-04T00:00:00"/>
        <d v="2023-08-05T00:00:00"/>
        <d v="2023-08-06T00:00:00"/>
        <d v="2023-08-07T00:00:00"/>
        <d v="2023-08-08T00:00:00"/>
        <d v="2023-08-09T00:00:00"/>
        <d v="2023-08-10T00:00:00"/>
        <d v="2023-08-11T00:00:00"/>
        <d v="2023-08-12T00:00:00"/>
        <d v="2023-08-13T00:00:00"/>
        <d v="2023-08-14T00:00:00"/>
        <d v="2023-08-15T00:00:00"/>
        <d v="2023-08-16T00:00:00"/>
        <d v="2023-08-17T00:00:00"/>
        <d v="2023-08-18T00:00:00"/>
        <d v="2023-08-19T00:00:00"/>
        <d v="2023-08-20T00:00:00"/>
        <d v="2023-08-21T00:00:00"/>
        <d v="2023-08-22T00:00:00"/>
        <d v="2023-08-23T00:00:00"/>
        <d v="2023-08-24T00:00:00"/>
        <d v="2023-08-25T00:00:00"/>
        <d v="2023-08-26T00:00:00"/>
        <d v="2023-08-27T00:00:00"/>
        <d v="2023-08-28T00:00:00"/>
        <d v="2023-08-29T00:00:00"/>
        <d v="2023-08-30T00:00:00"/>
        <d v="2023-08-31T00:00:00"/>
        <d v="2023-09-01T00:00:00"/>
        <d v="2023-09-02T00:00:00"/>
      </sharedItems>
      <fieldGroup par="32" base="2">
        <rangePr groupBy="months" startDate="2022-07-30T00:00:00" endDate="2023-09-03T00:00:00"/>
        <groupItems count="14">
          <s v="&lt;7/30/2022"/>
          <s v="Jan"/>
          <s v="Feb"/>
          <s v="Mar"/>
          <s v="Apr"/>
          <s v="May"/>
          <s v="Jun"/>
          <s v="Jul"/>
          <s v="Aug"/>
          <s v="Sep"/>
          <s v="Oct"/>
          <s v="Nov"/>
          <s v="Dec"/>
          <s v="&gt;9/3/2023"/>
        </groupItems>
      </fieldGroup>
    </cacheField>
    <cacheField name="Calendar" numFmtId="180">
      <sharedItems containsSemiMixedTypes="0" containsNonDate="0" containsDate="1" containsString="0" minDate="1899-12-31T00:00:00" maxDate="1900-01-31T00:00:00"/>
    </cacheField>
    <cacheField name="Month" numFmtId="0">
      <sharedItems/>
    </cacheField>
    <cacheField name="Year" numFmtId="0">
      <sharedItems count="3">
        <s v="2022"/>
        <s v="2023"/>
        <s v="2021" u="1"/>
      </sharedItems>
    </cacheField>
    <cacheField name="Bed" numFmtId="171">
      <sharedItems containsNonDate="0" containsDate="1" containsString="0" containsBlank="1" minDate="1899-12-30T20:00:00" maxDate="1899-12-30T21:30:00" count="8">
        <d v="1899-12-30T20:00:00"/>
        <d v="1899-12-30T20:30:00"/>
        <d v="1899-12-30T21:30:00"/>
        <d v="1899-12-30T21:15:00"/>
        <d v="1899-12-30T21:00:00"/>
        <d v="1899-12-30T20:15:00"/>
        <d v="1899-12-30T20:45:00"/>
        <m/>
      </sharedItems>
      <fieldGroup par="30" base="6">
        <rangePr groupBy="minutes" startDate="1899-12-30T20:00:00" endDate="1899-12-30T21:30:00"/>
        <groupItems count="62">
          <s v="(blank)"/>
          <s v=":00"/>
          <s v=":01"/>
          <s v=":02"/>
          <s v=":03"/>
          <s v=":04"/>
          <s v=":05"/>
          <s v=":06"/>
          <s v=":07"/>
          <s v=":08"/>
          <s v=":09"/>
          <s v=":10"/>
          <s v=":11"/>
          <s v=":12"/>
          <s v=":13"/>
          <s v=":14"/>
          <s v=":15"/>
          <s v=":16"/>
          <s v=":17"/>
          <s v=":18"/>
          <s v=":19"/>
          <s v=":20"/>
          <s v=":21"/>
          <s v=":22"/>
          <s v=":23"/>
          <s v=":24"/>
          <s v=":25"/>
          <s v=":26"/>
          <s v=":27"/>
          <s v=":28"/>
          <s v=":29"/>
          <s v=":30"/>
          <s v=":31"/>
          <s v=":32"/>
          <s v=":33"/>
          <s v=":34"/>
          <s v=":35"/>
          <s v=":36"/>
          <s v=":37"/>
          <s v=":38"/>
          <s v=":39"/>
          <s v=":40"/>
          <s v=":41"/>
          <s v=":42"/>
          <s v=":43"/>
          <s v=":44"/>
          <s v=":45"/>
          <s v=":46"/>
          <s v=":47"/>
          <s v=":48"/>
          <s v=":49"/>
          <s v=":50"/>
          <s v=":51"/>
          <s v=":52"/>
          <s v=":53"/>
          <s v=":54"/>
          <s v=":55"/>
          <s v=":56"/>
          <s v=":57"/>
          <s v=":58"/>
          <s v=":59"/>
          <s v="&gt;1/0/1900"/>
        </groupItems>
      </fieldGroup>
    </cacheField>
    <cacheField name="Sleep Hours" numFmtId="172">
      <sharedItems containsNonDate="0" containsDate="1" containsString="0" containsBlank="1" minDate="1899-12-30T05:30:00" maxDate="1899-12-30T07:30:00"/>
    </cacheField>
    <cacheField name="Family Awake" numFmtId="172">
      <sharedItems containsNonDate="0" containsDate="1" containsString="0" containsBlank="1" minDate="1899-12-30T07:15:00" maxDate="1899-12-30T07:30:00"/>
    </cacheField>
    <cacheField name="Wake up/Coffee " numFmtId="172">
      <sharedItems containsNonDate="0" containsDate="1" containsString="0" containsBlank="1" minDate="1899-12-30T03:00:00" maxDate="1899-12-30T04:30:00"/>
    </cacheField>
    <cacheField name="Meditation" numFmtId="172">
      <sharedItems containsNonDate="0" containsDate="1" containsString="0" containsBlank="1" minDate="1899-12-30T03:15:00" maxDate="1899-12-30T04:45:00"/>
    </cacheField>
    <cacheField name="Stretch/Comm" numFmtId="172">
      <sharedItems containsNonDate="0" containsDate="1" containsString="0" containsBlank="1" minDate="1899-12-30T04:15:00" maxDate="1899-12-30T08:15:00"/>
    </cacheField>
    <cacheField name="Clean Kitchen" numFmtId="172">
      <sharedItems containsNonDate="0" containsDate="1" containsString="0" containsBlank="1" minDate="1899-12-30T03:45:00" maxDate="1899-12-30T05:15:00"/>
    </cacheField>
    <cacheField name="Rowing" numFmtId="172">
      <sharedItems containsNonDate="0" containsDate="1" containsString="0" containsBlank="1" minDate="1899-12-30T04:45:00" maxDate="1899-12-30T07:00:00"/>
    </cacheField>
    <cacheField name="Elliptical" numFmtId="172">
      <sharedItems containsNonDate="0" containsDate="1" containsString="0" containsBlank="1" minDate="1899-12-30T05:15:00" maxDate="1899-12-30T07:30:00"/>
    </cacheField>
    <cacheField name="Gym" numFmtId="172">
      <sharedItems containsNonDate="0" containsDate="1" containsString="0" containsBlank="1" minDate="1899-12-30T05:45:00" maxDate="1899-12-30T07:45:00"/>
    </cacheField>
    <cacheField name="Focus Brain" numFmtId="172">
      <sharedItems containsNonDate="0" containsDate="1" containsString="0" containsBlank="1" minDate="1899-12-30T03:30:00" maxDate="1899-12-30T05:00:00"/>
    </cacheField>
    <cacheField name="Read" numFmtId="172">
      <sharedItems containsNonDate="0" containsDate="1" containsString="0" containsBlank="1" minDate="1899-12-30T06:45:00" maxDate="1899-12-30T09:00:00"/>
    </cacheField>
    <cacheField name="Memory Training" numFmtId="172">
      <sharedItems containsNonDate="0" containsDate="1" containsString="0" containsBlank="1" minDate="1899-12-30T06:45:00" maxDate="1899-12-30T08:45:00"/>
    </cacheField>
    <cacheField name="Total Internet" numFmtId="172">
      <sharedItems containsNonDate="0" containsDate="1" containsString="0" containsBlank="1" minDate="1899-12-30T00:00:00" maxDate="1899-12-30T02:30:00"/>
    </cacheField>
    <cacheField name="End Time" numFmtId="172">
      <sharedItems containsNonDate="0" containsDate="1" containsString="0" containsBlank="1" minDate="1899-12-30T07:15:00" maxDate="1899-12-30T09:45:00"/>
    </cacheField>
    <cacheField name="SleepM" numFmtId="0">
      <sharedItems containsMixedTypes="1" containsNumber="1" containsInteger="1" minValue="8" maxValue="10"/>
    </cacheField>
    <cacheField name="RowM" numFmtId="0">
      <sharedItems containsMixedTypes="1" containsNumber="1" containsInteger="1" minValue="6" maxValue="10"/>
    </cacheField>
    <cacheField name="GymM" numFmtId="0">
      <sharedItems containsMixedTypes="1" containsNumber="1" containsInteger="1" minValue="6" maxValue="10"/>
    </cacheField>
    <cacheField name="InternetM" numFmtId="0">
      <sharedItems containsMixedTypes="1" containsNumber="1" containsInteger="1" minValue="7" maxValue="10"/>
    </cacheField>
    <cacheField name="End TimeM" numFmtId="0">
      <sharedItems containsMixedTypes="1" containsNumber="1" containsInteger="1" minValue="6" maxValue="10"/>
    </cacheField>
    <cacheField name="TotalM" numFmtId="0">
      <sharedItems containsSemiMixedTypes="0" containsString="0" containsNumber="1" containsInteger="1" minValue="0" maxValue="50"/>
    </cacheField>
    <cacheField name="Max" numFmtId="0">
      <sharedItems containsString="0" containsBlank="1" containsNumber="1" containsInteger="1" minValue="50" maxValue="50"/>
    </cacheField>
    <cacheField name="Pct" numFmtId="9">
      <sharedItems containsMixedTypes="1" containsNumber="1" minValue="0.57999999999999996" maxValue="1"/>
    </cacheField>
    <cacheField name="Hours" numFmtId="0" databaseField="0">
      <fieldGroup base="6">
        <rangePr groupBy="hours" startDate="1899-12-30T20:00:00" endDate="1899-12-30T21:30:00"/>
        <groupItems count="26">
          <s v="&lt;1/0/1900"/>
          <s v="12 AM"/>
          <s v="1 AM"/>
          <s v="2 AM"/>
          <s v="3 AM"/>
          <s v="4 AM"/>
          <s v="5 AM"/>
          <s v="6 AM"/>
          <s v="7 AM"/>
          <s v="8 AM"/>
          <s v="9 AM"/>
          <s v="10 AM"/>
          <s v="11 AM"/>
          <s v="12 PM"/>
          <s v="1 PM"/>
          <s v="2 PM"/>
          <s v="3 PM"/>
          <s v="4 PM"/>
          <s v="5 PM"/>
          <s v="6 PM"/>
          <s v="7 PM"/>
          <s v="8 PM"/>
          <s v="9 PM"/>
          <s v="10 PM"/>
          <s v="11 PM"/>
          <s v="&gt;1/0/1900"/>
        </groupItems>
      </fieldGroup>
    </cacheField>
    <cacheField name="Days" numFmtId="0" databaseField="0">
      <fieldGroup base="6">
        <rangePr groupBy="days" startDate="1899-12-30T20:00:00" endDate="1899-12-30T21:30:00"/>
        <groupItems count="368">
          <s v="&lt;1/0/1900"/>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1/0/1900"/>
        </groupItems>
      </fieldGroup>
    </cacheField>
    <cacheField name="Quarters" numFmtId="0" databaseField="0">
      <fieldGroup base="2">
        <rangePr groupBy="quarters" startDate="2022-07-30T00:00:00" endDate="2023-09-03T00:00:00"/>
        <groupItems count="6">
          <s v="&lt;7/30/2022"/>
          <s v="Qtr1"/>
          <s v="Qtr2"/>
          <s v="Qtr3"/>
          <s v="Qtr4"/>
          <s v="&gt;9/3/2023"/>
        </groupItems>
      </fieldGroup>
    </cacheField>
    <cacheField name="Years" numFmtId="0" databaseField="0">
      <fieldGroup base="2">
        <rangePr groupBy="years" startDate="2022-07-30T00:00:00" endDate="2023-09-03T00:00:00"/>
        <groupItems count="4">
          <s v="&lt;7/30/2022"/>
          <s v="2022"/>
          <s v="2023"/>
          <s v="&gt;9/3/2023"/>
        </groupItems>
      </fieldGroup>
    </cacheField>
  </cacheFields>
  <extLst>
    <ext xmlns:x14="http://schemas.microsoft.com/office/spreadsheetml/2009/9/main" uri="{725AE2AE-9491-48be-B2B4-4EB974FC3084}">
      <x14:pivotCacheDefinition pivotCacheId="49136067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s v="Sun"/>
    <x v="0"/>
    <d v="1900-01-29T00:00:00"/>
    <s v="December"/>
    <x v="0"/>
    <x v="0"/>
    <d v="1899-12-30T07:30:00"/>
    <d v="1899-12-30T07:15:00"/>
    <d v="1899-12-30T03:30:00"/>
    <d v="1899-12-30T03:45:00"/>
    <d v="1899-12-30T07:00:00"/>
    <d v="1899-12-30T04:45:00"/>
    <d v="1899-12-30T05:30:00"/>
    <d v="1899-12-30T06:00:00"/>
    <d v="1899-12-30T06:30:00"/>
    <d v="1899-12-30T04:00:00"/>
    <d v="1899-12-30T07:45:00"/>
    <d v="1899-12-30T07:30:00"/>
    <d v="1899-12-30T00:30:00"/>
    <d v="1899-12-30T08:30:00"/>
    <n v="10"/>
    <n v="6"/>
    <n v="6"/>
    <n v="10"/>
    <n v="6"/>
    <n v="38"/>
    <n v="50"/>
    <n v="0.76"/>
  </r>
  <r>
    <x v="1"/>
    <s v="Sun"/>
    <x v="1"/>
    <d v="1900-01-30T00:00:00"/>
    <s v="July"/>
    <x v="0"/>
    <x v="1"/>
    <d v="1899-12-30T06:30:00"/>
    <d v="1899-12-30T07:15:00"/>
    <d v="1899-12-30T03:00:00"/>
    <d v="1899-12-30T03:15:00"/>
    <d v="1899-12-30T04:45:00"/>
    <d v="1899-12-30T03:45:00"/>
    <d v="1899-12-30T04:45:00"/>
    <d v="1899-12-30T05:15:00"/>
    <d v="1899-12-30T05:45:00"/>
    <d v="1899-12-30T03:30:00"/>
    <d v="1899-12-30T07:00:00"/>
    <d v="1899-12-30T06:45:00"/>
    <d v="1899-12-30T00:00:00"/>
    <d v="1899-12-30T07:45:00"/>
    <n v="10"/>
    <n v="10"/>
    <n v="10"/>
    <n v="10"/>
    <n v="10"/>
    <n v="50"/>
    <n v="50"/>
    <n v="1"/>
  </r>
  <r>
    <x v="1"/>
    <s v="Mon"/>
    <x v="2"/>
    <d v="1899-12-31T00:00:00"/>
    <s v="August"/>
    <x v="0"/>
    <x v="2"/>
    <d v="1899-12-30T05:30:00"/>
    <d v="1899-12-30T07:15:00"/>
    <d v="1899-12-30T03:00:00"/>
    <d v="1899-12-30T03:45:00"/>
    <d v="1899-12-30T05:00:00"/>
    <d v="1899-12-30T05:15:00"/>
    <d v="1899-12-30T06:00:00"/>
    <d v="1899-12-30T07:00:00"/>
    <d v="1899-12-30T07:30:00"/>
    <d v="1899-12-30T04:00:00"/>
    <d v="1899-12-30T08:30:00"/>
    <d v="1899-12-30T08:15:00"/>
    <d v="1899-12-30T01:30:00"/>
    <d v="1899-12-30T08:45:00"/>
    <n v="8"/>
    <n v="6"/>
    <n v="6"/>
    <n v="7"/>
    <n v="6"/>
    <n v="33"/>
    <n v="50"/>
    <n v="0.66"/>
  </r>
  <r>
    <x v="1"/>
    <s v="Tue"/>
    <x v="3"/>
    <d v="1900-01-01T00:00:00"/>
    <s v="August"/>
    <x v="0"/>
    <x v="3"/>
    <d v="1899-12-30T05:45:00"/>
    <d v="1899-12-30T07:15:00"/>
    <d v="1899-12-30T03:00:00"/>
    <d v="1899-12-30T03:15:00"/>
    <d v="1899-12-30T05:30:00"/>
    <d v="1899-12-30T04:15:00"/>
    <d v="1899-12-30T05:30:00"/>
    <d v="1899-12-30T06:00:00"/>
    <d v="1899-12-30T06:30:00"/>
    <d v="1899-12-30T03:30:00"/>
    <d v="1899-12-30T07:45:00"/>
    <d v="1899-12-30T07:30:00"/>
    <d v="1899-12-30T00:00:00"/>
    <d v="1899-12-30T08:00:00"/>
    <n v="8"/>
    <n v="6"/>
    <n v="6"/>
    <n v="10"/>
    <n v="8"/>
    <n v="38"/>
    <n v="50"/>
    <n v="0.76"/>
  </r>
  <r>
    <x v="1"/>
    <s v="Wed"/>
    <x v="4"/>
    <d v="1900-01-02T00:00:00"/>
    <s v="August"/>
    <x v="0"/>
    <x v="4"/>
    <d v="1899-12-30T06:00:00"/>
    <d v="1899-12-30T07:15:00"/>
    <d v="1899-12-30T03:00:00"/>
    <d v="1899-12-30T03:15:00"/>
    <d v="1899-12-30T04:30:00"/>
    <d v="1899-12-30T03:45:00"/>
    <d v="1899-12-30T06:00:00"/>
    <d v="1899-12-30T07:00:00"/>
    <d v="1899-12-30T07:30:00"/>
    <d v="1899-12-30T04:00:00"/>
    <d v="1899-12-30T08:30:00"/>
    <d v="1899-12-30T08:15:00"/>
    <d v="1899-12-30T01:30:00"/>
    <d v="1899-12-30T08:45:00"/>
    <n v="10"/>
    <n v="6"/>
    <n v="6"/>
    <n v="7"/>
    <n v="6"/>
    <n v="35"/>
    <n v="50"/>
    <n v="0.7"/>
  </r>
  <r>
    <x v="1"/>
    <s v="Thu"/>
    <x v="5"/>
    <d v="1900-01-03T00:00:00"/>
    <s v="August"/>
    <x v="0"/>
    <x v="5"/>
    <d v="1899-12-30T06:45:00"/>
    <d v="1899-12-30T07:15:00"/>
    <d v="1899-12-30T03:00:00"/>
    <d v="1899-12-30T03:15:00"/>
    <d v="1899-12-30T05:00:00"/>
    <d v="1899-12-30T04:15:00"/>
    <d v="1899-12-30T05:15:00"/>
    <d v="1899-12-30T05:45:00"/>
    <d v="1899-12-30T06:15:00"/>
    <d v="1899-12-30T03:30:00"/>
    <d v="1899-12-30T07:45:00"/>
    <d v="1899-12-30T07:30:00"/>
    <d v="1899-12-30T00:00:00"/>
    <d v="1899-12-30T08:00:00"/>
    <n v="10"/>
    <n v="6"/>
    <n v="6"/>
    <n v="10"/>
    <n v="8"/>
    <n v="40"/>
    <n v="50"/>
    <n v="0.8"/>
  </r>
  <r>
    <x v="1"/>
    <s v="Fri"/>
    <x v="6"/>
    <d v="1900-01-04T00:00:00"/>
    <s v="August"/>
    <x v="0"/>
    <x v="2"/>
    <d v="1899-12-30T07:00:00"/>
    <d v="1899-12-30T07:30:00"/>
    <d v="1899-12-30T04:30:00"/>
    <d v="1899-12-30T04:45:00"/>
    <d v="1899-12-30T08:15:00"/>
    <d v="1899-12-30T05:15:00"/>
    <d v="1899-12-30T06:00:00"/>
    <d v="1899-12-30T06:00:00"/>
    <d v="1899-12-30T06:30:00"/>
    <d v="1899-12-30T05:00:00"/>
    <d v="1899-12-30T07:45:00"/>
    <d v="1899-12-30T07:30:00"/>
    <d v="1899-12-30T00:00:00"/>
    <d v="1899-12-30T08:30:00"/>
    <n v="10"/>
    <n v="6"/>
    <n v="6"/>
    <n v="10"/>
    <n v="6"/>
    <n v="38"/>
    <n v="50"/>
    <n v="0.76"/>
  </r>
  <r>
    <x v="0"/>
    <s v="Sun"/>
    <x v="7"/>
    <d v="1900-01-29T00:00:00"/>
    <s v="July"/>
    <x v="1"/>
    <x v="2"/>
    <d v="1899-12-30T06:00:00"/>
    <d v="1899-12-30T07:15:00"/>
    <d v="1899-12-30T03:30:00"/>
    <d v="1899-12-30T03:45:00"/>
    <d v="1899-12-30T06:30:00"/>
    <d v="1899-12-30T05:15:00"/>
    <d v="1899-12-30T07:00:00"/>
    <d v="1899-12-30T07:30:00"/>
    <m/>
    <d v="1899-12-30T04:00:00"/>
    <m/>
    <m/>
    <d v="1899-12-30T01:15:00"/>
    <d v="1899-12-30T09:00:00"/>
    <n v="10"/>
    <n v="6"/>
    <s v=""/>
    <n v="7"/>
    <n v="6"/>
    <n v="29"/>
    <n v="50"/>
    <n v="0.57999999999999996"/>
  </r>
  <r>
    <x v="0"/>
    <s v="Mon"/>
    <x v="8"/>
    <d v="1900-01-30T00:00:00"/>
    <s v="July"/>
    <x v="1"/>
    <x v="6"/>
    <d v="1899-12-30T06:15:00"/>
    <d v="1899-12-30T07:15:00"/>
    <d v="1899-12-30T03:00:00"/>
    <d v="1899-12-30T03:15:00"/>
    <d v="1899-12-30T04:45:00"/>
    <d v="1899-12-30T04:00:00"/>
    <d v="1899-12-30T05:30:00"/>
    <d v="1899-12-30T06:00:00"/>
    <d v="1899-12-30T07:45:00"/>
    <d v="1899-12-30T03:30:00"/>
    <d v="1899-12-30T09:00:00"/>
    <d v="1899-12-30T08:45:00"/>
    <d v="1899-12-30T02:00:00"/>
    <d v="1899-12-30T09:45:00"/>
    <n v="10"/>
    <n v="6"/>
    <n v="6"/>
    <n v="7"/>
    <n v="6"/>
    <n v="35"/>
    <n v="50"/>
    <n v="0.7"/>
  </r>
  <r>
    <x v="0"/>
    <s v="Tue"/>
    <x v="9"/>
    <d v="1899-12-31T00:00:00"/>
    <s v="August"/>
    <x v="1"/>
    <x v="3"/>
    <d v="1899-12-30T05:45:00"/>
    <d v="1899-12-30T07:15:00"/>
    <d v="1899-12-30T03:00:00"/>
    <d v="1899-12-30T03:30:00"/>
    <d v="1899-12-30T05:00:00"/>
    <d v="1899-12-30T04:15:00"/>
    <d v="1899-12-30T05:00:00"/>
    <d v="1899-12-30T05:30:00"/>
    <d v="1899-12-30T06:15:00"/>
    <d v="1899-12-30T03:45:00"/>
    <d v="1899-12-30T07:45:00"/>
    <d v="1899-12-30T07:30:00"/>
    <d v="1899-12-30T00:00:00"/>
    <d v="1899-12-30T08:00:00"/>
    <n v="8"/>
    <n v="8"/>
    <n v="6"/>
    <n v="10"/>
    <n v="8"/>
    <n v="40"/>
    <n v="50"/>
    <n v="0.8"/>
  </r>
  <r>
    <x v="0"/>
    <s v="Wed"/>
    <x v="10"/>
    <d v="1900-01-01T00:00:00"/>
    <s v="August"/>
    <x v="1"/>
    <x v="1"/>
    <d v="1899-12-30T06:30:00"/>
    <d v="1899-12-30T07:15:00"/>
    <d v="1899-12-30T03:00:00"/>
    <d v="1899-12-30T03:30:00"/>
    <d v="1899-12-30T06:00:00"/>
    <d v="1899-12-30T04:30:00"/>
    <d v="1899-12-30T05:15:00"/>
    <d v="1899-12-30T05:45:00"/>
    <m/>
    <d v="1899-12-30T03:45:00"/>
    <m/>
    <m/>
    <d v="1899-12-30T02:30:00"/>
    <d v="1899-12-30T09:00:00"/>
    <n v="10"/>
    <n v="6"/>
    <s v=""/>
    <n v="7"/>
    <n v="6"/>
    <n v="29"/>
    <n v="50"/>
    <n v="0.57999999999999996"/>
  </r>
  <r>
    <x v="0"/>
    <s v="Thu"/>
    <x v="11"/>
    <d v="1900-01-02T00:00:00"/>
    <s v="August"/>
    <x v="1"/>
    <x v="3"/>
    <d v="1899-12-30T05:45:00"/>
    <d v="1899-12-30T07:15:00"/>
    <d v="1899-12-30T03:00:00"/>
    <d v="1899-12-30T03:15:00"/>
    <d v="1899-12-30T06:00:00"/>
    <d v="1899-12-30T03:45:00"/>
    <d v="1899-12-30T04:45:00"/>
    <d v="1899-12-30T05:15:00"/>
    <d v="1899-12-30T05:45:00"/>
    <d v="1899-12-30T03:30:00"/>
    <d v="1899-12-30T06:45:00"/>
    <d v="1899-12-30T07:00:00"/>
    <d v="1899-12-30T00:00:00"/>
    <d v="1899-12-30T07:15:00"/>
    <n v="8"/>
    <n v="10"/>
    <n v="10"/>
    <n v="10"/>
    <n v="10"/>
    <n v="48"/>
    <n v="50"/>
    <n v="0.96"/>
  </r>
  <r>
    <x v="0"/>
    <s v="Fri"/>
    <x v="12"/>
    <d v="1900-01-03T00:00:00"/>
    <s v="August"/>
    <x v="1"/>
    <x v="3"/>
    <d v="1899-12-30T05:45:00"/>
    <d v="1899-12-30T07:15:00"/>
    <d v="1899-12-30T03:00:00"/>
    <d v="1899-12-30T03:15:00"/>
    <d v="1899-12-30T04:15:00"/>
    <d v="1899-12-30T03:45:00"/>
    <d v="1899-12-30T04:45:00"/>
    <d v="1899-12-30T05:15:00"/>
    <d v="1899-12-30T05:45:00"/>
    <d v="1899-12-30T03:30:00"/>
    <d v="1899-12-30T06:45:00"/>
    <d v="1899-12-30T07:00:00"/>
    <d v="1899-12-30T00:00:00"/>
    <d v="1899-12-30T07:15:00"/>
    <n v="8"/>
    <n v="10"/>
    <n v="10"/>
    <n v="10"/>
    <n v="10"/>
    <n v="48"/>
    <n v="50"/>
    <n v="0.96"/>
  </r>
  <r>
    <x v="0"/>
    <s v="Sat"/>
    <x v="13"/>
    <d v="1900-01-04T00:00:00"/>
    <s v="August"/>
    <x v="1"/>
    <x v="3"/>
    <d v="1899-12-30T05:45:00"/>
    <d v="1899-12-30T07:15:00"/>
    <d v="1899-12-30T03:00:00"/>
    <d v="1899-12-30T03:15:00"/>
    <d v="1899-12-30T04:15:00"/>
    <d v="1899-12-30T03:45:00"/>
    <d v="1899-12-30T04:45:00"/>
    <d v="1899-12-30T05:15:00"/>
    <d v="1899-12-30T05:45:00"/>
    <d v="1899-12-30T03:30:00"/>
    <d v="1899-12-30T06:45:00"/>
    <d v="1899-12-30T07:00:00"/>
    <d v="1899-12-30T00:00:00"/>
    <d v="1899-12-30T07:15:00"/>
    <n v="8"/>
    <n v="10"/>
    <n v="10"/>
    <n v="10"/>
    <n v="10"/>
    <n v="48"/>
    <n v="50"/>
    <n v="0.96"/>
  </r>
  <r>
    <x v="1"/>
    <s v="Sun"/>
    <x v="14"/>
    <d v="1900-01-05T00:00:00"/>
    <s v="August"/>
    <x v="1"/>
    <x v="0"/>
    <d v="1899-12-30T07:30:00"/>
    <d v="1899-12-30T07:15:00"/>
    <d v="1899-12-30T03:30:00"/>
    <d v="1899-12-30T03:45:00"/>
    <d v="1899-12-30T07:00:00"/>
    <d v="1899-12-30T04:45:00"/>
    <d v="1899-12-30T05:30:00"/>
    <d v="1899-12-30T06:00:00"/>
    <d v="1899-12-30T06:30:00"/>
    <d v="1899-12-30T04:00:00"/>
    <d v="1899-12-30T07:45:00"/>
    <d v="1899-12-30T07:30:00"/>
    <d v="1899-12-30T00:30:00"/>
    <d v="1899-12-30T08:30:00"/>
    <n v="10"/>
    <n v="6"/>
    <n v="6"/>
    <n v="10"/>
    <n v="6"/>
    <n v="38"/>
    <n v="50"/>
    <n v="0.76"/>
  </r>
  <r>
    <x v="1"/>
    <s v="Mon"/>
    <x v="15"/>
    <d v="1900-01-06T00:00:00"/>
    <s v="August"/>
    <x v="1"/>
    <x v="1"/>
    <d v="1899-12-30T06:30:00"/>
    <d v="1899-12-30T07:15:00"/>
    <d v="1899-12-30T03:00:00"/>
    <d v="1899-12-30T03:15:00"/>
    <d v="1899-12-30T04:45:00"/>
    <d v="1899-12-30T03:45:00"/>
    <d v="1899-12-30T04:45:00"/>
    <d v="1899-12-30T05:15:00"/>
    <d v="1899-12-30T05:45:00"/>
    <d v="1899-12-30T03:30:00"/>
    <d v="1899-12-30T07:00:00"/>
    <d v="1899-12-30T06:45:00"/>
    <d v="1899-12-30T00:00:00"/>
    <d v="1899-12-30T07:45:00"/>
    <n v="10"/>
    <n v="10"/>
    <n v="10"/>
    <n v="10"/>
    <n v="10"/>
    <n v="50"/>
    <n v="50"/>
    <n v="1"/>
  </r>
  <r>
    <x v="1"/>
    <s v="Tue"/>
    <x v="16"/>
    <d v="1900-01-07T00:00:00"/>
    <s v="August"/>
    <x v="1"/>
    <x v="2"/>
    <d v="1899-12-30T05:30:00"/>
    <d v="1899-12-30T07:15:00"/>
    <d v="1899-12-30T03:00:00"/>
    <d v="1899-12-30T03:45:00"/>
    <d v="1899-12-30T05:00:00"/>
    <d v="1899-12-30T05:15:00"/>
    <d v="1899-12-30T06:00:00"/>
    <d v="1899-12-30T07:00:00"/>
    <d v="1899-12-30T07:30:00"/>
    <d v="1899-12-30T04:00:00"/>
    <d v="1899-12-30T08:30:00"/>
    <d v="1899-12-30T08:15:00"/>
    <d v="1899-12-30T01:30:00"/>
    <d v="1899-12-30T08:45:00"/>
    <n v="8"/>
    <n v="6"/>
    <n v="6"/>
    <n v="7"/>
    <n v="6"/>
    <n v="33"/>
    <n v="50"/>
    <n v="0.66"/>
  </r>
  <r>
    <x v="1"/>
    <s v="Wed"/>
    <x v="17"/>
    <d v="1900-01-08T00:00:00"/>
    <s v="August"/>
    <x v="1"/>
    <x v="3"/>
    <d v="1899-12-30T05:45:00"/>
    <d v="1899-12-30T07:15:00"/>
    <d v="1899-12-30T03:00:00"/>
    <d v="1899-12-30T03:15:00"/>
    <d v="1899-12-30T05:30:00"/>
    <d v="1899-12-30T04:15:00"/>
    <d v="1899-12-30T05:30:00"/>
    <d v="1899-12-30T06:00:00"/>
    <d v="1899-12-30T06:30:00"/>
    <d v="1899-12-30T03:30:00"/>
    <d v="1899-12-30T07:45:00"/>
    <d v="1899-12-30T07:30:00"/>
    <d v="1899-12-30T00:00:00"/>
    <d v="1899-12-30T08:00:00"/>
    <n v="8"/>
    <n v="6"/>
    <n v="6"/>
    <n v="10"/>
    <n v="8"/>
    <n v="38"/>
    <n v="50"/>
    <n v="0.76"/>
  </r>
  <r>
    <x v="1"/>
    <s v="Thu"/>
    <x v="18"/>
    <d v="1900-01-09T00:00:00"/>
    <s v="August"/>
    <x v="1"/>
    <x v="4"/>
    <d v="1899-12-30T06:00:00"/>
    <d v="1899-12-30T07:15:00"/>
    <d v="1899-12-30T03:00:00"/>
    <d v="1899-12-30T03:15:00"/>
    <d v="1899-12-30T04:30:00"/>
    <d v="1899-12-30T03:45:00"/>
    <d v="1899-12-30T06:00:00"/>
    <d v="1899-12-30T07:00:00"/>
    <d v="1899-12-30T07:30:00"/>
    <d v="1899-12-30T04:00:00"/>
    <d v="1899-12-30T08:30:00"/>
    <d v="1899-12-30T08:15:00"/>
    <d v="1899-12-30T01:30:00"/>
    <d v="1899-12-30T08:45:00"/>
    <n v="10"/>
    <n v="6"/>
    <n v="6"/>
    <n v="7"/>
    <n v="6"/>
    <n v="35"/>
    <n v="50"/>
    <n v="0.7"/>
  </r>
  <r>
    <x v="1"/>
    <s v="Fri"/>
    <x v="19"/>
    <d v="1900-01-10T00:00:00"/>
    <s v="August"/>
    <x v="1"/>
    <x v="5"/>
    <d v="1899-12-30T06:45:00"/>
    <d v="1899-12-30T07:15:00"/>
    <d v="1899-12-30T03:00:00"/>
    <d v="1899-12-30T03:15:00"/>
    <d v="1899-12-30T05:00:00"/>
    <d v="1899-12-30T04:15:00"/>
    <d v="1899-12-30T05:15:00"/>
    <d v="1899-12-30T05:45:00"/>
    <d v="1899-12-30T06:15:00"/>
    <d v="1899-12-30T03:30:00"/>
    <d v="1899-12-30T07:45:00"/>
    <d v="1899-12-30T07:30:00"/>
    <d v="1899-12-30T00:00:00"/>
    <d v="1899-12-30T08:00:00"/>
    <n v="10"/>
    <n v="6"/>
    <n v="6"/>
    <n v="10"/>
    <n v="8"/>
    <n v="40"/>
    <n v="50"/>
    <n v="0.8"/>
  </r>
  <r>
    <x v="1"/>
    <s v="Sat"/>
    <x v="20"/>
    <d v="1900-01-11T00:00:00"/>
    <s v="August"/>
    <x v="1"/>
    <x v="2"/>
    <d v="1899-12-30T07:00:00"/>
    <d v="1899-12-30T07:30:00"/>
    <d v="1899-12-30T04:30:00"/>
    <d v="1899-12-30T04:45:00"/>
    <d v="1899-12-30T08:15:00"/>
    <d v="1899-12-30T05:15:00"/>
    <d v="1899-12-30T06:00:00"/>
    <d v="1899-12-30T06:00:00"/>
    <d v="1899-12-30T06:30:00"/>
    <d v="1899-12-30T05:00:00"/>
    <d v="1899-12-30T07:45:00"/>
    <d v="1899-12-30T07:30:00"/>
    <d v="1899-12-30T00:00:00"/>
    <d v="1899-12-30T08:30:00"/>
    <n v="10"/>
    <n v="6"/>
    <n v="6"/>
    <n v="10"/>
    <n v="6"/>
    <n v="38"/>
    <n v="50"/>
    <n v="0.76"/>
  </r>
  <r>
    <x v="2"/>
    <s v="Sun"/>
    <x v="21"/>
    <d v="1900-01-12T00:00:00"/>
    <s v="August"/>
    <x v="1"/>
    <x v="7"/>
    <m/>
    <m/>
    <m/>
    <m/>
    <m/>
    <m/>
    <m/>
    <m/>
    <m/>
    <m/>
    <m/>
    <m/>
    <m/>
    <m/>
    <s v=""/>
    <s v=""/>
    <s v=""/>
    <s v=""/>
    <s v=""/>
    <n v="0"/>
    <m/>
    <e v="#DIV/0!"/>
  </r>
  <r>
    <x v="2"/>
    <s v="Mon"/>
    <x v="22"/>
    <d v="1900-01-13T00:00:00"/>
    <s v="August"/>
    <x v="1"/>
    <x v="7"/>
    <m/>
    <m/>
    <m/>
    <m/>
    <m/>
    <m/>
    <m/>
    <m/>
    <m/>
    <m/>
    <m/>
    <m/>
    <m/>
    <m/>
    <s v=""/>
    <s v=""/>
    <s v=""/>
    <s v=""/>
    <s v=""/>
    <n v="0"/>
    <m/>
    <e v="#DIV/0!"/>
  </r>
  <r>
    <x v="2"/>
    <s v="Tue"/>
    <x v="23"/>
    <d v="1900-01-14T00:00:00"/>
    <s v="August"/>
    <x v="1"/>
    <x v="7"/>
    <m/>
    <m/>
    <m/>
    <m/>
    <m/>
    <m/>
    <m/>
    <m/>
    <m/>
    <m/>
    <m/>
    <m/>
    <m/>
    <m/>
    <s v=""/>
    <s v=""/>
    <s v=""/>
    <s v=""/>
    <s v=""/>
    <n v="0"/>
    <m/>
    <e v="#DIV/0!"/>
  </r>
  <r>
    <x v="2"/>
    <s v="Wed"/>
    <x v="24"/>
    <d v="1900-01-15T00:00:00"/>
    <s v="August"/>
    <x v="1"/>
    <x v="7"/>
    <m/>
    <m/>
    <m/>
    <m/>
    <m/>
    <m/>
    <m/>
    <m/>
    <m/>
    <m/>
    <m/>
    <m/>
    <m/>
    <m/>
    <s v=""/>
    <s v=""/>
    <s v=""/>
    <s v=""/>
    <s v=""/>
    <n v="0"/>
    <m/>
    <e v="#DIV/0!"/>
  </r>
  <r>
    <x v="2"/>
    <s v="Thu"/>
    <x v="25"/>
    <d v="1900-01-16T00:00:00"/>
    <s v="August"/>
    <x v="1"/>
    <x v="7"/>
    <m/>
    <m/>
    <m/>
    <m/>
    <m/>
    <m/>
    <m/>
    <m/>
    <m/>
    <m/>
    <m/>
    <m/>
    <m/>
    <m/>
    <s v=""/>
    <s v=""/>
    <s v=""/>
    <s v=""/>
    <s v=""/>
    <n v="0"/>
    <m/>
    <e v="#DIV/0!"/>
  </r>
  <r>
    <x v="2"/>
    <s v="Fri"/>
    <x v="26"/>
    <d v="1900-01-17T00:00:00"/>
    <s v="August"/>
    <x v="1"/>
    <x v="7"/>
    <m/>
    <m/>
    <m/>
    <m/>
    <m/>
    <m/>
    <m/>
    <m/>
    <m/>
    <m/>
    <m/>
    <m/>
    <m/>
    <m/>
    <s v=""/>
    <s v=""/>
    <s v=""/>
    <s v=""/>
    <s v=""/>
    <n v="0"/>
    <m/>
    <e v="#DIV/0!"/>
  </r>
  <r>
    <x v="2"/>
    <s v="Sat"/>
    <x v="27"/>
    <d v="1900-01-18T00:00:00"/>
    <s v="August"/>
    <x v="1"/>
    <x v="7"/>
    <m/>
    <m/>
    <m/>
    <m/>
    <m/>
    <m/>
    <m/>
    <m/>
    <m/>
    <m/>
    <m/>
    <m/>
    <m/>
    <m/>
    <s v=""/>
    <s v=""/>
    <s v=""/>
    <s v=""/>
    <s v=""/>
    <n v="0"/>
    <m/>
    <e v="#DIV/0!"/>
  </r>
  <r>
    <x v="3"/>
    <s v="Sun"/>
    <x v="28"/>
    <d v="1900-01-19T00:00:00"/>
    <s v="August"/>
    <x v="1"/>
    <x v="7"/>
    <m/>
    <m/>
    <m/>
    <m/>
    <m/>
    <m/>
    <m/>
    <m/>
    <m/>
    <m/>
    <m/>
    <m/>
    <m/>
    <m/>
    <s v=""/>
    <s v=""/>
    <s v=""/>
    <s v=""/>
    <s v=""/>
    <n v="0"/>
    <m/>
    <e v="#DIV/0!"/>
  </r>
  <r>
    <x v="3"/>
    <s v="Mon"/>
    <x v="29"/>
    <d v="1900-01-20T00:00:00"/>
    <s v="August"/>
    <x v="1"/>
    <x v="7"/>
    <m/>
    <m/>
    <m/>
    <m/>
    <m/>
    <m/>
    <m/>
    <m/>
    <m/>
    <m/>
    <m/>
    <m/>
    <m/>
    <m/>
    <s v=""/>
    <s v=""/>
    <s v=""/>
    <s v=""/>
    <s v=""/>
    <n v="0"/>
    <m/>
    <e v="#DIV/0!"/>
  </r>
  <r>
    <x v="3"/>
    <s v="Tue"/>
    <x v="30"/>
    <d v="1900-01-21T00:00:00"/>
    <s v="August"/>
    <x v="1"/>
    <x v="7"/>
    <m/>
    <m/>
    <m/>
    <m/>
    <m/>
    <m/>
    <m/>
    <m/>
    <m/>
    <m/>
    <m/>
    <m/>
    <m/>
    <m/>
    <s v=""/>
    <s v=""/>
    <s v=""/>
    <s v=""/>
    <s v=""/>
    <n v="0"/>
    <m/>
    <e v="#DIV/0!"/>
  </r>
  <r>
    <x v="3"/>
    <s v="Wed"/>
    <x v="31"/>
    <d v="1900-01-22T00:00:00"/>
    <s v="August"/>
    <x v="1"/>
    <x v="7"/>
    <m/>
    <m/>
    <m/>
    <m/>
    <m/>
    <m/>
    <m/>
    <m/>
    <m/>
    <m/>
    <m/>
    <m/>
    <m/>
    <m/>
    <s v=""/>
    <s v=""/>
    <s v=""/>
    <s v=""/>
    <s v=""/>
    <n v="0"/>
    <m/>
    <e v="#DIV/0!"/>
  </r>
  <r>
    <x v="3"/>
    <s v="Thu"/>
    <x v="32"/>
    <d v="1900-01-23T00:00:00"/>
    <s v="August"/>
    <x v="1"/>
    <x v="7"/>
    <m/>
    <m/>
    <m/>
    <m/>
    <m/>
    <m/>
    <m/>
    <m/>
    <m/>
    <m/>
    <m/>
    <m/>
    <m/>
    <m/>
    <s v=""/>
    <s v=""/>
    <s v=""/>
    <s v=""/>
    <s v=""/>
    <n v="0"/>
    <m/>
    <e v="#DIV/0!"/>
  </r>
  <r>
    <x v="3"/>
    <s v="Fri"/>
    <x v="33"/>
    <d v="1900-01-24T00:00:00"/>
    <s v="August"/>
    <x v="1"/>
    <x v="7"/>
    <m/>
    <m/>
    <m/>
    <m/>
    <m/>
    <m/>
    <m/>
    <m/>
    <m/>
    <m/>
    <m/>
    <m/>
    <m/>
    <m/>
    <s v=""/>
    <s v=""/>
    <s v=""/>
    <s v=""/>
    <s v=""/>
    <n v="0"/>
    <m/>
    <e v="#DIV/0!"/>
  </r>
  <r>
    <x v="3"/>
    <s v="Sat"/>
    <x v="34"/>
    <d v="1900-01-25T00:00:00"/>
    <s v="August"/>
    <x v="1"/>
    <x v="7"/>
    <m/>
    <m/>
    <m/>
    <m/>
    <m/>
    <m/>
    <m/>
    <m/>
    <m/>
    <m/>
    <m/>
    <m/>
    <m/>
    <m/>
    <s v=""/>
    <s v=""/>
    <s v=""/>
    <s v=""/>
    <s v=""/>
    <n v="0"/>
    <m/>
    <e v="#DIV/0!"/>
  </r>
  <r>
    <x v="4"/>
    <s v="Sun"/>
    <x v="35"/>
    <d v="1900-01-26T00:00:00"/>
    <s v="August"/>
    <x v="1"/>
    <x v="7"/>
    <m/>
    <m/>
    <m/>
    <m/>
    <m/>
    <m/>
    <m/>
    <m/>
    <m/>
    <m/>
    <m/>
    <m/>
    <m/>
    <m/>
    <s v=""/>
    <s v=""/>
    <s v=""/>
    <s v=""/>
    <s v=""/>
    <n v="0"/>
    <m/>
    <e v="#DIV/0!"/>
  </r>
  <r>
    <x v="4"/>
    <s v="Mon"/>
    <x v="36"/>
    <d v="1900-01-27T00:00:00"/>
    <s v="August"/>
    <x v="1"/>
    <x v="7"/>
    <m/>
    <m/>
    <m/>
    <m/>
    <m/>
    <m/>
    <m/>
    <m/>
    <m/>
    <m/>
    <m/>
    <m/>
    <m/>
    <m/>
    <s v=""/>
    <s v=""/>
    <s v=""/>
    <s v=""/>
    <s v=""/>
    <n v="0"/>
    <m/>
    <e v="#DIV/0!"/>
  </r>
  <r>
    <x v="4"/>
    <s v="Tue"/>
    <x v="37"/>
    <d v="1900-01-28T00:00:00"/>
    <s v="August"/>
    <x v="1"/>
    <x v="7"/>
    <m/>
    <m/>
    <m/>
    <m/>
    <m/>
    <m/>
    <m/>
    <m/>
    <m/>
    <m/>
    <m/>
    <m/>
    <m/>
    <m/>
    <s v=""/>
    <s v=""/>
    <s v=""/>
    <s v=""/>
    <s v=""/>
    <n v="0"/>
    <m/>
    <e v="#DIV/0!"/>
  </r>
  <r>
    <x v="4"/>
    <s v="Wed"/>
    <x v="38"/>
    <d v="1900-01-29T00:00:00"/>
    <s v="August"/>
    <x v="1"/>
    <x v="7"/>
    <m/>
    <m/>
    <m/>
    <m/>
    <m/>
    <m/>
    <m/>
    <m/>
    <m/>
    <m/>
    <m/>
    <m/>
    <m/>
    <m/>
    <s v=""/>
    <s v=""/>
    <s v=""/>
    <s v=""/>
    <s v=""/>
    <n v="0"/>
    <m/>
    <e v="#DIV/0!"/>
  </r>
  <r>
    <x v="4"/>
    <s v="Thu"/>
    <x v="39"/>
    <d v="1900-01-30T00:00:00"/>
    <s v="August"/>
    <x v="1"/>
    <x v="7"/>
    <m/>
    <m/>
    <m/>
    <m/>
    <m/>
    <m/>
    <m/>
    <m/>
    <m/>
    <m/>
    <m/>
    <m/>
    <m/>
    <m/>
    <s v=""/>
    <s v=""/>
    <s v=""/>
    <s v=""/>
    <s v=""/>
    <n v="0"/>
    <m/>
    <e v="#DIV/0!"/>
  </r>
  <r>
    <x v="4"/>
    <s v="Fri"/>
    <x v="40"/>
    <d v="1899-12-31T00:00:00"/>
    <s v="September"/>
    <x v="1"/>
    <x v="7"/>
    <m/>
    <m/>
    <m/>
    <m/>
    <m/>
    <m/>
    <m/>
    <m/>
    <m/>
    <m/>
    <m/>
    <m/>
    <m/>
    <m/>
    <s v=""/>
    <s v=""/>
    <s v=""/>
    <s v=""/>
    <s v=""/>
    <n v="0"/>
    <m/>
    <e v="#DIV/0!"/>
  </r>
  <r>
    <x v="4"/>
    <s v="Sat"/>
    <x v="41"/>
    <d v="1900-01-01T00:00:00"/>
    <s v="September"/>
    <x v="1"/>
    <x v="7"/>
    <m/>
    <m/>
    <m/>
    <m/>
    <m/>
    <m/>
    <m/>
    <m/>
    <m/>
    <m/>
    <m/>
    <m/>
    <m/>
    <m/>
    <s v=""/>
    <s v=""/>
    <s v=""/>
    <s v=""/>
    <s v=""/>
    <n v="0"/>
    <m/>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5B38B56-C495-4C29-A76D-8EA9E74EE624}" name="Row"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7" rowHeaderCaption=" WK" colHeaderCaption="Year">
  <location ref="I2:K5" firstHeaderRow="1" firstDataRow="2" firstDataCol="1"/>
  <pivotFields count="33">
    <pivotField axis="axisRow" showAll="0">
      <items count="54">
        <item h="1" m="1" x="17"/>
        <item h="1" m="1" x="27"/>
        <item h="1" m="1" x="6"/>
        <item h="1" m="1" x="36"/>
        <item h="1" m="1" x="26"/>
        <item h="1" m="1" x="16"/>
        <item h="1" m="1" x="5"/>
        <item h="1" m="1" x="45"/>
        <item h="1" m="1" x="15"/>
        <item h="1" m="1" x="35"/>
        <item h="1" m="1" x="52"/>
        <item h="1" m="1" x="25"/>
        <item h="1" m="1" x="44"/>
        <item h="1" m="1" x="14"/>
        <item h="1" m="1" x="34"/>
        <item h="1" m="1" x="51"/>
        <item h="1" m="1" x="40"/>
        <item h="1" m="1" x="24"/>
        <item h="1" m="1" x="10"/>
        <item h="1" m="1" x="43"/>
        <item h="1" m="1" x="30"/>
        <item h="1" m="1" x="13"/>
        <item h="1" m="1" x="47"/>
        <item h="1" m="1" x="33"/>
        <item h="1" m="1" x="20"/>
        <item h="1" m="1" x="50"/>
        <item h="1" m="1" x="39"/>
        <item h="1" m="1" x="23"/>
        <item h="1" m="1" x="9"/>
        <item h="1" m="1" x="42"/>
        <item x="0"/>
        <item x="1"/>
        <item h="1" x="2"/>
        <item h="1" x="3"/>
        <item h="1" x="4"/>
        <item h="1" m="1" x="32"/>
        <item h="1" m="1" x="28"/>
        <item h="1" m="1" x="19"/>
        <item h="1" m="1" x="11"/>
        <item h="1" m="1" x="49"/>
        <item h="1" m="1" x="46"/>
        <item h="1" m="1" x="38"/>
        <item h="1" m="1" x="31"/>
        <item h="1" m="1" x="22"/>
        <item h="1" m="1" x="18"/>
        <item h="1" m="1" x="8"/>
        <item h="1" m="1" x="48"/>
        <item h="1" m="1" x="41"/>
        <item h="1" m="1" x="37"/>
        <item h="1" m="1" x="29"/>
        <item h="1" m="1" x="21"/>
        <item h="1" m="1" x="12"/>
        <item h="1" m="1" x="7"/>
        <item t="default"/>
      </items>
    </pivotField>
    <pivotField showAll="0"/>
    <pivotField numFmtId="14" showAll="0"/>
    <pivotField numFmtId="180" showAll="0"/>
    <pivotField showAll="0"/>
    <pivotField axis="axisCol" showAll="0">
      <items count="4">
        <item h="1" m="1" x="2"/>
        <item x="0"/>
        <item x="1"/>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0"/>
  </rowFields>
  <rowItems count="2">
    <i>
      <x v="30"/>
    </i>
    <i>
      <x v="31"/>
    </i>
  </rowItems>
  <colFields count="1">
    <field x="5"/>
  </colFields>
  <colItems count="2">
    <i>
      <x v="1"/>
    </i>
    <i>
      <x v="2"/>
    </i>
  </colItems>
  <dataFields count="1">
    <dataField name=" Rowing" fld="13" subtotal="average" baseField="0" baseItem="23" numFmtId="172"/>
  </dataFields>
  <chartFormats count="8">
    <chartFormat chart="2" format="7" series="1">
      <pivotArea type="data" outline="0" fieldPosition="0">
        <references count="2">
          <reference field="4294967294" count="1" selected="0">
            <x v="0"/>
          </reference>
          <reference field="5" count="1" selected="0">
            <x v="1"/>
          </reference>
        </references>
      </pivotArea>
    </chartFormat>
    <chartFormat chart="2" format="8" series="1">
      <pivotArea type="data" outline="0" fieldPosition="0">
        <references count="2">
          <reference field="4294967294" count="1" selected="0">
            <x v="0"/>
          </reference>
          <reference field="5" count="1" selected="0">
            <x v="2"/>
          </reference>
        </references>
      </pivotArea>
    </chartFormat>
    <chartFormat chart="4" format="11" series="1">
      <pivotArea type="data" outline="0" fieldPosition="0">
        <references count="2">
          <reference field="4294967294" count="1" selected="0">
            <x v="0"/>
          </reference>
          <reference field="5" count="1" selected="0">
            <x v="1"/>
          </reference>
        </references>
      </pivotArea>
    </chartFormat>
    <chartFormat chart="4" format="12" series="1">
      <pivotArea type="data" outline="0" fieldPosition="0">
        <references count="2">
          <reference field="4294967294" count="1" selected="0">
            <x v="0"/>
          </reference>
          <reference field="5" count="1" selected="0">
            <x v="2"/>
          </reference>
        </references>
      </pivotArea>
    </chartFormat>
    <chartFormat chart="5" format="13" series="1">
      <pivotArea type="data" outline="0" fieldPosition="0">
        <references count="2">
          <reference field="4294967294" count="1" selected="0">
            <x v="0"/>
          </reference>
          <reference field="5" count="1" selected="0">
            <x v="1"/>
          </reference>
        </references>
      </pivotArea>
    </chartFormat>
    <chartFormat chart="5" format="14" series="1">
      <pivotArea type="data" outline="0" fieldPosition="0">
        <references count="2">
          <reference field="4294967294" count="1" selected="0">
            <x v="0"/>
          </reference>
          <reference field="5" count="1" selected="0">
            <x v="2"/>
          </reference>
        </references>
      </pivotArea>
    </chartFormat>
    <chartFormat chart="6" format="15" series="1">
      <pivotArea type="data" outline="0" fieldPosition="0">
        <references count="2">
          <reference field="4294967294" count="1" selected="0">
            <x v="0"/>
          </reference>
          <reference field="5" count="1" selected="0">
            <x v="1"/>
          </reference>
        </references>
      </pivotArea>
    </chartFormat>
    <chartFormat chart="6" format="16"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125C585-BC51-4E5E-84CC-18B092EF0A80}" name="In Bed"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12" rowHeaderCaption=" WK" colHeaderCaption="Year">
  <location ref="E2:G5" firstHeaderRow="1" firstDataRow="2" firstDataCol="1"/>
  <pivotFields count="33">
    <pivotField axis="axisRow" showAll="0">
      <items count="54">
        <item h="1" m="1" x="17"/>
        <item h="1" m="1" x="27"/>
        <item h="1" m="1" x="6"/>
        <item h="1" m="1" x="36"/>
        <item h="1" m="1" x="26"/>
        <item h="1" m="1" x="16"/>
        <item h="1" m="1" x="5"/>
        <item h="1" m="1" x="45"/>
        <item h="1" m="1" x="15"/>
        <item h="1" m="1" x="35"/>
        <item h="1" m="1" x="52"/>
        <item h="1" m="1" x="25"/>
        <item h="1" m="1" x="44"/>
        <item h="1" m="1" x="14"/>
        <item h="1" m="1" x="34"/>
        <item h="1" m="1" x="51"/>
        <item h="1" m="1" x="40"/>
        <item h="1" m="1" x="24"/>
        <item h="1" m="1" x="10"/>
        <item h="1" m="1" x="43"/>
        <item h="1" m="1" x="30"/>
        <item h="1" m="1" x="13"/>
        <item h="1" m="1" x="47"/>
        <item h="1" m="1" x="33"/>
        <item h="1" m="1" x="20"/>
        <item h="1" m="1" x="50"/>
        <item h="1" m="1" x="39"/>
        <item h="1" m="1" x="23"/>
        <item h="1" m="1" x="9"/>
        <item h="1" m="1" x="42"/>
        <item x="0"/>
        <item x="1"/>
        <item h="1" x="2"/>
        <item h="1" x="3"/>
        <item h="1" x="4"/>
        <item h="1" m="1" x="32"/>
        <item h="1" m="1" x="28"/>
        <item h="1" m="1" x="19"/>
        <item h="1" m="1" x="11"/>
        <item h="1" m="1" x="49"/>
        <item h="1" m="1" x="46"/>
        <item h="1" m="1" x="38"/>
        <item h="1" m="1" x="31"/>
        <item h="1" m="1" x="22"/>
        <item h="1" m="1" x="18"/>
        <item h="1" m="1" x="8"/>
        <item h="1" m="1" x="48"/>
        <item h="1" m="1" x="41"/>
        <item h="1" m="1" x="37"/>
        <item h="1" m="1" x="29"/>
        <item h="1" m="1" x="21"/>
        <item h="1" m="1" x="12"/>
        <item h="1" m="1" x="7"/>
        <item t="default"/>
      </items>
    </pivotField>
    <pivotField showAll="0"/>
    <pivotField numFmtId="14" showAll="0"/>
    <pivotField numFmtId="180" showAll="0"/>
    <pivotField showAll="0"/>
    <pivotField axis="axisCol" showAll="0">
      <items count="4">
        <item h="1" m="1" x="2"/>
        <item x="0"/>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0"/>
  </rowFields>
  <rowItems count="2">
    <i>
      <x v="30"/>
    </i>
    <i>
      <x v="31"/>
    </i>
  </rowItems>
  <colFields count="1">
    <field x="5"/>
  </colFields>
  <colItems count="2">
    <i>
      <x v="1"/>
    </i>
    <i>
      <x v="2"/>
    </i>
  </colItems>
  <dataFields count="1">
    <dataField name="In Bed" fld="6" subtotal="average" baseField="0" baseItem="24" numFmtId="172"/>
  </dataFields>
  <chartFormats count="8">
    <chartFormat chart="7" format="9" series="1">
      <pivotArea type="data" outline="0" fieldPosition="0">
        <references count="2">
          <reference field="4294967294" count="1" selected="0">
            <x v="0"/>
          </reference>
          <reference field="5" count="1" selected="0">
            <x v="1"/>
          </reference>
        </references>
      </pivotArea>
    </chartFormat>
    <chartFormat chart="7" format="10" series="1">
      <pivotArea type="data" outline="0" fieldPosition="0">
        <references count="2">
          <reference field="4294967294" count="1" selected="0">
            <x v="0"/>
          </reference>
          <reference field="5" count="1" selected="0">
            <x v="2"/>
          </reference>
        </references>
      </pivotArea>
    </chartFormat>
    <chartFormat chart="9" format="13" series="1">
      <pivotArea type="data" outline="0" fieldPosition="0">
        <references count="2">
          <reference field="4294967294" count="1" selected="0">
            <x v="0"/>
          </reference>
          <reference field="5" count="1" selected="0">
            <x v="1"/>
          </reference>
        </references>
      </pivotArea>
    </chartFormat>
    <chartFormat chart="9" format="14" series="1">
      <pivotArea type="data" outline="0" fieldPosition="0">
        <references count="2">
          <reference field="4294967294" count="1" selected="0">
            <x v="0"/>
          </reference>
          <reference field="5" count="1" selected="0">
            <x v="2"/>
          </reference>
        </references>
      </pivotArea>
    </chartFormat>
    <chartFormat chart="10" format="15" series="1">
      <pivotArea type="data" outline="0" fieldPosition="0">
        <references count="2">
          <reference field="4294967294" count="1" selected="0">
            <x v="0"/>
          </reference>
          <reference field="5" count="1" selected="0">
            <x v="1"/>
          </reference>
        </references>
      </pivotArea>
    </chartFormat>
    <chartFormat chart="10" format="16" series="1">
      <pivotArea type="data" outline="0" fieldPosition="0">
        <references count="2">
          <reference field="4294967294" count="1" selected="0">
            <x v="0"/>
          </reference>
          <reference field="5" count="1" selected="0">
            <x v="2"/>
          </reference>
        </references>
      </pivotArea>
    </chartFormat>
    <chartFormat chart="11" format="17" series="1">
      <pivotArea type="data" outline="0" fieldPosition="0">
        <references count="2">
          <reference field="4294967294" count="1" selected="0">
            <x v="0"/>
          </reference>
          <reference field="5" count="1" selected="0">
            <x v="1"/>
          </reference>
        </references>
      </pivotArea>
    </chartFormat>
    <chartFormat chart="11" format="18"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06148D9-7735-42CB-8830-F65E36E74F0F}" name="InBed"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18" rowHeaderCaption=" WK" colHeaderCaption="Year">
  <location ref="A2:C5" firstHeaderRow="1" firstDataRow="2" firstDataCol="1"/>
  <pivotFields count="33">
    <pivotField axis="axisRow" showAll="0">
      <items count="54">
        <item h="1" m="1" x="17"/>
        <item h="1" m="1" x="27"/>
        <item h="1" m="1" x="6"/>
        <item h="1" m="1" x="36"/>
        <item h="1" m="1" x="26"/>
        <item h="1" m="1" x="16"/>
        <item h="1" m="1" x="5"/>
        <item h="1" m="1" x="45"/>
        <item h="1" m="1" x="15"/>
        <item h="1" m="1" x="35"/>
        <item h="1" m="1" x="52"/>
        <item h="1" m="1" x="25"/>
        <item h="1" m="1" x="44"/>
        <item h="1" m="1" x="14"/>
        <item h="1" m="1" x="34"/>
        <item h="1" m="1" x="51"/>
        <item h="1" m="1" x="40"/>
        <item h="1" m="1" x="24"/>
        <item h="1" m="1" x="10"/>
        <item h="1" m="1" x="43"/>
        <item h="1" m="1" x="30"/>
        <item h="1" m="1" x="13"/>
        <item h="1" m="1" x="47"/>
        <item h="1" m="1" x="33"/>
        <item h="1" m="1" x="20"/>
        <item h="1" m="1" x="50"/>
        <item h="1" m="1" x="39"/>
        <item h="1" m="1" x="23"/>
        <item h="1" m="1" x="9"/>
        <item h="1" m="1" x="42"/>
        <item x="0"/>
        <item x="1"/>
        <item h="1" x="2"/>
        <item h="1" x="3"/>
        <item h="1" x="4"/>
        <item h="1" m="1" x="32"/>
        <item h="1" m="1" x="28"/>
        <item h="1" m="1" x="19"/>
        <item h="1" m="1" x="11"/>
        <item h="1" m="1" x="49"/>
        <item h="1" m="1" x="46"/>
        <item h="1" m="1" x="38"/>
        <item h="1" m="1" x="31"/>
        <item h="1" m="1" x="22"/>
        <item h="1" m="1" x="18"/>
        <item h="1" m="1" x="8"/>
        <item h="1" m="1" x="48"/>
        <item h="1" m="1" x="41"/>
        <item h="1" m="1" x="37"/>
        <item h="1" m="1" x="29"/>
        <item h="1" m="1" x="21"/>
        <item h="1" m="1" x="12"/>
        <item h="1" m="1" x="7"/>
        <item t="default"/>
      </items>
    </pivotField>
    <pivotField showAll="0"/>
    <pivotField numFmtId="14" showAll="0"/>
    <pivotField numFmtId="180" showAll="0"/>
    <pivotField showAll="0"/>
    <pivotField axis="axisCol" showAll="0">
      <items count="4">
        <item h="1" m="1" x="2"/>
        <item x="0"/>
        <item x="1"/>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0"/>
  </rowFields>
  <rowItems count="2">
    <i>
      <x v="30"/>
    </i>
    <i>
      <x v="31"/>
    </i>
  </rowItems>
  <colFields count="1">
    <field x="5"/>
  </colFields>
  <colItems count="2">
    <i>
      <x v="1"/>
    </i>
    <i>
      <x v="2"/>
    </i>
  </colItems>
  <dataFields count="1">
    <dataField name="Wake up" fld="9" subtotal="average" baseField="0" baseItem="25" numFmtId="172"/>
  </dataFields>
  <chartFormats count="10">
    <chartFormat chart="13" format="7" series="1">
      <pivotArea type="data" outline="0" fieldPosition="0">
        <references count="2">
          <reference field="4294967294" count="1" selected="0">
            <x v="0"/>
          </reference>
          <reference field="5" count="1" selected="0">
            <x v="1"/>
          </reference>
        </references>
      </pivotArea>
    </chartFormat>
    <chartFormat chart="13" format="8" series="1">
      <pivotArea type="data" outline="0" fieldPosition="0">
        <references count="2">
          <reference field="4294967294" count="1" selected="0">
            <x v="0"/>
          </reference>
          <reference field="5" count="1" selected="0">
            <x v="2"/>
          </reference>
        </references>
      </pivotArea>
    </chartFormat>
    <chartFormat chart="14" format="9" series="1">
      <pivotArea type="data" outline="0" fieldPosition="0">
        <references count="2">
          <reference field="4294967294" count="1" selected="0">
            <x v="0"/>
          </reference>
          <reference field="5" count="1" selected="0">
            <x v="1"/>
          </reference>
        </references>
      </pivotArea>
    </chartFormat>
    <chartFormat chart="14" format="10" series="1">
      <pivotArea type="data" outline="0" fieldPosition="0">
        <references count="2">
          <reference field="4294967294" count="1" selected="0">
            <x v="0"/>
          </reference>
          <reference field="5" count="1" selected="0">
            <x v="2"/>
          </reference>
        </references>
      </pivotArea>
    </chartFormat>
    <chartFormat chart="15" format="11" series="1">
      <pivotArea type="data" outline="0" fieldPosition="0">
        <references count="2">
          <reference field="4294967294" count="1" selected="0">
            <x v="0"/>
          </reference>
          <reference field="5" count="1" selected="0">
            <x v="1"/>
          </reference>
        </references>
      </pivotArea>
    </chartFormat>
    <chartFormat chart="15" format="12" series="1">
      <pivotArea type="data" outline="0" fieldPosition="0">
        <references count="2">
          <reference field="4294967294" count="1" selected="0">
            <x v="0"/>
          </reference>
          <reference field="5" count="1" selected="0">
            <x v="2"/>
          </reference>
        </references>
      </pivotArea>
    </chartFormat>
    <chartFormat chart="16" format="13" series="1">
      <pivotArea type="data" outline="0" fieldPosition="0">
        <references count="2">
          <reference field="4294967294" count="1" selected="0">
            <x v="0"/>
          </reference>
          <reference field="5" count="1" selected="0">
            <x v="1"/>
          </reference>
        </references>
      </pivotArea>
    </chartFormat>
    <chartFormat chart="16" format="14" series="1">
      <pivotArea type="data" outline="0" fieldPosition="0">
        <references count="2">
          <reference field="4294967294" count="1" selected="0">
            <x v="0"/>
          </reference>
          <reference field="5" count="1" selected="0">
            <x v="2"/>
          </reference>
        </references>
      </pivotArea>
    </chartFormat>
    <chartFormat chart="17" format="15" series="1">
      <pivotArea type="data" outline="0" fieldPosition="0">
        <references count="2">
          <reference field="4294967294" count="1" selected="0">
            <x v="0"/>
          </reference>
          <reference field="5" count="1" selected="0">
            <x v="1"/>
          </reference>
        </references>
      </pivotArea>
    </chartFormat>
    <chartFormat chart="17" format="16"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68CF9FC-6A33-4C32-8005-CF37F3DC04AA}" name="Pct"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rowHeaderCaption=" WK" colHeaderCaption="Year">
  <location ref="U2:W5" firstHeaderRow="1" firstDataRow="2" firstDataCol="1"/>
  <pivotFields count="33">
    <pivotField axis="axisRow" showAll="0">
      <items count="54">
        <item h="1" m="1" x="17"/>
        <item h="1" m="1" x="27"/>
        <item h="1" m="1" x="6"/>
        <item h="1" m="1" x="36"/>
        <item h="1" m="1" x="26"/>
        <item h="1" m="1" x="16"/>
        <item h="1" m="1" x="5"/>
        <item h="1" m="1" x="45"/>
        <item h="1" m="1" x="15"/>
        <item h="1" m="1" x="35"/>
        <item h="1" m="1" x="52"/>
        <item h="1" m="1" x="25"/>
        <item h="1" m="1" x="44"/>
        <item h="1" m="1" x="14"/>
        <item h="1" m="1" x="34"/>
        <item h="1" m="1" x="51"/>
        <item h="1" m="1" x="40"/>
        <item h="1" m="1" x="24"/>
        <item h="1" m="1" x="10"/>
        <item h="1" m="1" x="43"/>
        <item h="1" m="1" x="30"/>
        <item h="1" m="1" x="13"/>
        <item h="1" m="1" x="47"/>
        <item h="1" m="1" x="33"/>
        <item h="1" m="1" x="20"/>
        <item h="1" m="1" x="50"/>
        <item h="1" m="1" x="39"/>
        <item h="1" m="1" x="23"/>
        <item h="1" m="1" x="9"/>
        <item h="1" m="1" x="42"/>
        <item x="0"/>
        <item x="1"/>
        <item h="1" x="2"/>
        <item h="1" x="3"/>
        <item h="1" x="4"/>
        <item h="1" m="1" x="32"/>
        <item h="1" m="1" x="28"/>
        <item h="1" m="1" x="19"/>
        <item h="1" m="1" x="11"/>
        <item h="1" m="1" x="49"/>
        <item h="1" m="1" x="46"/>
        <item h="1" m="1" x="38"/>
        <item h="1" m="1" x="31"/>
        <item h="1" m="1" x="22"/>
        <item h="1" m="1" x="18"/>
        <item h="1" m="1" x="8"/>
        <item h="1" m="1" x="48"/>
        <item h="1" m="1" x="41"/>
        <item h="1" m="1" x="37"/>
        <item h="1" m="1" x="29"/>
        <item h="1" m="1" x="21"/>
        <item h="1" m="1" x="12"/>
        <item h="1" m="1" x="7"/>
        <item t="default"/>
      </items>
    </pivotField>
    <pivotField showAll="0"/>
    <pivotField numFmtId="14" showAll="0"/>
    <pivotField numFmtId="180" showAll="0"/>
    <pivotField showAll="0"/>
    <pivotField axis="axisCol" showAll="0">
      <items count="4">
        <item h="1"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defaultSubtotal="0"/>
    <pivotField showAll="0" defaultSubtotal="0"/>
    <pivotField showAll="0" defaultSubtotal="0"/>
    <pivotField showAll="0" defaultSubtotal="0"/>
  </pivotFields>
  <rowFields count="1">
    <field x="0"/>
  </rowFields>
  <rowItems count="2">
    <i>
      <x v="30"/>
    </i>
    <i>
      <x v="31"/>
    </i>
  </rowItems>
  <colFields count="1">
    <field x="5"/>
  </colFields>
  <colItems count="2">
    <i>
      <x v="1"/>
    </i>
    <i>
      <x v="2"/>
    </i>
  </colItems>
  <dataFields count="1">
    <dataField name="Average of Pct" fld="28" subtotal="average" baseField="0" baseItem="22" numFmtId="17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086C8EB-3EBA-4D00-83BC-3AE96ED4A4FF}" name="EndTime"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6" rowHeaderCaption=" WK" colHeaderCaption="Year">
  <location ref="Q2:S5" firstHeaderRow="1" firstDataRow="2" firstDataCol="1"/>
  <pivotFields count="33">
    <pivotField axis="axisRow" showAll="0">
      <items count="54">
        <item h="1" m="1" x="17"/>
        <item h="1" m="1" x="27"/>
        <item h="1" m="1" x="6"/>
        <item h="1" m="1" x="36"/>
        <item h="1" m="1" x="26"/>
        <item h="1" m="1" x="16"/>
        <item h="1" m="1" x="5"/>
        <item h="1" m="1" x="45"/>
        <item h="1" m="1" x="15"/>
        <item h="1" m="1" x="35"/>
        <item h="1" m="1" x="52"/>
        <item h="1" m="1" x="25"/>
        <item h="1" m="1" x="44"/>
        <item h="1" m="1" x="14"/>
        <item h="1" m="1" x="34"/>
        <item h="1" m="1" x="51"/>
        <item h="1" m="1" x="40"/>
        <item h="1" m="1" x="24"/>
        <item h="1" m="1" x="10"/>
        <item h="1" m="1" x="43"/>
        <item h="1" m="1" x="30"/>
        <item h="1" m="1" x="13"/>
        <item h="1" m="1" x="47"/>
        <item h="1" m="1" x="33"/>
        <item h="1" m="1" x="20"/>
        <item h="1" m="1" x="50"/>
        <item h="1" m="1" x="39"/>
        <item h="1" m="1" x="23"/>
        <item h="1" m="1" x="9"/>
        <item h="1" m="1" x="42"/>
        <item x="0"/>
        <item x="1"/>
        <item h="1" x="2"/>
        <item h="1" x="3"/>
        <item h="1" x="4"/>
        <item h="1" m="1" x="32"/>
        <item h="1" m="1" x="28"/>
        <item h="1" m="1" x="19"/>
        <item h="1" m="1" x="11"/>
        <item h="1" m="1" x="49"/>
        <item h="1" m="1" x="46"/>
        <item h="1" m="1" x="38"/>
        <item h="1" m="1" x="31"/>
        <item h="1" m="1" x="22"/>
        <item h="1" m="1" x="18"/>
        <item h="1" m="1" x="8"/>
        <item h="1" m="1" x="48"/>
        <item h="1" m="1" x="41"/>
        <item h="1" m="1" x="37"/>
        <item h="1" m="1" x="29"/>
        <item h="1" m="1" x="21"/>
        <item h="1" m="1" x="12"/>
        <item h="1" m="1" x="7"/>
        <item t="default"/>
      </items>
    </pivotField>
    <pivotField showAll="0"/>
    <pivotField numFmtId="14" showAll="0"/>
    <pivotField numFmtId="180" showAll="0"/>
    <pivotField showAll="0"/>
    <pivotField axis="axisCol" showAll="0">
      <items count="4">
        <item h="1"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0"/>
  </rowFields>
  <rowItems count="2">
    <i>
      <x v="30"/>
    </i>
    <i>
      <x v="31"/>
    </i>
  </rowItems>
  <colFields count="1">
    <field x="5"/>
  </colFields>
  <colItems count="2">
    <i>
      <x v="1"/>
    </i>
    <i>
      <x v="2"/>
    </i>
  </colItems>
  <dataFields count="1">
    <dataField name=" End Time" fld="20" subtotal="average" baseField="0" baseItem="24" numFmtId="172"/>
  </dataFields>
  <chartFormats count="4">
    <chartFormat chart="3" format="7" series="1">
      <pivotArea type="data" outline="0" fieldPosition="0">
        <references count="2">
          <reference field="4294967294" count="1" selected="0">
            <x v="0"/>
          </reference>
          <reference field="5" count="1" selected="0">
            <x v="1"/>
          </reference>
        </references>
      </pivotArea>
    </chartFormat>
    <chartFormat chart="3" format="8" series="1">
      <pivotArea type="data" outline="0" fieldPosition="0">
        <references count="2">
          <reference field="4294967294" count="1" selected="0">
            <x v="0"/>
          </reference>
          <reference field="5" count="1" selected="0">
            <x v="2"/>
          </reference>
        </references>
      </pivotArea>
    </chartFormat>
    <chartFormat chart="5" format="11" series="1">
      <pivotArea type="data" outline="0" fieldPosition="0">
        <references count="2">
          <reference field="4294967294" count="1" selected="0">
            <x v="0"/>
          </reference>
          <reference field="5" count="1" selected="0">
            <x v="1"/>
          </reference>
        </references>
      </pivotArea>
    </chartFormat>
    <chartFormat chart="5" format="12"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ECEA68B-C12C-4065-B495-1A1BCD709C6C}" name="Gym" cacheId="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chartFormat="5" rowHeaderCaption=" WK" colHeaderCaption="Year">
  <location ref="M2:O5" firstHeaderRow="1" firstDataRow="2" firstDataCol="1"/>
  <pivotFields count="33">
    <pivotField axis="axisRow" showAll="0">
      <items count="54">
        <item h="1" m="1" x="17"/>
        <item h="1" m="1" x="27"/>
        <item h="1" m="1" x="6"/>
        <item h="1" m="1" x="36"/>
        <item h="1" m="1" x="26"/>
        <item h="1" m="1" x="16"/>
        <item h="1" m="1" x="5"/>
        <item h="1" m="1" x="45"/>
        <item h="1" m="1" x="15"/>
        <item h="1" m="1" x="35"/>
        <item h="1" m="1" x="52"/>
        <item h="1" m="1" x="25"/>
        <item h="1" m="1" x="44"/>
        <item h="1" m="1" x="14"/>
        <item h="1" m="1" x="34"/>
        <item h="1" m="1" x="51"/>
        <item h="1" m="1" x="40"/>
        <item h="1" m="1" x="24"/>
        <item h="1" m="1" x="10"/>
        <item h="1" m="1" x="43"/>
        <item h="1" m="1" x="30"/>
        <item h="1" m="1" x="13"/>
        <item h="1" m="1" x="47"/>
        <item h="1" m="1" x="33"/>
        <item h="1" m="1" x="20"/>
        <item h="1" m="1" x="50"/>
        <item h="1" m="1" x="39"/>
        <item h="1" m="1" x="23"/>
        <item h="1" m="1" x="9"/>
        <item h="1" m="1" x="42"/>
        <item x="0"/>
        <item x="1"/>
        <item h="1" x="2"/>
        <item h="1" x="3"/>
        <item h="1" x="4"/>
        <item h="1" m="1" x="32"/>
        <item h="1" m="1" x="28"/>
        <item h="1" m="1" x="19"/>
        <item h="1" m="1" x="11"/>
        <item h="1" m="1" x="49"/>
        <item h="1" m="1" x="46"/>
        <item h="1" m="1" x="38"/>
        <item h="1" m="1" x="31"/>
        <item h="1" m="1" x="22"/>
        <item h="1" m="1" x="18"/>
        <item h="1" m="1" x="8"/>
        <item h="1" m="1" x="48"/>
        <item h="1" m="1" x="41"/>
        <item h="1" m="1" x="37"/>
        <item h="1" m="1" x="29"/>
        <item h="1" m="1" x="21"/>
        <item h="1" m="1" x="12"/>
        <item h="1" m="1" x="7"/>
        <item t="default"/>
      </items>
    </pivotField>
    <pivotField showAll="0"/>
    <pivotField numFmtId="14" showAll="0"/>
    <pivotField numFmtId="180" showAll="0"/>
    <pivotField showAll="0"/>
    <pivotField axis="axisCol" showAll="0">
      <items count="4">
        <item h="1" m="1" x="2"/>
        <item x="0"/>
        <item x="1"/>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s>
  <rowFields count="1">
    <field x="0"/>
  </rowFields>
  <rowItems count="2">
    <i>
      <x v="30"/>
    </i>
    <i>
      <x v="31"/>
    </i>
  </rowItems>
  <colFields count="1">
    <field x="5"/>
  </colFields>
  <colItems count="2">
    <i>
      <x v="1"/>
    </i>
    <i>
      <x v="2"/>
    </i>
  </colItems>
  <dataFields count="1">
    <dataField name="Gym " fld="9" subtotal="average" baseField="0" baseItem="23" numFmtId="172"/>
  </dataFields>
  <chartFormats count="8">
    <chartFormat chart="0" format="7" series="1">
      <pivotArea type="data" outline="0" fieldPosition="0">
        <references count="2">
          <reference field="4294967294" count="1" selected="0">
            <x v="0"/>
          </reference>
          <reference field="5" count="1" selected="0">
            <x v="1"/>
          </reference>
        </references>
      </pivotArea>
    </chartFormat>
    <chartFormat chart="0" format="8" series="1">
      <pivotArea type="data" outline="0" fieldPosition="0">
        <references count="2">
          <reference field="4294967294" count="1" selected="0">
            <x v="0"/>
          </reference>
          <reference field="5" count="1" selected="0">
            <x v="2"/>
          </reference>
        </references>
      </pivotArea>
    </chartFormat>
    <chartFormat chart="2" format="11" series="1">
      <pivotArea type="data" outline="0" fieldPosition="0">
        <references count="2">
          <reference field="4294967294" count="1" selected="0">
            <x v="0"/>
          </reference>
          <reference field="5" count="1" selected="0">
            <x v="1"/>
          </reference>
        </references>
      </pivotArea>
    </chartFormat>
    <chartFormat chart="2" format="12" series="1">
      <pivotArea type="data" outline="0" fieldPosition="0">
        <references count="2">
          <reference field="4294967294" count="1" selected="0">
            <x v="0"/>
          </reference>
          <reference field="5" count="1" selected="0">
            <x v="2"/>
          </reference>
        </references>
      </pivotArea>
    </chartFormat>
    <chartFormat chart="3" format="13" series="1">
      <pivotArea type="data" outline="0" fieldPosition="0">
        <references count="2">
          <reference field="4294967294" count="1" selected="0">
            <x v="0"/>
          </reference>
          <reference field="5" count="1" selected="0">
            <x v="1"/>
          </reference>
        </references>
      </pivotArea>
    </chartFormat>
    <chartFormat chart="3" format="14" series="1">
      <pivotArea type="data" outline="0" fieldPosition="0">
        <references count="2">
          <reference field="4294967294" count="1" selected="0">
            <x v="0"/>
          </reference>
          <reference field="5" count="1" selected="0">
            <x v="2"/>
          </reference>
        </references>
      </pivotArea>
    </chartFormat>
    <chartFormat chart="4" format="15" series="1">
      <pivotArea type="data" outline="0" fieldPosition="0">
        <references count="2">
          <reference field="4294967294" count="1" selected="0">
            <x v="0"/>
          </reference>
          <reference field="5" count="1" selected="0">
            <x v="1"/>
          </reference>
        </references>
      </pivotArea>
    </chartFormat>
    <chartFormat chart="4" format="16" series="1">
      <pivotArea type="data" outline="0" fieldPosition="0">
        <references count="2">
          <reference field="4294967294" count="1" selected="0">
            <x v="0"/>
          </reference>
          <reference field="5"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4118B600-D3BB-48D8-8A3A-A725C99B9F82}" sourceName="Year">
  <pivotTables>
    <pivotTable tabId="42" name="EndTime"/>
    <pivotTable tabId="42" name="Gym"/>
    <pivotTable tabId="42" name="In Bed"/>
    <pivotTable tabId="42" name="Pct"/>
    <pivotTable tabId="42" name="Row"/>
    <pivotTable tabId="42" name="InBed"/>
  </pivotTables>
  <data>
    <tabular pivotCacheId="491360671">
      <items count="3">
        <i x="0" s="1"/>
        <i x="1" s="1"/>
        <i x="2"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k" xr10:uid="{CAFB8EB8-19E7-4EA3-86A5-95F2B5DA7A3D}" sourceName="Wk">
  <pivotTables>
    <pivotTable tabId="42" name="EndTime"/>
    <pivotTable tabId="42" name="Gym"/>
    <pivotTable tabId="42" name="In Bed"/>
    <pivotTable tabId="42" name="Pct"/>
    <pivotTable tabId="42" name="Row"/>
    <pivotTable tabId="42" name="InBed"/>
  </pivotTables>
  <data>
    <tabular pivotCacheId="491360671">
      <items count="53">
        <i x="0" s="1"/>
        <i x="1" s="1"/>
        <i x="2"/>
        <i x="3"/>
        <i x="4"/>
        <i x="17" nd="1"/>
        <i x="27" nd="1"/>
        <i x="6" nd="1"/>
        <i x="36" nd="1"/>
        <i x="26" nd="1"/>
        <i x="16" nd="1"/>
        <i x="5" nd="1"/>
        <i x="45" nd="1"/>
        <i x="15" nd="1"/>
        <i x="35" nd="1"/>
        <i x="52" nd="1"/>
        <i x="25" nd="1"/>
        <i x="44" nd="1"/>
        <i x="14" nd="1"/>
        <i x="34" nd="1"/>
        <i x="51" nd="1"/>
        <i x="40" nd="1"/>
        <i x="24" nd="1"/>
        <i x="10" nd="1"/>
        <i x="43" nd="1"/>
        <i x="30" nd="1"/>
        <i x="13" nd="1"/>
        <i x="47" nd="1"/>
        <i x="33" nd="1"/>
        <i x="20" nd="1"/>
        <i x="50" nd="1"/>
        <i x="39" nd="1"/>
        <i x="23" nd="1"/>
        <i x="9" nd="1"/>
        <i x="42" nd="1"/>
        <i x="32" nd="1"/>
        <i x="28" nd="1"/>
        <i x="19" nd="1"/>
        <i x="11" nd="1"/>
        <i x="49" nd="1"/>
        <i x="46" nd="1"/>
        <i x="38" nd="1"/>
        <i x="31" nd="1"/>
        <i x="22" nd="1"/>
        <i x="18" nd="1"/>
        <i x="8" nd="1"/>
        <i x="48" nd="1"/>
        <i x="41" nd="1"/>
        <i x="37" nd="1"/>
        <i x="29" nd="1"/>
        <i x="21" nd="1"/>
        <i x="12" nd="1"/>
        <i x="7"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E6EBA5D3-93C1-47AB-A518-994FDE809A8C}" cache="Slicer_Year" caption="Year" columnCount="3" showCaption="0" style="Slicer Style 1" rowHeight="262466"/>
  <slicer name="Wk" xr10:uid="{87062609-3FA7-4AB8-B35C-AE8E0905EA00}" cache="Slicer_Wk" caption="Week" columnCount="9" style="SlicerStyleDark1" rowHeight="26246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B064943-1D3C-47B2-94BB-35AF71BBA817}" name="Table1" displayName="Table1" ref="B2:AD44" totalsRowShown="0" headerRowDxfId="876" dataDxfId="875" totalsRowDxfId="874">
  <tableColumns count="29">
    <tableColumn id="26" xr3:uid="{70A57896-A09D-4C7A-9C1F-0FCE3F24550A}" name="Wk" dataDxfId="873" totalsRowDxfId="872">
      <calculatedColumnFormula>WEEKNUM(D3)</calculatedColumnFormula>
    </tableColumn>
    <tableColumn id="27" xr3:uid="{83391380-500C-462B-AE3B-D9A7D4F3F076}" name="Day" dataDxfId="871" totalsRowDxfId="870">
      <calculatedColumnFormula>TEXT(D3,"DDD")</calculatedColumnFormula>
    </tableColumn>
    <tableColumn id="1" xr3:uid="{6DF615B7-73C6-4D5B-873B-8460B26D26D0}" name="Date" dataDxfId="869" totalsRowDxfId="868"/>
    <tableColumn id="2" xr3:uid="{2FFCBA35-A731-41CF-BFDC-127774A311D3}" name="Calendar" dataDxfId="867" totalsRowDxfId="866">
      <calculatedColumnFormula>DAY(Table1[[#This Row],[Date]])</calculatedColumnFormula>
    </tableColumn>
    <tableColumn id="3" xr3:uid="{44366447-CF46-42CB-AD13-A86DB3D1559D}" name="Month" dataDxfId="865"/>
    <tableColumn id="4" xr3:uid="{AACA314B-B750-46AD-93A5-A8BEF0CD639B}" name="Year" dataDxfId="864">
      <calculatedColumnFormula>TEXT(D3,"YYYY")</calculatedColumnFormula>
    </tableColumn>
    <tableColumn id="5" xr3:uid="{4ABAF416-FBA9-4503-A204-22005B78FEC2}" name="Bed" dataDxfId="863"/>
    <tableColumn id="6" xr3:uid="{CFB3D930-23B3-41C4-988E-D3AA4A600602}" name="Sleep Hours" dataDxfId="862" totalsRowDxfId="861"/>
    <tableColumn id="7" xr3:uid="{1C088AD1-5A14-4125-B073-D83BE155D69C}" name="Family Awake" dataDxfId="860" totalsRowDxfId="859"/>
    <tableColumn id="8" xr3:uid="{300F4BA0-1258-41A1-A0C5-76D140FD6B23}" name="Wake up/Coffee " dataDxfId="858" totalsRowDxfId="857"/>
    <tableColumn id="9" xr3:uid="{C5ACF78A-16A2-4E56-B473-26C40737A84A}" name="Meditation" dataDxfId="856" totalsRowDxfId="855"/>
    <tableColumn id="29" xr3:uid="{D08341EC-C9B7-4501-83B0-EA6D64C7FB03}" name="Stretch/Comm" dataDxfId="854" totalsRowDxfId="853"/>
    <tableColumn id="10" xr3:uid="{1A4BB366-FA1F-4611-B4E3-67255B73668A}" name="Clean Kitchen" dataDxfId="852" totalsRowDxfId="851"/>
    <tableColumn id="11" xr3:uid="{E414C485-0CA9-4B55-B7AF-78B7D3182AA1}" name="Rowing" dataDxfId="850" totalsRowDxfId="849"/>
    <tableColumn id="12" xr3:uid="{E94EDD71-DAD6-4720-9AB7-B77FDD86C15C}" name="Elliptical" dataDxfId="848" totalsRowDxfId="847"/>
    <tableColumn id="13" xr3:uid="{40839A6F-07AE-4C30-B4BB-7AEAC865430C}" name="Gym" dataDxfId="846" totalsRowDxfId="845"/>
    <tableColumn id="14" xr3:uid="{D01784AE-5B9C-477F-8CFD-FE38828C802A}" name="Focus Brain" dataDxfId="844" totalsRowDxfId="843"/>
    <tableColumn id="15" xr3:uid="{2D750EB8-1A71-490B-8AD1-2EF9102447C9}" name="Read" dataDxfId="842" totalsRowDxfId="841"/>
    <tableColumn id="16" xr3:uid="{53088855-F54F-4790-B25F-06228341098C}" name="Memory Training" dataDxfId="840" totalsRowDxfId="839"/>
    <tableColumn id="21" xr3:uid="{96C0491A-1758-4A20-ACC7-903B5695779E}" name="Total Internet" dataDxfId="838" totalsRowDxfId="837"/>
    <tableColumn id="17" xr3:uid="{46E0D867-C42F-4B0C-AB54-52844A746EE1}" name="End Time" dataDxfId="836" totalsRowDxfId="835"/>
    <tableColumn id="18" xr3:uid="{BB4B4610-D489-4D57-A374-190C31D5203D}" name="SleepM" dataDxfId="834" totalsRowDxfId="833">
      <calculatedColumnFormula>IF($I3="","",IF($I3&gt;=$AH$3,$AI$3,IF($I3&gt;=$AJ$3,$AK$3,IF($I3&gt;=$AL$3,$AM$3,0))))</calculatedColumnFormula>
    </tableColumn>
    <tableColumn id="19" xr3:uid="{DCA1148C-304B-4573-8873-90E482FD6082}" name="RowM" dataDxfId="832" totalsRowDxfId="831">
      <calculatedColumnFormula>IF($O3="","",IF($O3&lt;=$AH$4,$AI$4,IF($O3&lt;=$AJ$4,$AK$4,IF($O3&gt;=$AL$4,$AM$4,0))))</calculatedColumnFormula>
    </tableColumn>
    <tableColumn id="20" xr3:uid="{41CE3201-9CFA-4585-A3D1-DB0BD2394E57}" name="GymM" dataDxfId="830" totalsRowDxfId="829">
      <calculatedColumnFormula>IF($Q3="","",IF($Q3&lt;=$AH$6,$AI$6,IF($Q3&lt;=$AJ$6,$AK$6,IF($Q3&gt;=$AL$6,$AM$6,0))))</calculatedColumnFormula>
    </tableColumn>
    <tableColumn id="22" xr3:uid="{75D2DDD6-7788-4CB7-B049-E1F33B15D8DD}" name="InternetM" dataDxfId="828" totalsRowDxfId="827">
      <calculatedColumnFormula>IF($U3="","",IF($U3&lt;=$AH$7,$AI$7,IF($U3&lt;=$AJ$7,$AK$7,IF($U3&gt;=$AL$7,$AM$7,0))))</calculatedColumnFormula>
    </tableColumn>
    <tableColumn id="23" xr3:uid="{1044678C-6699-4644-8711-E34F4132E677}" name="End TimeM" dataDxfId="826" totalsRowDxfId="825">
      <calculatedColumnFormula>IF($V3="","",IF($V3&lt;=$AH$8,$AI$8,IF($V3&lt;=$AJ$8,$AK$8,IF($V3&gt;=$AL$8,$AM$8,0))))</calculatedColumnFormula>
    </tableColumn>
    <tableColumn id="24" xr3:uid="{0EA778EB-2390-49F2-A1BF-6CE7E27D8F0D}" name="TotalM" dataDxfId="824" totalsRowDxfId="823">
      <calculatedColumnFormula>SUM(W3:AA3)</calculatedColumnFormula>
    </tableColumn>
    <tableColumn id="28" xr3:uid="{AD10A1DE-485F-43BF-A852-2A0F067E37C3}" name="Max" dataDxfId="822" totalsRowDxfId="821"/>
    <tableColumn id="25" xr3:uid="{8FA3AC77-9FC9-4B2E-A2DA-938BD37E68F8}" name="Pct" dataDxfId="820" totalsRowDxfId="819" dataCellStyle="Percent">
      <calculatedColumnFormula>Table1[[#This Row],[TotalM]]/Table1[[#This Row],[Max]]</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EA25822-9BF2-4D9C-84D3-CD79FE8EC5E0}" name="Stats" displayName="Stats" ref="A2:J37" totalsRowShown="0" headerRowDxfId="817" dataDxfId="815" headerRowBorderDxfId="816" tableBorderDxfId="814">
  <autoFilter ref="A2:J37" xr:uid="{7EA25822-9BF2-4D9C-84D3-CD79FE8EC5E0}"/>
  <tableColumns count="10">
    <tableColumn id="12" xr3:uid="{48928D05-49CD-49A7-B2A3-7C2D4A067F68}" name="Week" dataDxfId="813">
      <calculatedColumnFormula>Table1[[#This Row],[Wk]]</calculatedColumnFormula>
    </tableColumn>
    <tableColumn id="1" xr3:uid="{2B44469C-3704-485D-B685-8C095E008046}" name="M/Y" dataDxfId="812">
      <calculatedColumnFormula>'Raw Data'!D10</calculatedColumnFormula>
    </tableColumn>
    <tableColumn id="2" xr3:uid="{D0581E03-8451-482B-9B59-BCB6BF84A58B}" name="Month" dataDxfId="811">
      <calculatedColumnFormula>TEXT(F3,"mmm")</calculatedColumnFormula>
    </tableColumn>
    <tableColumn id="3" xr3:uid="{2A09A955-2F3B-4C6A-A097-CF6BCDB94E56}" name="Year" dataDxfId="810">
      <calculatedColumnFormula>TEXT(Stats[[#This Row],[M/Y]],"yyyy")</calculatedColumnFormula>
    </tableColumn>
    <tableColumn id="4" xr3:uid="{95A36ABE-FBA2-4A38-BAF1-269A533427D4}" name="Day" dataDxfId="809">
      <calculatedColumnFormula>TEXT(Stats[[#This Row],[M/Y]],"ddd")</calculatedColumnFormula>
    </tableColumn>
    <tableColumn id="5" xr3:uid="{9718BCE6-D3A9-4091-8D20-BFE09013E0D5}" name="RUN Begins" dataDxfId="808">
      <calculatedColumnFormula>Stats[[#This Row],[M/Y]]</calculatedColumnFormula>
    </tableColumn>
    <tableColumn id="6" xr3:uid="{C237064D-56FB-43DF-B5AD-6F374F5DCAA7}" name="Start" dataDxfId="807"/>
    <tableColumn id="7" xr3:uid="{675995F0-380F-482B-ABD8-7C6D9D9C1F6D}" name="Notes" dataDxfId="806"/>
    <tableColumn id="8" xr3:uid="{535E4775-0E46-4D48-8D2B-2A117AFF48E3}" name="Calories" dataDxfId="805" dataCellStyle="Comma 2"/>
    <tableColumn id="9" xr3:uid="{58145048-E263-4BBE-B0EC-C0DDF155FC10}" name="Notes2" dataDxfId="804" dataCellStyle="Comma"/>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362BE55F-798F-4DA5-8F4C-5A0A50ED549B}">
  <we:reference id="wa200001306" version="2.3.0.1" store="en-US" storeType="OMEX"/>
  <we:alternateReferences>
    <we:reference id="wa200001306" version="2.3.0.1"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6" Type="http://schemas.openxmlformats.org/officeDocument/2006/relationships/hyperlink" Target="https://tradingeconomics.com/" TargetMode="External"/><Relationship Id="rId117" Type="http://schemas.openxmlformats.org/officeDocument/2006/relationships/hyperlink" Target="https://tradingeconomics.com/" TargetMode="External"/><Relationship Id="rId21" Type="http://schemas.openxmlformats.org/officeDocument/2006/relationships/hyperlink" Target="https://www.currentmarketvaluation.com/models/buffett-indicator.php" TargetMode="External"/><Relationship Id="rId42" Type="http://schemas.openxmlformats.org/officeDocument/2006/relationships/hyperlink" Target="https://tradingeconomics.com/" TargetMode="External"/><Relationship Id="rId47" Type="http://schemas.openxmlformats.org/officeDocument/2006/relationships/hyperlink" Target="https://tradingeconomics.com/commodities" TargetMode="External"/><Relationship Id="rId63" Type="http://schemas.openxmlformats.org/officeDocument/2006/relationships/hyperlink" Target="https://tradingeconomics.com/commodities" TargetMode="External"/><Relationship Id="rId68" Type="http://schemas.openxmlformats.org/officeDocument/2006/relationships/hyperlink" Target="https://money.cnn.com/data/fear-and-greed/" TargetMode="External"/><Relationship Id="rId84" Type="http://schemas.openxmlformats.org/officeDocument/2006/relationships/hyperlink" Target="https://money.cnn.com/data/fear-and-greed/" TargetMode="External"/><Relationship Id="rId89" Type="http://schemas.openxmlformats.org/officeDocument/2006/relationships/hyperlink" Target="https://www.currentmarketvaluation.com/models/buffett-indicator.php" TargetMode="External"/><Relationship Id="rId112" Type="http://schemas.openxmlformats.org/officeDocument/2006/relationships/hyperlink" Target="https://tradingeconomics.com/" TargetMode="External"/><Relationship Id="rId133" Type="http://schemas.openxmlformats.org/officeDocument/2006/relationships/hyperlink" Target="https://www.currentmarketvaluation.com/models/buffett-indicator.php" TargetMode="External"/><Relationship Id="rId138" Type="http://schemas.openxmlformats.org/officeDocument/2006/relationships/hyperlink" Target="https://www.yardeni.com/pub/stmkteqmardebt.pdf" TargetMode="External"/><Relationship Id="rId154" Type="http://schemas.openxmlformats.org/officeDocument/2006/relationships/hyperlink" Target="https://www.usinflationcalculator.com/inflation/consumer-price-index-and-annual-percent-changes-from-1913-to-2008/" TargetMode="External"/><Relationship Id="rId159" Type="http://schemas.openxmlformats.org/officeDocument/2006/relationships/hyperlink" Target="https://tradingeconomics.com/commodities" TargetMode="External"/><Relationship Id="rId170" Type="http://schemas.openxmlformats.org/officeDocument/2006/relationships/comments" Target="../comments2.xml"/><Relationship Id="rId16" Type="http://schemas.openxmlformats.org/officeDocument/2006/relationships/hyperlink" Target="https://money.cnn.com/data/fear-and-greed/" TargetMode="External"/><Relationship Id="rId107" Type="http://schemas.openxmlformats.org/officeDocument/2006/relationships/hyperlink" Target="https://tradingeconomics.com/" TargetMode="External"/><Relationship Id="rId11" Type="http://schemas.openxmlformats.org/officeDocument/2006/relationships/hyperlink" Target="https://money.cnn.com/data/fear-and-greed/" TargetMode="External"/><Relationship Id="rId32" Type="http://schemas.openxmlformats.org/officeDocument/2006/relationships/hyperlink" Target="https://money.cnn.com/data/fear-and-greed/" TargetMode="External"/><Relationship Id="rId37" Type="http://schemas.openxmlformats.org/officeDocument/2006/relationships/hyperlink" Target="https://www.currentmarketvaluation.com/models/buffett-indicator.php" TargetMode="External"/><Relationship Id="rId53" Type="http://schemas.openxmlformats.org/officeDocument/2006/relationships/hyperlink" Target="https://www.currentmarketvaluation.com/models/buffett-indicator.php" TargetMode="External"/><Relationship Id="rId58" Type="http://schemas.openxmlformats.org/officeDocument/2006/relationships/hyperlink" Target="https://tradingeconomics.com/" TargetMode="External"/><Relationship Id="rId74" Type="http://schemas.openxmlformats.org/officeDocument/2006/relationships/hyperlink" Target="https://tradingeconomics.com/" TargetMode="External"/><Relationship Id="rId79" Type="http://schemas.openxmlformats.org/officeDocument/2006/relationships/hyperlink" Target="https://tradingeconomics.com/commodities" TargetMode="External"/><Relationship Id="rId102" Type="http://schemas.openxmlformats.org/officeDocument/2006/relationships/hyperlink" Target="https://www.currentmarketvaluation.com/models/buffett-indicator.php" TargetMode="External"/><Relationship Id="rId123" Type="http://schemas.openxmlformats.org/officeDocument/2006/relationships/hyperlink" Target="https://tradingeconomics.com/commodities" TargetMode="External"/><Relationship Id="rId128" Type="http://schemas.openxmlformats.org/officeDocument/2006/relationships/hyperlink" Target="https://tradingeconomics.com/" TargetMode="External"/><Relationship Id="rId144" Type="http://schemas.openxmlformats.org/officeDocument/2006/relationships/hyperlink" Target="https://www.yardeni.com/pub/stmkteqmardebt.pdf" TargetMode="External"/><Relationship Id="rId149" Type="http://schemas.openxmlformats.org/officeDocument/2006/relationships/hyperlink" Target="https://money.cnn.com/data/fear-and-greed/" TargetMode="External"/><Relationship Id="rId5" Type="http://schemas.openxmlformats.org/officeDocument/2006/relationships/hyperlink" Target="https://money.cnn.com/data/fear-and-greed/" TargetMode="External"/><Relationship Id="rId90" Type="http://schemas.openxmlformats.org/officeDocument/2006/relationships/hyperlink" Target="https://tradingeconomics.com/" TargetMode="External"/><Relationship Id="rId95" Type="http://schemas.openxmlformats.org/officeDocument/2006/relationships/hyperlink" Target="https://tradingeconomics.com/commodities" TargetMode="External"/><Relationship Id="rId160" Type="http://schemas.openxmlformats.org/officeDocument/2006/relationships/hyperlink" Target="https://www.usinflationcalculator.com/inflation/consumer-price-index-and-annual-percent-changes-from-1913-to-2008/" TargetMode="External"/><Relationship Id="rId165" Type="http://schemas.openxmlformats.org/officeDocument/2006/relationships/vmlDrawing" Target="../drawings/vmlDrawing2.vml"/><Relationship Id="rId22" Type="http://schemas.openxmlformats.org/officeDocument/2006/relationships/hyperlink" Target="https://tradingeconomics.com/" TargetMode="External"/><Relationship Id="rId27" Type="http://schemas.openxmlformats.org/officeDocument/2006/relationships/hyperlink" Target="https://tradingeconomics.com/commodities" TargetMode="External"/><Relationship Id="rId43" Type="http://schemas.openxmlformats.org/officeDocument/2006/relationships/hyperlink" Target="https://tradingeconomics.com/commodities" TargetMode="External"/><Relationship Id="rId48" Type="http://schemas.openxmlformats.org/officeDocument/2006/relationships/hyperlink" Target="https://money.cnn.com/data/fear-and-greed/" TargetMode="External"/><Relationship Id="rId64" Type="http://schemas.openxmlformats.org/officeDocument/2006/relationships/hyperlink" Target="https://money.cnn.com/data/fear-and-greed/" TargetMode="External"/><Relationship Id="rId69" Type="http://schemas.openxmlformats.org/officeDocument/2006/relationships/hyperlink" Target="https://www.currentmarketvaluation.com/models/buffett-indicator.php" TargetMode="External"/><Relationship Id="rId113" Type="http://schemas.openxmlformats.org/officeDocument/2006/relationships/hyperlink" Target="https://tradingeconomics.com/commodities" TargetMode="External"/><Relationship Id="rId118" Type="http://schemas.openxmlformats.org/officeDocument/2006/relationships/hyperlink" Target="https://tradingeconomics.com/commodities" TargetMode="External"/><Relationship Id="rId134" Type="http://schemas.openxmlformats.org/officeDocument/2006/relationships/hyperlink" Target="https://tradingeconomics.com/" TargetMode="External"/><Relationship Id="rId139" Type="http://schemas.openxmlformats.org/officeDocument/2006/relationships/hyperlink" Target="https://www.currentmarketvaluation.com/models/buffett-indicator.php" TargetMode="External"/><Relationship Id="rId80" Type="http://schemas.openxmlformats.org/officeDocument/2006/relationships/hyperlink" Target="https://money.cnn.com/data/fear-and-greed/" TargetMode="External"/><Relationship Id="rId85" Type="http://schemas.openxmlformats.org/officeDocument/2006/relationships/hyperlink" Target="https://www.currentmarketvaluation.com/models/buffett-indicator.php" TargetMode="External"/><Relationship Id="rId150" Type="http://schemas.openxmlformats.org/officeDocument/2006/relationships/hyperlink" Target="https://www.yardeni.com/pub/stmkteqmardebt.pdf" TargetMode="External"/><Relationship Id="rId155" Type="http://schemas.openxmlformats.org/officeDocument/2006/relationships/hyperlink" Target="https://money.cnn.com/data/fear-and-greed/" TargetMode="External"/><Relationship Id="rId12" Type="http://schemas.openxmlformats.org/officeDocument/2006/relationships/hyperlink" Target="https://money.cnn.com/data/fear-and-greed/" TargetMode="External"/><Relationship Id="rId17" Type="http://schemas.openxmlformats.org/officeDocument/2006/relationships/hyperlink" Target="https://www.currentmarketvaluation.com/models/buffett-indicator.php" TargetMode="External"/><Relationship Id="rId33" Type="http://schemas.openxmlformats.org/officeDocument/2006/relationships/hyperlink" Target="https://www.currentmarketvaluation.com/models/buffett-indicator.php" TargetMode="External"/><Relationship Id="rId38" Type="http://schemas.openxmlformats.org/officeDocument/2006/relationships/hyperlink" Target="https://tradingeconomics.com/" TargetMode="External"/><Relationship Id="rId59" Type="http://schemas.openxmlformats.org/officeDocument/2006/relationships/hyperlink" Target="https://tradingeconomics.com/commodities" TargetMode="External"/><Relationship Id="rId103" Type="http://schemas.openxmlformats.org/officeDocument/2006/relationships/hyperlink" Target="https://tradingeconomics.com/" TargetMode="External"/><Relationship Id="rId108" Type="http://schemas.openxmlformats.org/officeDocument/2006/relationships/hyperlink" Target="https://tradingeconomics.com/commodities" TargetMode="External"/><Relationship Id="rId124" Type="http://schemas.openxmlformats.org/officeDocument/2006/relationships/hyperlink" Target="https://www.usinflationcalculator.com/inflation/consumer-price-index-and-annual-percent-changes-from-1913-to-2008/" TargetMode="External"/><Relationship Id="rId129" Type="http://schemas.openxmlformats.org/officeDocument/2006/relationships/hyperlink" Target="https://tradingeconomics.com/commodities" TargetMode="External"/><Relationship Id="rId54" Type="http://schemas.openxmlformats.org/officeDocument/2006/relationships/hyperlink" Target="https://tradingeconomics.com/" TargetMode="External"/><Relationship Id="rId70" Type="http://schemas.openxmlformats.org/officeDocument/2006/relationships/hyperlink" Target="https://tradingeconomics.com/" TargetMode="External"/><Relationship Id="rId75" Type="http://schemas.openxmlformats.org/officeDocument/2006/relationships/hyperlink" Target="https://tradingeconomics.com/commodities" TargetMode="External"/><Relationship Id="rId91" Type="http://schemas.openxmlformats.org/officeDocument/2006/relationships/hyperlink" Target="https://tradingeconomics.com/commodities" TargetMode="External"/><Relationship Id="rId96" Type="http://schemas.openxmlformats.org/officeDocument/2006/relationships/hyperlink" Target="https://money.cnn.com/data/fear-and-greed/" TargetMode="External"/><Relationship Id="rId140" Type="http://schemas.openxmlformats.org/officeDocument/2006/relationships/hyperlink" Target="https://tradingeconomics.com/" TargetMode="External"/><Relationship Id="rId145" Type="http://schemas.openxmlformats.org/officeDocument/2006/relationships/hyperlink" Target="https://www.currentmarketvaluation.com/models/buffett-indicator.php" TargetMode="External"/><Relationship Id="rId161" Type="http://schemas.openxmlformats.org/officeDocument/2006/relationships/hyperlink" Target="https://money.cnn.com/data/fear-and-greed/" TargetMode="External"/><Relationship Id="rId166" Type="http://schemas.openxmlformats.org/officeDocument/2006/relationships/control" Target="../activeX/activeX1.xml"/><Relationship Id="rId1" Type="http://schemas.openxmlformats.org/officeDocument/2006/relationships/hyperlink" Target="mailto:MZOR@56" TargetMode="External"/><Relationship Id="rId6" Type="http://schemas.openxmlformats.org/officeDocument/2006/relationships/hyperlink" Target="https://money.cnn.com/data/afterhours/" TargetMode="External"/><Relationship Id="rId15" Type="http://schemas.openxmlformats.org/officeDocument/2006/relationships/hyperlink" Target="https://tradingeconomics.com/commodities" TargetMode="External"/><Relationship Id="rId23" Type="http://schemas.openxmlformats.org/officeDocument/2006/relationships/hyperlink" Target="https://tradingeconomics.com/commodities" TargetMode="External"/><Relationship Id="rId28" Type="http://schemas.openxmlformats.org/officeDocument/2006/relationships/hyperlink" Target="https://money.cnn.com/data/fear-and-greed/" TargetMode="External"/><Relationship Id="rId36" Type="http://schemas.openxmlformats.org/officeDocument/2006/relationships/hyperlink" Target="https://money.cnn.com/data/fear-and-greed/" TargetMode="External"/><Relationship Id="rId49" Type="http://schemas.openxmlformats.org/officeDocument/2006/relationships/hyperlink" Target="https://www.currentmarketvaluation.com/models/buffett-indicator.php" TargetMode="External"/><Relationship Id="rId57" Type="http://schemas.openxmlformats.org/officeDocument/2006/relationships/hyperlink" Target="https://www.currentmarketvaluation.com/models/buffett-indicator.php" TargetMode="External"/><Relationship Id="rId106" Type="http://schemas.openxmlformats.org/officeDocument/2006/relationships/hyperlink" Target="https://www.currentmarketvaluation.com/models/buffett-indicator.php" TargetMode="External"/><Relationship Id="rId114" Type="http://schemas.openxmlformats.org/officeDocument/2006/relationships/hyperlink" Target="https://www.usinflationcalculator.com/inflation/consumer-price-index-and-annual-percent-changes-from-1913-to-2008/" TargetMode="External"/><Relationship Id="rId119" Type="http://schemas.openxmlformats.org/officeDocument/2006/relationships/hyperlink" Target="https://www.usinflationcalculator.com/inflation/consumer-price-index-and-annual-percent-changes-from-1913-to-2008/" TargetMode="External"/><Relationship Id="rId127" Type="http://schemas.openxmlformats.org/officeDocument/2006/relationships/hyperlink" Target="https://www.currentmarketvaluation.com/models/buffett-indicator.php" TargetMode="External"/><Relationship Id="rId10" Type="http://schemas.openxmlformats.org/officeDocument/2006/relationships/hyperlink" Target="https://www.bls.gov/cpi/" TargetMode="External"/><Relationship Id="rId31" Type="http://schemas.openxmlformats.org/officeDocument/2006/relationships/hyperlink" Target="https://tradingeconomics.com/commodities" TargetMode="External"/><Relationship Id="rId44" Type="http://schemas.openxmlformats.org/officeDocument/2006/relationships/hyperlink" Target="https://money.cnn.com/data/fear-and-greed/" TargetMode="External"/><Relationship Id="rId52" Type="http://schemas.openxmlformats.org/officeDocument/2006/relationships/hyperlink" Target="https://money.cnn.com/data/fear-and-greed/" TargetMode="External"/><Relationship Id="rId60" Type="http://schemas.openxmlformats.org/officeDocument/2006/relationships/hyperlink" Target="https://money.cnn.com/data/fear-and-greed/" TargetMode="External"/><Relationship Id="rId65" Type="http://schemas.openxmlformats.org/officeDocument/2006/relationships/hyperlink" Target="https://www.currentmarketvaluation.com/models/buffett-indicator.php" TargetMode="External"/><Relationship Id="rId73" Type="http://schemas.openxmlformats.org/officeDocument/2006/relationships/hyperlink" Target="https://www.currentmarketvaluation.com/models/buffett-indicator.php" TargetMode="External"/><Relationship Id="rId78" Type="http://schemas.openxmlformats.org/officeDocument/2006/relationships/hyperlink" Target="https://tradingeconomics.com/" TargetMode="External"/><Relationship Id="rId81" Type="http://schemas.openxmlformats.org/officeDocument/2006/relationships/hyperlink" Target="https://www.currentmarketvaluation.com/models/buffett-indicator.php" TargetMode="External"/><Relationship Id="rId86" Type="http://schemas.openxmlformats.org/officeDocument/2006/relationships/hyperlink" Target="https://tradingeconomics.com/" TargetMode="External"/><Relationship Id="rId94" Type="http://schemas.openxmlformats.org/officeDocument/2006/relationships/hyperlink" Target="https://tradingeconomics.com/" TargetMode="External"/><Relationship Id="rId99" Type="http://schemas.openxmlformats.org/officeDocument/2006/relationships/hyperlink" Target="https://tradingeconomics.com/commodities" TargetMode="External"/><Relationship Id="rId101" Type="http://schemas.openxmlformats.org/officeDocument/2006/relationships/hyperlink" Target="https://money.cnn.com/data/fear-and-greed/" TargetMode="External"/><Relationship Id="rId122" Type="http://schemas.openxmlformats.org/officeDocument/2006/relationships/hyperlink" Target="https://tradingeconomics.com/" TargetMode="External"/><Relationship Id="rId130" Type="http://schemas.openxmlformats.org/officeDocument/2006/relationships/hyperlink" Target="https://www.usinflationcalculator.com/inflation/consumer-price-index-and-annual-percent-changes-from-1913-to-2008/" TargetMode="External"/><Relationship Id="rId135" Type="http://schemas.openxmlformats.org/officeDocument/2006/relationships/hyperlink" Target="https://tradingeconomics.com/commodities" TargetMode="External"/><Relationship Id="rId143" Type="http://schemas.openxmlformats.org/officeDocument/2006/relationships/hyperlink" Target="https://money.cnn.com/data/fear-and-greed/" TargetMode="External"/><Relationship Id="rId148" Type="http://schemas.openxmlformats.org/officeDocument/2006/relationships/hyperlink" Target="https://www.usinflationcalculator.com/inflation/consumer-price-index-and-annual-percent-changes-from-1913-to-2008/" TargetMode="External"/><Relationship Id="rId151" Type="http://schemas.openxmlformats.org/officeDocument/2006/relationships/hyperlink" Target="https://www.currentmarketvaluation.com/models/buffett-indicator.php" TargetMode="External"/><Relationship Id="rId156" Type="http://schemas.openxmlformats.org/officeDocument/2006/relationships/hyperlink" Target="https://www.yardeni.com/pub/stmkteqmardebt.pdf" TargetMode="External"/><Relationship Id="rId164" Type="http://schemas.openxmlformats.org/officeDocument/2006/relationships/drawing" Target="../drawings/drawing8.xml"/><Relationship Id="rId169" Type="http://schemas.openxmlformats.org/officeDocument/2006/relationships/image" Target="../media/image3.emf"/><Relationship Id="rId4" Type="http://schemas.openxmlformats.org/officeDocument/2006/relationships/hyperlink" Target="https://www.bls.gov/cpi/" TargetMode="External"/><Relationship Id="rId9" Type="http://schemas.openxmlformats.org/officeDocument/2006/relationships/hyperlink" Target="https://money.cnn.com/data/afterhours/" TargetMode="External"/><Relationship Id="rId13" Type="http://schemas.openxmlformats.org/officeDocument/2006/relationships/hyperlink" Target="https://www.currentmarketvaluation.com/models/buffett-indicator.php" TargetMode="External"/><Relationship Id="rId18" Type="http://schemas.openxmlformats.org/officeDocument/2006/relationships/hyperlink" Target="https://tradingeconomics.com/" TargetMode="External"/><Relationship Id="rId39" Type="http://schemas.openxmlformats.org/officeDocument/2006/relationships/hyperlink" Target="https://tradingeconomics.com/commodities" TargetMode="External"/><Relationship Id="rId109" Type="http://schemas.openxmlformats.org/officeDocument/2006/relationships/hyperlink" Target="https://www.usinflationcalculator.com/inflation/consumer-price-index-and-annual-percent-changes-from-1913-to-2008/" TargetMode="External"/><Relationship Id="rId34" Type="http://schemas.openxmlformats.org/officeDocument/2006/relationships/hyperlink" Target="https://tradingeconomics.com/" TargetMode="External"/><Relationship Id="rId50" Type="http://schemas.openxmlformats.org/officeDocument/2006/relationships/hyperlink" Target="https://tradingeconomics.com/" TargetMode="External"/><Relationship Id="rId55" Type="http://schemas.openxmlformats.org/officeDocument/2006/relationships/hyperlink" Target="https://tradingeconomics.com/commodities" TargetMode="External"/><Relationship Id="rId76" Type="http://schemas.openxmlformats.org/officeDocument/2006/relationships/hyperlink" Target="https://money.cnn.com/data/fear-and-greed/" TargetMode="External"/><Relationship Id="rId97" Type="http://schemas.openxmlformats.org/officeDocument/2006/relationships/hyperlink" Target="https://www.currentmarketvaluation.com/models/buffett-indicator.php" TargetMode="External"/><Relationship Id="rId104" Type="http://schemas.openxmlformats.org/officeDocument/2006/relationships/hyperlink" Target="https://tradingeconomics.com/commodities" TargetMode="External"/><Relationship Id="rId120" Type="http://schemas.openxmlformats.org/officeDocument/2006/relationships/hyperlink" Target="https://money.cnn.com/data/fear-and-greed/" TargetMode="External"/><Relationship Id="rId125" Type="http://schemas.openxmlformats.org/officeDocument/2006/relationships/hyperlink" Target="https://money.cnn.com/data/fear-and-greed/" TargetMode="External"/><Relationship Id="rId141" Type="http://schemas.openxmlformats.org/officeDocument/2006/relationships/hyperlink" Target="https://tradingeconomics.com/commodities" TargetMode="External"/><Relationship Id="rId146" Type="http://schemas.openxmlformats.org/officeDocument/2006/relationships/hyperlink" Target="https://tradingeconomics.com/" TargetMode="External"/><Relationship Id="rId167" Type="http://schemas.openxmlformats.org/officeDocument/2006/relationships/image" Target="../media/image2.emf"/><Relationship Id="rId7" Type="http://schemas.openxmlformats.org/officeDocument/2006/relationships/hyperlink" Target="https://www.bls.gov/cpi/" TargetMode="External"/><Relationship Id="rId71" Type="http://schemas.openxmlformats.org/officeDocument/2006/relationships/hyperlink" Target="https://tradingeconomics.com/commodities" TargetMode="External"/><Relationship Id="rId92" Type="http://schemas.openxmlformats.org/officeDocument/2006/relationships/hyperlink" Target="https://money.cnn.com/data/fear-and-greed/" TargetMode="External"/><Relationship Id="rId162" Type="http://schemas.openxmlformats.org/officeDocument/2006/relationships/hyperlink" Target="https://www.yardeni.com/pub/stmkteqmardebt.pdf" TargetMode="External"/><Relationship Id="rId2" Type="http://schemas.openxmlformats.org/officeDocument/2006/relationships/hyperlink" Target="https://money.cnn.com/data/fear-and-greed/" TargetMode="External"/><Relationship Id="rId29" Type="http://schemas.openxmlformats.org/officeDocument/2006/relationships/hyperlink" Target="https://www.currentmarketvaluation.com/models/buffett-indicator.php" TargetMode="External"/><Relationship Id="rId24" Type="http://schemas.openxmlformats.org/officeDocument/2006/relationships/hyperlink" Target="https://money.cnn.com/data/fear-and-greed/" TargetMode="External"/><Relationship Id="rId40" Type="http://schemas.openxmlformats.org/officeDocument/2006/relationships/hyperlink" Target="https://money.cnn.com/data/fear-and-greed/" TargetMode="External"/><Relationship Id="rId45" Type="http://schemas.openxmlformats.org/officeDocument/2006/relationships/hyperlink" Target="https://www.currentmarketvaluation.com/models/buffett-indicator.php" TargetMode="External"/><Relationship Id="rId66" Type="http://schemas.openxmlformats.org/officeDocument/2006/relationships/hyperlink" Target="https://tradingeconomics.com/" TargetMode="External"/><Relationship Id="rId87" Type="http://schemas.openxmlformats.org/officeDocument/2006/relationships/hyperlink" Target="https://tradingeconomics.com/commodities" TargetMode="External"/><Relationship Id="rId110" Type="http://schemas.openxmlformats.org/officeDocument/2006/relationships/hyperlink" Target="https://money.cnn.com/data/fear-and-greed/" TargetMode="External"/><Relationship Id="rId115" Type="http://schemas.openxmlformats.org/officeDocument/2006/relationships/hyperlink" Target="https://money.cnn.com/data/fear-and-greed/" TargetMode="External"/><Relationship Id="rId131" Type="http://schemas.openxmlformats.org/officeDocument/2006/relationships/hyperlink" Target="https://money.cnn.com/data/fear-and-greed/" TargetMode="External"/><Relationship Id="rId136" Type="http://schemas.openxmlformats.org/officeDocument/2006/relationships/hyperlink" Target="https://www.usinflationcalculator.com/inflation/consumer-price-index-and-annual-percent-changes-from-1913-to-2008/" TargetMode="External"/><Relationship Id="rId157" Type="http://schemas.openxmlformats.org/officeDocument/2006/relationships/hyperlink" Target="https://www.currentmarketvaluation.com/models/buffett-indicator.php" TargetMode="External"/><Relationship Id="rId61" Type="http://schemas.openxmlformats.org/officeDocument/2006/relationships/hyperlink" Target="https://www.currentmarketvaluation.com/models/buffett-indicator.php" TargetMode="External"/><Relationship Id="rId82" Type="http://schemas.openxmlformats.org/officeDocument/2006/relationships/hyperlink" Target="https://tradingeconomics.com/" TargetMode="External"/><Relationship Id="rId152" Type="http://schemas.openxmlformats.org/officeDocument/2006/relationships/hyperlink" Target="https://tradingeconomics.com/" TargetMode="External"/><Relationship Id="rId19" Type="http://schemas.openxmlformats.org/officeDocument/2006/relationships/hyperlink" Target="https://tradingeconomics.com/commodities" TargetMode="External"/><Relationship Id="rId14" Type="http://schemas.openxmlformats.org/officeDocument/2006/relationships/hyperlink" Target="https://tradingeconomics.com/" TargetMode="External"/><Relationship Id="rId30" Type="http://schemas.openxmlformats.org/officeDocument/2006/relationships/hyperlink" Target="https://tradingeconomics.com/" TargetMode="External"/><Relationship Id="rId35" Type="http://schemas.openxmlformats.org/officeDocument/2006/relationships/hyperlink" Target="https://tradingeconomics.com/commodities" TargetMode="External"/><Relationship Id="rId56" Type="http://schemas.openxmlformats.org/officeDocument/2006/relationships/hyperlink" Target="https://money.cnn.com/data/fear-and-greed/" TargetMode="External"/><Relationship Id="rId77" Type="http://schemas.openxmlformats.org/officeDocument/2006/relationships/hyperlink" Target="https://www.currentmarketvaluation.com/models/buffett-indicator.php" TargetMode="External"/><Relationship Id="rId100" Type="http://schemas.openxmlformats.org/officeDocument/2006/relationships/hyperlink" Target="https://www.usinflationcalculator.com/inflation/consumer-price-index-and-annual-percent-changes-from-1913-to-2008/" TargetMode="External"/><Relationship Id="rId105" Type="http://schemas.openxmlformats.org/officeDocument/2006/relationships/hyperlink" Target="https://www.usinflationcalculator.com/inflation/consumer-price-index-and-annual-percent-changes-from-1913-to-2008/" TargetMode="External"/><Relationship Id="rId126" Type="http://schemas.openxmlformats.org/officeDocument/2006/relationships/hyperlink" Target="https://www.yardeni.com/pub/stmkteqmardebt.pdf" TargetMode="External"/><Relationship Id="rId147" Type="http://schemas.openxmlformats.org/officeDocument/2006/relationships/hyperlink" Target="https://tradingeconomics.com/commodities" TargetMode="External"/><Relationship Id="rId168" Type="http://schemas.openxmlformats.org/officeDocument/2006/relationships/control" Target="../activeX/activeX2.xml"/><Relationship Id="rId8" Type="http://schemas.openxmlformats.org/officeDocument/2006/relationships/hyperlink" Target="https://money.cnn.com/data/fear-and-greed/" TargetMode="External"/><Relationship Id="rId51" Type="http://schemas.openxmlformats.org/officeDocument/2006/relationships/hyperlink" Target="https://tradingeconomics.com/commodities" TargetMode="External"/><Relationship Id="rId72" Type="http://schemas.openxmlformats.org/officeDocument/2006/relationships/hyperlink" Target="https://money.cnn.com/data/fear-and-greed/" TargetMode="External"/><Relationship Id="rId93" Type="http://schemas.openxmlformats.org/officeDocument/2006/relationships/hyperlink" Target="https://www.currentmarketvaluation.com/models/buffett-indicator.php" TargetMode="External"/><Relationship Id="rId98" Type="http://schemas.openxmlformats.org/officeDocument/2006/relationships/hyperlink" Target="https://tradingeconomics.com/" TargetMode="External"/><Relationship Id="rId121" Type="http://schemas.openxmlformats.org/officeDocument/2006/relationships/hyperlink" Target="https://www.currentmarketvaluation.com/models/buffett-indicator.php" TargetMode="External"/><Relationship Id="rId142" Type="http://schemas.openxmlformats.org/officeDocument/2006/relationships/hyperlink" Target="https://www.usinflationcalculator.com/inflation/consumer-price-index-and-annual-percent-changes-from-1913-to-2008/" TargetMode="External"/><Relationship Id="rId163" Type="http://schemas.openxmlformats.org/officeDocument/2006/relationships/printerSettings" Target="../printerSettings/printerSettings5.bin"/><Relationship Id="rId3" Type="http://schemas.openxmlformats.org/officeDocument/2006/relationships/hyperlink" Target="https://money.cnn.com/data/afterhours/" TargetMode="External"/><Relationship Id="rId25" Type="http://schemas.openxmlformats.org/officeDocument/2006/relationships/hyperlink" Target="https://www.currentmarketvaluation.com/models/buffett-indicator.php" TargetMode="External"/><Relationship Id="rId46" Type="http://schemas.openxmlformats.org/officeDocument/2006/relationships/hyperlink" Target="https://tradingeconomics.com/" TargetMode="External"/><Relationship Id="rId67" Type="http://schemas.openxmlformats.org/officeDocument/2006/relationships/hyperlink" Target="https://tradingeconomics.com/commodities" TargetMode="External"/><Relationship Id="rId116" Type="http://schemas.openxmlformats.org/officeDocument/2006/relationships/hyperlink" Target="https://www.currentmarketvaluation.com/models/buffett-indicator.php" TargetMode="External"/><Relationship Id="rId137" Type="http://schemas.openxmlformats.org/officeDocument/2006/relationships/hyperlink" Target="https://money.cnn.com/data/fear-and-greed/" TargetMode="External"/><Relationship Id="rId158" Type="http://schemas.openxmlformats.org/officeDocument/2006/relationships/hyperlink" Target="https://tradingeconomics.com/" TargetMode="External"/><Relationship Id="rId20" Type="http://schemas.openxmlformats.org/officeDocument/2006/relationships/hyperlink" Target="https://money.cnn.com/data/fear-and-greed/" TargetMode="External"/><Relationship Id="rId41" Type="http://schemas.openxmlformats.org/officeDocument/2006/relationships/hyperlink" Target="https://www.currentmarketvaluation.com/models/buffett-indicator.php" TargetMode="External"/><Relationship Id="rId62" Type="http://schemas.openxmlformats.org/officeDocument/2006/relationships/hyperlink" Target="https://tradingeconomics.com/" TargetMode="External"/><Relationship Id="rId83" Type="http://schemas.openxmlformats.org/officeDocument/2006/relationships/hyperlink" Target="https://tradingeconomics.com/commodities" TargetMode="External"/><Relationship Id="rId88" Type="http://schemas.openxmlformats.org/officeDocument/2006/relationships/hyperlink" Target="https://money.cnn.com/data/fear-and-greed/" TargetMode="External"/><Relationship Id="rId111" Type="http://schemas.openxmlformats.org/officeDocument/2006/relationships/hyperlink" Target="https://www.currentmarketvaluation.com/models/buffett-indicator.php" TargetMode="External"/><Relationship Id="rId132" Type="http://schemas.openxmlformats.org/officeDocument/2006/relationships/hyperlink" Target="https://www.yardeni.com/pub/stmkteqmardebt.pdf" TargetMode="External"/><Relationship Id="rId153" Type="http://schemas.openxmlformats.org/officeDocument/2006/relationships/hyperlink" Target="https://tradingeconomics.com/commoditi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705E2-E1AB-4F44-B1BE-A92FE349A098}">
  <sheetPr codeName="Sheet1"/>
  <dimension ref="A1:R41"/>
  <sheetViews>
    <sheetView zoomScale="88" zoomScaleNormal="88" workbookViewId="0">
      <selection activeCell="R8" sqref="R8"/>
    </sheetView>
  </sheetViews>
  <sheetFormatPr defaultRowHeight="15.5" x14ac:dyDescent="0.35"/>
  <cols>
    <col min="1" max="1" width="2.83203125" customWidth="1"/>
    <col min="2" max="2" width="20.33203125" customWidth="1"/>
    <col min="3" max="3" width="27.75" customWidth="1"/>
    <col min="4" max="4" width="6.75" customWidth="1"/>
    <col min="5" max="5" width="10.33203125" customWidth="1"/>
    <col min="6" max="6" width="10" customWidth="1"/>
    <col min="7" max="7" width="12.08203125" customWidth="1"/>
    <col min="14" max="14" width="5.58203125" customWidth="1"/>
    <col min="16" max="16" width="9.25" bestFit="1" customWidth="1"/>
  </cols>
  <sheetData>
    <row r="1" spans="1:18" ht="15.65" customHeight="1" thickTop="1" thickBot="1" x14ac:dyDescent="0.4">
      <c r="A1" s="2469"/>
      <c r="B1" s="2469"/>
      <c r="C1" s="2469"/>
      <c r="D1" s="2876" t="s">
        <v>873</v>
      </c>
      <c r="E1" s="2877" t="s">
        <v>872</v>
      </c>
      <c r="F1" s="2862" t="s">
        <v>873</v>
      </c>
      <c r="G1" s="2862" t="s">
        <v>872</v>
      </c>
      <c r="H1" s="2833"/>
      <c r="I1" s="2833"/>
      <c r="J1" s="2833"/>
      <c r="K1" s="2833"/>
      <c r="L1" s="2833"/>
      <c r="M1" s="2833"/>
      <c r="N1" s="2833"/>
      <c r="O1" s="2833"/>
      <c r="P1" s="2892" t="s">
        <v>884</v>
      </c>
      <c r="Q1" s="2893"/>
      <c r="R1" s="2773"/>
    </row>
    <row r="2" spans="1:18" ht="15.65" customHeight="1" thickTop="1" thickBot="1" x14ac:dyDescent="0.4">
      <c r="A2" s="2469"/>
      <c r="B2" s="2469"/>
      <c r="C2" s="2469"/>
      <c r="D2" s="2863" t="s">
        <v>162</v>
      </c>
      <c r="E2" s="2864" t="s">
        <v>865</v>
      </c>
      <c r="F2" s="2865" t="s">
        <v>167</v>
      </c>
      <c r="G2" s="2866" t="s">
        <v>874</v>
      </c>
      <c r="H2" s="2833"/>
      <c r="I2" s="2833"/>
      <c r="J2" s="2833"/>
      <c r="K2" s="2833"/>
      <c r="L2" s="2833"/>
      <c r="M2" s="2833"/>
      <c r="N2" s="2833"/>
      <c r="O2" s="2833"/>
      <c r="P2" s="2872">
        <f t="shared" ref="P2:P8" ca="1" si="0">P3-1</f>
        <v>45163</v>
      </c>
      <c r="Q2" s="2873" t="e">
        <f ca="1">VLOOKUP(P2,'Raw Data'!$D$2:$AE$49,28,0)</f>
        <v>#N/A</v>
      </c>
      <c r="R2" s="2773"/>
    </row>
    <row r="3" spans="1:18" ht="16.5" thickTop="1" thickBot="1" x14ac:dyDescent="0.4">
      <c r="A3" s="2469"/>
      <c r="B3" s="2469"/>
      <c r="C3" s="2469"/>
      <c r="D3" s="2863" t="s">
        <v>163</v>
      </c>
      <c r="E3" s="2867" t="s">
        <v>866</v>
      </c>
      <c r="F3" s="2868" t="s">
        <v>168</v>
      </c>
      <c r="G3" s="2869" t="s">
        <v>867</v>
      </c>
      <c r="H3" s="2773"/>
      <c r="I3" s="2773"/>
      <c r="J3" s="2773"/>
      <c r="K3" s="2773"/>
      <c r="L3" s="2773"/>
      <c r="M3" s="2773"/>
      <c r="N3" s="2773"/>
      <c r="O3" s="2773"/>
      <c r="P3" s="2872">
        <f t="shared" ca="1" si="0"/>
        <v>45164</v>
      </c>
      <c r="Q3" s="2873" t="e">
        <f ca="1">VLOOKUP(P3,'Raw Data'!$D$2:$AE$49,28,0)</f>
        <v>#N/A</v>
      </c>
      <c r="R3" s="2773"/>
    </row>
    <row r="4" spans="1:18" ht="16.5" thickTop="1" thickBot="1" x14ac:dyDescent="0.4">
      <c r="A4" s="2469"/>
      <c r="B4" s="2469"/>
      <c r="C4" s="2469"/>
      <c r="D4" s="2863" t="s">
        <v>178</v>
      </c>
      <c r="E4" s="2867" t="s">
        <v>875</v>
      </c>
      <c r="F4" s="2868" t="s">
        <v>169</v>
      </c>
      <c r="G4" s="2869" t="s">
        <v>868</v>
      </c>
      <c r="H4" s="2773"/>
      <c r="I4" s="2773"/>
      <c r="J4" s="2773"/>
      <c r="K4" s="2773"/>
      <c r="L4" s="2773"/>
      <c r="M4" s="2773"/>
      <c r="N4" s="2773"/>
      <c r="O4" s="2773"/>
      <c r="P4" s="2872">
        <f t="shared" ca="1" si="0"/>
        <v>45165</v>
      </c>
      <c r="Q4" s="2873" t="e">
        <f ca="1">VLOOKUP(P4,'Raw Data'!$D$2:$AE$49,28,0)</f>
        <v>#N/A</v>
      </c>
      <c r="R4" s="2874">
        <v>2022</v>
      </c>
    </row>
    <row r="5" spans="1:18" ht="16.5" thickTop="1" thickBot="1" x14ac:dyDescent="0.4">
      <c r="A5" s="2469"/>
      <c r="B5" s="2469"/>
      <c r="C5" s="2469"/>
      <c r="D5" s="2863" t="s">
        <v>179</v>
      </c>
      <c r="E5" s="2867" t="s">
        <v>876</v>
      </c>
      <c r="F5" s="2868" t="s">
        <v>170</v>
      </c>
      <c r="G5" s="2869" t="s">
        <v>869</v>
      </c>
      <c r="H5" s="2773"/>
      <c r="I5" s="2773"/>
      <c r="J5" s="2773"/>
      <c r="K5" s="2773"/>
      <c r="L5" s="2773"/>
      <c r="M5" s="2773"/>
      <c r="N5" s="2773"/>
      <c r="O5" s="2773"/>
      <c r="P5" s="2872">
        <f t="shared" ca="1" si="0"/>
        <v>45166</v>
      </c>
      <c r="Q5" s="2873" t="e">
        <f ca="1">VLOOKUP(P5,'Raw Data'!$D$2:$AE$49,28,0)</f>
        <v>#N/A</v>
      </c>
      <c r="R5" s="2887">
        <f>'Raw Data'!AE2</f>
        <v>0.77714285714285702</v>
      </c>
    </row>
    <row r="6" spans="1:18" ht="16.5" thickTop="1" thickBot="1" x14ac:dyDescent="0.4">
      <c r="A6" s="2469"/>
      <c r="B6" s="2469"/>
      <c r="C6" s="2469"/>
      <c r="D6" s="2863" t="s">
        <v>87</v>
      </c>
      <c r="E6" s="2867" t="s">
        <v>877</v>
      </c>
      <c r="F6" s="2868" t="s">
        <v>171</v>
      </c>
      <c r="G6" s="2869" t="s">
        <v>870</v>
      </c>
      <c r="H6" s="2773"/>
      <c r="I6" s="2773"/>
      <c r="J6" s="2773"/>
      <c r="K6" s="2773"/>
      <c r="L6" s="2773"/>
      <c r="M6" s="2773"/>
      <c r="N6" s="2773"/>
      <c r="O6" s="2773"/>
      <c r="P6" s="2872">
        <f t="shared" ca="1" si="0"/>
        <v>45167</v>
      </c>
      <c r="Q6" s="2873" t="e">
        <f ca="1">VLOOKUP(P6,'Raw Data'!$D$2:$AE$49,28,0)</f>
        <v>#N/A</v>
      </c>
      <c r="R6" s="2878"/>
    </row>
    <row r="7" spans="1:18" ht="16.5" thickTop="1" thickBot="1" x14ac:dyDescent="0.4">
      <c r="A7" s="2469"/>
      <c r="B7" s="2469"/>
      <c r="C7" s="2469"/>
      <c r="D7" s="2863" t="s">
        <v>166</v>
      </c>
      <c r="E7" s="2867" t="s">
        <v>885</v>
      </c>
      <c r="F7" s="2868" t="s">
        <v>172</v>
      </c>
      <c r="G7" s="2869" t="s">
        <v>871</v>
      </c>
      <c r="H7" s="2773"/>
      <c r="I7" s="2773"/>
      <c r="J7" s="2773"/>
      <c r="K7" s="2773"/>
      <c r="L7" s="2773"/>
      <c r="M7" s="2773"/>
      <c r="N7" s="2773"/>
      <c r="O7" s="2773"/>
      <c r="P7" s="2872">
        <f t="shared" ca="1" si="0"/>
        <v>45168</v>
      </c>
      <c r="Q7" s="2873" t="e">
        <f ca="1">VLOOKUP(P7,'Raw Data'!$D$2:$AE$49,28,0)</f>
        <v>#N/A</v>
      </c>
      <c r="R7" s="2875">
        <v>2023</v>
      </c>
    </row>
    <row r="8" spans="1:18" ht="16.5" thickTop="1" thickBot="1" x14ac:dyDescent="0.4">
      <c r="A8" s="2469"/>
      <c r="B8" s="2469"/>
      <c r="C8" s="2469"/>
      <c r="D8" s="2834"/>
      <c r="E8" s="2834"/>
      <c r="F8" s="2834"/>
      <c r="G8" s="2773"/>
      <c r="H8" s="2773"/>
      <c r="I8" s="2773"/>
      <c r="J8" s="2773"/>
      <c r="K8" s="2773"/>
      <c r="L8" s="2773"/>
      <c r="M8" s="2773"/>
      <c r="N8" s="2773"/>
      <c r="O8" s="2773"/>
      <c r="P8" s="2872">
        <f t="shared" ca="1" si="0"/>
        <v>45169</v>
      </c>
      <c r="Q8" s="2873" t="e">
        <f ca="1">VLOOKUP(P8,'Raw Data'!$D$2:$AE$49,28,0)</f>
        <v>#N/A</v>
      </c>
      <c r="R8" s="2889">
        <f>'Raw Data'!AF2</f>
        <v>0.79142857142857148</v>
      </c>
    </row>
    <row r="9" spans="1:18" ht="16.5" thickTop="1" thickBot="1" x14ac:dyDescent="0.4">
      <c r="A9" s="2469"/>
      <c r="B9" s="2469"/>
      <c r="C9" s="2469"/>
      <c r="D9" s="2835" t="str">
        <f ca="1">'Digital Life Span'!E3</f>
        <v>Weeks Left: 4,247</v>
      </c>
      <c r="E9" s="2835">
        <f ca="1">'Digital Life Span'!L3</f>
        <v>0.95897435897435745</v>
      </c>
      <c r="F9" s="2836">
        <f ca="1">100%-E9</f>
        <v>4.1025641025642545E-2</v>
      </c>
      <c r="G9" s="2853" t="s">
        <v>886</v>
      </c>
      <c r="H9" s="2773"/>
      <c r="I9" s="2773"/>
      <c r="J9" s="2773"/>
      <c r="K9" s="2773"/>
      <c r="L9" s="2773"/>
      <c r="M9" s="2773"/>
      <c r="N9" s="2773"/>
      <c r="O9" s="2773"/>
      <c r="P9" s="2872">
        <f ca="1">P10-1</f>
        <v>45170</v>
      </c>
      <c r="Q9" s="2873" t="e">
        <f ca="1">VLOOKUP(P9,'Raw Data'!$D$2:$AE$49,28,0)</f>
        <v>#N/A</v>
      </c>
      <c r="R9" s="2861"/>
    </row>
    <row r="10" spans="1:18" ht="16.5" thickTop="1" thickBot="1" x14ac:dyDescent="0.4">
      <c r="A10" s="2469"/>
      <c r="B10" s="2469"/>
      <c r="C10" s="2469"/>
      <c r="D10" s="2835" t="str">
        <f ca="1">'Digital Life Span'!E4</f>
        <v>Weeks Gone: 191</v>
      </c>
      <c r="E10" s="2835">
        <f ca="1">'Digital Life Span'!L4</f>
        <v>4.1025641025641026E-2</v>
      </c>
      <c r="F10" s="2836">
        <f ca="1">100%-E10</f>
        <v>0.95897435897435901</v>
      </c>
      <c r="G10" s="2852">
        <f ca="1">WEEKNUM('Digital Life Span'!BP103)</f>
        <v>36</v>
      </c>
      <c r="H10" s="2773"/>
      <c r="I10" s="2773"/>
      <c r="J10" s="2773"/>
      <c r="K10" s="2773"/>
      <c r="L10" s="2773"/>
      <c r="M10" s="2773"/>
      <c r="N10" s="2773"/>
      <c r="O10" s="2773"/>
      <c r="P10" s="2872">
        <f ca="1">P11-1</f>
        <v>45171</v>
      </c>
      <c r="Q10" s="2873" t="e">
        <f ca="1">VLOOKUP(P10,'Raw Data'!$D$2:$AE$49,28,0)</f>
        <v>#N/A</v>
      </c>
      <c r="R10" s="2861"/>
    </row>
    <row r="11" spans="1:18" ht="16.5" thickTop="1" thickBot="1" x14ac:dyDescent="0.4">
      <c r="A11" s="2469"/>
      <c r="B11" s="2469"/>
      <c r="C11" s="2469"/>
      <c r="D11" s="2890" t="str">
        <f ca="1">"Week "&amp;WEEKNUM(TODAY())</f>
        <v>Week 36</v>
      </c>
      <c r="E11" s="2891"/>
      <c r="F11" s="2870" t="s">
        <v>888</v>
      </c>
      <c r="G11" s="2871">
        <f ca="1">'Raw Data'!C1</f>
        <v>0.15624999999999997</v>
      </c>
      <c r="H11" s="2773"/>
      <c r="I11" s="2773"/>
      <c r="J11" s="2773"/>
      <c r="K11" s="2773"/>
      <c r="L11" s="2773"/>
      <c r="M11" s="2773"/>
      <c r="N11" s="2773"/>
      <c r="O11" s="2773"/>
      <c r="P11" s="2872">
        <f ca="1">(TODAY())</f>
        <v>45172</v>
      </c>
      <c r="Q11" s="2873" t="str">
        <f ca="1">VLOOKUP(P11,'Raw Data'!$D$2:$AE$49,28,0)</f>
        <v>C</v>
      </c>
      <c r="R11" s="2860"/>
    </row>
    <row r="12" spans="1:18" ht="16" thickTop="1" x14ac:dyDescent="0.35">
      <c r="A12" s="2469"/>
      <c r="B12" s="2469"/>
      <c r="C12" s="2469"/>
      <c r="D12" s="2773"/>
      <c r="E12" s="2818">
        <f ca="1">TODAY()</f>
        <v>45172</v>
      </c>
      <c r="F12" s="2773"/>
      <c r="G12" s="2773"/>
      <c r="H12" s="2773"/>
      <c r="I12" s="2773"/>
      <c r="J12" s="2773"/>
      <c r="K12" s="2773"/>
      <c r="L12" s="2773"/>
      <c r="M12" s="2773"/>
      <c r="N12" s="2773"/>
      <c r="O12" s="2773"/>
      <c r="P12" s="2773"/>
      <c r="Q12" s="2773"/>
      <c r="R12" s="2773"/>
    </row>
    <row r="13" spans="1:18" x14ac:dyDescent="0.35">
      <c r="A13" s="2469"/>
      <c r="B13" s="2469"/>
      <c r="C13" s="2469"/>
      <c r="D13" s="2773"/>
      <c r="E13" s="2773"/>
      <c r="F13" s="2773"/>
      <c r="G13" s="2773"/>
      <c r="H13" s="2773"/>
      <c r="I13" s="2773"/>
      <c r="J13" s="2773"/>
      <c r="K13" s="2773"/>
      <c r="L13" s="2773"/>
      <c r="M13" s="2773"/>
      <c r="N13" s="2773"/>
      <c r="O13" s="2773"/>
      <c r="P13" s="2773"/>
      <c r="Q13" s="2773"/>
      <c r="R13" s="2773"/>
    </row>
    <row r="14" spans="1:18" x14ac:dyDescent="0.35">
      <c r="A14" s="2469"/>
      <c r="B14" s="2469"/>
      <c r="C14" s="2469"/>
      <c r="D14" s="2773"/>
      <c r="E14" s="2773"/>
      <c r="F14" s="2773"/>
      <c r="G14" s="2773"/>
      <c r="H14" s="2773"/>
      <c r="I14" s="2773"/>
      <c r="J14" s="2773"/>
      <c r="K14" s="2773"/>
      <c r="L14" s="2773"/>
      <c r="M14" s="2773"/>
      <c r="N14" s="2773"/>
      <c r="O14" s="2773"/>
      <c r="P14" s="2773"/>
      <c r="Q14" s="2773"/>
      <c r="R14" s="2773"/>
    </row>
    <row r="15" spans="1:18" x14ac:dyDescent="0.35">
      <c r="A15" s="2469"/>
      <c r="B15" s="2469"/>
      <c r="C15" s="2469"/>
      <c r="D15" s="2773"/>
      <c r="E15" s="2773"/>
      <c r="F15" s="2773"/>
      <c r="G15" s="2773"/>
      <c r="H15" s="2773"/>
      <c r="I15" s="2773"/>
      <c r="J15" s="2773"/>
      <c r="K15" s="2773"/>
      <c r="L15" s="2773"/>
      <c r="M15" s="2773"/>
      <c r="N15" s="2773"/>
      <c r="O15" s="2773"/>
      <c r="P15" s="2773"/>
      <c r="Q15" s="2773"/>
      <c r="R15" s="2773"/>
    </row>
    <row r="16" spans="1:18" ht="7" customHeight="1" x14ac:dyDescent="0.35">
      <c r="A16" s="2469"/>
      <c r="B16" s="2469"/>
      <c r="C16" s="2469"/>
      <c r="D16" s="2773"/>
      <c r="E16" s="2773"/>
      <c r="F16" s="2773"/>
      <c r="G16" s="2773"/>
      <c r="H16" s="2773"/>
      <c r="I16" s="2773"/>
      <c r="J16" s="2773"/>
      <c r="K16" s="2773"/>
      <c r="L16" s="2773"/>
      <c r="M16" s="2773"/>
      <c r="N16" s="2773"/>
      <c r="O16" s="2773"/>
      <c r="P16" s="2773"/>
      <c r="Q16" s="2773"/>
      <c r="R16" s="2773"/>
    </row>
    <row r="17" spans="1:18" ht="15.65" customHeight="1" x14ac:dyDescent="0.35">
      <c r="A17" s="2773"/>
      <c r="B17" s="2773"/>
      <c r="C17" s="2773"/>
      <c r="D17" s="2773"/>
      <c r="E17" s="2773"/>
      <c r="F17" s="2773"/>
      <c r="G17" s="2773"/>
      <c r="H17" s="2773"/>
      <c r="I17" s="2773"/>
      <c r="J17" s="2773"/>
      <c r="K17" s="2773"/>
      <c r="L17" s="2773"/>
      <c r="M17" s="2773"/>
      <c r="N17" s="2773"/>
      <c r="O17" s="2773"/>
      <c r="P17" s="2773"/>
      <c r="Q17" s="2773"/>
      <c r="R17" s="2773"/>
    </row>
    <row r="18" spans="1:18" x14ac:dyDescent="0.35">
      <c r="A18" s="2773"/>
      <c r="B18" s="2773"/>
      <c r="C18" s="2773"/>
      <c r="D18" s="2773"/>
      <c r="E18" s="2773"/>
      <c r="F18" s="2773"/>
      <c r="G18" s="2773"/>
      <c r="H18" s="2773"/>
      <c r="I18" s="2773"/>
      <c r="J18" s="2773"/>
      <c r="K18" s="2773"/>
      <c r="L18" s="2773"/>
      <c r="M18" s="2773"/>
      <c r="N18" s="2773"/>
      <c r="O18" s="2773"/>
      <c r="P18" s="2773"/>
      <c r="Q18" s="2773"/>
      <c r="R18" s="2773"/>
    </row>
    <row r="19" spans="1:18" x14ac:dyDescent="0.35">
      <c r="A19" s="2773"/>
      <c r="B19" s="2773"/>
      <c r="C19" s="2773"/>
      <c r="D19" s="2773"/>
      <c r="E19" s="2773"/>
      <c r="F19" s="2773"/>
      <c r="G19" s="2773"/>
      <c r="H19" s="2773"/>
      <c r="I19" s="2773"/>
      <c r="J19" s="2773"/>
      <c r="K19" s="2773"/>
      <c r="L19" s="2773"/>
      <c r="M19" s="2773"/>
      <c r="N19" s="2773"/>
      <c r="O19" s="2773"/>
      <c r="P19" s="2773"/>
      <c r="Q19" s="2773"/>
      <c r="R19" s="2773"/>
    </row>
    <row r="20" spans="1:18" x14ac:dyDescent="0.35">
      <c r="A20" s="2773"/>
      <c r="B20" s="2773"/>
      <c r="C20" s="2773"/>
      <c r="D20" s="2773"/>
      <c r="E20" s="2773"/>
      <c r="F20" s="2773"/>
      <c r="G20" s="2773"/>
      <c r="H20" s="2773"/>
      <c r="I20" s="2773"/>
      <c r="J20" s="2773"/>
      <c r="K20" s="2773"/>
      <c r="L20" s="2773"/>
      <c r="M20" s="2773"/>
      <c r="N20" s="2773"/>
      <c r="O20" s="2773"/>
      <c r="P20" s="2773"/>
      <c r="Q20" s="2773"/>
      <c r="R20" s="2773"/>
    </row>
    <row r="21" spans="1:18" x14ac:dyDescent="0.35">
      <c r="A21" s="2773"/>
      <c r="B21" s="2773"/>
      <c r="C21" s="2773"/>
      <c r="D21" s="2773"/>
      <c r="E21" s="2773"/>
      <c r="F21" s="2773"/>
      <c r="G21" s="2773"/>
      <c r="H21" s="2773"/>
      <c r="I21" s="2773"/>
      <c r="J21" s="2773"/>
      <c r="K21" s="2773"/>
      <c r="L21" s="2773"/>
      <c r="M21" s="2773"/>
      <c r="N21" s="2773"/>
      <c r="O21" s="2773"/>
      <c r="P21" s="2773"/>
      <c r="Q21" s="2773"/>
      <c r="R21" s="2773"/>
    </row>
    <row r="22" spans="1:18" x14ac:dyDescent="0.35">
      <c r="A22" s="2773"/>
      <c r="B22" s="2773"/>
      <c r="C22" s="2773"/>
      <c r="D22" s="2773"/>
      <c r="E22" s="2773"/>
      <c r="F22" s="2773"/>
      <c r="G22" s="2773"/>
      <c r="H22" s="2773"/>
      <c r="I22" s="2773"/>
      <c r="J22" s="2773"/>
      <c r="K22" s="2773"/>
      <c r="L22" s="2773"/>
      <c r="M22" s="2773"/>
      <c r="N22" s="2773"/>
      <c r="O22" s="2773"/>
      <c r="P22" s="2773"/>
      <c r="Q22" s="2773"/>
      <c r="R22" s="2773"/>
    </row>
    <row r="23" spans="1:18" x14ac:dyDescent="0.35">
      <c r="A23" s="2773"/>
      <c r="B23" s="2773"/>
      <c r="C23" s="2773"/>
      <c r="D23" s="2773"/>
      <c r="E23" s="2773"/>
      <c r="F23" s="2773"/>
      <c r="G23" s="2773"/>
      <c r="H23" s="2773"/>
      <c r="I23" s="2773"/>
      <c r="J23" s="2773"/>
      <c r="K23" s="2773"/>
      <c r="L23" s="2773"/>
      <c r="M23" s="2773"/>
      <c r="N23" s="2773"/>
      <c r="O23" s="2773"/>
      <c r="P23" s="2773"/>
      <c r="Q23" s="2773"/>
      <c r="R23" s="2773"/>
    </row>
    <row r="24" spans="1:18" x14ac:dyDescent="0.35">
      <c r="A24" s="2773"/>
      <c r="B24" s="2773"/>
      <c r="C24" s="2773"/>
      <c r="D24" s="2773"/>
      <c r="E24" s="2773"/>
      <c r="F24" s="2773"/>
      <c r="G24" s="2773"/>
      <c r="H24" s="2773"/>
      <c r="I24" s="2773"/>
      <c r="J24" s="2773"/>
      <c r="K24" s="2773"/>
      <c r="L24" s="2773"/>
      <c r="M24" s="2773"/>
      <c r="N24" s="2773"/>
      <c r="O24" s="2773"/>
      <c r="P24" s="2773"/>
      <c r="Q24" s="2773"/>
      <c r="R24" s="2773"/>
    </row>
    <row r="25" spans="1:18" ht="31" x14ac:dyDescent="0.7">
      <c r="A25" s="2773"/>
      <c r="B25" s="2774"/>
      <c r="C25" s="2773"/>
      <c r="D25" s="2773"/>
      <c r="E25" s="2773"/>
      <c r="F25" s="2773"/>
      <c r="G25" s="2773"/>
      <c r="H25" s="2773"/>
      <c r="I25" s="2773"/>
      <c r="J25" s="2773"/>
      <c r="K25" s="2773"/>
      <c r="L25" s="2773"/>
      <c r="M25" s="2773"/>
      <c r="N25" s="2773"/>
      <c r="O25" s="2773"/>
      <c r="P25" s="2773"/>
      <c r="Q25" s="2773"/>
      <c r="R25" s="2773"/>
    </row>
    <row r="26" spans="1:18" ht="3" customHeight="1" x14ac:dyDescent="0.35">
      <c r="A26" s="2773"/>
      <c r="B26" s="2773"/>
      <c r="C26" s="2773"/>
      <c r="D26" s="2773"/>
      <c r="E26" s="2773"/>
      <c r="F26" s="2773"/>
      <c r="G26" s="2773"/>
      <c r="H26" s="2773"/>
      <c r="I26" s="2773"/>
      <c r="J26" s="2773"/>
      <c r="K26" s="2773"/>
      <c r="L26" s="2773"/>
      <c r="M26" s="2773"/>
      <c r="N26" s="2773"/>
      <c r="O26" s="2773"/>
      <c r="P26" s="2773"/>
      <c r="Q26" s="2773"/>
      <c r="R26" s="2773"/>
    </row>
    <row r="27" spans="1:18" x14ac:dyDescent="0.35">
      <c r="A27" s="2773"/>
      <c r="B27" s="2773"/>
      <c r="C27" s="2773"/>
      <c r="D27" s="2773"/>
      <c r="E27" s="2773"/>
      <c r="F27" s="2773"/>
      <c r="G27" s="2773"/>
      <c r="H27" s="2773"/>
      <c r="I27" s="2773"/>
      <c r="J27" s="2773"/>
      <c r="K27" s="2773"/>
      <c r="L27" s="2773"/>
      <c r="M27" s="2773"/>
      <c r="N27" s="2773"/>
      <c r="O27" s="2773"/>
      <c r="P27" s="2773"/>
      <c r="Q27" s="2773"/>
      <c r="R27" s="2773"/>
    </row>
    <row r="28" spans="1:18" ht="6.65" customHeight="1" x14ac:dyDescent="0.35">
      <c r="A28" s="2773"/>
      <c r="B28" s="2773"/>
      <c r="C28" s="2773"/>
      <c r="D28" s="2773"/>
      <c r="E28" s="2773"/>
      <c r="F28" s="2773"/>
      <c r="G28" s="2773"/>
      <c r="H28" s="2773"/>
      <c r="I28" s="2773"/>
      <c r="J28" s="2773"/>
      <c r="K28" s="2773"/>
      <c r="L28" s="2773"/>
      <c r="M28" s="2773"/>
      <c r="N28" s="2773"/>
      <c r="O28" s="2773"/>
      <c r="P28" s="2773"/>
      <c r="Q28" s="2773"/>
      <c r="R28" s="2773"/>
    </row>
    <row r="29" spans="1:18" x14ac:dyDescent="0.35">
      <c r="A29" s="2773"/>
      <c r="B29" s="2773"/>
      <c r="C29" s="2773"/>
      <c r="D29" s="2773"/>
      <c r="E29" s="2773"/>
      <c r="F29" s="2773"/>
      <c r="G29" s="2773"/>
      <c r="H29" s="2773"/>
      <c r="I29" s="2773"/>
      <c r="J29" s="2773"/>
      <c r="K29" s="2773"/>
      <c r="L29" s="2773"/>
      <c r="M29" s="2773"/>
      <c r="N29" s="2773"/>
      <c r="O29" s="2773"/>
      <c r="P29" s="2773"/>
      <c r="Q29" s="2773"/>
      <c r="R29" s="2773"/>
    </row>
    <row r="30" spans="1:18" x14ac:dyDescent="0.35">
      <c r="A30" s="2773"/>
      <c r="B30" s="2773"/>
      <c r="C30" s="2773"/>
      <c r="D30" s="2773"/>
      <c r="E30" s="2773"/>
      <c r="F30" s="2773"/>
      <c r="G30" s="2773"/>
      <c r="H30" s="2773"/>
      <c r="I30" s="2773"/>
      <c r="J30" s="2773"/>
      <c r="K30" s="2773"/>
      <c r="L30" s="2773"/>
      <c r="M30" s="2773"/>
      <c r="N30" s="2773"/>
      <c r="O30" s="2773"/>
      <c r="P30" s="2773"/>
      <c r="Q30" s="2773"/>
      <c r="R30" s="2773"/>
    </row>
    <row r="31" spans="1:18" x14ac:dyDescent="0.35">
      <c r="A31" s="2773"/>
      <c r="B31" s="2773"/>
      <c r="C31" s="2773"/>
      <c r="D31" s="2773"/>
      <c r="E31" s="2773"/>
      <c r="F31" s="2773"/>
      <c r="G31" s="2773"/>
      <c r="H31" s="2773"/>
      <c r="I31" s="2773"/>
      <c r="J31" s="2773"/>
      <c r="K31" s="2773"/>
      <c r="L31" s="2773"/>
      <c r="M31" s="2773"/>
      <c r="N31" s="2773"/>
      <c r="O31" s="2773"/>
      <c r="P31" s="2773"/>
      <c r="Q31" s="2773"/>
      <c r="R31" s="2773"/>
    </row>
    <row r="32" spans="1:18" x14ac:dyDescent="0.35">
      <c r="A32" s="2773"/>
      <c r="B32" s="2773"/>
      <c r="C32" s="2773"/>
      <c r="D32" s="2773"/>
      <c r="E32" s="2773"/>
      <c r="F32" s="2773"/>
      <c r="G32" s="2773"/>
      <c r="H32" s="2773"/>
      <c r="I32" s="2773"/>
      <c r="J32" s="2773"/>
      <c r="K32" s="2773"/>
      <c r="L32" s="2773"/>
      <c r="M32" s="2773"/>
      <c r="N32" s="2773"/>
      <c r="O32" s="2773"/>
      <c r="P32" s="2773"/>
      <c r="Q32" s="2773"/>
      <c r="R32" s="2773"/>
    </row>
    <row r="33" spans="1:18" x14ac:dyDescent="0.35">
      <c r="A33" s="2773"/>
      <c r="B33" s="2773"/>
      <c r="C33" s="2773"/>
      <c r="D33" s="2773"/>
      <c r="E33" s="2773"/>
      <c r="F33" s="2773"/>
      <c r="G33" s="2773"/>
      <c r="H33" s="2773"/>
      <c r="I33" s="2773"/>
      <c r="J33" s="2773"/>
      <c r="K33" s="2773"/>
      <c r="L33" s="2773"/>
      <c r="M33" s="2773"/>
      <c r="N33" s="2773"/>
      <c r="O33" s="2773"/>
      <c r="P33" s="2773"/>
      <c r="Q33" s="2773"/>
      <c r="R33" s="2773"/>
    </row>
    <row r="34" spans="1:18" x14ac:dyDescent="0.35">
      <c r="A34" s="2773"/>
      <c r="B34" s="2773"/>
      <c r="C34" s="2773"/>
      <c r="D34" s="2773"/>
      <c r="E34" s="2773"/>
      <c r="F34" s="2773"/>
      <c r="G34" s="2773"/>
      <c r="H34" s="2773"/>
      <c r="I34" s="2773"/>
      <c r="J34" s="2773"/>
      <c r="K34" s="2773"/>
      <c r="L34" s="2773"/>
      <c r="M34" s="2773"/>
      <c r="N34" s="2773"/>
      <c r="O34" s="2773"/>
      <c r="P34" s="2773"/>
      <c r="Q34" s="2773"/>
      <c r="R34" s="2773"/>
    </row>
    <row r="35" spans="1:18" x14ac:dyDescent="0.35">
      <c r="A35" s="2773"/>
      <c r="B35" s="2773"/>
      <c r="C35" s="2773"/>
      <c r="D35" s="2773"/>
      <c r="E35" s="2773"/>
      <c r="F35" s="2773"/>
      <c r="G35" s="2773"/>
      <c r="H35" s="2773"/>
      <c r="I35" s="2773"/>
      <c r="J35" s="2773"/>
      <c r="K35" s="2773"/>
      <c r="L35" s="2773"/>
      <c r="M35" s="2773"/>
      <c r="N35" s="2773"/>
      <c r="O35" s="2773"/>
      <c r="P35" s="2773"/>
      <c r="Q35" s="2773"/>
      <c r="R35" s="2773"/>
    </row>
    <row r="36" spans="1:18" x14ac:dyDescent="0.35">
      <c r="A36" s="2773"/>
      <c r="B36" s="2773"/>
      <c r="C36" s="2773"/>
      <c r="D36" s="2773"/>
      <c r="E36" s="2773"/>
      <c r="F36" s="2773"/>
      <c r="G36" s="2773"/>
      <c r="H36" s="2773"/>
      <c r="I36" s="2773"/>
      <c r="J36" s="2773"/>
      <c r="K36" s="2773"/>
      <c r="L36" s="2773"/>
      <c r="M36" s="2773"/>
      <c r="N36" s="2773"/>
      <c r="O36" s="2773"/>
      <c r="P36" s="2773"/>
      <c r="Q36" s="2773"/>
      <c r="R36" s="2773"/>
    </row>
    <row r="37" spans="1:18" x14ac:dyDescent="0.35">
      <c r="A37" s="2773"/>
      <c r="B37" s="2773"/>
      <c r="C37" s="2773"/>
      <c r="D37" s="2773"/>
      <c r="E37" s="2773"/>
      <c r="F37" s="2773"/>
      <c r="G37" s="2773"/>
      <c r="H37" s="2773"/>
      <c r="I37" s="2773"/>
      <c r="J37" s="2773"/>
      <c r="K37" s="2773"/>
      <c r="L37" s="2773"/>
      <c r="M37" s="2773"/>
      <c r="N37" s="2773"/>
      <c r="O37" s="2773"/>
      <c r="P37" s="2773"/>
      <c r="Q37" s="2773"/>
      <c r="R37" s="2773"/>
    </row>
    <row r="38" spans="1:18" x14ac:dyDescent="0.35">
      <c r="A38" s="2773"/>
      <c r="B38" s="2773"/>
      <c r="C38" s="2773"/>
      <c r="D38" s="2773"/>
      <c r="E38" s="2773"/>
      <c r="F38" s="2773"/>
      <c r="G38" s="2773"/>
      <c r="H38" s="2773"/>
      <c r="I38" s="2773"/>
      <c r="J38" s="2773"/>
      <c r="K38" s="2773"/>
      <c r="L38" s="2773"/>
      <c r="M38" s="2773"/>
      <c r="N38" s="2773"/>
      <c r="O38" s="2773"/>
      <c r="P38" s="2773"/>
      <c r="Q38" s="2773"/>
      <c r="R38" s="2773"/>
    </row>
    <row r="41" spans="1:18" ht="16" thickBot="1" x14ac:dyDescent="0.4"/>
  </sheetData>
  <mergeCells count="2">
    <mergeCell ref="D11:E11"/>
    <mergeCell ref="P1:Q1"/>
  </mergeCells>
  <conditionalFormatting sqref="Q2:Q11">
    <cfRule type="cellIs" dxfId="1721" priority="3" operator="equal">
      <formula>"D"</formula>
    </cfRule>
    <cfRule type="cellIs" dxfId="1720" priority="4" operator="greaterThan">
      <formula>"D"</formula>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925F7-3579-4A63-B292-E593F5339577}">
  <sheetPr codeName="Sheet2"/>
  <dimension ref="A1:CB140"/>
  <sheetViews>
    <sheetView zoomScale="83" zoomScaleNormal="83" workbookViewId="0">
      <pane xSplit="1" ySplit="9" topLeftCell="B10" activePane="bottomRight" state="frozen"/>
      <selection activeCell="D21" sqref="D21"/>
      <selection pane="topRight" activeCell="D21" sqref="D21"/>
      <selection pane="bottomLeft" activeCell="D21" sqref="D21"/>
      <selection pane="bottomRight" activeCell="BF10" sqref="BF10:BH33"/>
    </sheetView>
  </sheetViews>
  <sheetFormatPr defaultRowHeight="12" customHeight="1" x14ac:dyDescent="0.35"/>
  <cols>
    <col min="1" max="1" width="2.83203125" bestFit="1" customWidth="1"/>
    <col min="2" max="2" width="6.75" style="92" customWidth="1"/>
    <col min="3" max="3" width="4.58203125" style="92" customWidth="1"/>
    <col min="4" max="4" width="5.08203125" style="92" customWidth="1"/>
    <col min="5" max="5" width="2.58203125" style="92" customWidth="1"/>
    <col min="6" max="6" width="2.58203125" style="2373" customWidth="1"/>
    <col min="7" max="14" width="2.58203125" customWidth="1"/>
    <col min="15" max="15" width="2.75" customWidth="1"/>
    <col min="16" max="21" width="2.08203125" customWidth="1"/>
    <col min="22" max="22" width="2.9140625" customWidth="1"/>
    <col min="23" max="23" width="2.08203125" customWidth="1"/>
    <col min="24" max="56" width="2.25" customWidth="1"/>
    <col min="57" max="57" width="15.25" customWidth="1"/>
    <col min="58" max="58" width="17.9140625" customWidth="1"/>
    <col min="59" max="59" width="15.75" style="2369" customWidth="1"/>
    <col min="60" max="60" width="15.5" style="2368" customWidth="1"/>
    <col min="61" max="61" width="1.25" style="2368" customWidth="1"/>
    <col min="62" max="62" width="4.1640625" style="2368" hidden="1" customWidth="1"/>
    <col min="63" max="63" width="1.25" style="2368" customWidth="1"/>
    <col min="64" max="64" width="10" style="2368" hidden="1" customWidth="1"/>
    <col min="65" max="65" width="1.25" style="2368" customWidth="1"/>
    <col min="66" max="66" width="6" style="2368" hidden="1" customWidth="1"/>
    <col min="67" max="67" width="9" style="2368" hidden="1" customWidth="1"/>
    <col min="68" max="68" width="23.58203125" style="2368" bestFit="1" customWidth="1"/>
    <col min="69" max="69" width="7" style="2368" customWidth="1"/>
    <col min="70" max="70" width="13.6640625" style="2368" customWidth="1"/>
    <col min="71" max="71" width="14.08203125" style="2368" customWidth="1"/>
    <col min="72" max="72" width="19.5" style="2368" customWidth="1"/>
    <col min="73" max="73" width="1.33203125" style="2368" customWidth="1"/>
    <col min="74" max="74" width="1.75" style="2369" customWidth="1"/>
    <col min="78" max="78" width="9.25" bestFit="1" customWidth="1"/>
  </cols>
  <sheetData>
    <row r="1" spans="1:80" ht="26.25" customHeight="1" thickBot="1" x14ac:dyDescent="0.65">
      <c r="A1" s="2894" t="s">
        <v>814</v>
      </c>
      <c r="B1" s="2895"/>
      <c r="C1" s="2895"/>
      <c r="D1" s="2896"/>
      <c r="E1" s="2897">
        <v>43831</v>
      </c>
      <c r="F1" s="2898"/>
      <c r="G1" s="2898"/>
      <c r="H1" s="2898"/>
      <c r="I1" s="2898"/>
      <c r="J1" s="2898"/>
      <c r="K1" s="2898"/>
      <c r="L1" s="2898"/>
      <c r="M1" s="2898"/>
      <c r="N1" s="2899"/>
    </row>
    <row r="2" spans="1:80" ht="20.5" thickBot="1" x14ac:dyDescent="0.45">
      <c r="A2" s="2902" t="s">
        <v>772</v>
      </c>
      <c r="B2" s="2902"/>
      <c r="C2" s="2902"/>
      <c r="D2" s="2903"/>
      <c r="E2" s="2900" t="s">
        <v>768</v>
      </c>
      <c r="F2" s="2900"/>
      <c r="G2" s="2900"/>
      <c r="H2" s="2900"/>
      <c r="I2" s="2900"/>
      <c r="J2" s="2900"/>
      <c r="K2" s="2900"/>
      <c r="L2" s="2901" t="s">
        <v>765</v>
      </c>
      <c r="M2" s="2901"/>
      <c r="N2" s="2901"/>
    </row>
    <row r="3" spans="1:80" ht="21" thickBot="1" x14ac:dyDescent="0.5">
      <c r="A3" s="2926">
        <f>DATE(YEAR(E1)+85,MONTH(E1),DAY(E1-1))</f>
        <v>74907</v>
      </c>
      <c r="B3" s="2927"/>
      <c r="C3" s="2927"/>
      <c r="D3" s="2927"/>
      <c r="E3" s="2904" t="str">
        <f ca="1">"Weeks Left: "&amp;TEXT(ROUNDDOWN((DATEDIF(BE5,(BE8),"d")/7),0),"#,##0")</f>
        <v>Weeks Left: 4,247</v>
      </c>
      <c r="F3" s="2905"/>
      <c r="G3" s="2905"/>
      <c r="H3" s="2905"/>
      <c r="I3" s="2905"/>
      <c r="J3" s="2905"/>
      <c r="K3" s="2906"/>
      <c r="L3" s="2907">
        <f ca="1">BS101</f>
        <v>0.95897435897435745</v>
      </c>
      <c r="M3" s="2908"/>
      <c r="N3" s="2909"/>
      <c r="O3" s="2471">
        <f ca="1">100%-L3</f>
        <v>4.1025641025642545E-2</v>
      </c>
    </row>
    <row r="4" spans="1:80" ht="16" thickBot="1" x14ac:dyDescent="0.4">
      <c r="A4" s="2910" t="str">
        <f ca="1">"Age "&amp;INT((TODAY()-E1)/365)</f>
        <v>Age 3</v>
      </c>
      <c r="B4" s="2911"/>
      <c r="C4" s="2911"/>
      <c r="D4" s="2911"/>
      <c r="E4" s="2918" t="str">
        <f ca="1">"Weeks Gone: "&amp;TEXT(ROUNDDOWN((DATEDIF(E1,BE5,"d")/7),0),"#,##0")</f>
        <v>Weeks Gone: 191</v>
      </c>
      <c r="F4" s="2919"/>
      <c r="G4" s="2919"/>
      <c r="H4" s="2919"/>
      <c r="I4" s="2919"/>
      <c r="J4" s="2919"/>
      <c r="K4" s="2920"/>
      <c r="L4" s="2921">
        <f ca="1">BS100</f>
        <v>4.1025641025641026E-2</v>
      </c>
      <c r="M4" s="2922"/>
      <c r="N4" s="2923"/>
      <c r="O4" s="2472">
        <f ca="1">100%-L4</f>
        <v>0.95897435897435901</v>
      </c>
    </row>
    <row r="5" spans="1:80" ht="15.65" hidden="1" customHeight="1" x14ac:dyDescent="0.35">
      <c r="A5" s="2912"/>
      <c r="B5" s="2913"/>
      <c r="C5" s="2913"/>
      <c r="D5" s="2914"/>
      <c r="E5" s="2473">
        <f>MONTH(BL11&amp;1)</f>
        <v>1</v>
      </c>
      <c r="F5" s="2474">
        <f>MONTH(BL11&amp;1)</f>
        <v>1</v>
      </c>
      <c r="G5" s="2474">
        <f>MONTH(BL11&amp;1)</f>
        <v>1</v>
      </c>
      <c r="H5" s="2474">
        <f>MONTH(BL11&amp;1)</f>
        <v>1</v>
      </c>
      <c r="I5" s="2474">
        <f>MONTH(BL11&amp;1)</f>
        <v>1</v>
      </c>
      <c r="J5" s="2474">
        <f>MONTH(BL12&amp;1)</f>
        <v>2</v>
      </c>
      <c r="K5" s="2474">
        <f>MONTH(BL12&amp;1)</f>
        <v>2</v>
      </c>
      <c r="L5" s="2474">
        <f>MONTH(BL12&amp;1)</f>
        <v>2</v>
      </c>
      <c r="M5" s="2474">
        <f>MONTH(BL12&amp;1)</f>
        <v>2</v>
      </c>
      <c r="N5" s="2474">
        <f>MONTH(BL13&amp;1)</f>
        <v>3</v>
      </c>
      <c r="O5" s="2474">
        <f>MONTH(BL13&amp;1)</f>
        <v>3</v>
      </c>
      <c r="P5" s="2474">
        <f>MONTH(BL13&amp;1)</f>
        <v>3</v>
      </c>
      <c r="Q5" s="2474">
        <f>MONTH(BL13&amp;1)</f>
        <v>3</v>
      </c>
      <c r="R5" s="2474">
        <f>MONTH(BL14&amp;1)</f>
        <v>4</v>
      </c>
      <c r="S5" s="2474">
        <f>MONTH(BL14&amp;1)</f>
        <v>4</v>
      </c>
      <c r="T5" s="2474">
        <f>MONTH(BL14&amp;1)</f>
        <v>4</v>
      </c>
      <c r="U5" s="2474">
        <f>MONTH(BL14&amp;1)</f>
        <v>4</v>
      </c>
      <c r="V5" s="2474">
        <f>MONTH(BL15&amp;1)</f>
        <v>5</v>
      </c>
      <c r="W5" s="2474">
        <f>MONTH(BL15&amp;1)</f>
        <v>5</v>
      </c>
      <c r="X5" s="2474">
        <f>MONTH(BL15&amp;1)</f>
        <v>5</v>
      </c>
      <c r="Y5" s="2474">
        <f>MONTH(BL15&amp;1)</f>
        <v>5</v>
      </c>
      <c r="Z5" s="2474">
        <f>MONTH(BL15&amp;1)</f>
        <v>5</v>
      </c>
      <c r="AA5" s="2474">
        <f>MONTH(BL15&amp;1)</f>
        <v>5</v>
      </c>
      <c r="AB5" s="2474">
        <f>MONTH(BL16&amp;1)</f>
        <v>6</v>
      </c>
      <c r="AC5" s="2474">
        <f>MONTH(BL16&amp;1)</f>
        <v>6</v>
      </c>
      <c r="AD5" s="2474">
        <f>MONTH(BL16&amp;1)</f>
        <v>6</v>
      </c>
      <c r="AE5" s="2474">
        <f>MONTH(BL16&amp;1)</f>
        <v>6</v>
      </c>
      <c r="AF5" s="2474">
        <f>MONTH(BL17&amp;1)</f>
        <v>7</v>
      </c>
      <c r="AG5" s="2474">
        <f>MONTH(BL17&amp;1)</f>
        <v>7</v>
      </c>
      <c r="AH5" s="2474">
        <f>MONTH(BL17&amp;1)</f>
        <v>7</v>
      </c>
      <c r="AI5" s="2474">
        <f>MONTH(BL17&amp;1)</f>
        <v>7</v>
      </c>
      <c r="AJ5" s="2474">
        <f>MONTH(BL18&amp;1)</f>
        <v>8</v>
      </c>
      <c r="AK5" s="2474">
        <f>MONTH(BL18&amp;1)</f>
        <v>8</v>
      </c>
      <c r="AL5" s="2474">
        <f>MONTH(BL18&amp;1)</f>
        <v>8</v>
      </c>
      <c r="AM5" s="2474">
        <f>MONTH(BL18&amp;1)</f>
        <v>8</v>
      </c>
      <c r="AN5" s="2474">
        <f>MONTH(BL18&amp;1)</f>
        <v>8</v>
      </c>
      <c r="AO5" s="2474">
        <f>MONTH(BL19&amp;1)</f>
        <v>9</v>
      </c>
      <c r="AP5" s="2474">
        <f>MONTH(BL19&amp;1)</f>
        <v>9</v>
      </c>
      <c r="AQ5" s="2474">
        <f>MONTH(BL19&amp;1)</f>
        <v>9</v>
      </c>
      <c r="AR5" s="2474">
        <f>MONTH(BL19&amp;1)</f>
        <v>9</v>
      </c>
      <c r="AS5" s="2474">
        <f>MONTH(BL20&amp;1)</f>
        <v>10</v>
      </c>
      <c r="AT5" s="2474">
        <f>MONTH(BL20&amp;1)</f>
        <v>10</v>
      </c>
      <c r="AU5" s="2474">
        <f>MONTH(BL20&amp;1)</f>
        <v>10</v>
      </c>
      <c r="AV5" s="2474">
        <f>MONTH(BL20&amp;1)</f>
        <v>10</v>
      </c>
      <c r="AW5" s="2474">
        <f>MONTH(BL21&amp;1)</f>
        <v>11</v>
      </c>
      <c r="AX5" s="2474">
        <f>MONTH(BL21&amp;1)</f>
        <v>11</v>
      </c>
      <c r="AY5" s="2474">
        <f>MONTH(BL21&amp;1)</f>
        <v>11</v>
      </c>
      <c r="AZ5" s="2474">
        <f>MONTH(BL21&amp;1)</f>
        <v>11</v>
      </c>
      <c r="BA5" s="2474">
        <f>MONTH(BL22&amp;1)</f>
        <v>12</v>
      </c>
      <c r="BB5" s="2474">
        <f>MONTH(BL22&amp;1)</f>
        <v>12</v>
      </c>
      <c r="BC5" s="2474">
        <f>MONTH(BL22&amp;1)</f>
        <v>12</v>
      </c>
      <c r="BD5" s="2474">
        <f>MONTH(BL22&amp;1)</f>
        <v>12</v>
      </c>
      <c r="BE5" s="2475">
        <f ca="1">TODAY()</f>
        <v>45172</v>
      </c>
      <c r="BT5" s="2369"/>
      <c r="BU5"/>
      <c r="BV5"/>
    </row>
    <row r="6" spans="1:80" ht="15.5" hidden="1" x14ac:dyDescent="0.35">
      <c r="A6" s="2912"/>
      <c r="B6" s="2913"/>
      <c r="C6" s="2913"/>
      <c r="D6" s="2914"/>
      <c r="E6" s="2476">
        <f>DAY(7)</f>
        <v>7</v>
      </c>
      <c r="F6" s="2368">
        <v>14</v>
      </c>
      <c r="G6" s="2368">
        <v>21</v>
      </c>
      <c r="H6" s="2368">
        <v>28</v>
      </c>
      <c r="I6" s="2368">
        <v>31</v>
      </c>
      <c r="J6" s="2476">
        <v>7</v>
      </c>
      <c r="K6" s="2368">
        <v>14</v>
      </c>
      <c r="L6" s="2368">
        <v>21</v>
      </c>
      <c r="M6" s="2368">
        <v>28</v>
      </c>
      <c r="N6" s="2476">
        <v>7</v>
      </c>
      <c r="O6" s="2368">
        <v>14</v>
      </c>
      <c r="P6" s="2368">
        <v>21</v>
      </c>
      <c r="Q6" s="2368">
        <v>28</v>
      </c>
      <c r="R6" s="2368">
        <v>7</v>
      </c>
      <c r="S6" s="2368">
        <v>14</v>
      </c>
      <c r="T6" s="2368">
        <v>21</v>
      </c>
      <c r="U6" s="2368">
        <v>28</v>
      </c>
      <c r="V6" s="2368">
        <v>7</v>
      </c>
      <c r="W6" s="2368">
        <v>14</v>
      </c>
      <c r="X6" s="2368">
        <v>21</v>
      </c>
      <c r="Y6" s="2368">
        <v>28</v>
      </c>
      <c r="Z6" s="2368">
        <v>31</v>
      </c>
      <c r="AA6" s="2368">
        <v>31</v>
      </c>
      <c r="AB6" s="2368">
        <v>7</v>
      </c>
      <c r="AC6" s="2368">
        <v>14</v>
      </c>
      <c r="AD6" s="2368">
        <v>21</v>
      </c>
      <c r="AE6" s="2368">
        <v>28</v>
      </c>
      <c r="AF6" s="2368">
        <v>7</v>
      </c>
      <c r="AG6" s="2368">
        <v>14</v>
      </c>
      <c r="AH6" s="2368">
        <v>21</v>
      </c>
      <c r="AI6" s="2368">
        <v>28</v>
      </c>
      <c r="AJ6" s="2368">
        <v>7</v>
      </c>
      <c r="AK6" s="2368">
        <v>14</v>
      </c>
      <c r="AL6" s="2368">
        <v>21</v>
      </c>
      <c r="AM6" s="2368">
        <v>28</v>
      </c>
      <c r="AN6" s="2368">
        <v>31</v>
      </c>
      <c r="AO6" s="2368">
        <v>7</v>
      </c>
      <c r="AP6" s="2368">
        <v>14</v>
      </c>
      <c r="AQ6" s="2368">
        <v>21</v>
      </c>
      <c r="AR6" s="2368">
        <v>28</v>
      </c>
      <c r="AS6" s="2368">
        <v>7</v>
      </c>
      <c r="AT6" s="2368">
        <v>14</v>
      </c>
      <c r="AU6" s="2368">
        <v>21</v>
      </c>
      <c r="AV6" s="2368">
        <v>28</v>
      </c>
      <c r="AW6" s="2368">
        <v>7</v>
      </c>
      <c r="AX6" s="2368">
        <v>14</v>
      </c>
      <c r="AY6" s="2368">
        <v>21</v>
      </c>
      <c r="AZ6" s="2368">
        <v>28</v>
      </c>
      <c r="BA6" s="2368">
        <v>7</v>
      </c>
      <c r="BB6" s="2368">
        <v>14</v>
      </c>
      <c r="BC6" s="2368">
        <v>21</v>
      </c>
      <c r="BD6" s="2368">
        <v>28</v>
      </c>
      <c r="BE6" s="2368"/>
      <c r="BT6" s="2369"/>
      <c r="BU6"/>
      <c r="BV6"/>
    </row>
    <row r="7" spans="1:80" ht="16" thickBot="1" x14ac:dyDescent="0.4">
      <c r="A7" s="2915"/>
      <c r="B7" s="2916"/>
      <c r="C7" s="2916"/>
      <c r="D7" s="2917"/>
      <c r="E7" s="2924" t="s">
        <v>769</v>
      </c>
      <c r="F7" s="2925"/>
      <c r="G7" s="2925"/>
      <c r="H7" s="2925"/>
      <c r="I7" s="2925"/>
      <c r="J7" s="2925"/>
      <c r="K7" s="2925"/>
      <c r="L7" s="2925"/>
      <c r="M7" s="2925"/>
      <c r="N7" s="2925"/>
      <c r="O7" s="2925"/>
      <c r="P7" s="2925"/>
      <c r="Q7" s="2925"/>
      <c r="R7" s="2925"/>
      <c r="S7" s="2925"/>
      <c r="T7" s="2925"/>
      <c r="U7" s="2925"/>
      <c r="V7" s="2925"/>
      <c r="W7" s="2925"/>
      <c r="X7" s="2925"/>
      <c r="Y7" s="2925"/>
      <c r="Z7" s="2925"/>
      <c r="AA7" s="2925"/>
      <c r="AB7" s="2925"/>
      <c r="AC7" s="2925"/>
      <c r="AD7" s="2925"/>
      <c r="AE7" s="2925"/>
      <c r="AF7" s="2925"/>
      <c r="AG7" s="2925"/>
      <c r="AH7" s="2925"/>
      <c r="AI7" s="2925"/>
      <c r="AJ7" s="2925"/>
      <c r="AK7" s="2925"/>
      <c r="AL7" s="2925"/>
      <c r="AM7" s="2925"/>
      <c r="AN7" s="2925"/>
      <c r="AO7" s="2925"/>
      <c r="AP7" s="2925"/>
      <c r="AQ7" s="2925"/>
      <c r="AR7" s="2925"/>
      <c r="AS7" s="2925"/>
      <c r="AT7" s="2925"/>
      <c r="AU7" s="2925"/>
      <c r="AV7" s="2925"/>
      <c r="AW7" s="2925"/>
      <c r="AX7" s="2925"/>
      <c r="AY7" s="2925"/>
      <c r="AZ7" s="2925"/>
      <c r="BA7" s="2925"/>
      <c r="BB7" s="2925"/>
      <c r="BC7" s="2925"/>
      <c r="BD7" s="2925"/>
      <c r="BE7" s="2477"/>
      <c r="BL7" s="2478"/>
      <c r="BT7" s="2369"/>
      <c r="BU7"/>
      <c r="BV7"/>
    </row>
    <row r="8" spans="1:80" ht="18" customHeight="1" thickBot="1" x14ac:dyDescent="0.4">
      <c r="B8" s="2945" t="s">
        <v>22</v>
      </c>
      <c r="C8" s="2945" t="s">
        <v>760</v>
      </c>
      <c r="D8" s="2946" t="s">
        <v>766</v>
      </c>
      <c r="E8" s="2479">
        <v>1</v>
      </c>
      <c r="F8" s="2480">
        <f t="shared" ref="F8:BD8" si="0">E8+1</f>
        <v>2</v>
      </c>
      <c r="G8" s="2480">
        <f t="shared" si="0"/>
        <v>3</v>
      </c>
      <c r="H8" s="2480">
        <f t="shared" si="0"/>
        <v>4</v>
      </c>
      <c r="I8" s="2480">
        <f t="shared" si="0"/>
        <v>5</v>
      </c>
      <c r="J8" s="2480">
        <f t="shared" si="0"/>
        <v>6</v>
      </c>
      <c r="K8" s="2480">
        <f t="shared" si="0"/>
        <v>7</v>
      </c>
      <c r="L8" s="2480">
        <f t="shared" si="0"/>
        <v>8</v>
      </c>
      <c r="M8" s="2480">
        <f t="shared" si="0"/>
        <v>9</v>
      </c>
      <c r="N8" s="2480">
        <f t="shared" si="0"/>
        <v>10</v>
      </c>
      <c r="O8" s="2480">
        <f t="shared" si="0"/>
        <v>11</v>
      </c>
      <c r="P8" s="2480">
        <f t="shared" si="0"/>
        <v>12</v>
      </c>
      <c r="Q8" s="2480">
        <f t="shared" si="0"/>
        <v>13</v>
      </c>
      <c r="R8" s="2480">
        <f t="shared" si="0"/>
        <v>14</v>
      </c>
      <c r="S8" s="2480">
        <f t="shared" si="0"/>
        <v>15</v>
      </c>
      <c r="T8" s="2480">
        <f t="shared" si="0"/>
        <v>16</v>
      </c>
      <c r="U8" s="2480">
        <f t="shared" si="0"/>
        <v>17</v>
      </c>
      <c r="V8" s="2480">
        <f t="shared" si="0"/>
        <v>18</v>
      </c>
      <c r="W8" s="2480">
        <f t="shared" si="0"/>
        <v>19</v>
      </c>
      <c r="X8" s="2480">
        <f t="shared" si="0"/>
        <v>20</v>
      </c>
      <c r="Y8" s="2480">
        <f t="shared" si="0"/>
        <v>21</v>
      </c>
      <c r="Z8" s="2480">
        <f t="shared" si="0"/>
        <v>22</v>
      </c>
      <c r="AA8" s="2480">
        <f t="shared" si="0"/>
        <v>23</v>
      </c>
      <c r="AB8" s="2480">
        <f t="shared" si="0"/>
        <v>24</v>
      </c>
      <c r="AC8" s="2480">
        <f t="shared" si="0"/>
        <v>25</v>
      </c>
      <c r="AD8" s="2480">
        <f t="shared" si="0"/>
        <v>26</v>
      </c>
      <c r="AE8" s="2480">
        <f t="shared" si="0"/>
        <v>27</v>
      </c>
      <c r="AF8" s="2480">
        <f t="shared" si="0"/>
        <v>28</v>
      </c>
      <c r="AG8" s="2480">
        <f t="shared" si="0"/>
        <v>29</v>
      </c>
      <c r="AH8" s="2480">
        <f t="shared" si="0"/>
        <v>30</v>
      </c>
      <c r="AI8" s="2480">
        <f t="shared" si="0"/>
        <v>31</v>
      </c>
      <c r="AJ8" s="2480">
        <f t="shared" si="0"/>
        <v>32</v>
      </c>
      <c r="AK8" s="2480">
        <f t="shared" si="0"/>
        <v>33</v>
      </c>
      <c r="AL8" s="2480">
        <f t="shared" si="0"/>
        <v>34</v>
      </c>
      <c r="AM8" s="2480">
        <f t="shared" si="0"/>
        <v>35</v>
      </c>
      <c r="AN8" s="2480">
        <f t="shared" si="0"/>
        <v>36</v>
      </c>
      <c r="AO8" s="2480">
        <f t="shared" si="0"/>
        <v>37</v>
      </c>
      <c r="AP8" s="2480">
        <f t="shared" si="0"/>
        <v>38</v>
      </c>
      <c r="AQ8" s="2480">
        <f t="shared" si="0"/>
        <v>39</v>
      </c>
      <c r="AR8" s="2480">
        <f t="shared" si="0"/>
        <v>40</v>
      </c>
      <c r="AS8" s="2480">
        <f t="shared" si="0"/>
        <v>41</v>
      </c>
      <c r="AT8" s="2480">
        <f t="shared" si="0"/>
        <v>42</v>
      </c>
      <c r="AU8" s="2480">
        <f t="shared" si="0"/>
        <v>43</v>
      </c>
      <c r="AV8" s="2480">
        <f t="shared" si="0"/>
        <v>44</v>
      </c>
      <c r="AW8" s="2480">
        <f t="shared" si="0"/>
        <v>45</v>
      </c>
      <c r="AX8" s="2480">
        <f t="shared" si="0"/>
        <v>46</v>
      </c>
      <c r="AY8" s="2480">
        <f t="shared" si="0"/>
        <v>47</v>
      </c>
      <c r="AZ8" s="2480">
        <f t="shared" si="0"/>
        <v>48</v>
      </c>
      <c r="BA8" s="2480">
        <f t="shared" si="0"/>
        <v>49</v>
      </c>
      <c r="BB8" s="2480">
        <f t="shared" si="0"/>
        <v>50</v>
      </c>
      <c r="BC8" s="2480">
        <f t="shared" si="0"/>
        <v>51</v>
      </c>
      <c r="BD8" s="2481">
        <f t="shared" si="0"/>
        <v>52</v>
      </c>
      <c r="BE8" s="2482">
        <f>DATE(YEAR(E1)+85,MONTH(E1),DAY(E1-1))</f>
        <v>74907</v>
      </c>
      <c r="BF8" s="2928" t="s">
        <v>829</v>
      </c>
      <c r="BG8" s="2928" t="s">
        <v>9</v>
      </c>
      <c r="BH8" s="2928" t="s">
        <v>17</v>
      </c>
      <c r="BI8" s="2483">
        <f>MONTH(E1)</f>
        <v>1</v>
      </c>
      <c r="BJ8" s="2483"/>
      <c r="BK8" s="2483"/>
      <c r="BP8" s="2930" t="s">
        <v>770</v>
      </c>
      <c r="BQ8" s="2931"/>
      <c r="BR8" s="2931"/>
      <c r="BS8" s="2932"/>
      <c r="BT8"/>
    </row>
    <row r="9" spans="1:80" ht="18" customHeight="1" thickBot="1" x14ac:dyDescent="0.5">
      <c r="B9" s="2929"/>
      <c r="C9" s="2929"/>
      <c r="D9" s="2947"/>
      <c r="E9" s="2933" t="s">
        <v>73</v>
      </c>
      <c r="F9" s="2934"/>
      <c r="G9" s="2934"/>
      <c r="H9" s="2934"/>
      <c r="I9" s="2935"/>
      <c r="J9" s="2933" t="s">
        <v>86</v>
      </c>
      <c r="K9" s="2934"/>
      <c r="L9" s="2934"/>
      <c r="M9" s="2935"/>
      <c r="N9" s="2933" t="s">
        <v>749</v>
      </c>
      <c r="O9" s="2934"/>
      <c r="P9" s="2934"/>
      <c r="Q9" s="2935"/>
      <c r="R9" s="2933" t="s">
        <v>750</v>
      </c>
      <c r="S9" s="2934"/>
      <c r="T9" s="2934"/>
      <c r="U9" s="2935"/>
      <c r="V9" s="2936" t="s">
        <v>87</v>
      </c>
      <c r="W9" s="2937"/>
      <c r="X9" s="2937"/>
      <c r="Y9" s="2937"/>
      <c r="Z9" s="2937"/>
      <c r="AA9" s="2938"/>
      <c r="AB9" s="2933" t="s">
        <v>745</v>
      </c>
      <c r="AC9" s="2934"/>
      <c r="AD9" s="2934"/>
      <c r="AE9" s="2935"/>
      <c r="AF9" s="2933" t="s">
        <v>88</v>
      </c>
      <c r="AG9" s="2934"/>
      <c r="AH9" s="2934"/>
      <c r="AI9" s="2935"/>
      <c r="AJ9" s="2933" t="s">
        <v>89</v>
      </c>
      <c r="AK9" s="2934"/>
      <c r="AL9" s="2934"/>
      <c r="AM9" s="2934"/>
      <c r="AN9" s="2935"/>
      <c r="AO9" s="2933" t="s">
        <v>746</v>
      </c>
      <c r="AP9" s="2934"/>
      <c r="AQ9" s="2934"/>
      <c r="AR9" s="2935"/>
      <c r="AS9" s="2933" t="s">
        <v>747</v>
      </c>
      <c r="AT9" s="2934"/>
      <c r="AU9" s="2934"/>
      <c r="AV9" s="2935"/>
      <c r="AW9" s="2933" t="s">
        <v>759</v>
      </c>
      <c r="AX9" s="2934"/>
      <c r="AY9" s="2934"/>
      <c r="AZ9" s="2935"/>
      <c r="BA9" s="2933" t="s">
        <v>72</v>
      </c>
      <c r="BB9" s="2934"/>
      <c r="BC9" s="2934"/>
      <c r="BD9" s="2935"/>
      <c r="BE9" s="2484">
        <f>MONTH(E1)</f>
        <v>1</v>
      </c>
      <c r="BF9" s="2929"/>
      <c r="BG9" s="2929"/>
      <c r="BH9" s="2929"/>
      <c r="BI9" s="2483">
        <f>DAY(E1)</f>
        <v>1</v>
      </c>
      <c r="BJ9" s="2483"/>
      <c r="BK9" s="2483"/>
      <c r="BN9" s="2485" t="s">
        <v>760</v>
      </c>
      <c r="BO9" s="2485" t="s">
        <v>13</v>
      </c>
      <c r="BP9" s="2485" t="s">
        <v>773</v>
      </c>
      <c r="BQ9" s="2486" t="s">
        <v>775</v>
      </c>
      <c r="BR9" s="2486" t="s">
        <v>776</v>
      </c>
      <c r="BS9" s="2487" t="s">
        <v>774</v>
      </c>
      <c r="BT9" s="261"/>
      <c r="CB9" s="261"/>
    </row>
    <row r="10" spans="1:80" s="2367" customFormat="1" ht="12.75" customHeight="1" x14ac:dyDescent="0.35">
      <c r="A10" s="2942">
        <v>1</v>
      </c>
      <c r="B10" s="2488">
        <f>YEAR(E1)</f>
        <v>2020</v>
      </c>
      <c r="C10" s="2489">
        <v>0</v>
      </c>
      <c r="D10" s="2490">
        <f>IF(BS10=0,"",SUM(BS10))</f>
        <v>1.1111111111111112E-2</v>
      </c>
      <c r="E10" s="2491" t="str">
        <f>IF(DATE($B$10,E$5,E$6)&gt;=DATE($B$10,$BI$8,$BI$9),"X","")</f>
        <v>X</v>
      </c>
      <c r="F10" s="2492" t="str">
        <f t="shared" ref="F10:BD10" si="1">IF(DATE($B$10,F$5,F$6)&gt;=DATE($B$10,$BI$8,$BI$9),"X","")</f>
        <v>X</v>
      </c>
      <c r="G10" s="2493" t="str">
        <f t="shared" si="1"/>
        <v>X</v>
      </c>
      <c r="H10" s="2493" t="str">
        <f t="shared" si="1"/>
        <v>X</v>
      </c>
      <c r="I10" s="2494" t="str">
        <f t="shared" si="1"/>
        <v>X</v>
      </c>
      <c r="J10" s="2495" t="str">
        <f t="shared" si="1"/>
        <v>X</v>
      </c>
      <c r="K10" s="2493" t="str">
        <f t="shared" si="1"/>
        <v>X</v>
      </c>
      <c r="L10" s="2493" t="str">
        <f t="shared" si="1"/>
        <v>X</v>
      </c>
      <c r="M10" s="2494" t="str">
        <f t="shared" si="1"/>
        <v>X</v>
      </c>
      <c r="N10" s="2496" t="str">
        <f t="shared" si="1"/>
        <v>X</v>
      </c>
      <c r="O10" s="2493" t="str">
        <f t="shared" si="1"/>
        <v>X</v>
      </c>
      <c r="P10" s="2493" t="str">
        <f>IF(DATE($B$10,P$5,P$6)&gt;=DATE($B$10,$BI$8,$BI$9),"X","")</f>
        <v>X</v>
      </c>
      <c r="Q10" s="2494" t="str">
        <f t="shared" si="1"/>
        <v>X</v>
      </c>
      <c r="R10" s="2495" t="str">
        <f t="shared" si="1"/>
        <v>X</v>
      </c>
      <c r="S10" s="2493" t="str">
        <f t="shared" si="1"/>
        <v>X</v>
      </c>
      <c r="T10" s="2493" t="str">
        <f t="shared" si="1"/>
        <v>X</v>
      </c>
      <c r="U10" s="2494" t="str">
        <f t="shared" si="1"/>
        <v>X</v>
      </c>
      <c r="V10" s="2497" t="str">
        <f t="shared" si="1"/>
        <v>X</v>
      </c>
      <c r="W10" s="2493" t="str">
        <f t="shared" si="1"/>
        <v>X</v>
      </c>
      <c r="X10" s="2493" t="str">
        <f t="shared" si="1"/>
        <v>X</v>
      </c>
      <c r="Y10" s="2493" t="str">
        <f t="shared" si="1"/>
        <v>X</v>
      </c>
      <c r="Z10" s="2493" t="str">
        <f t="shared" si="1"/>
        <v>X</v>
      </c>
      <c r="AA10" s="2494" t="str">
        <f t="shared" si="1"/>
        <v>X</v>
      </c>
      <c r="AB10" s="2497" t="str">
        <f t="shared" si="1"/>
        <v>X</v>
      </c>
      <c r="AC10" s="2493" t="str">
        <f t="shared" si="1"/>
        <v>X</v>
      </c>
      <c r="AD10" s="2493" t="str">
        <f t="shared" si="1"/>
        <v>X</v>
      </c>
      <c r="AE10" s="2494" t="str">
        <f t="shared" si="1"/>
        <v>X</v>
      </c>
      <c r="AF10" s="2497" t="str">
        <f t="shared" si="1"/>
        <v>X</v>
      </c>
      <c r="AG10" s="2493" t="str">
        <f t="shared" si="1"/>
        <v>X</v>
      </c>
      <c r="AH10" s="2493" t="str">
        <f t="shared" si="1"/>
        <v>X</v>
      </c>
      <c r="AI10" s="2494" t="str">
        <f t="shared" si="1"/>
        <v>X</v>
      </c>
      <c r="AJ10" s="2497" t="str">
        <f t="shared" si="1"/>
        <v>X</v>
      </c>
      <c r="AK10" s="2493" t="str">
        <f t="shared" si="1"/>
        <v>X</v>
      </c>
      <c r="AL10" s="2493" t="str">
        <f t="shared" si="1"/>
        <v>X</v>
      </c>
      <c r="AM10" s="2493" t="str">
        <f t="shared" si="1"/>
        <v>X</v>
      </c>
      <c r="AN10" s="2494" t="str">
        <f t="shared" si="1"/>
        <v>X</v>
      </c>
      <c r="AO10" s="2497" t="str">
        <f t="shared" si="1"/>
        <v>X</v>
      </c>
      <c r="AP10" s="2493" t="str">
        <f t="shared" si="1"/>
        <v>X</v>
      </c>
      <c r="AQ10" s="2493" t="str">
        <f t="shared" si="1"/>
        <v>X</v>
      </c>
      <c r="AR10" s="2494" t="str">
        <f t="shared" si="1"/>
        <v>X</v>
      </c>
      <c r="AS10" s="2497" t="str">
        <f t="shared" si="1"/>
        <v>X</v>
      </c>
      <c r="AT10" s="2493" t="str">
        <f t="shared" si="1"/>
        <v>X</v>
      </c>
      <c r="AU10" s="2493" t="str">
        <f t="shared" si="1"/>
        <v>X</v>
      </c>
      <c r="AV10" s="2494" t="str">
        <f t="shared" si="1"/>
        <v>X</v>
      </c>
      <c r="AW10" s="2497" t="str">
        <f t="shared" si="1"/>
        <v>X</v>
      </c>
      <c r="AX10" s="2493" t="str">
        <f t="shared" si="1"/>
        <v>X</v>
      </c>
      <c r="AY10" s="2493" t="str">
        <f t="shared" si="1"/>
        <v>X</v>
      </c>
      <c r="AZ10" s="2494" t="str">
        <f t="shared" si="1"/>
        <v>X</v>
      </c>
      <c r="BA10" s="2493" t="str">
        <f t="shared" si="1"/>
        <v>X</v>
      </c>
      <c r="BB10" s="2493" t="str">
        <f t="shared" si="1"/>
        <v>X</v>
      </c>
      <c r="BC10" s="2493" t="str">
        <f t="shared" si="1"/>
        <v>X</v>
      </c>
      <c r="BD10" s="2494" t="str">
        <f t="shared" si="1"/>
        <v>X</v>
      </c>
      <c r="BE10" s="2951" t="s">
        <v>6</v>
      </c>
      <c r="BF10" s="2748"/>
      <c r="BG10" s="2749"/>
      <c r="BH10" s="2750"/>
      <c r="BI10" s="2498">
        <f>DATE(YEAR($E$1),MONTH($E$1),DAY($E$1))</f>
        <v>43831</v>
      </c>
      <c r="BJ10" s="2498"/>
      <c r="BK10" s="2499">
        <f>YEAR(BI10)</f>
        <v>2020</v>
      </c>
      <c r="BL10" s="2499"/>
      <c r="BM10" s="2499"/>
      <c r="BN10" s="2367">
        <f>C10</f>
        <v>0</v>
      </c>
      <c r="BO10" s="2500" t="str">
        <f>MONTH($C$2)&amp;"/"&amp;DAY($C$2)&amp;"/"&amp;B10</f>
        <v>1/0/2020</v>
      </c>
      <c r="BP10" s="2501">
        <f t="shared" ref="BP10:BP73" si="2">COUNTIF(E10:BD10,"X")</f>
        <v>52</v>
      </c>
      <c r="BQ10" s="2367">
        <v>52</v>
      </c>
      <c r="BR10" s="2502">
        <f t="shared" ref="BR10:BR73" si="3">BQ10/$BQ$100</f>
        <v>1.1111111111111112E-2</v>
      </c>
      <c r="BS10" s="2503">
        <f>(BP10/BQ10)*BR10</f>
        <v>1.1111111111111112E-2</v>
      </c>
      <c r="BT10" s="2370"/>
      <c r="BU10" s="2499"/>
      <c r="BV10" s="2504"/>
      <c r="CB10" s="2370"/>
    </row>
    <row r="11" spans="1:80" ht="13" customHeight="1" x14ac:dyDescent="0.35">
      <c r="A11" s="2943"/>
      <c r="B11" s="2505">
        <f>IF(B10="","",IF(DATEDIF(E1,$A$3,"Y")&lt;90,B10+1,""))</f>
        <v>2021</v>
      </c>
      <c r="C11" s="2506">
        <f t="shared" ref="C11:C42" si="4">IF(C10="","",IF(DATEDIF($E$1,$A$3,"Y")&lt;90,C10+1,""))</f>
        <v>1</v>
      </c>
      <c r="D11" s="2507">
        <f ca="1">IF(BS11=0,"",SUM(BS$10:BS11))</f>
        <v>2.2222222222222223E-2</v>
      </c>
      <c r="E11" s="2508" t="str">
        <f ca="1">IF(DATE($BK11,E$5,E$6)&lt;=DATE(YEAR($BE$5),MONTH($BE$5),DAY($BE$5)),"X","")</f>
        <v>X</v>
      </c>
      <c r="F11" s="2509" t="str">
        <f t="shared" ref="F11:BD15" ca="1" si="5">IF(DATE($BK11,F$5,F$6)&lt;=DATE(YEAR($BE$5),MONTH($BE$5),DAY($BE$5)),"X","")</f>
        <v>X</v>
      </c>
      <c r="G11" s="2510" t="str">
        <f t="shared" ca="1" si="5"/>
        <v>X</v>
      </c>
      <c r="H11" s="2510" t="str">
        <f t="shared" ca="1" si="5"/>
        <v>X</v>
      </c>
      <c r="I11" s="2511" t="str">
        <f t="shared" ca="1" si="5"/>
        <v>X</v>
      </c>
      <c r="J11" s="2512" t="str">
        <f t="shared" ca="1" si="5"/>
        <v>X</v>
      </c>
      <c r="K11" s="2510" t="str">
        <f t="shared" ca="1" si="5"/>
        <v>X</v>
      </c>
      <c r="L11" s="2510" t="str">
        <f t="shared" ca="1" si="5"/>
        <v>X</v>
      </c>
      <c r="M11" s="2511" t="str">
        <f t="shared" ca="1" si="5"/>
        <v>X</v>
      </c>
      <c r="N11" s="2496" t="str">
        <f t="shared" ca="1" si="5"/>
        <v>X</v>
      </c>
      <c r="O11" s="2510" t="str">
        <f t="shared" ca="1" si="5"/>
        <v>X</v>
      </c>
      <c r="P11" s="2510" t="str">
        <f t="shared" ca="1" si="5"/>
        <v>X</v>
      </c>
      <c r="Q11" s="2511" t="str">
        <f t="shared" ca="1" si="5"/>
        <v>X</v>
      </c>
      <c r="R11" s="2513" t="str">
        <f t="shared" ca="1" si="5"/>
        <v>X</v>
      </c>
      <c r="S11" s="2510" t="str">
        <f t="shared" ca="1" si="5"/>
        <v>X</v>
      </c>
      <c r="T11" s="2510" t="str">
        <f t="shared" ca="1" si="5"/>
        <v>X</v>
      </c>
      <c r="U11" s="2511" t="str">
        <f t="shared" ca="1" si="5"/>
        <v>X</v>
      </c>
      <c r="V11" s="2513" t="str">
        <f t="shared" ca="1" si="5"/>
        <v>X</v>
      </c>
      <c r="W11" s="2510" t="str">
        <f t="shared" ca="1" si="5"/>
        <v>X</v>
      </c>
      <c r="X11" s="2510" t="str">
        <f t="shared" ca="1" si="5"/>
        <v>X</v>
      </c>
      <c r="Y11" s="2510" t="str">
        <f t="shared" ca="1" si="5"/>
        <v>X</v>
      </c>
      <c r="Z11" s="2510" t="str">
        <f t="shared" ca="1" si="5"/>
        <v>X</v>
      </c>
      <c r="AA11" s="2511" t="str">
        <f t="shared" ca="1" si="5"/>
        <v>X</v>
      </c>
      <c r="AB11" s="2513" t="str">
        <f t="shared" ca="1" si="5"/>
        <v>X</v>
      </c>
      <c r="AC11" s="2510" t="str">
        <f t="shared" ca="1" si="5"/>
        <v>X</v>
      </c>
      <c r="AD11" s="2510" t="str">
        <f t="shared" ca="1" si="5"/>
        <v>X</v>
      </c>
      <c r="AE11" s="2511" t="str">
        <f t="shared" ca="1" si="5"/>
        <v>X</v>
      </c>
      <c r="AF11" s="2513" t="str">
        <f t="shared" ca="1" si="5"/>
        <v>X</v>
      </c>
      <c r="AG11" s="2510" t="str">
        <f t="shared" ca="1" si="5"/>
        <v>X</v>
      </c>
      <c r="AH11" s="2510" t="str">
        <f t="shared" ca="1" si="5"/>
        <v>X</v>
      </c>
      <c r="AI11" s="2511" t="str">
        <f t="shared" ca="1" si="5"/>
        <v>X</v>
      </c>
      <c r="AJ11" s="2513" t="str">
        <f t="shared" ca="1" si="5"/>
        <v>X</v>
      </c>
      <c r="AK11" s="2510" t="str">
        <f t="shared" ca="1" si="5"/>
        <v>X</v>
      </c>
      <c r="AL11" s="2510" t="str">
        <f t="shared" ca="1" si="5"/>
        <v>X</v>
      </c>
      <c r="AM11" s="2510" t="str">
        <f t="shared" ca="1" si="5"/>
        <v>X</v>
      </c>
      <c r="AN11" s="2511" t="str">
        <f t="shared" ca="1" si="5"/>
        <v>X</v>
      </c>
      <c r="AO11" s="2513" t="str">
        <f t="shared" ca="1" si="5"/>
        <v>X</v>
      </c>
      <c r="AP11" s="2510" t="str">
        <f t="shared" ca="1" si="5"/>
        <v>X</v>
      </c>
      <c r="AQ11" s="2510" t="str">
        <f t="shared" ca="1" si="5"/>
        <v>X</v>
      </c>
      <c r="AR11" s="2511" t="str">
        <f t="shared" ca="1" si="5"/>
        <v>X</v>
      </c>
      <c r="AS11" s="2513" t="str">
        <f t="shared" ca="1" si="5"/>
        <v>X</v>
      </c>
      <c r="AT11" s="2510" t="str">
        <f t="shared" ca="1" si="5"/>
        <v>X</v>
      </c>
      <c r="AU11" s="2510" t="str">
        <f t="shared" ca="1" si="5"/>
        <v>X</v>
      </c>
      <c r="AV11" s="2511" t="str">
        <f t="shared" ca="1" si="5"/>
        <v>X</v>
      </c>
      <c r="AW11" s="2513" t="str">
        <f t="shared" ca="1" si="5"/>
        <v>X</v>
      </c>
      <c r="AX11" s="2510" t="str">
        <f t="shared" ca="1" si="5"/>
        <v>X</v>
      </c>
      <c r="AY11" s="2510" t="str">
        <f t="shared" ca="1" si="5"/>
        <v>X</v>
      </c>
      <c r="AZ11" s="2511" t="str">
        <f t="shared" ca="1" si="5"/>
        <v>X</v>
      </c>
      <c r="BA11" s="2510" t="str">
        <f t="shared" ca="1" si="5"/>
        <v>X</v>
      </c>
      <c r="BB11" s="2510" t="str">
        <f t="shared" ca="1" si="5"/>
        <v>X</v>
      </c>
      <c r="BC11" s="2510" t="str">
        <f t="shared" ca="1" si="5"/>
        <v>X</v>
      </c>
      <c r="BD11" s="2511" t="str">
        <f t="shared" ca="1" si="5"/>
        <v>X</v>
      </c>
      <c r="BE11" s="2952"/>
      <c r="BF11" s="2751"/>
      <c r="BG11" s="2751"/>
      <c r="BH11" s="2751"/>
      <c r="BI11" s="2514">
        <f>DATE(YEAR($E$1)+BJ11,MONTH($E$1),DAY($E$1))</f>
        <v>44197</v>
      </c>
      <c r="BJ11" s="2515">
        <f>1</f>
        <v>1</v>
      </c>
      <c r="BK11" s="2499">
        <f t="shared" ref="BK11:BK74" si="6">YEAR(BI11)</f>
        <v>2021</v>
      </c>
      <c r="BL11" s="2368" t="s">
        <v>73</v>
      </c>
      <c r="BM11" s="2368">
        <f>MONTH(BL11&amp;2)</f>
        <v>1</v>
      </c>
      <c r="BN11" s="2367">
        <f t="shared" ref="BN11:BN74" si="7">C11</f>
        <v>1</v>
      </c>
      <c r="BO11" s="2500" t="str">
        <f t="shared" ref="BO11:BO74" si="8">MONTH($C$2)&amp;"/"&amp;DAY($C$2)&amp;"/"&amp;B11</f>
        <v>1/0/2021</v>
      </c>
      <c r="BP11" s="2501">
        <f t="shared" ca="1" si="2"/>
        <v>52</v>
      </c>
      <c r="BQ11" s="2367">
        <v>52</v>
      </c>
      <c r="BR11" s="2502">
        <f t="shared" si="3"/>
        <v>1.1111111111111112E-2</v>
      </c>
      <c r="BS11" s="2503">
        <f t="shared" ref="BS11:BS74" ca="1" si="9">(BP11/BQ11)*BR11</f>
        <v>1.1111111111111112E-2</v>
      </c>
      <c r="BT11" s="261"/>
      <c r="CB11" s="2370"/>
    </row>
    <row r="12" spans="1:80" ht="13" customHeight="1" x14ac:dyDescent="0.35">
      <c r="A12" s="2943"/>
      <c r="B12" s="2505">
        <f t="shared" ref="B12:B43" si="10">IF(B11="","",IF(DATEDIF($E$1,$A$3,"Y")&lt;90,B11+1,""))</f>
        <v>2022</v>
      </c>
      <c r="C12" s="2506">
        <f t="shared" si="4"/>
        <v>2</v>
      </c>
      <c r="D12" s="2507">
        <f ca="1">IF(BS12=0,"",SUM(BS$10:BS12))</f>
        <v>3.3333333333333333E-2</v>
      </c>
      <c r="E12" s="2508" t="str">
        <f t="shared" ref="E12:T31" ca="1" si="11">IF(DATE($BK12,E$5,E$6)&lt;=DATE(YEAR($BE$5),MONTH($BE$5),DAY($BE$5)),"X","")</f>
        <v>X</v>
      </c>
      <c r="F12" s="2509" t="str">
        <f t="shared" ca="1" si="5"/>
        <v>X</v>
      </c>
      <c r="G12" s="2510" t="str">
        <f t="shared" ca="1" si="5"/>
        <v>X</v>
      </c>
      <c r="H12" s="2510" t="str">
        <f t="shared" ca="1" si="5"/>
        <v>X</v>
      </c>
      <c r="I12" s="2511" t="str">
        <f t="shared" ca="1" si="5"/>
        <v>X</v>
      </c>
      <c r="J12" s="2512" t="str">
        <f t="shared" ca="1" si="5"/>
        <v>X</v>
      </c>
      <c r="K12" s="2510" t="str">
        <f t="shared" ca="1" si="5"/>
        <v>X</v>
      </c>
      <c r="L12" s="2510" t="str">
        <f t="shared" ca="1" si="5"/>
        <v>X</v>
      </c>
      <c r="M12" s="2511" t="str">
        <f t="shared" ca="1" si="5"/>
        <v>X</v>
      </c>
      <c r="N12" s="2496" t="str">
        <f t="shared" ca="1" si="5"/>
        <v>X</v>
      </c>
      <c r="O12" s="2510" t="str">
        <f t="shared" ca="1" si="5"/>
        <v>X</v>
      </c>
      <c r="P12" s="2510" t="str">
        <f t="shared" ca="1" si="5"/>
        <v>X</v>
      </c>
      <c r="Q12" s="2511" t="str">
        <f t="shared" ca="1" si="5"/>
        <v>X</v>
      </c>
      <c r="R12" s="2513" t="str">
        <f t="shared" ca="1" si="5"/>
        <v>X</v>
      </c>
      <c r="S12" s="2510" t="str">
        <f t="shared" ca="1" si="5"/>
        <v>X</v>
      </c>
      <c r="T12" s="2510" t="str">
        <f t="shared" ca="1" si="5"/>
        <v>X</v>
      </c>
      <c r="U12" s="2511" t="str">
        <f t="shared" ca="1" si="5"/>
        <v>X</v>
      </c>
      <c r="V12" s="2513" t="str">
        <f t="shared" ca="1" si="5"/>
        <v>X</v>
      </c>
      <c r="W12" s="2510" t="str">
        <f t="shared" ca="1" si="5"/>
        <v>X</v>
      </c>
      <c r="X12" s="2510" t="str">
        <f t="shared" ca="1" si="5"/>
        <v>X</v>
      </c>
      <c r="Y12" s="2510" t="str">
        <f t="shared" ca="1" si="5"/>
        <v>X</v>
      </c>
      <c r="Z12" s="2510" t="str">
        <f t="shared" ca="1" si="5"/>
        <v>X</v>
      </c>
      <c r="AA12" s="2511" t="str">
        <f t="shared" ca="1" si="5"/>
        <v>X</v>
      </c>
      <c r="AB12" s="2513" t="str">
        <f t="shared" ca="1" si="5"/>
        <v>X</v>
      </c>
      <c r="AC12" s="2510" t="str">
        <f t="shared" ca="1" si="5"/>
        <v>X</v>
      </c>
      <c r="AD12" s="2510" t="str">
        <f t="shared" ca="1" si="5"/>
        <v>X</v>
      </c>
      <c r="AE12" s="2511" t="str">
        <f t="shared" ca="1" si="5"/>
        <v>X</v>
      </c>
      <c r="AF12" s="2513" t="str">
        <f t="shared" ca="1" si="5"/>
        <v>X</v>
      </c>
      <c r="AG12" s="2510" t="str">
        <f t="shared" ca="1" si="5"/>
        <v>X</v>
      </c>
      <c r="AH12" s="2510" t="str">
        <f t="shared" ca="1" si="5"/>
        <v>X</v>
      </c>
      <c r="AI12" s="2511" t="str">
        <f t="shared" ca="1" si="5"/>
        <v>X</v>
      </c>
      <c r="AJ12" s="2513" t="str">
        <f t="shared" ca="1" si="5"/>
        <v>X</v>
      </c>
      <c r="AK12" s="2510" t="str">
        <f t="shared" ca="1" si="5"/>
        <v>X</v>
      </c>
      <c r="AL12" s="2510" t="str">
        <f t="shared" ca="1" si="5"/>
        <v>X</v>
      </c>
      <c r="AM12" s="2510" t="str">
        <f t="shared" ca="1" si="5"/>
        <v>X</v>
      </c>
      <c r="AN12" s="2511" t="str">
        <f t="shared" ca="1" si="5"/>
        <v>X</v>
      </c>
      <c r="AO12" s="2513" t="str">
        <f t="shared" ca="1" si="5"/>
        <v>X</v>
      </c>
      <c r="AP12" s="2510" t="str">
        <f t="shared" ca="1" si="5"/>
        <v>X</v>
      </c>
      <c r="AQ12" s="2510" t="str">
        <f t="shared" ca="1" si="5"/>
        <v>X</v>
      </c>
      <c r="AR12" s="2511" t="str">
        <f t="shared" ca="1" si="5"/>
        <v>X</v>
      </c>
      <c r="AS12" s="2513" t="str">
        <f t="shared" ca="1" si="5"/>
        <v>X</v>
      </c>
      <c r="AT12" s="2510" t="str">
        <f t="shared" ca="1" si="5"/>
        <v>X</v>
      </c>
      <c r="AU12" s="2510" t="str">
        <f t="shared" ca="1" si="5"/>
        <v>X</v>
      </c>
      <c r="AV12" s="2511" t="str">
        <f t="shared" ca="1" si="5"/>
        <v>X</v>
      </c>
      <c r="AW12" s="2513" t="str">
        <f t="shared" ca="1" si="5"/>
        <v>X</v>
      </c>
      <c r="AX12" s="2510" t="str">
        <f t="shared" ca="1" si="5"/>
        <v>X</v>
      </c>
      <c r="AY12" s="2510" t="str">
        <f t="shared" ca="1" si="5"/>
        <v>X</v>
      </c>
      <c r="AZ12" s="2511" t="str">
        <f t="shared" ca="1" si="5"/>
        <v>X</v>
      </c>
      <c r="BA12" s="2510" t="str">
        <f t="shared" ca="1" si="5"/>
        <v>X</v>
      </c>
      <c r="BB12" s="2510" t="str">
        <f t="shared" ca="1" si="5"/>
        <v>X</v>
      </c>
      <c r="BC12" s="2510" t="str">
        <f t="shared" ca="1" si="5"/>
        <v>X</v>
      </c>
      <c r="BD12" s="2511" t="str">
        <f t="shared" ca="1" si="5"/>
        <v>X</v>
      </c>
      <c r="BE12" s="2952"/>
      <c r="BF12" s="2751"/>
      <c r="BG12" s="2751"/>
      <c r="BH12" s="2751"/>
      <c r="BI12" s="2514">
        <f>DATE(YEAR($E$1)+BJ12,MONTH($E$1),DAY($E$1))</f>
        <v>44562</v>
      </c>
      <c r="BJ12" s="2516">
        <f>BJ11+1</f>
        <v>2</v>
      </c>
      <c r="BK12" s="2499">
        <f t="shared" si="6"/>
        <v>2022</v>
      </c>
      <c r="BL12" s="2368" t="s">
        <v>86</v>
      </c>
      <c r="BM12" s="2368">
        <f>MONTH(BL12&amp;2)</f>
        <v>2</v>
      </c>
      <c r="BN12" s="2367">
        <f t="shared" si="7"/>
        <v>2</v>
      </c>
      <c r="BO12" s="2500" t="str">
        <f t="shared" si="8"/>
        <v>1/0/2022</v>
      </c>
      <c r="BP12" s="2501">
        <f t="shared" ca="1" si="2"/>
        <v>52</v>
      </c>
      <c r="BQ12" s="2367">
        <v>52</v>
      </c>
      <c r="BR12" s="2502">
        <f t="shared" si="3"/>
        <v>1.1111111111111112E-2</v>
      </c>
      <c r="BS12" s="2503">
        <f t="shared" ca="1" si="9"/>
        <v>1.1111111111111112E-2</v>
      </c>
      <c r="BT12" s="261"/>
      <c r="CB12" s="2370"/>
    </row>
    <row r="13" spans="1:80" ht="13" customHeight="1" x14ac:dyDescent="0.35">
      <c r="A13" s="2943"/>
      <c r="B13" s="2505">
        <f t="shared" si="10"/>
        <v>2023</v>
      </c>
      <c r="C13" s="2506">
        <f t="shared" si="4"/>
        <v>3</v>
      </c>
      <c r="D13" s="2507">
        <f ca="1">IF(BS13=0,"",SUM(BS$10:BS13))</f>
        <v>4.1025641025641026E-2</v>
      </c>
      <c r="E13" s="2508" t="str">
        <f t="shared" ca="1" si="11"/>
        <v>X</v>
      </c>
      <c r="F13" s="2509" t="str">
        <f t="shared" ca="1" si="5"/>
        <v>X</v>
      </c>
      <c r="G13" s="2510" t="str">
        <f t="shared" ca="1" si="5"/>
        <v>X</v>
      </c>
      <c r="H13" s="2510" t="str">
        <f t="shared" ca="1" si="5"/>
        <v>X</v>
      </c>
      <c r="I13" s="2511" t="str">
        <f t="shared" ca="1" si="5"/>
        <v>X</v>
      </c>
      <c r="J13" s="2512" t="str">
        <f t="shared" ca="1" si="5"/>
        <v>X</v>
      </c>
      <c r="K13" s="2510" t="str">
        <f t="shared" ca="1" si="5"/>
        <v>X</v>
      </c>
      <c r="L13" s="2510" t="str">
        <f t="shared" ca="1" si="5"/>
        <v>X</v>
      </c>
      <c r="M13" s="2511" t="str">
        <f t="shared" ca="1" si="5"/>
        <v>X</v>
      </c>
      <c r="N13" s="2496" t="str">
        <f t="shared" ca="1" si="5"/>
        <v>X</v>
      </c>
      <c r="O13" s="2510" t="str">
        <f t="shared" ca="1" si="5"/>
        <v>X</v>
      </c>
      <c r="P13" s="2510" t="str">
        <f t="shared" ca="1" si="5"/>
        <v>X</v>
      </c>
      <c r="Q13" s="2511" t="str">
        <f t="shared" ca="1" si="5"/>
        <v>X</v>
      </c>
      <c r="R13" s="2513" t="str">
        <f t="shared" ca="1" si="5"/>
        <v>X</v>
      </c>
      <c r="S13" s="2510" t="str">
        <f t="shared" ca="1" si="5"/>
        <v>X</v>
      </c>
      <c r="T13" s="2510" t="str">
        <f t="shared" ca="1" si="5"/>
        <v>X</v>
      </c>
      <c r="U13" s="2511" t="str">
        <f t="shared" ca="1" si="5"/>
        <v>X</v>
      </c>
      <c r="V13" s="2513" t="str">
        <f t="shared" ca="1" si="5"/>
        <v>X</v>
      </c>
      <c r="W13" s="2510" t="str">
        <f t="shared" ca="1" si="5"/>
        <v>X</v>
      </c>
      <c r="X13" s="2510" t="str">
        <f t="shared" ca="1" si="5"/>
        <v>X</v>
      </c>
      <c r="Y13" s="2510" t="str">
        <f t="shared" ca="1" si="5"/>
        <v>X</v>
      </c>
      <c r="Z13" s="2510" t="str">
        <f t="shared" ca="1" si="5"/>
        <v>X</v>
      </c>
      <c r="AA13" s="2511" t="str">
        <f t="shared" ca="1" si="5"/>
        <v>X</v>
      </c>
      <c r="AB13" s="2513" t="str">
        <f t="shared" ca="1" si="5"/>
        <v>X</v>
      </c>
      <c r="AC13" s="2510" t="str">
        <f t="shared" ca="1" si="5"/>
        <v>X</v>
      </c>
      <c r="AD13" s="2510" t="str">
        <f t="shared" ca="1" si="5"/>
        <v>X</v>
      </c>
      <c r="AE13" s="2511" t="str">
        <f t="shared" ca="1" si="5"/>
        <v>X</v>
      </c>
      <c r="AF13" s="2513" t="str">
        <f t="shared" ca="1" si="5"/>
        <v>X</v>
      </c>
      <c r="AG13" s="2510" t="str">
        <f t="shared" ca="1" si="5"/>
        <v>X</v>
      </c>
      <c r="AH13" s="2510" t="str">
        <f t="shared" ca="1" si="5"/>
        <v>X</v>
      </c>
      <c r="AI13" s="2511" t="str">
        <f t="shared" ca="1" si="5"/>
        <v>X</v>
      </c>
      <c r="AJ13" s="2513" t="str">
        <f t="shared" ca="1" si="5"/>
        <v>X</v>
      </c>
      <c r="AK13" s="2510" t="str">
        <f t="shared" ca="1" si="5"/>
        <v>X</v>
      </c>
      <c r="AL13" s="2510" t="str">
        <f t="shared" ca="1" si="5"/>
        <v>X</v>
      </c>
      <c r="AM13" s="2510" t="str">
        <f t="shared" ca="1" si="5"/>
        <v>X</v>
      </c>
      <c r="AN13" s="2511" t="str">
        <f t="shared" ca="1" si="5"/>
        <v>X</v>
      </c>
      <c r="AO13" s="2513" t="str">
        <f t="shared" ca="1" si="5"/>
        <v/>
      </c>
      <c r="AP13" s="2510" t="str">
        <f t="shared" ca="1" si="5"/>
        <v/>
      </c>
      <c r="AQ13" s="2510" t="str">
        <f t="shared" ca="1" si="5"/>
        <v/>
      </c>
      <c r="AR13" s="2511" t="str">
        <f t="shared" ca="1" si="5"/>
        <v/>
      </c>
      <c r="AS13" s="2513" t="str">
        <f t="shared" ca="1" si="5"/>
        <v/>
      </c>
      <c r="AT13" s="2510" t="str">
        <f t="shared" ca="1" si="5"/>
        <v/>
      </c>
      <c r="AU13" s="2510" t="str">
        <f t="shared" ca="1" si="5"/>
        <v/>
      </c>
      <c r="AV13" s="2511" t="str">
        <f t="shared" ca="1" si="5"/>
        <v/>
      </c>
      <c r="AW13" s="2513" t="str">
        <f t="shared" ca="1" si="5"/>
        <v/>
      </c>
      <c r="AX13" s="2510" t="str">
        <f t="shared" ca="1" si="5"/>
        <v/>
      </c>
      <c r="AY13" s="2510" t="str">
        <f t="shared" ca="1" si="5"/>
        <v/>
      </c>
      <c r="AZ13" s="2511" t="str">
        <f t="shared" ca="1" si="5"/>
        <v/>
      </c>
      <c r="BA13" s="2510" t="str">
        <f t="shared" ca="1" si="5"/>
        <v/>
      </c>
      <c r="BB13" s="2510" t="str">
        <f t="shared" ca="1" si="5"/>
        <v/>
      </c>
      <c r="BC13" s="2510" t="str">
        <f t="shared" ca="1" si="5"/>
        <v/>
      </c>
      <c r="BD13" s="2511" t="str">
        <f t="shared" ca="1" si="5"/>
        <v/>
      </c>
      <c r="BE13" s="2952"/>
      <c r="BF13" s="2751"/>
      <c r="BG13" s="2751"/>
      <c r="BH13" s="2751"/>
      <c r="BI13" s="2514">
        <f t="shared" ref="BI13:BI75" si="12">DATE(YEAR($E$1)+BJ13,MONTH($E$1),DAY($E$1))</f>
        <v>44927</v>
      </c>
      <c r="BJ13" s="2516">
        <f t="shared" ref="BJ13:BJ76" si="13">BJ12+1</f>
        <v>3</v>
      </c>
      <c r="BK13" s="2499">
        <f t="shared" si="6"/>
        <v>2023</v>
      </c>
      <c r="BL13" s="2368" t="s">
        <v>749</v>
      </c>
      <c r="BM13" s="2368">
        <f t="shared" ref="BM13:BM22" si="14">MONTH(BL13&amp;1)</f>
        <v>3</v>
      </c>
      <c r="BN13" s="2367">
        <f t="shared" si="7"/>
        <v>3</v>
      </c>
      <c r="BO13" s="2500" t="str">
        <f t="shared" si="8"/>
        <v>1/0/2023</v>
      </c>
      <c r="BP13" s="2501">
        <f t="shared" ca="1" si="2"/>
        <v>36</v>
      </c>
      <c r="BQ13" s="2367">
        <v>52</v>
      </c>
      <c r="BR13" s="2502">
        <f t="shared" si="3"/>
        <v>1.1111111111111112E-2</v>
      </c>
      <c r="BS13" s="2503">
        <f t="shared" ca="1" si="9"/>
        <v>7.6923076923076927E-3</v>
      </c>
      <c r="BT13"/>
      <c r="CB13" s="2370"/>
    </row>
    <row r="14" spans="1:80" ht="13" customHeight="1" x14ac:dyDescent="0.35">
      <c r="A14" s="2943"/>
      <c r="B14" s="2505">
        <f t="shared" si="10"/>
        <v>2024</v>
      </c>
      <c r="C14" s="2506">
        <f t="shared" si="4"/>
        <v>4</v>
      </c>
      <c r="D14" s="2507" t="str">
        <f ca="1">IF(BS14=0,"",SUM(BS$10:BS14))</f>
        <v/>
      </c>
      <c r="E14" s="2508" t="str">
        <f t="shared" ca="1" si="11"/>
        <v/>
      </c>
      <c r="F14" s="2509" t="str">
        <f t="shared" ca="1" si="5"/>
        <v/>
      </c>
      <c r="G14" s="2510" t="str">
        <f t="shared" ca="1" si="5"/>
        <v/>
      </c>
      <c r="H14" s="2510" t="str">
        <f t="shared" ca="1" si="5"/>
        <v/>
      </c>
      <c r="I14" s="2511" t="str">
        <f t="shared" ca="1" si="5"/>
        <v/>
      </c>
      <c r="J14" s="2512" t="str">
        <f t="shared" ca="1" si="5"/>
        <v/>
      </c>
      <c r="K14" s="2510" t="str">
        <f t="shared" ca="1" si="5"/>
        <v/>
      </c>
      <c r="L14" s="2510" t="str">
        <f t="shared" ca="1" si="5"/>
        <v/>
      </c>
      <c r="M14" s="2511" t="str">
        <f t="shared" ca="1" si="5"/>
        <v/>
      </c>
      <c r="N14" s="2496" t="str">
        <f t="shared" ca="1" si="5"/>
        <v/>
      </c>
      <c r="O14" s="2510" t="str">
        <f t="shared" ca="1" si="5"/>
        <v/>
      </c>
      <c r="P14" s="2510" t="str">
        <f t="shared" ca="1" si="5"/>
        <v/>
      </c>
      <c r="Q14" s="2511" t="str">
        <f t="shared" ca="1" si="5"/>
        <v/>
      </c>
      <c r="R14" s="2513" t="str">
        <f t="shared" ca="1" si="5"/>
        <v/>
      </c>
      <c r="S14" s="2510" t="str">
        <f t="shared" ca="1" si="5"/>
        <v/>
      </c>
      <c r="T14" s="2510" t="str">
        <f t="shared" ca="1" si="5"/>
        <v/>
      </c>
      <c r="U14" s="2511" t="str">
        <f t="shared" ca="1" si="5"/>
        <v/>
      </c>
      <c r="V14" s="2513" t="str">
        <f t="shared" ca="1" si="5"/>
        <v/>
      </c>
      <c r="W14" s="2510" t="str">
        <f t="shared" ca="1" si="5"/>
        <v/>
      </c>
      <c r="X14" s="2510" t="str">
        <f t="shared" ca="1" si="5"/>
        <v/>
      </c>
      <c r="Y14" s="2510" t="str">
        <f t="shared" ca="1" si="5"/>
        <v/>
      </c>
      <c r="Z14" s="2510" t="str">
        <f t="shared" ca="1" si="5"/>
        <v/>
      </c>
      <c r="AA14" s="2511" t="str">
        <f t="shared" ca="1" si="5"/>
        <v/>
      </c>
      <c r="AB14" s="2513" t="str">
        <f t="shared" ca="1" si="5"/>
        <v/>
      </c>
      <c r="AC14" s="2510" t="str">
        <f t="shared" ca="1" si="5"/>
        <v/>
      </c>
      <c r="AD14" s="2510" t="str">
        <f t="shared" ca="1" si="5"/>
        <v/>
      </c>
      <c r="AE14" s="2511" t="str">
        <f t="shared" ca="1" si="5"/>
        <v/>
      </c>
      <c r="AF14" s="2513" t="str">
        <f t="shared" ca="1" si="5"/>
        <v/>
      </c>
      <c r="AG14" s="2510" t="str">
        <f t="shared" ca="1" si="5"/>
        <v/>
      </c>
      <c r="AH14" s="2510" t="str">
        <f t="shared" ca="1" si="5"/>
        <v/>
      </c>
      <c r="AI14" s="2511" t="str">
        <f t="shared" ca="1" si="5"/>
        <v/>
      </c>
      <c r="AJ14" s="2513" t="str">
        <f t="shared" ca="1" si="5"/>
        <v/>
      </c>
      <c r="AK14" s="2510" t="str">
        <f t="shared" ca="1" si="5"/>
        <v/>
      </c>
      <c r="AL14" s="2510" t="str">
        <f t="shared" ca="1" si="5"/>
        <v/>
      </c>
      <c r="AM14" s="2510" t="str">
        <f t="shared" ca="1" si="5"/>
        <v/>
      </c>
      <c r="AN14" s="2511" t="str">
        <f t="shared" ca="1" si="5"/>
        <v/>
      </c>
      <c r="AO14" s="2513" t="str">
        <f t="shared" ca="1" si="5"/>
        <v/>
      </c>
      <c r="AP14" s="2510" t="str">
        <f t="shared" ca="1" si="5"/>
        <v/>
      </c>
      <c r="AQ14" s="2510" t="str">
        <f t="shared" ca="1" si="5"/>
        <v/>
      </c>
      <c r="AR14" s="2511" t="str">
        <f t="shared" ca="1" si="5"/>
        <v/>
      </c>
      <c r="AS14" s="2513" t="str">
        <f t="shared" ca="1" si="5"/>
        <v/>
      </c>
      <c r="AT14" s="2510" t="str">
        <f t="shared" ca="1" si="5"/>
        <v/>
      </c>
      <c r="AU14" s="2510" t="str">
        <f t="shared" ca="1" si="5"/>
        <v/>
      </c>
      <c r="AV14" s="2511" t="str">
        <f t="shared" ca="1" si="5"/>
        <v/>
      </c>
      <c r="AW14" s="2513" t="str">
        <f t="shared" ca="1" si="5"/>
        <v/>
      </c>
      <c r="AX14" s="2510" t="str">
        <f t="shared" ca="1" si="5"/>
        <v/>
      </c>
      <c r="AY14" s="2510" t="str">
        <f t="shared" ca="1" si="5"/>
        <v/>
      </c>
      <c r="AZ14" s="2511" t="str">
        <f t="shared" ca="1" si="5"/>
        <v/>
      </c>
      <c r="BA14" s="2510" t="str">
        <f t="shared" ca="1" si="5"/>
        <v/>
      </c>
      <c r="BB14" s="2510" t="str">
        <f t="shared" ca="1" si="5"/>
        <v/>
      </c>
      <c r="BC14" s="2510" t="str">
        <f t="shared" ca="1" si="5"/>
        <v/>
      </c>
      <c r="BD14" s="2511" t="str">
        <f t="shared" ca="1" si="5"/>
        <v/>
      </c>
      <c r="BE14" s="2952"/>
      <c r="BF14" s="2751"/>
      <c r="BG14" s="2751"/>
      <c r="BH14" s="2751"/>
      <c r="BI14" s="2514">
        <f t="shared" si="12"/>
        <v>45292</v>
      </c>
      <c r="BJ14" s="2516">
        <f t="shared" si="13"/>
        <v>4</v>
      </c>
      <c r="BK14" s="2499">
        <f t="shared" si="6"/>
        <v>2024</v>
      </c>
      <c r="BL14" s="2368" t="s">
        <v>750</v>
      </c>
      <c r="BM14" s="2368">
        <f t="shared" si="14"/>
        <v>4</v>
      </c>
      <c r="BN14" s="2367">
        <f t="shared" si="7"/>
        <v>4</v>
      </c>
      <c r="BO14" s="2500" t="str">
        <f t="shared" si="8"/>
        <v>1/0/2024</v>
      </c>
      <c r="BP14" s="2501">
        <f t="shared" ca="1" si="2"/>
        <v>0</v>
      </c>
      <c r="BQ14" s="2367">
        <v>52</v>
      </c>
      <c r="BR14" s="2502">
        <f t="shared" si="3"/>
        <v>1.1111111111111112E-2</v>
      </c>
      <c r="BS14" s="2503">
        <f t="shared" ca="1" si="9"/>
        <v>0</v>
      </c>
      <c r="BT14"/>
      <c r="CB14" s="2370"/>
    </row>
    <row r="15" spans="1:80" ht="13" customHeight="1" thickBot="1" x14ac:dyDescent="0.4">
      <c r="A15" s="2943"/>
      <c r="B15" s="2517">
        <f t="shared" si="10"/>
        <v>2025</v>
      </c>
      <c r="C15" s="2064">
        <f t="shared" si="4"/>
        <v>5</v>
      </c>
      <c r="D15" s="2518" t="str">
        <f ca="1">IF(BS15=0,"",SUM(BS$10:BS15))</f>
        <v/>
      </c>
      <c r="E15" s="2519" t="str">
        <f t="shared" ca="1" si="11"/>
        <v/>
      </c>
      <c r="F15" s="2520" t="str">
        <f t="shared" ca="1" si="5"/>
        <v/>
      </c>
      <c r="G15" s="2521" t="str">
        <f t="shared" ca="1" si="5"/>
        <v/>
      </c>
      <c r="H15" s="2521" t="str">
        <f t="shared" ca="1" si="5"/>
        <v/>
      </c>
      <c r="I15" s="2522" t="str">
        <f t="shared" ca="1" si="5"/>
        <v/>
      </c>
      <c r="J15" s="2523" t="str">
        <f t="shared" ca="1" si="5"/>
        <v/>
      </c>
      <c r="K15" s="2521" t="str">
        <f t="shared" ca="1" si="5"/>
        <v/>
      </c>
      <c r="L15" s="2521" t="str">
        <f t="shared" ca="1" si="5"/>
        <v/>
      </c>
      <c r="M15" s="2522" t="str">
        <f t="shared" ca="1" si="5"/>
        <v/>
      </c>
      <c r="N15" s="2524" t="str">
        <f t="shared" ca="1" si="5"/>
        <v/>
      </c>
      <c r="O15" s="2521" t="str">
        <f t="shared" ca="1" si="5"/>
        <v/>
      </c>
      <c r="P15" s="2521" t="str">
        <f t="shared" ca="1" si="5"/>
        <v/>
      </c>
      <c r="Q15" s="2522" t="str">
        <f t="shared" ca="1" si="5"/>
        <v/>
      </c>
      <c r="R15" s="2525" t="str">
        <f t="shared" ca="1" si="5"/>
        <v/>
      </c>
      <c r="S15" s="2521" t="str">
        <f t="shared" ca="1" si="5"/>
        <v/>
      </c>
      <c r="T15" s="2521" t="str">
        <f t="shared" ca="1" si="5"/>
        <v/>
      </c>
      <c r="U15" s="2522" t="str">
        <f t="shared" ca="1" si="5"/>
        <v/>
      </c>
      <c r="V15" s="2525" t="str">
        <f t="shared" ca="1" si="5"/>
        <v/>
      </c>
      <c r="W15" s="2521" t="str">
        <f t="shared" ca="1" si="5"/>
        <v/>
      </c>
      <c r="X15" s="2521" t="str">
        <f t="shared" ca="1" si="5"/>
        <v/>
      </c>
      <c r="Y15" s="2521" t="str">
        <f t="shared" ca="1" si="5"/>
        <v/>
      </c>
      <c r="Z15" s="2521" t="str">
        <f t="shared" ca="1" si="5"/>
        <v/>
      </c>
      <c r="AA15" s="2522" t="str">
        <f t="shared" ca="1" si="5"/>
        <v/>
      </c>
      <c r="AB15" s="2525" t="str">
        <f t="shared" ca="1" si="5"/>
        <v/>
      </c>
      <c r="AC15" s="2521" t="str">
        <f t="shared" ca="1" si="5"/>
        <v/>
      </c>
      <c r="AD15" s="2521" t="str">
        <f t="shared" ca="1" si="5"/>
        <v/>
      </c>
      <c r="AE15" s="2522" t="str">
        <f t="shared" ca="1" si="5"/>
        <v/>
      </c>
      <c r="AF15" s="2525" t="str">
        <f t="shared" ca="1" si="5"/>
        <v/>
      </c>
      <c r="AG15" s="2521" t="str">
        <f t="shared" ca="1" si="5"/>
        <v/>
      </c>
      <c r="AH15" s="2521" t="str">
        <f t="shared" ca="1" si="5"/>
        <v/>
      </c>
      <c r="AI15" s="2522" t="str">
        <f t="shared" ca="1" si="5"/>
        <v/>
      </c>
      <c r="AJ15" s="2525" t="str">
        <f t="shared" ca="1" si="5"/>
        <v/>
      </c>
      <c r="AK15" s="2521" t="str">
        <f t="shared" ca="1" si="5"/>
        <v/>
      </c>
      <c r="AL15" s="2521" t="str">
        <f t="shared" ca="1" si="5"/>
        <v/>
      </c>
      <c r="AM15" s="2521" t="str">
        <f t="shared" ca="1" si="5"/>
        <v/>
      </c>
      <c r="AN15" s="2522" t="str">
        <f t="shared" ca="1" si="5"/>
        <v/>
      </c>
      <c r="AO15" s="2525" t="str">
        <f t="shared" ca="1" si="5"/>
        <v/>
      </c>
      <c r="AP15" s="2521" t="str">
        <f t="shared" ca="1" si="5"/>
        <v/>
      </c>
      <c r="AQ15" s="2521" t="str">
        <f t="shared" ca="1" si="5"/>
        <v/>
      </c>
      <c r="AR15" s="2522" t="str">
        <f t="shared" ca="1" si="5"/>
        <v/>
      </c>
      <c r="AS15" s="2525" t="str">
        <f t="shared" ca="1" si="5"/>
        <v/>
      </c>
      <c r="AT15" s="2521" t="str">
        <f t="shared" ca="1" si="5"/>
        <v/>
      </c>
      <c r="AU15" s="2521" t="str">
        <f t="shared" ca="1" si="5"/>
        <v/>
      </c>
      <c r="AV15" s="2522" t="str">
        <f t="shared" ca="1" si="5"/>
        <v/>
      </c>
      <c r="AW15" s="2525" t="str">
        <f t="shared" ca="1" si="5"/>
        <v/>
      </c>
      <c r="AX15" s="2521" t="str">
        <f t="shared" ca="1" si="5"/>
        <v/>
      </c>
      <c r="AY15" s="2521" t="str">
        <f t="shared" ca="1" si="5"/>
        <v/>
      </c>
      <c r="AZ15" s="2522" t="str">
        <f t="shared" ca="1" si="5"/>
        <v/>
      </c>
      <c r="BA15" s="2521" t="str">
        <f t="shared" ca="1" si="5"/>
        <v/>
      </c>
      <c r="BB15" s="2521" t="str">
        <f t="shared" ca="1" si="5"/>
        <v/>
      </c>
      <c r="BC15" s="2521" t="str">
        <f t="shared" ca="1" si="5"/>
        <v/>
      </c>
      <c r="BD15" s="2522" t="str">
        <f t="shared" ca="1" si="5"/>
        <v/>
      </c>
      <c r="BE15" s="2953"/>
      <c r="BF15" s="2752"/>
      <c r="BG15" s="2752"/>
      <c r="BH15" s="2752"/>
      <c r="BI15" s="2514">
        <f t="shared" si="12"/>
        <v>45658</v>
      </c>
      <c r="BJ15" s="2516">
        <f t="shared" si="13"/>
        <v>5</v>
      </c>
      <c r="BK15" s="2499">
        <f t="shared" si="6"/>
        <v>2025</v>
      </c>
      <c r="BL15" s="2368" t="s">
        <v>87</v>
      </c>
      <c r="BM15" s="2368">
        <f t="shared" si="14"/>
        <v>5</v>
      </c>
      <c r="BN15" s="2367">
        <f t="shared" si="7"/>
        <v>5</v>
      </c>
      <c r="BO15" s="2500" t="str">
        <f t="shared" si="8"/>
        <v>1/0/2025</v>
      </c>
      <c r="BP15" s="2501">
        <f t="shared" ca="1" si="2"/>
        <v>0</v>
      </c>
      <c r="BQ15" s="2367">
        <v>52</v>
      </c>
      <c r="BR15" s="2502">
        <f t="shared" si="3"/>
        <v>1.1111111111111112E-2</v>
      </c>
      <c r="BS15" s="2503">
        <f t="shared" ca="1" si="9"/>
        <v>0</v>
      </c>
      <c r="BT15"/>
      <c r="CB15" s="2370"/>
    </row>
    <row r="16" spans="1:80" ht="13" customHeight="1" x14ac:dyDescent="0.35">
      <c r="A16" s="2943"/>
      <c r="B16" s="2526">
        <f t="shared" si="10"/>
        <v>2026</v>
      </c>
      <c r="C16" s="2527">
        <f t="shared" si="4"/>
        <v>6</v>
      </c>
      <c r="D16" s="2528" t="str">
        <f ca="1">IF(BS16=0,"",SUM(BS$10:BS16))</f>
        <v/>
      </c>
      <c r="E16" s="2529" t="str">
        <f t="shared" ca="1" si="11"/>
        <v/>
      </c>
      <c r="F16" s="2530" t="str">
        <f t="shared" ca="1" si="11"/>
        <v/>
      </c>
      <c r="G16" s="2531" t="str">
        <f t="shared" ca="1" si="11"/>
        <v/>
      </c>
      <c r="H16" s="2531" t="str">
        <f t="shared" ca="1" si="11"/>
        <v/>
      </c>
      <c r="I16" s="2532" t="str">
        <f t="shared" ca="1" si="11"/>
        <v/>
      </c>
      <c r="J16" s="2529" t="str">
        <f t="shared" ca="1" si="11"/>
        <v/>
      </c>
      <c r="K16" s="2531" t="str">
        <f t="shared" ca="1" si="11"/>
        <v/>
      </c>
      <c r="L16" s="2531" t="str">
        <f t="shared" ca="1" si="11"/>
        <v/>
      </c>
      <c r="M16" s="2532" t="str">
        <f t="shared" ca="1" si="11"/>
        <v/>
      </c>
      <c r="N16" s="2533" t="str">
        <f t="shared" ca="1" si="11"/>
        <v/>
      </c>
      <c r="O16" s="2531" t="str">
        <f t="shared" ca="1" si="11"/>
        <v/>
      </c>
      <c r="P16" s="2531" t="str">
        <f t="shared" ca="1" si="11"/>
        <v/>
      </c>
      <c r="Q16" s="2532" t="str">
        <f t="shared" ca="1" si="11"/>
        <v/>
      </c>
      <c r="R16" s="2534" t="str">
        <f t="shared" ca="1" si="11"/>
        <v/>
      </c>
      <c r="S16" s="2531" t="str">
        <f t="shared" ca="1" si="11"/>
        <v/>
      </c>
      <c r="T16" s="2531" t="str">
        <f t="shared" ca="1" si="11"/>
        <v/>
      </c>
      <c r="U16" s="2532" t="str">
        <f t="shared" ref="U16:AJ33" ca="1" si="15">IF(DATE($BK16,U$5,U$6)&lt;=DATE(YEAR($BE$5),MONTH($BE$5),DAY($BE$5)),"X","")</f>
        <v/>
      </c>
      <c r="V16" s="2534" t="str">
        <f t="shared" ca="1" si="15"/>
        <v/>
      </c>
      <c r="W16" s="2531" t="str">
        <f t="shared" ca="1" si="15"/>
        <v/>
      </c>
      <c r="X16" s="2531" t="str">
        <f t="shared" ca="1" si="15"/>
        <v/>
      </c>
      <c r="Y16" s="2531" t="str">
        <f t="shared" ca="1" si="15"/>
        <v/>
      </c>
      <c r="Z16" s="2531" t="str">
        <f t="shared" ca="1" si="15"/>
        <v/>
      </c>
      <c r="AA16" s="2532" t="str">
        <f t="shared" ca="1" si="15"/>
        <v/>
      </c>
      <c r="AB16" s="2534" t="str">
        <f t="shared" ca="1" si="15"/>
        <v/>
      </c>
      <c r="AC16" s="2531" t="str">
        <f t="shared" ca="1" si="15"/>
        <v/>
      </c>
      <c r="AD16" s="2531" t="str">
        <f t="shared" ca="1" si="15"/>
        <v/>
      </c>
      <c r="AE16" s="2532" t="str">
        <f t="shared" ca="1" si="15"/>
        <v/>
      </c>
      <c r="AF16" s="2534" t="str">
        <f t="shared" ca="1" si="15"/>
        <v/>
      </c>
      <c r="AG16" s="2531" t="str">
        <f t="shared" ca="1" si="15"/>
        <v/>
      </c>
      <c r="AH16" s="2531" t="str">
        <f t="shared" ca="1" si="15"/>
        <v/>
      </c>
      <c r="AI16" s="2532" t="str">
        <f t="shared" ca="1" si="15"/>
        <v/>
      </c>
      <c r="AJ16" s="2534" t="str">
        <f t="shared" ca="1" si="15"/>
        <v/>
      </c>
      <c r="AK16" s="2531" t="str">
        <f t="shared" ref="AK16:AZ31" ca="1" si="16">IF(DATE($BK16,AK$5,AK$6)&lt;=DATE(YEAR($BE$5),MONTH($BE$5),DAY($BE$5)),"X","")</f>
        <v/>
      </c>
      <c r="AL16" s="2531" t="str">
        <f t="shared" ca="1" si="16"/>
        <v/>
      </c>
      <c r="AM16" s="2531" t="str">
        <f t="shared" ca="1" si="16"/>
        <v/>
      </c>
      <c r="AN16" s="2532" t="str">
        <f t="shared" ca="1" si="16"/>
        <v/>
      </c>
      <c r="AO16" s="2534" t="str">
        <f t="shared" ca="1" si="16"/>
        <v/>
      </c>
      <c r="AP16" s="2531" t="str">
        <f t="shared" ca="1" si="16"/>
        <v/>
      </c>
      <c r="AQ16" s="2531" t="str">
        <f t="shared" ca="1" si="16"/>
        <v/>
      </c>
      <c r="AR16" s="2532" t="str">
        <f t="shared" ca="1" si="16"/>
        <v/>
      </c>
      <c r="AS16" s="2534" t="str">
        <f t="shared" ca="1" si="16"/>
        <v/>
      </c>
      <c r="AT16" s="2531" t="str">
        <f t="shared" ca="1" si="16"/>
        <v/>
      </c>
      <c r="AU16" s="2531" t="str">
        <f t="shared" ca="1" si="16"/>
        <v/>
      </c>
      <c r="AV16" s="2532" t="str">
        <f t="shared" ca="1" si="16"/>
        <v/>
      </c>
      <c r="AW16" s="2534" t="str">
        <f t="shared" ca="1" si="16"/>
        <v/>
      </c>
      <c r="AX16" s="2531" t="str">
        <f t="shared" ca="1" si="16"/>
        <v/>
      </c>
      <c r="AY16" s="2531" t="str">
        <f t="shared" ca="1" si="16"/>
        <v/>
      </c>
      <c r="AZ16" s="2532" t="str">
        <f t="shared" ca="1" si="16"/>
        <v/>
      </c>
      <c r="BA16" s="2535" t="str">
        <f t="shared" ref="BA16:BD30" ca="1" si="17">IF(DATE($BK16,BA$5,BA$6)&lt;=DATE(YEAR($BE$5),MONTH($BE$5),DAY($BE$5)),"X","")</f>
        <v/>
      </c>
      <c r="BB16" s="2531" t="str">
        <f t="shared" ca="1" si="17"/>
        <v/>
      </c>
      <c r="BC16" s="2531" t="str">
        <f t="shared" ca="1" si="17"/>
        <v/>
      </c>
      <c r="BD16" s="2532" t="str">
        <f t="shared" ca="1" si="17"/>
        <v/>
      </c>
      <c r="BE16" s="2948" t="s">
        <v>5</v>
      </c>
      <c r="BF16" s="2753"/>
      <c r="BG16" s="2753"/>
      <c r="BH16" s="2753"/>
      <c r="BI16" s="2514">
        <f t="shared" si="12"/>
        <v>46023</v>
      </c>
      <c r="BJ16" s="2516">
        <f t="shared" si="13"/>
        <v>6</v>
      </c>
      <c r="BK16" s="2499">
        <f t="shared" si="6"/>
        <v>2026</v>
      </c>
      <c r="BL16" s="2368" t="s">
        <v>745</v>
      </c>
      <c r="BM16" s="2368">
        <f t="shared" si="14"/>
        <v>6</v>
      </c>
      <c r="BN16" s="2367">
        <f t="shared" si="7"/>
        <v>6</v>
      </c>
      <c r="BO16" s="2500" t="str">
        <f t="shared" si="8"/>
        <v>1/0/2026</v>
      </c>
      <c r="BP16" s="2501">
        <f t="shared" ca="1" si="2"/>
        <v>0</v>
      </c>
      <c r="BQ16" s="2367">
        <v>52</v>
      </c>
      <c r="BR16" s="2502">
        <f t="shared" si="3"/>
        <v>1.1111111111111112E-2</v>
      </c>
      <c r="BS16" s="2503">
        <f t="shared" ca="1" si="9"/>
        <v>0</v>
      </c>
      <c r="BT16"/>
      <c r="CB16" s="2370"/>
    </row>
    <row r="17" spans="1:80" ht="13" customHeight="1" x14ac:dyDescent="0.35">
      <c r="A17" s="2943"/>
      <c r="B17" s="2536">
        <f t="shared" si="10"/>
        <v>2027</v>
      </c>
      <c r="C17" s="2537">
        <f t="shared" si="4"/>
        <v>7</v>
      </c>
      <c r="D17" s="2538" t="str">
        <f ca="1">IF(BS17=0,"",SUM(BS$10:BS17))</f>
        <v/>
      </c>
      <c r="E17" s="2539" t="str">
        <f t="shared" ca="1" si="11"/>
        <v/>
      </c>
      <c r="F17" s="2540" t="str">
        <f t="shared" ca="1" si="11"/>
        <v/>
      </c>
      <c r="G17" s="2541" t="str">
        <f t="shared" ca="1" si="11"/>
        <v/>
      </c>
      <c r="H17" s="2541" t="str">
        <f t="shared" ca="1" si="11"/>
        <v/>
      </c>
      <c r="I17" s="2542" t="str">
        <f t="shared" ca="1" si="11"/>
        <v/>
      </c>
      <c r="J17" s="2539" t="str">
        <f t="shared" ca="1" si="11"/>
        <v/>
      </c>
      <c r="K17" s="2541" t="str">
        <f t="shared" ca="1" si="11"/>
        <v/>
      </c>
      <c r="L17" s="2541" t="str">
        <f t="shared" ca="1" si="11"/>
        <v/>
      </c>
      <c r="M17" s="2542" t="str">
        <f t="shared" ca="1" si="11"/>
        <v/>
      </c>
      <c r="N17" s="2543" t="str">
        <f t="shared" ca="1" si="11"/>
        <v/>
      </c>
      <c r="O17" s="2541" t="str">
        <f t="shared" ca="1" si="11"/>
        <v/>
      </c>
      <c r="P17" s="2541" t="str">
        <f t="shared" ca="1" si="11"/>
        <v/>
      </c>
      <c r="Q17" s="2542" t="str">
        <f t="shared" ca="1" si="11"/>
        <v/>
      </c>
      <c r="R17" s="2544" t="str">
        <f t="shared" ca="1" si="11"/>
        <v/>
      </c>
      <c r="S17" s="2541" t="str">
        <f t="shared" ca="1" si="11"/>
        <v/>
      </c>
      <c r="T17" s="2541" t="str">
        <f t="shared" ca="1" si="11"/>
        <v/>
      </c>
      <c r="U17" s="2542" t="str">
        <f t="shared" ca="1" si="15"/>
        <v/>
      </c>
      <c r="V17" s="2544" t="str">
        <f t="shared" ca="1" si="15"/>
        <v/>
      </c>
      <c r="W17" s="2541" t="str">
        <f t="shared" ca="1" si="15"/>
        <v/>
      </c>
      <c r="X17" s="2541" t="str">
        <f t="shared" ca="1" si="15"/>
        <v/>
      </c>
      <c r="Y17" s="2541" t="str">
        <f t="shared" ca="1" si="15"/>
        <v/>
      </c>
      <c r="Z17" s="2541" t="str">
        <f t="shared" ca="1" si="15"/>
        <v/>
      </c>
      <c r="AA17" s="2542" t="str">
        <f t="shared" ca="1" si="15"/>
        <v/>
      </c>
      <c r="AB17" s="2544" t="str">
        <f t="shared" ca="1" si="15"/>
        <v/>
      </c>
      <c r="AC17" s="2541" t="str">
        <f t="shared" ca="1" si="15"/>
        <v/>
      </c>
      <c r="AD17" s="2541" t="str">
        <f t="shared" ca="1" si="15"/>
        <v/>
      </c>
      <c r="AE17" s="2542" t="str">
        <f t="shared" ca="1" si="15"/>
        <v/>
      </c>
      <c r="AF17" s="2544" t="str">
        <f t="shared" ca="1" si="15"/>
        <v/>
      </c>
      <c r="AG17" s="2541" t="str">
        <f t="shared" ca="1" si="15"/>
        <v/>
      </c>
      <c r="AH17" s="2541" t="str">
        <f t="shared" ca="1" si="15"/>
        <v/>
      </c>
      <c r="AI17" s="2542" t="str">
        <f t="shared" ca="1" si="15"/>
        <v/>
      </c>
      <c r="AJ17" s="2544" t="str">
        <f t="shared" ca="1" si="15"/>
        <v/>
      </c>
      <c r="AK17" s="2541" t="str">
        <f t="shared" ca="1" si="16"/>
        <v/>
      </c>
      <c r="AL17" s="2541" t="str">
        <f t="shared" ca="1" si="16"/>
        <v/>
      </c>
      <c r="AM17" s="2541" t="str">
        <f t="shared" ca="1" si="16"/>
        <v/>
      </c>
      <c r="AN17" s="2542" t="str">
        <f t="shared" ca="1" si="16"/>
        <v/>
      </c>
      <c r="AO17" s="2544" t="str">
        <f t="shared" ca="1" si="16"/>
        <v/>
      </c>
      <c r="AP17" s="2541" t="str">
        <f t="shared" ca="1" si="16"/>
        <v/>
      </c>
      <c r="AQ17" s="2541" t="str">
        <f t="shared" ca="1" si="16"/>
        <v/>
      </c>
      <c r="AR17" s="2542" t="str">
        <f t="shared" ca="1" si="16"/>
        <v/>
      </c>
      <c r="AS17" s="2544" t="str">
        <f t="shared" ca="1" si="16"/>
        <v/>
      </c>
      <c r="AT17" s="2541" t="str">
        <f t="shared" ca="1" si="16"/>
        <v/>
      </c>
      <c r="AU17" s="2541" t="str">
        <f t="shared" ca="1" si="16"/>
        <v/>
      </c>
      <c r="AV17" s="2542" t="str">
        <f t="shared" ca="1" si="16"/>
        <v/>
      </c>
      <c r="AW17" s="2544" t="str">
        <f t="shared" ca="1" si="16"/>
        <v/>
      </c>
      <c r="AX17" s="2541" t="str">
        <f t="shared" ca="1" si="16"/>
        <v/>
      </c>
      <c r="AY17" s="2541" t="str">
        <f t="shared" ca="1" si="16"/>
        <v/>
      </c>
      <c r="AZ17" s="2542" t="str">
        <f t="shared" ca="1" si="16"/>
        <v/>
      </c>
      <c r="BA17" s="2545" t="str">
        <f t="shared" ca="1" si="17"/>
        <v/>
      </c>
      <c r="BB17" s="2541" t="str">
        <f t="shared" ca="1" si="17"/>
        <v/>
      </c>
      <c r="BC17" s="2541" t="str">
        <f t="shared" ca="1" si="17"/>
        <v/>
      </c>
      <c r="BD17" s="2542" t="str">
        <f t="shared" ca="1" si="17"/>
        <v/>
      </c>
      <c r="BE17" s="2949"/>
      <c r="BF17" s="2839"/>
      <c r="BG17" s="2839"/>
      <c r="BH17" s="2754"/>
      <c r="BI17" s="2514">
        <f t="shared" si="12"/>
        <v>46388</v>
      </c>
      <c r="BJ17" s="2516">
        <f t="shared" si="13"/>
        <v>7</v>
      </c>
      <c r="BK17" s="2499">
        <f t="shared" si="6"/>
        <v>2027</v>
      </c>
      <c r="BL17" s="2368" t="s">
        <v>88</v>
      </c>
      <c r="BM17" s="2368">
        <f t="shared" si="14"/>
        <v>7</v>
      </c>
      <c r="BN17" s="2367">
        <f t="shared" si="7"/>
        <v>7</v>
      </c>
      <c r="BO17" s="2500" t="str">
        <f t="shared" si="8"/>
        <v>1/0/2027</v>
      </c>
      <c r="BP17" s="2501">
        <f t="shared" ca="1" si="2"/>
        <v>0</v>
      </c>
      <c r="BQ17" s="2367">
        <v>52</v>
      </c>
      <c r="BR17" s="2502">
        <f t="shared" si="3"/>
        <v>1.1111111111111112E-2</v>
      </c>
      <c r="BS17" s="2503">
        <f t="shared" ca="1" si="9"/>
        <v>0</v>
      </c>
      <c r="BT17"/>
      <c r="CB17" s="2370"/>
    </row>
    <row r="18" spans="1:80" ht="13" customHeight="1" x14ac:dyDescent="0.35">
      <c r="A18" s="2943"/>
      <c r="B18" s="2536">
        <f t="shared" si="10"/>
        <v>2028</v>
      </c>
      <c r="C18" s="2537">
        <f t="shared" si="4"/>
        <v>8</v>
      </c>
      <c r="D18" s="2538" t="str">
        <f ca="1">IF(BS18=0,"",SUM(BS$10:BS18))</f>
        <v/>
      </c>
      <c r="E18" s="2539" t="str">
        <f t="shared" ca="1" si="11"/>
        <v/>
      </c>
      <c r="F18" s="2540" t="str">
        <f t="shared" ca="1" si="11"/>
        <v/>
      </c>
      <c r="G18" s="2541" t="str">
        <f t="shared" ca="1" si="11"/>
        <v/>
      </c>
      <c r="H18" s="2541" t="str">
        <f t="shared" ca="1" si="11"/>
        <v/>
      </c>
      <c r="I18" s="2542" t="str">
        <f t="shared" ca="1" si="11"/>
        <v/>
      </c>
      <c r="J18" s="2539" t="str">
        <f t="shared" ca="1" si="11"/>
        <v/>
      </c>
      <c r="K18" s="2541" t="str">
        <f t="shared" ca="1" si="11"/>
        <v/>
      </c>
      <c r="L18" s="2541" t="str">
        <f t="shared" ca="1" si="11"/>
        <v/>
      </c>
      <c r="M18" s="2542" t="str">
        <f t="shared" ca="1" si="11"/>
        <v/>
      </c>
      <c r="N18" s="2543" t="str">
        <f t="shared" ca="1" si="11"/>
        <v/>
      </c>
      <c r="O18" s="2541" t="str">
        <f t="shared" ca="1" si="11"/>
        <v/>
      </c>
      <c r="P18" s="2541" t="str">
        <f t="shared" ca="1" si="11"/>
        <v/>
      </c>
      <c r="Q18" s="2542" t="str">
        <f t="shared" ca="1" si="11"/>
        <v/>
      </c>
      <c r="R18" s="2544" t="str">
        <f t="shared" ca="1" si="11"/>
        <v/>
      </c>
      <c r="S18" s="2541" t="str">
        <f t="shared" ca="1" si="11"/>
        <v/>
      </c>
      <c r="T18" s="2541" t="str">
        <f t="shared" ca="1" si="11"/>
        <v/>
      </c>
      <c r="U18" s="2542" t="str">
        <f t="shared" ca="1" si="15"/>
        <v/>
      </c>
      <c r="V18" s="2544" t="str">
        <f t="shared" ca="1" si="15"/>
        <v/>
      </c>
      <c r="W18" s="2541" t="str">
        <f t="shared" ca="1" si="15"/>
        <v/>
      </c>
      <c r="X18" s="2541" t="str">
        <f t="shared" ca="1" si="15"/>
        <v/>
      </c>
      <c r="Y18" s="2541" t="str">
        <f t="shared" ca="1" si="15"/>
        <v/>
      </c>
      <c r="Z18" s="2541" t="str">
        <f t="shared" ca="1" si="15"/>
        <v/>
      </c>
      <c r="AA18" s="2542" t="str">
        <f t="shared" ca="1" si="15"/>
        <v/>
      </c>
      <c r="AB18" s="2544" t="str">
        <f t="shared" ca="1" si="15"/>
        <v/>
      </c>
      <c r="AC18" s="2541" t="str">
        <f t="shared" ca="1" si="15"/>
        <v/>
      </c>
      <c r="AD18" s="2541" t="str">
        <f t="shared" ca="1" si="15"/>
        <v/>
      </c>
      <c r="AE18" s="2542" t="str">
        <f t="shared" ca="1" si="15"/>
        <v/>
      </c>
      <c r="AF18" s="2544" t="str">
        <f t="shared" ca="1" si="15"/>
        <v/>
      </c>
      <c r="AG18" s="2541" t="str">
        <f t="shared" ca="1" si="15"/>
        <v/>
      </c>
      <c r="AH18" s="2541" t="str">
        <f t="shared" ca="1" si="15"/>
        <v/>
      </c>
      <c r="AI18" s="2542" t="str">
        <f t="shared" ca="1" si="15"/>
        <v/>
      </c>
      <c r="AJ18" s="2544" t="str">
        <f t="shared" ca="1" si="15"/>
        <v/>
      </c>
      <c r="AK18" s="2541" t="str">
        <f t="shared" ca="1" si="16"/>
        <v/>
      </c>
      <c r="AL18" s="2541" t="str">
        <f t="shared" ca="1" si="16"/>
        <v/>
      </c>
      <c r="AM18" s="2541" t="str">
        <f t="shared" ca="1" si="16"/>
        <v/>
      </c>
      <c r="AN18" s="2542" t="str">
        <f t="shared" ca="1" si="16"/>
        <v/>
      </c>
      <c r="AO18" s="2544" t="str">
        <f t="shared" ca="1" si="16"/>
        <v/>
      </c>
      <c r="AP18" s="2541" t="str">
        <f t="shared" ca="1" si="16"/>
        <v/>
      </c>
      <c r="AQ18" s="2541" t="str">
        <f t="shared" ca="1" si="16"/>
        <v/>
      </c>
      <c r="AR18" s="2542" t="str">
        <f t="shared" ca="1" si="16"/>
        <v/>
      </c>
      <c r="AS18" s="2544" t="str">
        <f t="shared" ca="1" si="16"/>
        <v/>
      </c>
      <c r="AT18" s="2541" t="str">
        <f t="shared" ca="1" si="16"/>
        <v/>
      </c>
      <c r="AU18" s="2541" t="str">
        <f t="shared" ca="1" si="16"/>
        <v/>
      </c>
      <c r="AV18" s="2542" t="str">
        <f t="shared" ca="1" si="16"/>
        <v/>
      </c>
      <c r="AW18" s="2544" t="str">
        <f t="shared" ca="1" si="16"/>
        <v/>
      </c>
      <c r="AX18" s="2541" t="str">
        <f t="shared" ca="1" si="16"/>
        <v/>
      </c>
      <c r="AY18" s="2541" t="str">
        <f t="shared" ca="1" si="16"/>
        <v/>
      </c>
      <c r="AZ18" s="2542" t="str">
        <f t="shared" ca="1" si="16"/>
        <v/>
      </c>
      <c r="BA18" s="2545" t="str">
        <f t="shared" ca="1" si="17"/>
        <v/>
      </c>
      <c r="BB18" s="2541" t="str">
        <f t="shared" ca="1" si="17"/>
        <v/>
      </c>
      <c r="BC18" s="2541" t="str">
        <f t="shared" ca="1" si="17"/>
        <v/>
      </c>
      <c r="BD18" s="2542" t="str">
        <f t="shared" ca="1" si="17"/>
        <v/>
      </c>
      <c r="BE18" s="2949"/>
      <c r="BF18" s="2754"/>
      <c r="BG18" s="2754"/>
      <c r="BH18" s="2754"/>
      <c r="BI18" s="2514">
        <f t="shared" si="12"/>
        <v>46753</v>
      </c>
      <c r="BJ18" s="2516">
        <f t="shared" si="13"/>
        <v>8</v>
      </c>
      <c r="BK18" s="2499">
        <f t="shared" si="6"/>
        <v>2028</v>
      </c>
      <c r="BL18" s="2368" t="s">
        <v>89</v>
      </c>
      <c r="BM18" s="2368">
        <f t="shared" si="14"/>
        <v>8</v>
      </c>
      <c r="BN18" s="2367">
        <f t="shared" si="7"/>
        <v>8</v>
      </c>
      <c r="BO18" s="2500" t="str">
        <f t="shared" si="8"/>
        <v>1/0/2028</v>
      </c>
      <c r="BP18" s="2501">
        <f t="shared" ca="1" si="2"/>
        <v>0</v>
      </c>
      <c r="BQ18" s="2367">
        <v>52</v>
      </c>
      <c r="BR18" s="2502">
        <f t="shared" si="3"/>
        <v>1.1111111111111112E-2</v>
      </c>
      <c r="BS18" s="2503">
        <f t="shared" ca="1" si="9"/>
        <v>0</v>
      </c>
      <c r="BT18"/>
      <c r="CB18" s="2370"/>
    </row>
    <row r="19" spans="1:80" ht="13" customHeight="1" thickBot="1" x14ac:dyDescent="0.4">
      <c r="A19" s="2944"/>
      <c r="B19" s="2536">
        <f t="shared" si="10"/>
        <v>2029</v>
      </c>
      <c r="C19" s="2537">
        <f t="shared" si="4"/>
        <v>9</v>
      </c>
      <c r="D19" s="2538" t="str">
        <f ca="1">IF(BS19=0,"",SUM(BS$10:BS19))</f>
        <v/>
      </c>
      <c r="E19" s="2539" t="str">
        <f t="shared" ca="1" si="11"/>
        <v/>
      </c>
      <c r="F19" s="2540" t="str">
        <f t="shared" ca="1" si="11"/>
        <v/>
      </c>
      <c r="G19" s="2541" t="str">
        <f t="shared" ca="1" si="11"/>
        <v/>
      </c>
      <c r="H19" s="2541" t="str">
        <f t="shared" ca="1" si="11"/>
        <v/>
      </c>
      <c r="I19" s="2542" t="str">
        <f t="shared" ca="1" si="11"/>
        <v/>
      </c>
      <c r="J19" s="2539" t="str">
        <f t="shared" ca="1" si="11"/>
        <v/>
      </c>
      <c r="K19" s="2541" t="str">
        <f t="shared" ca="1" si="11"/>
        <v/>
      </c>
      <c r="L19" s="2541" t="str">
        <f t="shared" ca="1" si="11"/>
        <v/>
      </c>
      <c r="M19" s="2542" t="str">
        <f t="shared" ca="1" si="11"/>
        <v/>
      </c>
      <c r="N19" s="2543" t="str">
        <f t="shared" ca="1" si="11"/>
        <v/>
      </c>
      <c r="O19" s="2541" t="str">
        <f t="shared" ca="1" si="11"/>
        <v/>
      </c>
      <c r="P19" s="2541" t="str">
        <f t="shared" ca="1" si="11"/>
        <v/>
      </c>
      <c r="Q19" s="2542" t="str">
        <f t="shared" ca="1" si="11"/>
        <v/>
      </c>
      <c r="R19" s="2544" t="str">
        <f t="shared" ca="1" si="11"/>
        <v/>
      </c>
      <c r="S19" s="2541" t="str">
        <f t="shared" ca="1" si="11"/>
        <v/>
      </c>
      <c r="T19" s="2541" t="str">
        <f t="shared" ca="1" si="11"/>
        <v/>
      </c>
      <c r="U19" s="2542" t="str">
        <f t="shared" ca="1" si="15"/>
        <v/>
      </c>
      <c r="V19" s="2544" t="str">
        <f t="shared" ca="1" si="15"/>
        <v/>
      </c>
      <c r="W19" s="2541" t="str">
        <f t="shared" ca="1" si="15"/>
        <v/>
      </c>
      <c r="X19" s="2541" t="str">
        <f t="shared" ca="1" si="15"/>
        <v/>
      </c>
      <c r="Y19" s="2541" t="str">
        <f t="shared" ca="1" si="15"/>
        <v/>
      </c>
      <c r="Z19" s="2541" t="str">
        <f t="shared" ca="1" si="15"/>
        <v/>
      </c>
      <c r="AA19" s="2542" t="str">
        <f t="shared" ca="1" si="15"/>
        <v/>
      </c>
      <c r="AB19" s="2544" t="str">
        <f t="shared" ca="1" si="15"/>
        <v/>
      </c>
      <c r="AC19" s="2541" t="str">
        <f t="shared" ca="1" si="15"/>
        <v/>
      </c>
      <c r="AD19" s="2541" t="str">
        <f t="shared" ca="1" si="15"/>
        <v/>
      </c>
      <c r="AE19" s="2542" t="str">
        <f t="shared" ca="1" si="15"/>
        <v/>
      </c>
      <c r="AF19" s="2544" t="str">
        <f t="shared" ca="1" si="15"/>
        <v/>
      </c>
      <c r="AG19" s="2541" t="str">
        <f t="shared" ca="1" si="15"/>
        <v/>
      </c>
      <c r="AH19" s="2541" t="str">
        <f t="shared" ca="1" si="15"/>
        <v/>
      </c>
      <c r="AI19" s="2542" t="str">
        <f t="shared" ca="1" si="15"/>
        <v/>
      </c>
      <c r="AJ19" s="2544" t="str">
        <f t="shared" ca="1" si="15"/>
        <v/>
      </c>
      <c r="AK19" s="2541" t="str">
        <f t="shared" ca="1" si="16"/>
        <v/>
      </c>
      <c r="AL19" s="2541" t="str">
        <f t="shared" ca="1" si="16"/>
        <v/>
      </c>
      <c r="AM19" s="2541" t="str">
        <f t="shared" ca="1" si="16"/>
        <v/>
      </c>
      <c r="AN19" s="2542" t="str">
        <f t="shared" ca="1" si="16"/>
        <v/>
      </c>
      <c r="AO19" s="2544" t="str">
        <f t="shared" ca="1" si="16"/>
        <v/>
      </c>
      <c r="AP19" s="2541" t="str">
        <f t="shared" ca="1" si="16"/>
        <v/>
      </c>
      <c r="AQ19" s="2541" t="str">
        <f t="shared" ca="1" si="16"/>
        <v/>
      </c>
      <c r="AR19" s="2542" t="str">
        <f t="shared" ca="1" si="16"/>
        <v/>
      </c>
      <c r="AS19" s="2544" t="str">
        <f t="shared" ca="1" si="16"/>
        <v/>
      </c>
      <c r="AT19" s="2541" t="str">
        <f t="shared" ca="1" si="16"/>
        <v/>
      </c>
      <c r="AU19" s="2541" t="str">
        <f t="shared" ca="1" si="16"/>
        <v/>
      </c>
      <c r="AV19" s="2542" t="str">
        <f t="shared" ca="1" si="16"/>
        <v/>
      </c>
      <c r="AW19" s="2544" t="str">
        <f t="shared" ca="1" si="16"/>
        <v/>
      </c>
      <c r="AX19" s="2541" t="str">
        <f t="shared" ca="1" si="16"/>
        <v/>
      </c>
      <c r="AY19" s="2541" t="str">
        <f t="shared" ca="1" si="16"/>
        <v/>
      </c>
      <c r="AZ19" s="2542" t="str">
        <f t="shared" ca="1" si="16"/>
        <v/>
      </c>
      <c r="BA19" s="2545" t="str">
        <f t="shared" ca="1" si="17"/>
        <v/>
      </c>
      <c r="BB19" s="2541" t="str">
        <f t="shared" ca="1" si="17"/>
        <v/>
      </c>
      <c r="BC19" s="2541" t="str">
        <f t="shared" ca="1" si="17"/>
        <v/>
      </c>
      <c r="BD19" s="2542" t="str">
        <f t="shared" ca="1" si="17"/>
        <v/>
      </c>
      <c r="BE19" s="2949"/>
      <c r="BF19" s="2754"/>
      <c r="BG19" s="2839"/>
      <c r="BH19" s="2754"/>
      <c r="BI19" s="2514">
        <f t="shared" si="12"/>
        <v>47119</v>
      </c>
      <c r="BJ19" s="2516">
        <f t="shared" si="13"/>
        <v>9</v>
      </c>
      <c r="BK19" s="2499">
        <f t="shared" si="6"/>
        <v>2029</v>
      </c>
      <c r="BL19" s="2368" t="s">
        <v>746</v>
      </c>
      <c r="BM19" s="2368">
        <f t="shared" si="14"/>
        <v>9</v>
      </c>
      <c r="BN19" s="2367">
        <f t="shared" si="7"/>
        <v>9</v>
      </c>
      <c r="BO19" s="2500" t="str">
        <f t="shared" si="8"/>
        <v>1/0/2029</v>
      </c>
      <c r="BP19" s="2501">
        <f t="shared" ca="1" si="2"/>
        <v>0</v>
      </c>
      <c r="BQ19" s="2367">
        <v>52</v>
      </c>
      <c r="BR19" s="2502">
        <f t="shared" si="3"/>
        <v>1.1111111111111112E-2</v>
      </c>
      <c r="BS19" s="2503">
        <f t="shared" ca="1" si="9"/>
        <v>0</v>
      </c>
      <c r="BT19"/>
      <c r="CB19" s="2370"/>
    </row>
    <row r="20" spans="1:80" ht="13" customHeight="1" x14ac:dyDescent="0.35">
      <c r="A20" s="2942">
        <v>2</v>
      </c>
      <c r="B20" s="2536">
        <f t="shared" si="10"/>
        <v>2030</v>
      </c>
      <c r="C20" s="2537">
        <f t="shared" si="4"/>
        <v>10</v>
      </c>
      <c r="D20" s="2538" t="str">
        <f ca="1">IF(BS20=0,"",SUM(BS$10:BS20))</f>
        <v/>
      </c>
      <c r="E20" s="2539" t="str">
        <f t="shared" ca="1" si="11"/>
        <v/>
      </c>
      <c r="F20" s="2540" t="str">
        <f t="shared" ca="1" si="11"/>
        <v/>
      </c>
      <c r="G20" s="2541" t="str">
        <f t="shared" ca="1" si="11"/>
        <v/>
      </c>
      <c r="H20" s="2541" t="str">
        <f t="shared" ca="1" si="11"/>
        <v/>
      </c>
      <c r="I20" s="2542" t="str">
        <f t="shared" ca="1" si="11"/>
        <v/>
      </c>
      <c r="J20" s="2539" t="str">
        <f t="shared" ca="1" si="11"/>
        <v/>
      </c>
      <c r="K20" s="2541" t="str">
        <f t="shared" ca="1" si="11"/>
        <v/>
      </c>
      <c r="L20" s="2541" t="str">
        <f t="shared" ca="1" si="11"/>
        <v/>
      </c>
      <c r="M20" s="2542" t="str">
        <f t="shared" ca="1" si="11"/>
        <v/>
      </c>
      <c r="N20" s="2543" t="str">
        <f t="shared" ca="1" si="11"/>
        <v/>
      </c>
      <c r="O20" s="2541" t="str">
        <f t="shared" ca="1" si="11"/>
        <v/>
      </c>
      <c r="P20" s="2541" t="str">
        <f t="shared" ca="1" si="11"/>
        <v/>
      </c>
      <c r="Q20" s="2542" t="str">
        <f t="shared" ca="1" si="11"/>
        <v/>
      </c>
      <c r="R20" s="2544" t="str">
        <f t="shared" ca="1" si="11"/>
        <v/>
      </c>
      <c r="S20" s="2541" t="str">
        <f t="shared" ca="1" si="11"/>
        <v/>
      </c>
      <c r="T20" s="2541" t="str">
        <f t="shared" ca="1" si="11"/>
        <v/>
      </c>
      <c r="U20" s="2542" t="str">
        <f t="shared" ca="1" si="15"/>
        <v/>
      </c>
      <c r="V20" s="2544" t="str">
        <f t="shared" ca="1" si="15"/>
        <v/>
      </c>
      <c r="W20" s="2541" t="str">
        <f t="shared" ca="1" si="15"/>
        <v/>
      </c>
      <c r="X20" s="2541" t="str">
        <f t="shared" ca="1" si="15"/>
        <v/>
      </c>
      <c r="Y20" s="2541" t="str">
        <f t="shared" ca="1" si="15"/>
        <v/>
      </c>
      <c r="Z20" s="2541" t="str">
        <f t="shared" ca="1" si="15"/>
        <v/>
      </c>
      <c r="AA20" s="2542" t="str">
        <f t="shared" ca="1" si="15"/>
        <v/>
      </c>
      <c r="AB20" s="2544" t="str">
        <f t="shared" ca="1" si="15"/>
        <v/>
      </c>
      <c r="AC20" s="2541" t="str">
        <f t="shared" ca="1" si="15"/>
        <v/>
      </c>
      <c r="AD20" s="2541" t="str">
        <f t="shared" ca="1" si="15"/>
        <v/>
      </c>
      <c r="AE20" s="2542" t="str">
        <f t="shared" ca="1" si="15"/>
        <v/>
      </c>
      <c r="AF20" s="2544" t="str">
        <f t="shared" ca="1" si="15"/>
        <v/>
      </c>
      <c r="AG20" s="2541" t="str">
        <f t="shared" ca="1" si="15"/>
        <v/>
      </c>
      <c r="AH20" s="2541" t="str">
        <f t="shared" ca="1" si="15"/>
        <v/>
      </c>
      <c r="AI20" s="2542" t="str">
        <f t="shared" ca="1" si="15"/>
        <v/>
      </c>
      <c r="AJ20" s="2544" t="str">
        <f t="shared" ca="1" si="15"/>
        <v/>
      </c>
      <c r="AK20" s="2541" t="str">
        <f t="shared" ca="1" si="16"/>
        <v/>
      </c>
      <c r="AL20" s="2541" t="str">
        <f t="shared" ca="1" si="16"/>
        <v/>
      </c>
      <c r="AM20" s="2541" t="str">
        <f t="shared" ca="1" si="16"/>
        <v/>
      </c>
      <c r="AN20" s="2542" t="str">
        <f t="shared" ca="1" si="16"/>
        <v/>
      </c>
      <c r="AO20" s="2544" t="str">
        <f t="shared" ca="1" si="16"/>
        <v/>
      </c>
      <c r="AP20" s="2541" t="str">
        <f t="shared" ca="1" si="16"/>
        <v/>
      </c>
      <c r="AQ20" s="2541" t="str">
        <f t="shared" ca="1" si="16"/>
        <v/>
      </c>
      <c r="AR20" s="2542" t="str">
        <f t="shared" ca="1" si="16"/>
        <v/>
      </c>
      <c r="AS20" s="2544" t="str">
        <f t="shared" ca="1" si="16"/>
        <v/>
      </c>
      <c r="AT20" s="2541" t="str">
        <f t="shared" ca="1" si="16"/>
        <v/>
      </c>
      <c r="AU20" s="2541" t="str">
        <f t="shared" ca="1" si="16"/>
        <v/>
      </c>
      <c r="AV20" s="2542" t="str">
        <f t="shared" ca="1" si="16"/>
        <v/>
      </c>
      <c r="AW20" s="2544" t="str">
        <f t="shared" ca="1" si="16"/>
        <v/>
      </c>
      <c r="AX20" s="2541" t="str">
        <f t="shared" ca="1" si="16"/>
        <v/>
      </c>
      <c r="AY20" s="2541" t="str">
        <f t="shared" ca="1" si="16"/>
        <v/>
      </c>
      <c r="AZ20" s="2542" t="str">
        <f t="shared" ca="1" si="16"/>
        <v/>
      </c>
      <c r="BA20" s="2545" t="str">
        <f t="shared" ca="1" si="17"/>
        <v/>
      </c>
      <c r="BB20" s="2541" t="str">
        <f t="shared" ca="1" si="17"/>
        <v/>
      </c>
      <c r="BC20" s="2541" t="str">
        <f t="shared" ca="1" si="17"/>
        <v/>
      </c>
      <c r="BD20" s="2542" t="str">
        <f t="shared" ca="1" si="17"/>
        <v/>
      </c>
      <c r="BE20" s="2949"/>
      <c r="BF20" s="2754"/>
      <c r="BG20" s="2754"/>
      <c r="BH20" s="2754"/>
      <c r="BI20" s="2514">
        <f t="shared" si="12"/>
        <v>47484</v>
      </c>
      <c r="BJ20" s="2516">
        <f t="shared" si="13"/>
        <v>10</v>
      </c>
      <c r="BK20" s="2499">
        <f t="shared" si="6"/>
        <v>2030</v>
      </c>
      <c r="BL20" s="2368" t="s">
        <v>747</v>
      </c>
      <c r="BM20" s="2368">
        <f t="shared" si="14"/>
        <v>10</v>
      </c>
      <c r="BN20" s="2367">
        <f t="shared" si="7"/>
        <v>10</v>
      </c>
      <c r="BO20" s="2500" t="str">
        <f t="shared" si="8"/>
        <v>1/0/2030</v>
      </c>
      <c r="BP20" s="2501">
        <f t="shared" ca="1" si="2"/>
        <v>0</v>
      </c>
      <c r="BQ20" s="2367">
        <v>52</v>
      </c>
      <c r="BR20" s="2502">
        <f t="shared" si="3"/>
        <v>1.1111111111111112E-2</v>
      </c>
      <c r="BS20" s="2503">
        <f t="shared" ca="1" si="9"/>
        <v>0</v>
      </c>
      <c r="BT20"/>
      <c r="CB20" s="2370"/>
    </row>
    <row r="21" spans="1:80" ht="13" customHeight="1" thickBot="1" x14ac:dyDescent="0.4">
      <c r="A21" s="2943"/>
      <c r="B21" s="2546">
        <f t="shared" si="10"/>
        <v>2031</v>
      </c>
      <c r="C21" s="2547">
        <f t="shared" si="4"/>
        <v>11</v>
      </c>
      <c r="D21" s="2548" t="str">
        <f ca="1">IF(BS21=0,"",SUM(BS$10:BS21))</f>
        <v/>
      </c>
      <c r="E21" s="2549" t="str">
        <f t="shared" ca="1" si="11"/>
        <v/>
      </c>
      <c r="F21" s="2550" t="str">
        <f t="shared" ca="1" si="11"/>
        <v/>
      </c>
      <c r="G21" s="2551" t="str">
        <f t="shared" ca="1" si="11"/>
        <v/>
      </c>
      <c r="H21" s="2551" t="str">
        <f t="shared" ca="1" si="11"/>
        <v/>
      </c>
      <c r="I21" s="2552" t="str">
        <f t="shared" ca="1" si="11"/>
        <v/>
      </c>
      <c r="J21" s="2549" t="str">
        <f t="shared" ca="1" si="11"/>
        <v/>
      </c>
      <c r="K21" s="2551" t="str">
        <f t="shared" ca="1" si="11"/>
        <v/>
      </c>
      <c r="L21" s="2551" t="str">
        <f t="shared" ca="1" si="11"/>
        <v/>
      </c>
      <c r="M21" s="2552" t="str">
        <f t="shared" ca="1" si="11"/>
        <v/>
      </c>
      <c r="N21" s="2553" t="str">
        <f t="shared" ca="1" si="11"/>
        <v/>
      </c>
      <c r="O21" s="2551" t="str">
        <f t="shared" ca="1" si="11"/>
        <v/>
      </c>
      <c r="P21" s="2551" t="str">
        <f t="shared" ca="1" si="11"/>
        <v/>
      </c>
      <c r="Q21" s="2552" t="str">
        <f t="shared" ca="1" si="11"/>
        <v/>
      </c>
      <c r="R21" s="2554" t="str">
        <f t="shared" ca="1" si="11"/>
        <v/>
      </c>
      <c r="S21" s="2551" t="str">
        <f t="shared" ca="1" si="11"/>
        <v/>
      </c>
      <c r="T21" s="2551" t="str">
        <f t="shared" ca="1" si="11"/>
        <v/>
      </c>
      <c r="U21" s="2552" t="str">
        <f t="shared" ca="1" si="15"/>
        <v/>
      </c>
      <c r="V21" s="2554" t="str">
        <f t="shared" ca="1" si="15"/>
        <v/>
      </c>
      <c r="W21" s="2551" t="str">
        <f t="shared" ca="1" si="15"/>
        <v/>
      </c>
      <c r="X21" s="2551" t="str">
        <f t="shared" ca="1" si="15"/>
        <v/>
      </c>
      <c r="Y21" s="2551" t="str">
        <f t="shared" ca="1" si="15"/>
        <v/>
      </c>
      <c r="Z21" s="2551" t="str">
        <f t="shared" ca="1" si="15"/>
        <v/>
      </c>
      <c r="AA21" s="2552" t="str">
        <f t="shared" ca="1" si="15"/>
        <v/>
      </c>
      <c r="AB21" s="2554" t="str">
        <f t="shared" ca="1" si="15"/>
        <v/>
      </c>
      <c r="AC21" s="2551" t="str">
        <f t="shared" ca="1" si="15"/>
        <v/>
      </c>
      <c r="AD21" s="2551" t="str">
        <f t="shared" ca="1" si="15"/>
        <v/>
      </c>
      <c r="AE21" s="2552" t="str">
        <f t="shared" ca="1" si="15"/>
        <v/>
      </c>
      <c r="AF21" s="2554" t="str">
        <f t="shared" ca="1" si="15"/>
        <v/>
      </c>
      <c r="AG21" s="2551" t="str">
        <f t="shared" ca="1" si="15"/>
        <v/>
      </c>
      <c r="AH21" s="2551" t="str">
        <f t="shared" ca="1" si="15"/>
        <v/>
      </c>
      <c r="AI21" s="2552" t="str">
        <f t="shared" ca="1" si="15"/>
        <v/>
      </c>
      <c r="AJ21" s="2554" t="str">
        <f t="shared" ca="1" si="15"/>
        <v/>
      </c>
      <c r="AK21" s="2551" t="str">
        <f t="shared" ca="1" si="16"/>
        <v/>
      </c>
      <c r="AL21" s="2551" t="str">
        <f t="shared" ca="1" si="16"/>
        <v/>
      </c>
      <c r="AM21" s="2551" t="str">
        <f t="shared" ca="1" si="16"/>
        <v/>
      </c>
      <c r="AN21" s="2552" t="str">
        <f t="shared" ca="1" si="16"/>
        <v/>
      </c>
      <c r="AO21" s="2554" t="str">
        <f t="shared" ca="1" si="16"/>
        <v/>
      </c>
      <c r="AP21" s="2551" t="str">
        <f t="shared" ca="1" si="16"/>
        <v/>
      </c>
      <c r="AQ21" s="2551" t="str">
        <f t="shared" ca="1" si="16"/>
        <v/>
      </c>
      <c r="AR21" s="2552" t="str">
        <f t="shared" ca="1" si="16"/>
        <v/>
      </c>
      <c r="AS21" s="2554" t="str">
        <f t="shared" ca="1" si="16"/>
        <v/>
      </c>
      <c r="AT21" s="2551" t="str">
        <f t="shared" ca="1" si="16"/>
        <v/>
      </c>
      <c r="AU21" s="2551" t="str">
        <f t="shared" ca="1" si="16"/>
        <v/>
      </c>
      <c r="AV21" s="2552" t="str">
        <f t="shared" ca="1" si="16"/>
        <v/>
      </c>
      <c r="AW21" s="2554" t="str">
        <f t="shared" ca="1" si="16"/>
        <v/>
      </c>
      <c r="AX21" s="2551" t="str">
        <f t="shared" ca="1" si="16"/>
        <v/>
      </c>
      <c r="AY21" s="2551" t="str">
        <f t="shared" ca="1" si="16"/>
        <v/>
      </c>
      <c r="AZ21" s="2552" t="str">
        <f t="shared" ca="1" si="16"/>
        <v/>
      </c>
      <c r="BA21" s="2555" t="str">
        <f t="shared" ca="1" si="17"/>
        <v/>
      </c>
      <c r="BB21" s="2551" t="str">
        <f t="shared" ca="1" si="17"/>
        <v/>
      </c>
      <c r="BC21" s="2551" t="str">
        <f t="shared" ca="1" si="17"/>
        <v/>
      </c>
      <c r="BD21" s="2552" t="str">
        <f t="shared" ca="1" si="17"/>
        <v/>
      </c>
      <c r="BE21" s="2950"/>
      <c r="BF21" s="2755"/>
      <c r="BG21" s="2844"/>
      <c r="BH21" s="2755"/>
      <c r="BI21" s="2514">
        <f t="shared" si="12"/>
        <v>47849</v>
      </c>
      <c r="BJ21" s="2516">
        <f t="shared" si="13"/>
        <v>11</v>
      </c>
      <c r="BK21" s="2499">
        <f t="shared" si="6"/>
        <v>2031</v>
      </c>
      <c r="BL21" s="2368" t="s">
        <v>748</v>
      </c>
      <c r="BM21" s="2368">
        <f t="shared" si="14"/>
        <v>11</v>
      </c>
      <c r="BN21" s="2367">
        <f t="shared" si="7"/>
        <v>11</v>
      </c>
      <c r="BO21" s="2500" t="str">
        <f t="shared" si="8"/>
        <v>1/0/2031</v>
      </c>
      <c r="BP21" s="2501">
        <f t="shared" ca="1" si="2"/>
        <v>0</v>
      </c>
      <c r="BQ21" s="2367">
        <v>52</v>
      </c>
      <c r="BR21" s="2502">
        <f t="shared" si="3"/>
        <v>1.1111111111111112E-2</v>
      </c>
      <c r="BS21" s="2503">
        <f t="shared" ca="1" si="9"/>
        <v>0</v>
      </c>
      <c r="BT21"/>
      <c r="CB21" s="2370"/>
    </row>
    <row r="22" spans="1:80" ht="13" customHeight="1" x14ac:dyDescent="0.35">
      <c r="A22" s="2943"/>
      <c r="B22" s="2526">
        <f t="shared" si="10"/>
        <v>2032</v>
      </c>
      <c r="C22" s="2556">
        <f t="shared" si="4"/>
        <v>12</v>
      </c>
      <c r="D22" s="2557" t="str">
        <f ca="1">IF(BS22=0,"",SUM(BS$10:BS22))</f>
        <v/>
      </c>
      <c r="E22" s="2558" t="str">
        <f t="shared" ca="1" si="11"/>
        <v/>
      </c>
      <c r="F22" s="2559" t="str">
        <f t="shared" ca="1" si="11"/>
        <v/>
      </c>
      <c r="G22" s="2560" t="str">
        <f t="shared" ca="1" si="11"/>
        <v/>
      </c>
      <c r="H22" s="2560" t="str">
        <f t="shared" ca="1" si="11"/>
        <v/>
      </c>
      <c r="I22" s="2561" t="str">
        <f t="shared" ca="1" si="11"/>
        <v/>
      </c>
      <c r="J22" s="2558" t="str">
        <f t="shared" ca="1" si="11"/>
        <v/>
      </c>
      <c r="K22" s="2560" t="str">
        <f t="shared" ca="1" si="11"/>
        <v/>
      </c>
      <c r="L22" s="2560" t="str">
        <f t="shared" ca="1" si="11"/>
        <v/>
      </c>
      <c r="M22" s="2561" t="str">
        <f t="shared" ca="1" si="11"/>
        <v/>
      </c>
      <c r="N22" s="2562" t="str">
        <f t="shared" ca="1" si="11"/>
        <v/>
      </c>
      <c r="O22" s="2560" t="str">
        <f t="shared" ca="1" si="11"/>
        <v/>
      </c>
      <c r="P22" s="2560" t="str">
        <f t="shared" ca="1" si="11"/>
        <v/>
      </c>
      <c r="Q22" s="2561" t="str">
        <f t="shared" ca="1" si="11"/>
        <v/>
      </c>
      <c r="R22" s="2563" t="str">
        <f t="shared" ca="1" si="11"/>
        <v/>
      </c>
      <c r="S22" s="2560" t="str">
        <f t="shared" ca="1" si="11"/>
        <v/>
      </c>
      <c r="T22" s="2560" t="str">
        <f t="shared" ca="1" si="11"/>
        <v/>
      </c>
      <c r="U22" s="2561" t="str">
        <f t="shared" ca="1" si="15"/>
        <v/>
      </c>
      <c r="V22" s="2563" t="str">
        <f t="shared" ca="1" si="15"/>
        <v/>
      </c>
      <c r="W22" s="2560" t="str">
        <f t="shared" ca="1" si="15"/>
        <v/>
      </c>
      <c r="X22" s="2560" t="str">
        <f t="shared" ca="1" si="15"/>
        <v/>
      </c>
      <c r="Y22" s="2560" t="str">
        <f t="shared" ca="1" si="15"/>
        <v/>
      </c>
      <c r="Z22" s="2560" t="str">
        <f t="shared" ca="1" si="15"/>
        <v/>
      </c>
      <c r="AA22" s="2561" t="str">
        <f t="shared" ca="1" si="15"/>
        <v/>
      </c>
      <c r="AB22" s="2563" t="str">
        <f t="shared" ca="1" si="15"/>
        <v/>
      </c>
      <c r="AC22" s="2560" t="str">
        <f t="shared" ca="1" si="15"/>
        <v/>
      </c>
      <c r="AD22" s="2560" t="str">
        <f t="shared" ca="1" si="15"/>
        <v/>
      </c>
      <c r="AE22" s="2561" t="str">
        <f t="shared" ca="1" si="15"/>
        <v/>
      </c>
      <c r="AF22" s="2563" t="str">
        <f t="shared" ca="1" si="15"/>
        <v/>
      </c>
      <c r="AG22" s="2560" t="str">
        <f t="shared" ca="1" si="15"/>
        <v/>
      </c>
      <c r="AH22" s="2560" t="str">
        <f t="shared" ca="1" si="15"/>
        <v/>
      </c>
      <c r="AI22" s="2561" t="str">
        <f t="shared" ca="1" si="15"/>
        <v/>
      </c>
      <c r="AJ22" s="2563" t="str">
        <f t="shared" ca="1" si="15"/>
        <v/>
      </c>
      <c r="AK22" s="2560" t="str">
        <f t="shared" ca="1" si="16"/>
        <v/>
      </c>
      <c r="AL22" s="2560" t="str">
        <f t="shared" ca="1" si="16"/>
        <v/>
      </c>
      <c r="AM22" s="2560" t="str">
        <f t="shared" ca="1" si="16"/>
        <v/>
      </c>
      <c r="AN22" s="2561" t="str">
        <f t="shared" ca="1" si="16"/>
        <v/>
      </c>
      <c r="AO22" s="2563" t="str">
        <f t="shared" ca="1" si="16"/>
        <v/>
      </c>
      <c r="AP22" s="2560" t="str">
        <f t="shared" ca="1" si="16"/>
        <v/>
      </c>
      <c r="AQ22" s="2560" t="str">
        <f t="shared" ca="1" si="16"/>
        <v/>
      </c>
      <c r="AR22" s="2561" t="str">
        <f t="shared" ca="1" si="16"/>
        <v/>
      </c>
      <c r="AS22" s="2563" t="str">
        <f t="shared" ca="1" si="16"/>
        <v/>
      </c>
      <c r="AT22" s="2560" t="str">
        <f t="shared" ca="1" si="16"/>
        <v/>
      </c>
      <c r="AU22" s="2560" t="str">
        <f t="shared" ca="1" si="16"/>
        <v/>
      </c>
      <c r="AV22" s="2561" t="str">
        <f t="shared" ca="1" si="16"/>
        <v/>
      </c>
      <c r="AW22" s="2563" t="str">
        <f t="shared" ca="1" si="16"/>
        <v/>
      </c>
      <c r="AX22" s="2560" t="str">
        <f t="shared" ca="1" si="16"/>
        <v/>
      </c>
      <c r="AY22" s="2560" t="str">
        <f t="shared" ca="1" si="16"/>
        <v/>
      </c>
      <c r="AZ22" s="2561" t="str">
        <f t="shared" ca="1" si="16"/>
        <v/>
      </c>
      <c r="BA22" s="2564" t="str">
        <f t="shared" ca="1" si="17"/>
        <v/>
      </c>
      <c r="BB22" s="2560" t="str">
        <f t="shared" ca="1" si="17"/>
        <v/>
      </c>
      <c r="BC22" s="2560" t="str">
        <f t="shared" ca="1" si="17"/>
        <v/>
      </c>
      <c r="BD22" s="2561" t="str">
        <f t="shared" ca="1" si="17"/>
        <v/>
      </c>
      <c r="BE22" s="2957" t="s">
        <v>3</v>
      </c>
      <c r="BF22" s="2756"/>
      <c r="BG22" s="2846"/>
      <c r="BH22" s="2756"/>
      <c r="BI22" s="2514">
        <f t="shared" si="12"/>
        <v>48214</v>
      </c>
      <c r="BJ22" s="2516">
        <f t="shared" si="13"/>
        <v>12</v>
      </c>
      <c r="BK22" s="2499">
        <f t="shared" si="6"/>
        <v>2032</v>
      </c>
      <c r="BL22" s="2368" t="s">
        <v>72</v>
      </c>
      <c r="BM22" s="2368">
        <f t="shared" si="14"/>
        <v>12</v>
      </c>
      <c r="BN22" s="2367">
        <f t="shared" si="7"/>
        <v>12</v>
      </c>
      <c r="BO22" s="2500" t="str">
        <f t="shared" si="8"/>
        <v>1/0/2032</v>
      </c>
      <c r="BP22" s="2501">
        <f t="shared" ca="1" si="2"/>
        <v>0</v>
      </c>
      <c r="BQ22" s="2367">
        <v>52</v>
      </c>
      <c r="BR22" s="2502">
        <f t="shared" si="3"/>
        <v>1.1111111111111112E-2</v>
      </c>
      <c r="BS22" s="2503">
        <f t="shared" ca="1" si="9"/>
        <v>0</v>
      </c>
      <c r="BT22"/>
      <c r="CB22" s="2370"/>
    </row>
    <row r="23" spans="1:80" ht="13" customHeight="1" thickBot="1" x14ac:dyDescent="0.4">
      <c r="A23" s="2943"/>
      <c r="B23" s="2546">
        <f t="shared" si="10"/>
        <v>2033</v>
      </c>
      <c r="C23" s="2565">
        <f t="shared" si="4"/>
        <v>13</v>
      </c>
      <c r="D23" s="2566" t="str">
        <f ca="1">IF(BS23=0,"",SUM(BS$10:BS23))</f>
        <v/>
      </c>
      <c r="E23" s="2567" t="str">
        <f t="shared" ca="1" si="11"/>
        <v/>
      </c>
      <c r="F23" s="2568" t="str">
        <f t="shared" ca="1" si="11"/>
        <v/>
      </c>
      <c r="G23" s="2569" t="str">
        <f t="shared" ca="1" si="11"/>
        <v/>
      </c>
      <c r="H23" s="2569" t="str">
        <f t="shared" ca="1" si="11"/>
        <v/>
      </c>
      <c r="I23" s="2570" t="str">
        <f t="shared" ca="1" si="11"/>
        <v/>
      </c>
      <c r="J23" s="2567" t="str">
        <f t="shared" ca="1" si="11"/>
        <v/>
      </c>
      <c r="K23" s="2569" t="str">
        <f t="shared" ca="1" si="11"/>
        <v/>
      </c>
      <c r="L23" s="2569" t="str">
        <f t="shared" ca="1" si="11"/>
        <v/>
      </c>
      <c r="M23" s="2570" t="str">
        <f t="shared" ca="1" si="11"/>
        <v/>
      </c>
      <c r="N23" s="2571" t="str">
        <f t="shared" ca="1" si="11"/>
        <v/>
      </c>
      <c r="O23" s="2569" t="str">
        <f t="shared" ca="1" si="11"/>
        <v/>
      </c>
      <c r="P23" s="2569" t="str">
        <f t="shared" ca="1" si="11"/>
        <v/>
      </c>
      <c r="Q23" s="2570" t="str">
        <f t="shared" ca="1" si="11"/>
        <v/>
      </c>
      <c r="R23" s="2572" t="str">
        <f t="shared" ca="1" si="11"/>
        <v/>
      </c>
      <c r="S23" s="2569" t="str">
        <f t="shared" ca="1" si="11"/>
        <v/>
      </c>
      <c r="T23" s="2569" t="str">
        <f t="shared" ca="1" si="11"/>
        <v/>
      </c>
      <c r="U23" s="2570" t="str">
        <f t="shared" ca="1" si="15"/>
        <v/>
      </c>
      <c r="V23" s="2572" t="str">
        <f t="shared" ca="1" si="15"/>
        <v/>
      </c>
      <c r="W23" s="2569" t="str">
        <f t="shared" ca="1" si="15"/>
        <v/>
      </c>
      <c r="X23" s="2569" t="str">
        <f t="shared" ca="1" si="15"/>
        <v/>
      </c>
      <c r="Y23" s="2569" t="str">
        <f t="shared" ca="1" si="15"/>
        <v/>
      </c>
      <c r="Z23" s="2569" t="str">
        <f t="shared" ca="1" si="15"/>
        <v/>
      </c>
      <c r="AA23" s="2570" t="str">
        <f t="shared" ca="1" si="15"/>
        <v/>
      </c>
      <c r="AB23" s="2572" t="str">
        <f t="shared" ca="1" si="15"/>
        <v/>
      </c>
      <c r="AC23" s="2569" t="str">
        <f t="shared" ca="1" si="15"/>
        <v/>
      </c>
      <c r="AD23" s="2569" t="str">
        <f t="shared" ca="1" si="15"/>
        <v/>
      </c>
      <c r="AE23" s="2570" t="str">
        <f t="shared" ca="1" si="15"/>
        <v/>
      </c>
      <c r="AF23" s="2572" t="str">
        <f t="shared" ca="1" si="15"/>
        <v/>
      </c>
      <c r="AG23" s="2569" t="str">
        <f t="shared" ca="1" si="15"/>
        <v/>
      </c>
      <c r="AH23" s="2569" t="str">
        <f t="shared" ca="1" si="15"/>
        <v/>
      </c>
      <c r="AI23" s="2570" t="str">
        <f t="shared" ca="1" si="15"/>
        <v/>
      </c>
      <c r="AJ23" s="2572" t="str">
        <f t="shared" ca="1" si="15"/>
        <v/>
      </c>
      <c r="AK23" s="2569" t="str">
        <f t="shared" ca="1" si="16"/>
        <v/>
      </c>
      <c r="AL23" s="2569" t="str">
        <f t="shared" ca="1" si="16"/>
        <v/>
      </c>
      <c r="AM23" s="2569" t="str">
        <f t="shared" ca="1" si="16"/>
        <v/>
      </c>
      <c r="AN23" s="2570" t="str">
        <f t="shared" ca="1" si="16"/>
        <v/>
      </c>
      <c r="AO23" s="2572" t="str">
        <f t="shared" ca="1" si="16"/>
        <v/>
      </c>
      <c r="AP23" s="2569" t="str">
        <f t="shared" ca="1" si="16"/>
        <v/>
      </c>
      <c r="AQ23" s="2569" t="str">
        <f t="shared" ca="1" si="16"/>
        <v/>
      </c>
      <c r="AR23" s="2570" t="str">
        <f t="shared" ca="1" si="16"/>
        <v/>
      </c>
      <c r="AS23" s="2572" t="str">
        <f t="shared" ca="1" si="16"/>
        <v/>
      </c>
      <c r="AT23" s="2569" t="str">
        <f t="shared" ca="1" si="16"/>
        <v/>
      </c>
      <c r="AU23" s="2569" t="str">
        <f t="shared" ca="1" si="16"/>
        <v/>
      </c>
      <c r="AV23" s="2570" t="str">
        <f t="shared" ca="1" si="16"/>
        <v/>
      </c>
      <c r="AW23" s="2572" t="str">
        <f t="shared" ca="1" si="16"/>
        <v/>
      </c>
      <c r="AX23" s="2569" t="str">
        <f t="shared" ca="1" si="16"/>
        <v/>
      </c>
      <c r="AY23" s="2569" t="str">
        <f t="shared" ca="1" si="16"/>
        <v/>
      </c>
      <c r="AZ23" s="2570" t="str">
        <f t="shared" ca="1" si="16"/>
        <v/>
      </c>
      <c r="BA23" s="2573" t="str">
        <f t="shared" ca="1" si="17"/>
        <v/>
      </c>
      <c r="BB23" s="2569" t="str">
        <f t="shared" ca="1" si="17"/>
        <v/>
      </c>
      <c r="BC23" s="2569" t="str">
        <f t="shared" ca="1" si="17"/>
        <v/>
      </c>
      <c r="BD23" s="2570" t="str">
        <f t="shared" ca="1" si="17"/>
        <v/>
      </c>
      <c r="BE23" s="2958"/>
      <c r="BF23" s="2757"/>
      <c r="BG23" s="2845"/>
      <c r="BH23" s="2757"/>
      <c r="BI23" s="2514">
        <f t="shared" si="12"/>
        <v>48580</v>
      </c>
      <c r="BJ23" s="2516">
        <f t="shared" si="13"/>
        <v>13</v>
      </c>
      <c r="BK23" s="2499">
        <f t="shared" si="6"/>
        <v>2033</v>
      </c>
      <c r="BN23" s="2367">
        <f t="shared" si="7"/>
        <v>13</v>
      </c>
      <c r="BO23" s="2500" t="str">
        <f t="shared" si="8"/>
        <v>1/0/2033</v>
      </c>
      <c r="BP23" s="2501">
        <f t="shared" ca="1" si="2"/>
        <v>0</v>
      </c>
      <c r="BQ23" s="2367">
        <v>52</v>
      </c>
      <c r="BR23" s="2502">
        <f t="shared" si="3"/>
        <v>1.1111111111111112E-2</v>
      </c>
      <c r="BS23" s="2503">
        <f t="shared" ca="1" si="9"/>
        <v>0</v>
      </c>
      <c r="BT23"/>
      <c r="CB23" s="2370"/>
    </row>
    <row r="24" spans="1:80" ht="13" customHeight="1" x14ac:dyDescent="0.35">
      <c r="A24" s="2943"/>
      <c r="B24" s="2526">
        <f t="shared" si="10"/>
        <v>2034</v>
      </c>
      <c r="C24" s="2574">
        <f t="shared" si="4"/>
        <v>14</v>
      </c>
      <c r="D24" s="2575" t="str">
        <f ca="1">IF(BS24=0,"",SUM(BS$10:BS24))</f>
        <v/>
      </c>
      <c r="E24" s="2576" t="str">
        <f t="shared" ca="1" si="11"/>
        <v/>
      </c>
      <c r="F24" s="2577" t="str">
        <f t="shared" ca="1" si="11"/>
        <v/>
      </c>
      <c r="G24" s="2578" t="str">
        <f t="shared" ca="1" si="11"/>
        <v/>
      </c>
      <c r="H24" s="2578" t="str">
        <f t="shared" ca="1" si="11"/>
        <v/>
      </c>
      <c r="I24" s="2579" t="str">
        <f t="shared" ca="1" si="11"/>
        <v/>
      </c>
      <c r="J24" s="2576" t="str">
        <f t="shared" ca="1" si="11"/>
        <v/>
      </c>
      <c r="K24" s="2578" t="str">
        <f t="shared" ca="1" si="11"/>
        <v/>
      </c>
      <c r="L24" s="2578" t="str">
        <f t="shared" ca="1" si="11"/>
        <v/>
      </c>
      <c r="M24" s="2579" t="str">
        <f t="shared" ca="1" si="11"/>
        <v/>
      </c>
      <c r="N24" s="2580" t="str">
        <f t="shared" ca="1" si="11"/>
        <v/>
      </c>
      <c r="O24" s="2578" t="str">
        <f t="shared" ca="1" si="11"/>
        <v/>
      </c>
      <c r="P24" s="2578" t="str">
        <f t="shared" ca="1" si="11"/>
        <v/>
      </c>
      <c r="Q24" s="2579" t="str">
        <f t="shared" ca="1" si="11"/>
        <v/>
      </c>
      <c r="R24" s="2581" t="str">
        <f t="shared" ca="1" si="11"/>
        <v/>
      </c>
      <c r="S24" s="2578" t="str">
        <f t="shared" ca="1" si="11"/>
        <v/>
      </c>
      <c r="T24" s="2578" t="str">
        <f t="shared" ca="1" si="11"/>
        <v/>
      </c>
      <c r="U24" s="2579" t="str">
        <f t="shared" ca="1" si="15"/>
        <v/>
      </c>
      <c r="V24" s="2581" t="str">
        <f t="shared" ca="1" si="15"/>
        <v/>
      </c>
      <c r="W24" s="2578" t="str">
        <f t="shared" ca="1" si="15"/>
        <v/>
      </c>
      <c r="X24" s="2578" t="str">
        <f t="shared" ca="1" si="15"/>
        <v/>
      </c>
      <c r="Y24" s="2578" t="str">
        <f t="shared" ca="1" si="15"/>
        <v/>
      </c>
      <c r="Z24" s="2578" t="str">
        <f t="shared" ca="1" si="15"/>
        <v/>
      </c>
      <c r="AA24" s="2579" t="str">
        <f t="shared" ca="1" si="15"/>
        <v/>
      </c>
      <c r="AB24" s="2581" t="str">
        <f t="shared" ca="1" si="15"/>
        <v/>
      </c>
      <c r="AC24" s="2578" t="str">
        <f t="shared" ca="1" si="15"/>
        <v/>
      </c>
      <c r="AD24" s="2578" t="str">
        <f t="shared" ca="1" si="15"/>
        <v/>
      </c>
      <c r="AE24" s="2579" t="str">
        <f t="shared" ca="1" si="15"/>
        <v/>
      </c>
      <c r="AF24" s="2581" t="str">
        <f t="shared" ca="1" si="15"/>
        <v/>
      </c>
      <c r="AG24" s="2578" t="str">
        <f t="shared" ca="1" si="15"/>
        <v/>
      </c>
      <c r="AH24" s="2578" t="str">
        <f t="shared" ca="1" si="15"/>
        <v/>
      </c>
      <c r="AI24" s="2579" t="str">
        <f t="shared" ca="1" si="15"/>
        <v/>
      </c>
      <c r="AJ24" s="2581" t="str">
        <f t="shared" ca="1" si="15"/>
        <v/>
      </c>
      <c r="AK24" s="2578" t="str">
        <f t="shared" ca="1" si="16"/>
        <v/>
      </c>
      <c r="AL24" s="2578" t="str">
        <f t="shared" ca="1" si="16"/>
        <v/>
      </c>
      <c r="AM24" s="2578" t="str">
        <f t="shared" ca="1" si="16"/>
        <v/>
      </c>
      <c r="AN24" s="2579" t="str">
        <f t="shared" ca="1" si="16"/>
        <v/>
      </c>
      <c r="AO24" s="2581" t="str">
        <f t="shared" ca="1" si="16"/>
        <v/>
      </c>
      <c r="AP24" s="2578" t="str">
        <f t="shared" ca="1" si="16"/>
        <v/>
      </c>
      <c r="AQ24" s="2578" t="str">
        <f t="shared" ca="1" si="16"/>
        <v/>
      </c>
      <c r="AR24" s="2579" t="str">
        <f t="shared" ca="1" si="16"/>
        <v/>
      </c>
      <c r="AS24" s="2581" t="str">
        <f t="shared" ca="1" si="16"/>
        <v/>
      </c>
      <c r="AT24" s="2578" t="str">
        <f t="shared" ca="1" si="16"/>
        <v/>
      </c>
      <c r="AU24" s="2578" t="str">
        <f t="shared" ca="1" si="16"/>
        <v/>
      </c>
      <c r="AV24" s="2579" t="str">
        <f t="shared" ca="1" si="16"/>
        <v/>
      </c>
      <c r="AW24" s="2581" t="str">
        <f t="shared" ca="1" si="16"/>
        <v/>
      </c>
      <c r="AX24" s="2578" t="str">
        <f t="shared" ca="1" si="16"/>
        <v/>
      </c>
      <c r="AY24" s="2578" t="str">
        <f t="shared" ca="1" si="16"/>
        <v/>
      </c>
      <c r="AZ24" s="2579" t="str">
        <f t="shared" ca="1" si="16"/>
        <v/>
      </c>
      <c r="BA24" s="2582" t="str">
        <f t="shared" ca="1" si="17"/>
        <v/>
      </c>
      <c r="BB24" s="2578" t="str">
        <f t="shared" ca="1" si="17"/>
        <v/>
      </c>
      <c r="BC24" s="2578" t="str">
        <f t="shared" ca="1" si="17"/>
        <v/>
      </c>
      <c r="BD24" s="2579" t="str">
        <f t="shared" ca="1" si="17"/>
        <v/>
      </c>
      <c r="BE24" s="2951" t="s">
        <v>2</v>
      </c>
      <c r="BF24" s="2758"/>
      <c r="BG24" s="2758"/>
      <c r="BH24" s="2842"/>
      <c r="BI24" s="2514">
        <f t="shared" si="12"/>
        <v>48945</v>
      </c>
      <c r="BJ24" s="2516">
        <f t="shared" si="13"/>
        <v>14</v>
      </c>
      <c r="BK24" s="2499">
        <f t="shared" si="6"/>
        <v>2034</v>
      </c>
      <c r="BL24" s="2368" t="s">
        <v>761</v>
      </c>
      <c r="BN24" s="2367">
        <f t="shared" si="7"/>
        <v>14</v>
      </c>
      <c r="BO24" s="2500" t="str">
        <f t="shared" si="8"/>
        <v>1/0/2034</v>
      </c>
      <c r="BP24" s="2501">
        <f t="shared" ca="1" si="2"/>
        <v>0</v>
      </c>
      <c r="BQ24" s="2367">
        <v>52</v>
      </c>
      <c r="BR24" s="2502">
        <f t="shared" si="3"/>
        <v>1.1111111111111112E-2</v>
      </c>
      <c r="BS24" s="2503">
        <f t="shared" ca="1" si="9"/>
        <v>0</v>
      </c>
      <c r="BT24"/>
      <c r="CB24" s="2370"/>
    </row>
    <row r="25" spans="1:80" ht="13" customHeight="1" x14ac:dyDescent="0.35">
      <c r="A25" s="2943"/>
      <c r="B25" s="2536">
        <f t="shared" si="10"/>
        <v>2035</v>
      </c>
      <c r="C25" s="2583">
        <f t="shared" si="4"/>
        <v>15</v>
      </c>
      <c r="D25" s="2507" t="str">
        <f ca="1">IF(BS25=0,"",SUM(BS$10:BS25))</f>
        <v/>
      </c>
      <c r="E25" s="2512" t="str">
        <f t="shared" ca="1" si="11"/>
        <v/>
      </c>
      <c r="F25" s="2509" t="str">
        <f t="shared" ca="1" si="11"/>
        <v/>
      </c>
      <c r="G25" s="2584" t="str">
        <f t="shared" ca="1" si="11"/>
        <v/>
      </c>
      <c r="H25" s="2584" t="str">
        <f t="shared" ca="1" si="11"/>
        <v/>
      </c>
      <c r="I25" s="2585" t="str">
        <f t="shared" ca="1" si="11"/>
        <v/>
      </c>
      <c r="J25" s="2512" t="str">
        <f t="shared" ca="1" si="11"/>
        <v/>
      </c>
      <c r="K25" s="2584" t="str">
        <f t="shared" ca="1" si="11"/>
        <v/>
      </c>
      <c r="L25" s="2584" t="str">
        <f t="shared" ca="1" si="11"/>
        <v/>
      </c>
      <c r="M25" s="2585" t="str">
        <f t="shared" ca="1" si="11"/>
        <v/>
      </c>
      <c r="N25" s="2586" t="str">
        <f t="shared" ca="1" si="11"/>
        <v/>
      </c>
      <c r="O25" s="2584" t="str">
        <f t="shared" ca="1" si="11"/>
        <v/>
      </c>
      <c r="P25" s="2584" t="str">
        <f t="shared" ca="1" si="11"/>
        <v/>
      </c>
      <c r="Q25" s="2585" t="str">
        <f t="shared" ca="1" si="11"/>
        <v/>
      </c>
      <c r="R25" s="2513" t="str">
        <f t="shared" ca="1" si="11"/>
        <v/>
      </c>
      <c r="S25" s="2584" t="str">
        <f t="shared" ca="1" si="11"/>
        <v/>
      </c>
      <c r="T25" s="2584" t="str">
        <f t="shared" ca="1" si="11"/>
        <v/>
      </c>
      <c r="U25" s="2585" t="str">
        <f t="shared" ca="1" si="15"/>
        <v/>
      </c>
      <c r="V25" s="2513" t="str">
        <f t="shared" ca="1" si="15"/>
        <v/>
      </c>
      <c r="W25" s="2584" t="str">
        <f t="shared" ca="1" si="15"/>
        <v/>
      </c>
      <c r="X25" s="2584" t="str">
        <f t="shared" ca="1" si="15"/>
        <v/>
      </c>
      <c r="Y25" s="2584" t="str">
        <f t="shared" ca="1" si="15"/>
        <v/>
      </c>
      <c r="Z25" s="2584" t="str">
        <f t="shared" ca="1" si="15"/>
        <v/>
      </c>
      <c r="AA25" s="2585" t="str">
        <f t="shared" ca="1" si="15"/>
        <v/>
      </c>
      <c r="AB25" s="2513" t="str">
        <f t="shared" ca="1" si="15"/>
        <v/>
      </c>
      <c r="AC25" s="2584" t="str">
        <f t="shared" ca="1" si="15"/>
        <v/>
      </c>
      <c r="AD25" s="2584" t="str">
        <f t="shared" ca="1" si="15"/>
        <v/>
      </c>
      <c r="AE25" s="2585" t="str">
        <f t="shared" ca="1" si="15"/>
        <v/>
      </c>
      <c r="AF25" s="2513" t="str">
        <f t="shared" ca="1" si="15"/>
        <v/>
      </c>
      <c r="AG25" s="2584" t="str">
        <f t="shared" ca="1" si="15"/>
        <v/>
      </c>
      <c r="AH25" s="2584" t="str">
        <f t="shared" ca="1" si="15"/>
        <v/>
      </c>
      <c r="AI25" s="2585" t="str">
        <f t="shared" ca="1" si="15"/>
        <v/>
      </c>
      <c r="AJ25" s="2513" t="str">
        <f t="shared" ca="1" si="15"/>
        <v/>
      </c>
      <c r="AK25" s="2584" t="str">
        <f t="shared" ca="1" si="16"/>
        <v/>
      </c>
      <c r="AL25" s="2584" t="str">
        <f t="shared" ca="1" si="16"/>
        <v/>
      </c>
      <c r="AM25" s="2584" t="str">
        <f t="shared" ca="1" si="16"/>
        <v/>
      </c>
      <c r="AN25" s="2585" t="str">
        <f t="shared" ca="1" si="16"/>
        <v/>
      </c>
      <c r="AO25" s="2513" t="str">
        <f t="shared" ca="1" si="16"/>
        <v/>
      </c>
      <c r="AP25" s="2584" t="str">
        <f t="shared" ca="1" si="16"/>
        <v/>
      </c>
      <c r="AQ25" s="2584" t="str">
        <f t="shared" ca="1" si="16"/>
        <v/>
      </c>
      <c r="AR25" s="2585" t="str">
        <f t="shared" ca="1" si="16"/>
        <v/>
      </c>
      <c r="AS25" s="2513" t="str">
        <f t="shared" ca="1" si="16"/>
        <v/>
      </c>
      <c r="AT25" s="2584" t="str">
        <f t="shared" ca="1" si="16"/>
        <v/>
      </c>
      <c r="AU25" s="2584" t="str">
        <f t="shared" ca="1" si="16"/>
        <v/>
      </c>
      <c r="AV25" s="2585" t="str">
        <f t="shared" ca="1" si="16"/>
        <v/>
      </c>
      <c r="AW25" s="2513" t="str">
        <f t="shared" ca="1" si="16"/>
        <v/>
      </c>
      <c r="AX25" s="2584" t="str">
        <f t="shared" ca="1" si="16"/>
        <v/>
      </c>
      <c r="AY25" s="2584" t="str">
        <f t="shared" ca="1" si="16"/>
        <v/>
      </c>
      <c r="AZ25" s="2585" t="str">
        <f t="shared" ca="1" si="16"/>
        <v/>
      </c>
      <c r="BA25" s="2510" t="str">
        <f t="shared" ca="1" si="17"/>
        <v/>
      </c>
      <c r="BB25" s="2584" t="str">
        <f t="shared" ca="1" si="17"/>
        <v/>
      </c>
      <c r="BC25" s="2584" t="str">
        <f t="shared" ca="1" si="17"/>
        <v/>
      </c>
      <c r="BD25" s="2585" t="str">
        <f t="shared" ca="1" si="17"/>
        <v/>
      </c>
      <c r="BE25" s="2952"/>
      <c r="BF25" s="2759"/>
      <c r="BG25" s="2843"/>
      <c r="BH25" s="2843"/>
      <c r="BI25" s="2514">
        <f t="shared" si="12"/>
        <v>49310</v>
      </c>
      <c r="BJ25" s="2516">
        <f t="shared" si="13"/>
        <v>15</v>
      </c>
      <c r="BK25" s="2499">
        <f t="shared" si="6"/>
        <v>2035</v>
      </c>
      <c r="BL25" s="2587" t="s">
        <v>763</v>
      </c>
      <c r="BM25" s="2368" t="s">
        <v>762</v>
      </c>
      <c r="BN25" s="2367">
        <f t="shared" si="7"/>
        <v>15</v>
      </c>
      <c r="BO25" s="2500" t="str">
        <f t="shared" si="8"/>
        <v>1/0/2035</v>
      </c>
      <c r="BP25" s="2501">
        <f t="shared" ca="1" si="2"/>
        <v>0</v>
      </c>
      <c r="BQ25" s="2367">
        <v>52</v>
      </c>
      <c r="BR25" s="2502">
        <f t="shared" si="3"/>
        <v>1.1111111111111112E-2</v>
      </c>
      <c r="BS25" s="2503">
        <f t="shared" ca="1" si="9"/>
        <v>0</v>
      </c>
      <c r="BT25"/>
      <c r="CB25" s="2370"/>
    </row>
    <row r="26" spans="1:80" ht="13" customHeight="1" x14ac:dyDescent="0.35">
      <c r="A26" s="2943"/>
      <c r="B26" s="2536">
        <f t="shared" si="10"/>
        <v>2036</v>
      </c>
      <c r="C26" s="2583">
        <f t="shared" si="4"/>
        <v>16</v>
      </c>
      <c r="D26" s="2507" t="str">
        <f ca="1">IF(BS26=0,"",SUM(BS$10:BS26))</f>
        <v/>
      </c>
      <c r="E26" s="2512" t="str">
        <f t="shared" ca="1" si="11"/>
        <v/>
      </c>
      <c r="F26" s="2509" t="str">
        <f t="shared" ca="1" si="11"/>
        <v/>
      </c>
      <c r="G26" s="2584" t="str">
        <f t="shared" ca="1" si="11"/>
        <v/>
      </c>
      <c r="H26" s="2584" t="str">
        <f t="shared" ca="1" si="11"/>
        <v/>
      </c>
      <c r="I26" s="2585" t="str">
        <f t="shared" ca="1" si="11"/>
        <v/>
      </c>
      <c r="J26" s="2512" t="str">
        <f t="shared" ca="1" si="11"/>
        <v/>
      </c>
      <c r="K26" s="2584" t="str">
        <f t="shared" ca="1" si="11"/>
        <v/>
      </c>
      <c r="L26" s="2584" t="str">
        <f t="shared" ca="1" si="11"/>
        <v/>
      </c>
      <c r="M26" s="2585" t="str">
        <f t="shared" ca="1" si="11"/>
        <v/>
      </c>
      <c r="N26" s="2586" t="str">
        <f t="shared" ca="1" si="11"/>
        <v/>
      </c>
      <c r="O26" s="2584" t="str">
        <f t="shared" ca="1" si="11"/>
        <v/>
      </c>
      <c r="P26" s="2584" t="str">
        <f t="shared" ca="1" si="11"/>
        <v/>
      </c>
      <c r="Q26" s="2585" t="str">
        <f t="shared" ca="1" si="11"/>
        <v/>
      </c>
      <c r="R26" s="2513" t="str">
        <f t="shared" ca="1" si="11"/>
        <v/>
      </c>
      <c r="S26" s="2584" t="str">
        <f t="shared" ca="1" si="11"/>
        <v/>
      </c>
      <c r="T26" s="2584" t="str">
        <f t="shared" ca="1" si="11"/>
        <v/>
      </c>
      <c r="U26" s="2585" t="str">
        <f t="shared" ca="1" si="15"/>
        <v/>
      </c>
      <c r="V26" s="2513" t="str">
        <f t="shared" ca="1" si="15"/>
        <v/>
      </c>
      <c r="W26" s="2584" t="str">
        <f t="shared" ca="1" si="15"/>
        <v/>
      </c>
      <c r="X26" s="2584" t="str">
        <f t="shared" ca="1" si="15"/>
        <v/>
      </c>
      <c r="Y26" s="2584" t="str">
        <f t="shared" ca="1" si="15"/>
        <v/>
      </c>
      <c r="Z26" s="2584" t="str">
        <f t="shared" ca="1" si="15"/>
        <v/>
      </c>
      <c r="AA26" s="2585" t="str">
        <f t="shared" ca="1" si="15"/>
        <v/>
      </c>
      <c r="AB26" s="2513" t="str">
        <f t="shared" ca="1" si="15"/>
        <v/>
      </c>
      <c r="AC26" s="2584" t="str">
        <f t="shared" ca="1" si="15"/>
        <v/>
      </c>
      <c r="AD26" s="2584" t="str">
        <f t="shared" ca="1" si="15"/>
        <v/>
      </c>
      <c r="AE26" s="2585" t="str">
        <f t="shared" ca="1" si="15"/>
        <v/>
      </c>
      <c r="AF26" s="2513" t="str">
        <f t="shared" ca="1" si="15"/>
        <v/>
      </c>
      <c r="AG26" s="2584" t="str">
        <f t="shared" ca="1" si="15"/>
        <v/>
      </c>
      <c r="AH26" s="2584" t="str">
        <f t="shared" ca="1" si="15"/>
        <v/>
      </c>
      <c r="AI26" s="2585" t="str">
        <f t="shared" ca="1" si="15"/>
        <v/>
      </c>
      <c r="AJ26" s="2513" t="str">
        <f t="shared" ca="1" si="15"/>
        <v/>
      </c>
      <c r="AK26" s="2584" t="str">
        <f t="shared" ca="1" si="16"/>
        <v/>
      </c>
      <c r="AL26" s="2584" t="str">
        <f t="shared" ca="1" si="16"/>
        <v/>
      </c>
      <c r="AM26" s="2584" t="str">
        <f t="shared" ca="1" si="16"/>
        <v/>
      </c>
      <c r="AN26" s="2585" t="str">
        <f t="shared" ca="1" si="16"/>
        <v/>
      </c>
      <c r="AO26" s="2513" t="str">
        <f t="shared" ca="1" si="16"/>
        <v/>
      </c>
      <c r="AP26" s="2584" t="str">
        <f t="shared" ca="1" si="16"/>
        <v/>
      </c>
      <c r="AQ26" s="2584" t="str">
        <f t="shared" ca="1" si="16"/>
        <v/>
      </c>
      <c r="AR26" s="2585" t="str">
        <f t="shared" ca="1" si="16"/>
        <v/>
      </c>
      <c r="AS26" s="2513" t="str">
        <f t="shared" ca="1" si="16"/>
        <v/>
      </c>
      <c r="AT26" s="2584" t="str">
        <f t="shared" ca="1" si="16"/>
        <v/>
      </c>
      <c r="AU26" s="2584" t="str">
        <f t="shared" ca="1" si="16"/>
        <v/>
      </c>
      <c r="AV26" s="2585" t="str">
        <f t="shared" ca="1" si="16"/>
        <v/>
      </c>
      <c r="AW26" s="2513" t="str">
        <f t="shared" ca="1" si="16"/>
        <v/>
      </c>
      <c r="AX26" s="2584" t="str">
        <f t="shared" ca="1" si="16"/>
        <v/>
      </c>
      <c r="AY26" s="2584" t="str">
        <f t="shared" ca="1" si="16"/>
        <v/>
      </c>
      <c r="AZ26" s="2585" t="str">
        <f t="shared" ca="1" si="16"/>
        <v/>
      </c>
      <c r="BA26" s="2510" t="str">
        <f t="shared" ca="1" si="17"/>
        <v/>
      </c>
      <c r="BB26" s="2584" t="str">
        <f t="shared" ca="1" si="17"/>
        <v/>
      </c>
      <c r="BC26" s="2584" t="str">
        <f t="shared" ca="1" si="17"/>
        <v/>
      </c>
      <c r="BD26" s="2585" t="str">
        <f t="shared" ca="1" si="17"/>
        <v/>
      </c>
      <c r="BE26" s="2952"/>
      <c r="BF26" s="2759"/>
      <c r="BG26" s="2843"/>
      <c r="BH26" s="2759"/>
      <c r="BI26" s="2514">
        <f t="shared" si="12"/>
        <v>49675</v>
      </c>
      <c r="BJ26" s="2516">
        <f t="shared" si="13"/>
        <v>16</v>
      </c>
      <c r="BK26" s="2499">
        <f t="shared" si="6"/>
        <v>2036</v>
      </c>
      <c r="BN26" s="2367">
        <f t="shared" si="7"/>
        <v>16</v>
      </c>
      <c r="BO26" s="2500" t="str">
        <f t="shared" si="8"/>
        <v>1/0/2036</v>
      </c>
      <c r="BP26" s="2501">
        <f t="shared" ca="1" si="2"/>
        <v>0</v>
      </c>
      <c r="BQ26" s="2367">
        <v>52</v>
      </c>
      <c r="BR26" s="2502">
        <f t="shared" si="3"/>
        <v>1.1111111111111112E-2</v>
      </c>
      <c r="BS26" s="2503">
        <f t="shared" ca="1" si="9"/>
        <v>0</v>
      </c>
      <c r="BT26"/>
      <c r="CB26" s="2370"/>
    </row>
    <row r="27" spans="1:80" ht="13" customHeight="1" thickBot="1" x14ac:dyDescent="0.4">
      <c r="A27" s="2943"/>
      <c r="B27" s="2546">
        <f t="shared" si="10"/>
        <v>2037</v>
      </c>
      <c r="C27" s="2588">
        <f t="shared" si="4"/>
        <v>17</v>
      </c>
      <c r="D27" s="2518" t="str">
        <f ca="1">IF(BS27=0,"",SUM(BS$10:BS27))</f>
        <v/>
      </c>
      <c r="E27" s="2589" t="str">
        <f t="shared" ca="1" si="11"/>
        <v/>
      </c>
      <c r="F27" s="2590" t="str">
        <f t="shared" ca="1" si="11"/>
        <v/>
      </c>
      <c r="G27" s="2591" t="str">
        <f t="shared" ca="1" si="11"/>
        <v/>
      </c>
      <c r="H27" s="2591" t="str">
        <f t="shared" ca="1" si="11"/>
        <v/>
      </c>
      <c r="I27" s="2592" t="str">
        <f t="shared" ca="1" si="11"/>
        <v/>
      </c>
      <c r="J27" s="2589" t="str">
        <f t="shared" ca="1" si="11"/>
        <v/>
      </c>
      <c r="K27" s="2591" t="str">
        <f t="shared" ca="1" si="11"/>
        <v/>
      </c>
      <c r="L27" s="2591" t="str">
        <f t="shared" ca="1" si="11"/>
        <v/>
      </c>
      <c r="M27" s="2592" t="str">
        <f t="shared" ca="1" si="11"/>
        <v/>
      </c>
      <c r="N27" s="2593" t="str">
        <f t="shared" ca="1" si="11"/>
        <v/>
      </c>
      <c r="O27" s="2591" t="str">
        <f t="shared" ca="1" si="11"/>
        <v/>
      </c>
      <c r="P27" s="2591" t="str">
        <f t="shared" ca="1" si="11"/>
        <v/>
      </c>
      <c r="Q27" s="2592" t="str">
        <f t="shared" ca="1" si="11"/>
        <v/>
      </c>
      <c r="R27" s="2594" t="str">
        <f t="shared" ca="1" si="11"/>
        <v/>
      </c>
      <c r="S27" s="2591" t="str">
        <f t="shared" ca="1" si="11"/>
        <v/>
      </c>
      <c r="T27" s="2591" t="str">
        <f t="shared" ca="1" si="11"/>
        <v/>
      </c>
      <c r="U27" s="2592" t="str">
        <f t="shared" ca="1" si="15"/>
        <v/>
      </c>
      <c r="V27" s="2594" t="str">
        <f t="shared" ca="1" si="15"/>
        <v/>
      </c>
      <c r="W27" s="2591" t="str">
        <f t="shared" ca="1" si="15"/>
        <v/>
      </c>
      <c r="X27" s="2591" t="str">
        <f t="shared" ca="1" si="15"/>
        <v/>
      </c>
      <c r="Y27" s="2591" t="str">
        <f t="shared" ca="1" si="15"/>
        <v/>
      </c>
      <c r="Z27" s="2591" t="str">
        <f t="shared" ca="1" si="15"/>
        <v/>
      </c>
      <c r="AA27" s="2592" t="str">
        <f t="shared" ca="1" si="15"/>
        <v/>
      </c>
      <c r="AB27" s="2594" t="str">
        <f t="shared" ca="1" si="15"/>
        <v/>
      </c>
      <c r="AC27" s="2591" t="str">
        <f t="shared" ca="1" si="15"/>
        <v/>
      </c>
      <c r="AD27" s="2591" t="str">
        <f t="shared" ca="1" si="15"/>
        <v/>
      </c>
      <c r="AE27" s="2592" t="str">
        <f t="shared" ca="1" si="15"/>
        <v/>
      </c>
      <c r="AF27" s="2594" t="str">
        <f t="shared" ca="1" si="15"/>
        <v/>
      </c>
      <c r="AG27" s="2591" t="str">
        <f t="shared" ca="1" si="15"/>
        <v/>
      </c>
      <c r="AH27" s="2591" t="str">
        <f t="shared" ca="1" si="15"/>
        <v/>
      </c>
      <c r="AI27" s="2592" t="str">
        <f t="shared" ca="1" si="15"/>
        <v/>
      </c>
      <c r="AJ27" s="2594" t="str">
        <f t="shared" ca="1" si="15"/>
        <v/>
      </c>
      <c r="AK27" s="2591" t="str">
        <f t="shared" ca="1" si="16"/>
        <v/>
      </c>
      <c r="AL27" s="2591" t="str">
        <f t="shared" ca="1" si="16"/>
        <v/>
      </c>
      <c r="AM27" s="2591" t="str">
        <f t="shared" ca="1" si="16"/>
        <v/>
      </c>
      <c r="AN27" s="2592" t="str">
        <f t="shared" ca="1" si="16"/>
        <v/>
      </c>
      <c r="AO27" s="2594" t="str">
        <f t="shared" ca="1" si="16"/>
        <v/>
      </c>
      <c r="AP27" s="2591" t="str">
        <f t="shared" ca="1" si="16"/>
        <v/>
      </c>
      <c r="AQ27" s="2591" t="str">
        <f t="shared" ca="1" si="16"/>
        <v/>
      </c>
      <c r="AR27" s="2592" t="str">
        <f t="shared" ca="1" si="16"/>
        <v/>
      </c>
      <c r="AS27" s="2594" t="str">
        <f t="shared" ca="1" si="16"/>
        <v/>
      </c>
      <c r="AT27" s="2591" t="str">
        <f t="shared" ca="1" si="16"/>
        <v/>
      </c>
      <c r="AU27" s="2591" t="str">
        <f t="shared" ca="1" si="16"/>
        <v/>
      </c>
      <c r="AV27" s="2592" t="str">
        <f t="shared" ca="1" si="16"/>
        <v/>
      </c>
      <c r="AW27" s="2594" t="str">
        <f t="shared" ca="1" si="16"/>
        <v/>
      </c>
      <c r="AX27" s="2591" t="str">
        <f t="shared" ca="1" si="16"/>
        <v/>
      </c>
      <c r="AY27" s="2591" t="str">
        <f t="shared" ca="1" si="16"/>
        <v/>
      </c>
      <c r="AZ27" s="2592" t="str">
        <f t="shared" ca="1" si="16"/>
        <v/>
      </c>
      <c r="BA27" s="2595" t="str">
        <f t="shared" ca="1" si="17"/>
        <v/>
      </c>
      <c r="BB27" s="2591" t="str">
        <f t="shared" ca="1" si="17"/>
        <v/>
      </c>
      <c r="BC27" s="2591" t="str">
        <f t="shared" ca="1" si="17"/>
        <v/>
      </c>
      <c r="BD27" s="2592" t="str">
        <f t="shared" ca="1" si="17"/>
        <v/>
      </c>
      <c r="BE27" s="2953"/>
      <c r="BF27" s="2760"/>
      <c r="BG27" s="2760"/>
      <c r="BH27" s="2760"/>
      <c r="BI27" s="2514">
        <f t="shared" si="12"/>
        <v>50041</v>
      </c>
      <c r="BJ27" s="2516">
        <f t="shared" si="13"/>
        <v>17</v>
      </c>
      <c r="BK27" s="2499">
        <f t="shared" si="6"/>
        <v>2037</v>
      </c>
      <c r="BN27" s="2367">
        <f t="shared" si="7"/>
        <v>17</v>
      </c>
      <c r="BO27" s="2500" t="str">
        <f t="shared" si="8"/>
        <v>1/0/2037</v>
      </c>
      <c r="BP27" s="2501">
        <f t="shared" ca="1" si="2"/>
        <v>0</v>
      </c>
      <c r="BQ27" s="2367">
        <v>52</v>
      </c>
      <c r="BR27" s="2502">
        <f t="shared" si="3"/>
        <v>1.1111111111111112E-2</v>
      </c>
      <c r="BS27" s="2503">
        <f t="shared" ca="1" si="9"/>
        <v>0</v>
      </c>
      <c r="BT27"/>
      <c r="CB27" s="2370"/>
    </row>
    <row r="28" spans="1:80" ht="13" customHeight="1" x14ac:dyDescent="0.35">
      <c r="A28" s="2943"/>
      <c r="B28" s="2526">
        <f t="shared" si="10"/>
        <v>2038</v>
      </c>
      <c r="C28" s="2527">
        <f t="shared" si="4"/>
        <v>18</v>
      </c>
      <c r="D28" s="2528" t="str">
        <f ca="1">IF(BS28=0,"",SUM(BS$10:BS28))</f>
        <v/>
      </c>
      <c r="E28" s="2529" t="str">
        <f t="shared" ca="1" si="11"/>
        <v/>
      </c>
      <c r="F28" s="2530" t="str">
        <f t="shared" ca="1" si="11"/>
        <v/>
      </c>
      <c r="G28" s="2531" t="str">
        <f t="shared" ca="1" si="11"/>
        <v/>
      </c>
      <c r="H28" s="2531" t="str">
        <f t="shared" ca="1" si="11"/>
        <v/>
      </c>
      <c r="I28" s="2532" t="str">
        <f t="shared" ca="1" si="11"/>
        <v/>
      </c>
      <c r="J28" s="2529" t="str">
        <f t="shared" ca="1" si="11"/>
        <v/>
      </c>
      <c r="K28" s="2531" t="str">
        <f t="shared" ca="1" si="11"/>
        <v/>
      </c>
      <c r="L28" s="2531" t="str">
        <f t="shared" ca="1" si="11"/>
        <v/>
      </c>
      <c r="M28" s="2532" t="str">
        <f t="shared" ca="1" si="11"/>
        <v/>
      </c>
      <c r="N28" s="2533" t="str">
        <f t="shared" ca="1" si="11"/>
        <v/>
      </c>
      <c r="O28" s="2531" t="str">
        <f t="shared" ca="1" si="11"/>
        <v/>
      </c>
      <c r="P28" s="2531" t="str">
        <f t="shared" ca="1" si="11"/>
        <v/>
      </c>
      <c r="Q28" s="2532" t="str">
        <f t="shared" ca="1" si="11"/>
        <v/>
      </c>
      <c r="R28" s="2534" t="str">
        <f t="shared" ca="1" si="11"/>
        <v/>
      </c>
      <c r="S28" s="2531" t="str">
        <f t="shared" ca="1" si="11"/>
        <v/>
      </c>
      <c r="T28" s="2531" t="str">
        <f t="shared" ca="1" si="11"/>
        <v/>
      </c>
      <c r="U28" s="2840" t="str">
        <f t="shared" ca="1" si="15"/>
        <v/>
      </c>
      <c r="V28" s="2534" t="str">
        <f t="shared" ca="1" si="15"/>
        <v/>
      </c>
      <c r="W28" s="2531" t="str">
        <f t="shared" ca="1" si="15"/>
        <v/>
      </c>
      <c r="X28" s="2531" t="str">
        <f t="shared" ca="1" si="15"/>
        <v/>
      </c>
      <c r="Y28" s="2531" t="str">
        <f t="shared" ca="1" si="15"/>
        <v/>
      </c>
      <c r="Z28" s="2531" t="str">
        <f t="shared" ca="1" si="15"/>
        <v/>
      </c>
      <c r="AA28" s="2532" t="str">
        <f t="shared" ca="1" si="15"/>
        <v/>
      </c>
      <c r="AB28" s="2534" t="str">
        <f t="shared" ca="1" si="15"/>
        <v/>
      </c>
      <c r="AC28" s="2531" t="str">
        <f t="shared" ca="1" si="15"/>
        <v/>
      </c>
      <c r="AD28" s="2531" t="str">
        <f t="shared" ca="1" si="15"/>
        <v/>
      </c>
      <c r="AE28" s="2532" t="str">
        <f t="shared" ca="1" si="15"/>
        <v/>
      </c>
      <c r="AF28" s="2534" t="str">
        <f t="shared" ca="1" si="15"/>
        <v/>
      </c>
      <c r="AG28" s="2531" t="str">
        <f t="shared" ca="1" si="15"/>
        <v/>
      </c>
      <c r="AH28" s="2531" t="str">
        <f t="shared" ca="1" si="15"/>
        <v/>
      </c>
      <c r="AI28" s="2532" t="str">
        <f t="shared" ca="1" si="15"/>
        <v/>
      </c>
      <c r="AJ28" s="2534" t="str">
        <f t="shared" ca="1" si="15"/>
        <v/>
      </c>
      <c r="AK28" s="2531" t="str">
        <f t="shared" ca="1" si="16"/>
        <v/>
      </c>
      <c r="AL28" s="2531" t="str">
        <f t="shared" ca="1" si="16"/>
        <v/>
      </c>
      <c r="AM28" s="2531" t="str">
        <f t="shared" ca="1" si="16"/>
        <v/>
      </c>
      <c r="AN28" s="2532" t="str">
        <f t="shared" ca="1" si="16"/>
        <v/>
      </c>
      <c r="AO28" s="2534" t="str">
        <f t="shared" ca="1" si="16"/>
        <v/>
      </c>
      <c r="AP28" s="2531" t="str">
        <f t="shared" ca="1" si="16"/>
        <v/>
      </c>
      <c r="AQ28" s="2531" t="str">
        <f t="shared" ca="1" si="16"/>
        <v/>
      </c>
      <c r="AR28" s="2532" t="str">
        <f t="shared" ca="1" si="16"/>
        <v/>
      </c>
      <c r="AS28" s="2534" t="str">
        <f t="shared" ca="1" si="16"/>
        <v/>
      </c>
      <c r="AT28" s="2531" t="str">
        <f t="shared" ca="1" si="16"/>
        <v/>
      </c>
      <c r="AU28" s="2531" t="str">
        <f t="shared" ca="1" si="16"/>
        <v/>
      </c>
      <c r="AV28" s="2532" t="str">
        <f t="shared" ca="1" si="16"/>
        <v/>
      </c>
      <c r="AW28" s="2534" t="str">
        <f t="shared" ca="1" si="16"/>
        <v/>
      </c>
      <c r="AX28" s="2531" t="str">
        <f t="shared" ca="1" si="16"/>
        <v/>
      </c>
      <c r="AY28" s="2531" t="str">
        <f t="shared" ca="1" si="16"/>
        <v/>
      </c>
      <c r="AZ28" s="2532" t="str">
        <f t="shared" ca="1" si="16"/>
        <v/>
      </c>
      <c r="BA28" s="2535" t="str">
        <f t="shared" ca="1" si="17"/>
        <v/>
      </c>
      <c r="BB28" s="2531" t="str">
        <f t="shared" ca="1" si="17"/>
        <v/>
      </c>
      <c r="BC28" s="2531" t="str">
        <f t="shared" ca="1" si="17"/>
        <v/>
      </c>
      <c r="BD28" s="2532" t="str">
        <f t="shared" ca="1" si="17"/>
        <v/>
      </c>
      <c r="BE28" s="2954" t="s">
        <v>771</v>
      </c>
      <c r="BF28" s="2753"/>
      <c r="BG28" s="2753"/>
      <c r="BH28" s="2753"/>
      <c r="BI28" s="2514">
        <f t="shared" si="12"/>
        <v>50406</v>
      </c>
      <c r="BJ28" s="2516">
        <f t="shared" si="13"/>
        <v>18</v>
      </c>
      <c r="BK28" s="2499">
        <f t="shared" si="6"/>
        <v>2038</v>
      </c>
      <c r="BN28" s="2367">
        <f t="shared" si="7"/>
        <v>18</v>
      </c>
      <c r="BO28" s="2500" t="str">
        <f t="shared" si="8"/>
        <v>1/0/2038</v>
      </c>
      <c r="BP28" s="2501">
        <f t="shared" ca="1" si="2"/>
        <v>0</v>
      </c>
      <c r="BQ28" s="2367">
        <v>52</v>
      </c>
      <c r="BR28" s="2502">
        <f t="shared" si="3"/>
        <v>1.1111111111111112E-2</v>
      </c>
      <c r="BS28" s="2503">
        <f t="shared" ca="1" si="9"/>
        <v>0</v>
      </c>
      <c r="BT28"/>
      <c r="CB28" s="2370"/>
    </row>
    <row r="29" spans="1:80" ht="13" customHeight="1" thickBot="1" x14ac:dyDescent="0.4">
      <c r="A29" s="2944"/>
      <c r="B29" s="2536">
        <f t="shared" si="10"/>
        <v>2039</v>
      </c>
      <c r="C29" s="2537">
        <f t="shared" si="4"/>
        <v>19</v>
      </c>
      <c r="D29" s="2538" t="str">
        <f ca="1">IF(BS29=0,"",SUM(BS$10:BS29))</f>
        <v/>
      </c>
      <c r="E29" s="2539" t="str">
        <f t="shared" ca="1" si="11"/>
        <v/>
      </c>
      <c r="F29" s="2540" t="str">
        <f t="shared" ca="1" si="11"/>
        <v/>
      </c>
      <c r="G29" s="2541" t="str">
        <f t="shared" ca="1" si="11"/>
        <v/>
      </c>
      <c r="H29" s="2541" t="str">
        <f t="shared" ca="1" si="11"/>
        <v/>
      </c>
      <c r="I29" s="2542" t="str">
        <f t="shared" ca="1" si="11"/>
        <v/>
      </c>
      <c r="J29" s="2539" t="str">
        <f t="shared" ca="1" si="11"/>
        <v/>
      </c>
      <c r="K29" s="2541" t="str">
        <f t="shared" ca="1" si="11"/>
        <v/>
      </c>
      <c r="L29" s="2541" t="str">
        <f t="shared" ca="1" si="11"/>
        <v/>
      </c>
      <c r="M29" s="2542" t="str">
        <f t="shared" ca="1" si="11"/>
        <v/>
      </c>
      <c r="N29" s="2543" t="str">
        <f t="shared" ca="1" si="11"/>
        <v/>
      </c>
      <c r="O29" s="2541" t="str">
        <f t="shared" ca="1" si="11"/>
        <v/>
      </c>
      <c r="P29" s="2541" t="str">
        <f t="shared" ca="1" si="11"/>
        <v/>
      </c>
      <c r="Q29" s="2542" t="str">
        <f t="shared" ca="1" si="11"/>
        <v/>
      </c>
      <c r="R29" s="2544" t="str">
        <f t="shared" ca="1" si="11"/>
        <v/>
      </c>
      <c r="S29" s="2541" t="str">
        <f t="shared" ca="1" si="11"/>
        <v/>
      </c>
      <c r="T29" s="2541" t="str">
        <f t="shared" ca="1" si="11"/>
        <v/>
      </c>
      <c r="U29" s="2542" t="str">
        <f t="shared" ca="1" si="15"/>
        <v/>
      </c>
      <c r="V29" s="2544" t="str">
        <f t="shared" ca="1" si="15"/>
        <v/>
      </c>
      <c r="W29" s="2541" t="str">
        <f t="shared" ca="1" si="15"/>
        <v/>
      </c>
      <c r="X29" s="2541" t="str">
        <f t="shared" ca="1" si="15"/>
        <v/>
      </c>
      <c r="Y29" s="2541" t="str">
        <f t="shared" ca="1" si="15"/>
        <v/>
      </c>
      <c r="Z29" s="2541" t="str">
        <f t="shared" ca="1" si="15"/>
        <v/>
      </c>
      <c r="AA29" s="2542" t="str">
        <f t="shared" ca="1" si="15"/>
        <v/>
      </c>
      <c r="AB29" s="2544" t="str">
        <f t="shared" ca="1" si="15"/>
        <v/>
      </c>
      <c r="AC29" s="2541" t="str">
        <f t="shared" ca="1" si="15"/>
        <v/>
      </c>
      <c r="AD29" s="2541" t="str">
        <f t="shared" ca="1" si="15"/>
        <v/>
      </c>
      <c r="AE29" s="2542" t="str">
        <f t="shared" ca="1" si="15"/>
        <v/>
      </c>
      <c r="AF29" s="2544" t="str">
        <f t="shared" ca="1" si="15"/>
        <v/>
      </c>
      <c r="AG29" s="2541" t="str">
        <f t="shared" ca="1" si="15"/>
        <v/>
      </c>
      <c r="AH29" s="2541" t="str">
        <f t="shared" ca="1" si="15"/>
        <v/>
      </c>
      <c r="AI29" s="2542" t="str">
        <f t="shared" ca="1" si="15"/>
        <v/>
      </c>
      <c r="AJ29" s="2544" t="str">
        <f t="shared" ca="1" si="15"/>
        <v/>
      </c>
      <c r="AK29" s="2541" t="str">
        <f t="shared" ca="1" si="16"/>
        <v/>
      </c>
      <c r="AL29" s="2541" t="str">
        <f t="shared" ca="1" si="16"/>
        <v/>
      </c>
      <c r="AM29" s="2541" t="str">
        <f t="shared" ca="1" si="16"/>
        <v/>
      </c>
      <c r="AN29" s="2542" t="str">
        <f t="shared" ca="1" si="16"/>
        <v/>
      </c>
      <c r="AO29" s="2544" t="str">
        <f t="shared" ca="1" si="16"/>
        <v/>
      </c>
      <c r="AP29" s="2541" t="str">
        <f t="shared" ca="1" si="16"/>
        <v/>
      </c>
      <c r="AQ29" s="2541" t="str">
        <f t="shared" ca="1" si="16"/>
        <v/>
      </c>
      <c r="AR29" s="2542" t="str">
        <f t="shared" ca="1" si="16"/>
        <v/>
      </c>
      <c r="AS29" s="2544" t="str">
        <f t="shared" ca="1" si="16"/>
        <v/>
      </c>
      <c r="AT29" s="2541" t="str">
        <f t="shared" ca="1" si="16"/>
        <v/>
      </c>
      <c r="AU29" s="2541" t="str">
        <f t="shared" ca="1" si="16"/>
        <v/>
      </c>
      <c r="AV29" s="2542" t="str">
        <f t="shared" ca="1" si="16"/>
        <v/>
      </c>
      <c r="AW29" s="2544" t="str">
        <f t="shared" ca="1" si="16"/>
        <v/>
      </c>
      <c r="AX29" s="2541" t="str">
        <f t="shared" ca="1" si="16"/>
        <v/>
      </c>
      <c r="AY29" s="2541" t="str">
        <f t="shared" ca="1" si="16"/>
        <v/>
      </c>
      <c r="AZ29" s="2542" t="str">
        <f t="shared" ca="1" si="16"/>
        <v/>
      </c>
      <c r="BA29" s="2545" t="str">
        <f t="shared" ca="1" si="17"/>
        <v/>
      </c>
      <c r="BB29" s="2541" t="str">
        <f t="shared" ca="1" si="17"/>
        <v/>
      </c>
      <c r="BC29" s="2541" t="str">
        <f t="shared" ca="1" si="17"/>
        <v/>
      </c>
      <c r="BD29" s="2542" t="str">
        <f t="shared" ca="1" si="17"/>
        <v/>
      </c>
      <c r="BE29" s="2955"/>
      <c r="BF29" s="2839"/>
      <c r="BG29" s="2754"/>
      <c r="BH29" s="2754"/>
      <c r="BI29" s="2514">
        <f t="shared" si="12"/>
        <v>50771</v>
      </c>
      <c r="BJ29" s="2516">
        <f t="shared" si="13"/>
        <v>19</v>
      </c>
      <c r="BK29" s="2499">
        <f t="shared" si="6"/>
        <v>2039</v>
      </c>
      <c r="BN29" s="2367">
        <f t="shared" si="7"/>
        <v>19</v>
      </c>
      <c r="BO29" s="2500" t="str">
        <f t="shared" si="8"/>
        <v>1/0/2039</v>
      </c>
      <c r="BP29" s="2501">
        <f t="shared" ca="1" si="2"/>
        <v>0</v>
      </c>
      <c r="BQ29" s="2367">
        <v>52</v>
      </c>
      <c r="BR29" s="2502">
        <f t="shared" si="3"/>
        <v>1.1111111111111112E-2</v>
      </c>
      <c r="BS29" s="2503">
        <f t="shared" ca="1" si="9"/>
        <v>0</v>
      </c>
      <c r="BT29"/>
      <c r="CB29" s="2370"/>
    </row>
    <row r="30" spans="1:80" ht="13" customHeight="1" x14ac:dyDescent="0.35">
      <c r="A30" s="2942">
        <v>3</v>
      </c>
      <c r="B30" s="2536">
        <f t="shared" si="10"/>
        <v>2040</v>
      </c>
      <c r="C30" s="2537">
        <f t="shared" si="4"/>
        <v>20</v>
      </c>
      <c r="D30" s="2538" t="str">
        <f ca="1">IF(BS30=0,"",SUM(BS$10:BS30))</f>
        <v/>
      </c>
      <c r="E30" s="2539" t="str">
        <f t="shared" ca="1" si="11"/>
        <v/>
      </c>
      <c r="F30" s="2540" t="str">
        <f t="shared" ca="1" si="11"/>
        <v/>
      </c>
      <c r="G30" s="2541" t="str">
        <f t="shared" ca="1" si="11"/>
        <v/>
      </c>
      <c r="H30" s="2541" t="str">
        <f t="shared" ca="1" si="11"/>
        <v/>
      </c>
      <c r="I30" s="2542" t="str">
        <f t="shared" ca="1" si="11"/>
        <v/>
      </c>
      <c r="J30" s="2539" t="str">
        <f t="shared" ca="1" si="11"/>
        <v/>
      </c>
      <c r="K30" s="2541" t="str">
        <f t="shared" ca="1" si="11"/>
        <v/>
      </c>
      <c r="L30" s="2541" t="str">
        <f t="shared" ca="1" si="11"/>
        <v/>
      </c>
      <c r="M30" s="2542" t="str">
        <f t="shared" ca="1" si="11"/>
        <v/>
      </c>
      <c r="N30" s="2543" t="str">
        <f t="shared" ca="1" si="11"/>
        <v/>
      </c>
      <c r="O30" s="2541" t="str">
        <f t="shared" ca="1" si="11"/>
        <v/>
      </c>
      <c r="P30" s="2541" t="str">
        <f t="shared" ca="1" si="11"/>
        <v/>
      </c>
      <c r="Q30" s="2542" t="str">
        <f t="shared" ca="1" si="11"/>
        <v/>
      </c>
      <c r="R30" s="2544" t="str">
        <f t="shared" ca="1" si="11"/>
        <v/>
      </c>
      <c r="S30" s="2541" t="str">
        <f t="shared" ca="1" si="11"/>
        <v/>
      </c>
      <c r="T30" s="2541" t="str">
        <f t="shared" ca="1" si="11"/>
        <v/>
      </c>
      <c r="U30" s="2542" t="str">
        <f t="shared" ca="1" si="15"/>
        <v/>
      </c>
      <c r="V30" s="2544" t="str">
        <f t="shared" ca="1" si="15"/>
        <v/>
      </c>
      <c r="W30" s="2541" t="str">
        <f t="shared" ca="1" si="15"/>
        <v/>
      </c>
      <c r="X30" s="2541" t="str">
        <f t="shared" ca="1" si="15"/>
        <v/>
      </c>
      <c r="Y30" s="2541" t="str">
        <f t="shared" ca="1" si="15"/>
        <v/>
      </c>
      <c r="Z30" s="2541" t="str">
        <f t="shared" ca="1" si="15"/>
        <v/>
      </c>
      <c r="AA30" s="2542" t="str">
        <f t="shared" ca="1" si="15"/>
        <v/>
      </c>
      <c r="AB30" s="2544" t="str">
        <f t="shared" ca="1" si="15"/>
        <v/>
      </c>
      <c r="AC30" s="2541" t="str">
        <f t="shared" ca="1" si="15"/>
        <v/>
      </c>
      <c r="AD30" s="2541" t="str">
        <f t="shared" ca="1" si="15"/>
        <v/>
      </c>
      <c r="AE30" s="2542" t="str">
        <f t="shared" ca="1" si="15"/>
        <v/>
      </c>
      <c r="AF30" s="2544" t="str">
        <f t="shared" ca="1" si="15"/>
        <v/>
      </c>
      <c r="AG30" s="2541" t="str">
        <f t="shared" ca="1" si="15"/>
        <v/>
      </c>
      <c r="AH30" s="2541" t="str">
        <f t="shared" ca="1" si="15"/>
        <v/>
      </c>
      <c r="AI30" s="2542" t="str">
        <f t="shared" ca="1" si="15"/>
        <v/>
      </c>
      <c r="AJ30" s="2544" t="str">
        <f t="shared" ca="1" si="15"/>
        <v/>
      </c>
      <c r="AK30" s="2541" t="str">
        <f t="shared" ca="1" si="16"/>
        <v/>
      </c>
      <c r="AL30" s="2541" t="str">
        <f t="shared" ca="1" si="16"/>
        <v/>
      </c>
      <c r="AM30" s="2541" t="str">
        <f t="shared" ca="1" si="16"/>
        <v/>
      </c>
      <c r="AN30" s="2542" t="str">
        <f t="shared" ca="1" si="16"/>
        <v/>
      </c>
      <c r="AO30" s="2544" t="str">
        <f t="shared" ca="1" si="16"/>
        <v/>
      </c>
      <c r="AP30" s="2541" t="str">
        <f t="shared" ca="1" si="16"/>
        <v/>
      </c>
      <c r="AQ30" s="2541" t="str">
        <f t="shared" ca="1" si="16"/>
        <v/>
      </c>
      <c r="AR30" s="2542" t="str">
        <f t="shared" ca="1" si="16"/>
        <v/>
      </c>
      <c r="AS30" s="2544" t="str">
        <f t="shared" ca="1" si="16"/>
        <v/>
      </c>
      <c r="AT30" s="2541" t="str">
        <f t="shared" ca="1" si="16"/>
        <v/>
      </c>
      <c r="AU30" s="2541" t="str">
        <f t="shared" ca="1" si="16"/>
        <v/>
      </c>
      <c r="AV30" s="2542" t="str">
        <f t="shared" ca="1" si="16"/>
        <v/>
      </c>
      <c r="AW30" s="2544" t="str">
        <f t="shared" ca="1" si="16"/>
        <v/>
      </c>
      <c r="AX30" s="2541" t="str">
        <f t="shared" ca="1" si="16"/>
        <v/>
      </c>
      <c r="AY30" s="2541" t="str">
        <f t="shared" ca="1" si="16"/>
        <v/>
      </c>
      <c r="AZ30" s="2542" t="str">
        <f t="shared" ca="1" si="16"/>
        <v/>
      </c>
      <c r="BA30" s="2545" t="str">
        <f t="shared" ca="1" si="17"/>
        <v/>
      </c>
      <c r="BB30" s="2541" t="str">
        <f t="shared" ca="1" si="17"/>
        <v/>
      </c>
      <c r="BC30" s="2541" t="str">
        <f t="shared" ca="1" si="17"/>
        <v/>
      </c>
      <c r="BD30" s="2542" t="str">
        <f t="shared" ca="1" si="17"/>
        <v/>
      </c>
      <c r="BE30" s="2955"/>
      <c r="BF30" s="2754"/>
      <c r="BG30" s="2754"/>
      <c r="BH30" s="2754"/>
      <c r="BI30" s="2514">
        <f t="shared" si="12"/>
        <v>51136</v>
      </c>
      <c r="BJ30" s="2516">
        <f t="shared" si="13"/>
        <v>20</v>
      </c>
      <c r="BK30" s="2499">
        <f t="shared" si="6"/>
        <v>2040</v>
      </c>
      <c r="BN30" s="2367">
        <f t="shared" si="7"/>
        <v>20</v>
      </c>
      <c r="BO30" s="2500" t="str">
        <f t="shared" si="8"/>
        <v>1/0/2040</v>
      </c>
      <c r="BP30" s="2501">
        <f t="shared" ca="1" si="2"/>
        <v>0</v>
      </c>
      <c r="BQ30" s="2367">
        <v>52</v>
      </c>
      <c r="BR30" s="2502">
        <f t="shared" si="3"/>
        <v>1.1111111111111112E-2</v>
      </c>
      <c r="BS30" s="2503">
        <f t="shared" ca="1" si="9"/>
        <v>0</v>
      </c>
      <c r="BT30"/>
      <c r="CB30" s="2370"/>
    </row>
    <row r="31" spans="1:80" ht="13" customHeight="1" thickBot="1" x14ac:dyDescent="0.4">
      <c r="A31" s="2943"/>
      <c r="B31" s="2596">
        <f t="shared" si="10"/>
        <v>2041</v>
      </c>
      <c r="C31" s="2597">
        <f t="shared" si="4"/>
        <v>21</v>
      </c>
      <c r="D31" s="2598" t="str">
        <f ca="1">IF(BS31=0,"",SUM(BS$10:BS31))</f>
        <v/>
      </c>
      <c r="E31" s="2599" t="str">
        <f t="shared" ca="1" si="11"/>
        <v/>
      </c>
      <c r="F31" s="2600" t="str">
        <f t="shared" ca="1" si="11"/>
        <v/>
      </c>
      <c r="G31" s="2601" t="str">
        <f t="shared" ca="1" si="11"/>
        <v/>
      </c>
      <c r="H31" s="2601" t="str">
        <f t="shared" ca="1" si="11"/>
        <v/>
      </c>
      <c r="I31" s="2602" t="str">
        <f t="shared" ca="1" si="11"/>
        <v/>
      </c>
      <c r="J31" s="2599" t="str">
        <f t="shared" ca="1" si="11"/>
        <v/>
      </c>
      <c r="K31" s="2601" t="str">
        <f t="shared" ca="1" si="11"/>
        <v/>
      </c>
      <c r="L31" s="2601" t="str">
        <f t="shared" ca="1" si="11"/>
        <v/>
      </c>
      <c r="M31" s="2602" t="str">
        <f t="shared" ca="1" si="11"/>
        <v/>
      </c>
      <c r="N31" s="2603" t="str">
        <f t="shared" ca="1" si="11"/>
        <v/>
      </c>
      <c r="O31" s="2601" t="str">
        <f t="shared" ca="1" si="11"/>
        <v/>
      </c>
      <c r="P31" s="2601" t="str">
        <f t="shared" ref="P31:AE46" ca="1" si="18">IF(DATE($BK31,P$5,P$6)&lt;=DATE(YEAR($BE$5),MONTH($BE$5),DAY($BE$5)),"X","")</f>
        <v/>
      </c>
      <c r="Q31" s="2602" t="str">
        <f t="shared" ca="1" si="18"/>
        <v/>
      </c>
      <c r="R31" s="2604" t="str">
        <f t="shared" ca="1" si="18"/>
        <v/>
      </c>
      <c r="S31" s="2601" t="str">
        <f t="shared" ca="1" si="18"/>
        <v/>
      </c>
      <c r="T31" s="2601" t="str">
        <f t="shared" ca="1" si="18"/>
        <v/>
      </c>
      <c r="U31" s="2602" t="str">
        <f t="shared" ca="1" si="18"/>
        <v/>
      </c>
      <c r="V31" s="2604" t="str">
        <f t="shared" ca="1" si="18"/>
        <v/>
      </c>
      <c r="W31" s="2601" t="str">
        <f t="shared" ca="1" si="18"/>
        <v/>
      </c>
      <c r="X31" s="2601" t="str">
        <f t="shared" ca="1" si="18"/>
        <v/>
      </c>
      <c r="Y31" s="2601" t="str">
        <f t="shared" ca="1" si="18"/>
        <v/>
      </c>
      <c r="Z31" s="2601" t="str">
        <f t="shared" ca="1" si="18"/>
        <v/>
      </c>
      <c r="AA31" s="2602" t="str">
        <f t="shared" ca="1" si="18"/>
        <v/>
      </c>
      <c r="AB31" s="2604" t="str">
        <f t="shared" ca="1" si="18"/>
        <v/>
      </c>
      <c r="AC31" s="2601" t="str">
        <f t="shared" ca="1" si="18"/>
        <v/>
      </c>
      <c r="AD31" s="2601" t="str">
        <f t="shared" ca="1" si="18"/>
        <v/>
      </c>
      <c r="AE31" s="2602" t="str">
        <f t="shared" ca="1" si="18"/>
        <v/>
      </c>
      <c r="AF31" s="2604" t="str">
        <f t="shared" ca="1" si="15"/>
        <v/>
      </c>
      <c r="AG31" s="2601" t="str">
        <f t="shared" ca="1" si="15"/>
        <v/>
      </c>
      <c r="AH31" s="2601" t="str">
        <f t="shared" ca="1" si="15"/>
        <v/>
      </c>
      <c r="AI31" s="2602" t="str">
        <f t="shared" ca="1" si="15"/>
        <v/>
      </c>
      <c r="AJ31" s="2604" t="str">
        <f t="shared" ca="1" si="15"/>
        <v/>
      </c>
      <c r="AK31" s="2601" t="str">
        <f t="shared" ca="1" si="16"/>
        <v/>
      </c>
      <c r="AL31" s="2601" t="str">
        <f t="shared" ca="1" si="16"/>
        <v/>
      </c>
      <c r="AM31" s="2601" t="str">
        <f t="shared" ca="1" si="16"/>
        <v/>
      </c>
      <c r="AN31" s="2602" t="str">
        <f t="shared" ca="1" si="16"/>
        <v/>
      </c>
      <c r="AO31" s="2604" t="str">
        <f t="shared" ca="1" si="16"/>
        <v/>
      </c>
      <c r="AP31" s="2601" t="str">
        <f t="shared" ca="1" si="16"/>
        <v/>
      </c>
      <c r="AQ31" s="2601" t="str">
        <f t="shared" ca="1" si="16"/>
        <v/>
      </c>
      <c r="AR31" s="2602" t="str">
        <f t="shared" ca="1" si="16"/>
        <v/>
      </c>
      <c r="AS31" s="2604" t="str">
        <f t="shared" ca="1" si="16"/>
        <v/>
      </c>
      <c r="AT31" s="2601" t="str">
        <f t="shared" ca="1" si="16"/>
        <v/>
      </c>
      <c r="AU31" s="2601" t="str">
        <f t="shared" ca="1" si="16"/>
        <v/>
      </c>
      <c r="AV31" s="2602" t="str">
        <f t="shared" ca="1" si="16"/>
        <v/>
      </c>
      <c r="AW31" s="2604" t="str">
        <f t="shared" ca="1" si="16"/>
        <v/>
      </c>
      <c r="AX31" s="2601" t="str">
        <f t="shared" ca="1" si="16"/>
        <v/>
      </c>
      <c r="AY31" s="2601" t="str">
        <f t="shared" ca="1" si="16"/>
        <v/>
      </c>
      <c r="AZ31" s="2602" t="str">
        <f t="shared" ref="AZ31:BD49" ca="1" si="19">IF(DATE($BK31,AZ$5,AZ$6)&lt;=DATE(YEAR($BE$5),MONTH($BE$5),DAY($BE$5)),"X","")</f>
        <v/>
      </c>
      <c r="BA31" s="2605" t="str">
        <f t="shared" ca="1" si="19"/>
        <v/>
      </c>
      <c r="BB31" s="2601" t="str">
        <f t="shared" ca="1" si="19"/>
        <v/>
      </c>
      <c r="BC31" s="2601" t="str">
        <f t="shared" ca="1" si="19"/>
        <v/>
      </c>
      <c r="BD31" s="2602" t="str">
        <f t="shared" ca="1" si="19"/>
        <v/>
      </c>
      <c r="BE31" s="2956"/>
      <c r="BF31" s="2761"/>
      <c r="BG31" s="2761"/>
      <c r="BH31" s="2761"/>
      <c r="BI31" s="2514">
        <f t="shared" si="12"/>
        <v>51502</v>
      </c>
      <c r="BJ31" s="2516">
        <f t="shared" si="13"/>
        <v>21</v>
      </c>
      <c r="BK31" s="2499">
        <f t="shared" si="6"/>
        <v>2041</v>
      </c>
      <c r="BN31" s="2367">
        <f t="shared" si="7"/>
        <v>21</v>
      </c>
      <c r="BO31" s="2500" t="str">
        <f t="shared" si="8"/>
        <v>1/0/2041</v>
      </c>
      <c r="BP31" s="2501">
        <f t="shared" ca="1" si="2"/>
        <v>0</v>
      </c>
      <c r="BQ31" s="2367">
        <v>52</v>
      </c>
      <c r="BR31" s="2502">
        <f t="shared" si="3"/>
        <v>1.1111111111111112E-2</v>
      </c>
      <c r="BS31" s="2503">
        <f t="shared" ca="1" si="9"/>
        <v>0</v>
      </c>
      <c r="BT31"/>
      <c r="CB31" s="2370"/>
    </row>
    <row r="32" spans="1:80" ht="13" customHeight="1" x14ac:dyDescent="0.35">
      <c r="A32" s="2943"/>
      <c r="B32" s="2526">
        <f t="shared" si="10"/>
        <v>2042</v>
      </c>
      <c r="C32" s="2606">
        <f t="shared" si="4"/>
        <v>22</v>
      </c>
      <c r="D32" s="2607" t="str">
        <f ca="1">IF(BS32=0,"",SUM(BS$10:BS32))</f>
        <v/>
      </c>
      <c r="E32" s="2608" t="str">
        <f t="shared" ref="E32:T47" ca="1" si="20">IF(DATE($BK32,E$5,E$6)&lt;=DATE(YEAR($BE$5),MONTH($BE$5),DAY($BE$5)),"X","")</f>
        <v/>
      </c>
      <c r="F32" s="2609" t="str">
        <f t="shared" ca="1" si="20"/>
        <v/>
      </c>
      <c r="G32" s="2610" t="str">
        <f t="shared" ca="1" si="20"/>
        <v/>
      </c>
      <c r="H32" s="2610" t="str">
        <f t="shared" ca="1" si="20"/>
        <v/>
      </c>
      <c r="I32" s="2611" t="str">
        <f t="shared" ca="1" si="20"/>
        <v/>
      </c>
      <c r="J32" s="2612" t="str">
        <f t="shared" ca="1" si="20"/>
        <v/>
      </c>
      <c r="K32" s="2610" t="str">
        <f t="shared" ca="1" si="20"/>
        <v/>
      </c>
      <c r="L32" s="2610" t="str">
        <f t="shared" ca="1" si="20"/>
        <v/>
      </c>
      <c r="M32" s="2611" t="str">
        <f t="shared" ca="1" si="20"/>
        <v/>
      </c>
      <c r="N32" s="2613" t="str">
        <f t="shared" ca="1" si="20"/>
        <v/>
      </c>
      <c r="O32" s="2610" t="str">
        <f t="shared" ca="1" si="20"/>
        <v/>
      </c>
      <c r="P32" s="2610" t="str">
        <f t="shared" ca="1" si="20"/>
        <v/>
      </c>
      <c r="Q32" s="2611" t="str">
        <f t="shared" ca="1" si="20"/>
        <v/>
      </c>
      <c r="R32" s="2614" t="str">
        <f t="shared" ca="1" si="20"/>
        <v/>
      </c>
      <c r="S32" s="2610" t="str">
        <f t="shared" ca="1" si="20"/>
        <v/>
      </c>
      <c r="T32" s="2610" t="str">
        <f t="shared" ca="1" si="20"/>
        <v/>
      </c>
      <c r="U32" s="2841" t="str">
        <f t="shared" ca="1" si="18"/>
        <v/>
      </c>
      <c r="V32" s="2614" t="str">
        <f t="shared" ca="1" si="18"/>
        <v/>
      </c>
      <c r="W32" s="2610" t="str">
        <f t="shared" ca="1" si="18"/>
        <v/>
      </c>
      <c r="X32" s="2610" t="str">
        <f t="shared" ca="1" si="18"/>
        <v/>
      </c>
      <c r="Y32" s="2610" t="str">
        <f t="shared" ca="1" si="18"/>
        <v/>
      </c>
      <c r="Z32" s="2610" t="str">
        <f t="shared" ca="1" si="18"/>
        <v/>
      </c>
      <c r="AA32" s="2611" t="str">
        <f t="shared" ca="1" si="18"/>
        <v/>
      </c>
      <c r="AB32" s="2614" t="str">
        <f t="shared" ca="1" si="18"/>
        <v/>
      </c>
      <c r="AC32" s="2610" t="str">
        <f t="shared" ca="1" si="18"/>
        <v/>
      </c>
      <c r="AD32" s="2610" t="str">
        <f t="shared" ca="1" si="18"/>
        <v/>
      </c>
      <c r="AE32" s="2611" t="str">
        <f t="shared" ca="1" si="18"/>
        <v/>
      </c>
      <c r="AF32" s="2614" t="str">
        <f t="shared" ca="1" si="15"/>
        <v/>
      </c>
      <c r="AG32" s="2610" t="str">
        <f t="shared" ca="1" si="15"/>
        <v/>
      </c>
      <c r="AH32" s="2610" t="str">
        <f t="shared" ca="1" si="15"/>
        <v/>
      </c>
      <c r="AI32" s="2611" t="str">
        <f t="shared" ca="1" si="15"/>
        <v/>
      </c>
      <c r="AJ32" s="2614" t="str">
        <f t="shared" ca="1" si="15"/>
        <v/>
      </c>
      <c r="AK32" s="2610" t="str">
        <f t="shared" ref="AK32:AZ49" ca="1" si="21">IF(DATE($BK32,AK$5,AK$6)&lt;=DATE(YEAR($BE$5),MONTH($BE$5),DAY($BE$5)),"X","")</f>
        <v/>
      </c>
      <c r="AL32" s="2610" t="str">
        <f t="shared" ca="1" si="21"/>
        <v/>
      </c>
      <c r="AM32" s="2610" t="str">
        <f t="shared" ca="1" si="21"/>
        <v/>
      </c>
      <c r="AN32" s="2611" t="str">
        <f t="shared" ca="1" si="21"/>
        <v/>
      </c>
      <c r="AO32" s="2614" t="str">
        <f t="shared" ca="1" si="21"/>
        <v/>
      </c>
      <c r="AP32" s="2610" t="str">
        <f t="shared" ca="1" si="21"/>
        <v/>
      </c>
      <c r="AQ32" s="2610" t="str">
        <f t="shared" ca="1" si="21"/>
        <v/>
      </c>
      <c r="AR32" s="2611" t="str">
        <f t="shared" ca="1" si="21"/>
        <v/>
      </c>
      <c r="AS32" s="2614" t="str">
        <f t="shared" ca="1" si="21"/>
        <v/>
      </c>
      <c r="AT32" s="2610" t="str">
        <f t="shared" ca="1" si="21"/>
        <v/>
      </c>
      <c r="AU32" s="2610" t="str">
        <f t="shared" ca="1" si="21"/>
        <v/>
      </c>
      <c r="AV32" s="2611" t="str">
        <f t="shared" ca="1" si="21"/>
        <v/>
      </c>
      <c r="AW32" s="2614" t="str">
        <f t="shared" ca="1" si="21"/>
        <v/>
      </c>
      <c r="AX32" s="2610" t="str">
        <f t="shared" ca="1" si="21"/>
        <v/>
      </c>
      <c r="AY32" s="2610" t="str">
        <f t="shared" ca="1" si="21"/>
        <v/>
      </c>
      <c r="AZ32" s="2611" t="str">
        <f t="shared" ca="1" si="21"/>
        <v/>
      </c>
      <c r="BA32" s="2610" t="str">
        <f t="shared" ca="1" si="19"/>
        <v/>
      </c>
      <c r="BB32" s="2610" t="str">
        <f t="shared" ca="1" si="19"/>
        <v/>
      </c>
      <c r="BC32" s="2610" t="str">
        <f t="shared" ca="1" si="19"/>
        <v/>
      </c>
      <c r="BD32" s="2611" t="str">
        <f t="shared" ca="1" si="19"/>
        <v/>
      </c>
      <c r="BE32" s="2615" t="s">
        <v>1</v>
      </c>
      <c r="BF32" s="2762"/>
      <c r="BG32" s="2762"/>
      <c r="BH32" s="2762"/>
      <c r="BI32" s="2514">
        <f t="shared" si="12"/>
        <v>51867</v>
      </c>
      <c r="BJ32" s="2516">
        <f t="shared" si="13"/>
        <v>22</v>
      </c>
      <c r="BK32" s="2499">
        <f t="shared" si="6"/>
        <v>2042</v>
      </c>
      <c r="BN32" s="2367">
        <f t="shared" si="7"/>
        <v>22</v>
      </c>
      <c r="BO32" s="2500" t="str">
        <f t="shared" si="8"/>
        <v>1/0/2042</v>
      </c>
      <c r="BP32" s="2501">
        <f t="shared" ca="1" si="2"/>
        <v>0</v>
      </c>
      <c r="BQ32" s="2367">
        <v>52</v>
      </c>
      <c r="BR32" s="2502">
        <f t="shared" si="3"/>
        <v>1.1111111111111112E-2</v>
      </c>
      <c r="BS32" s="2503">
        <f t="shared" ca="1" si="9"/>
        <v>0</v>
      </c>
      <c r="BT32"/>
      <c r="CB32" s="2370"/>
    </row>
    <row r="33" spans="1:80" ht="19" customHeight="1" x14ac:dyDescent="0.35">
      <c r="A33" s="2943"/>
      <c r="B33" s="2536">
        <f t="shared" si="10"/>
        <v>2043</v>
      </c>
      <c r="C33" s="2616">
        <f t="shared" si="4"/>
        <v>23</v>
      </c>
      <c r="D33" s="2617" t="str">
        <f ca="1">IF(BS33=0,"",SUM(BS$10:BS33))</f>
        <v/>
      </c>
      <c r="E33" s="2618" t="str">
        <f t="shared" ca="1" si="20"/>
        <v/>
      </c>
      <c r="F33" s="2619" t="str">
        <f t="shared" ca="1" si="20"/>
        <v/>
      </c>
      <c r="G33" s="2620" t="str">
        <f t="shared" ca="1" si="20"/>
        <v/>
      </c>
      <c r="H33" s="2620" t="str">
        <f t="shared" ca="1" si="20"/>
        <v/>
      </c>
      <c r="I33" s="2621" t="str">
        <f t="shared" ca="1" si="20"/>
        <v/>
      </c>
      <c r="J33" s="2622" t="str">
        <f t="shared" ca="1" si="20"/>
        <v/>
      </c>
      <c r="K33" s="2620" t="str">
        <f t="shared" ca="1" si="20"/>
        <v/>
      </c>
      <c r="L33" s="2620" t="str">
        <f t="shared" ca="1" si="20"/>
        <v/>
      </c>
      <c r="M33" s="2621" t="str">
        <f t="shared" ca="1" si="20"/>
        <v/>
      </c>
      <c r="N33" s="2623" t="str">
        <f t="shared" ca="1" si="20"/>
        <v/>
      </c>
      <c r="O33" s="2620" t="str">
        <f t="shared" ca="1" si="20"/>
        <v/>
      </c>
      <c r="P33" s="2620" t="str">
        <f t="shared" ca="1" si="20"/>
        <v/>
      </c>
      <c r="Q33" s="2621" t="str">
        <f t="shared" ca="1" si="20"/>
        <v/>
      </c>
      <c r="R33" s="2624" t="str">
        <f t="shared" ca="1" si="20"/>
        <v/>
      </c>
      <c r="S33" s="2620" t="str">
        <f t="shared" ca="1" si="20"/>
        <v/>
      </c>
      <c r="T33" s="2620" t="str">
        <f t="shared" ca="1" si="20"/>
        <v/>
      </c>
      <c r="U33" s="2621" t="str">
        <f t="shared" ca="1" si="18"/>
        <v/>
      </c>
      <c r="V33" s="2624" t="str">
        <f t="shared" ca="1" si="18"/>
        <v/>
      </c>
      <c r="W33" s="2620" t="str">
        <f t="shared" ca="1" si="18"/>
        <v/>
      </c>
      <c r="X33" s="2620" t="str">
        <f t="shared" ca="1" si="18"/>
        <v/>
      </c>
      <c r="Y33" s="2620" t="str">
        <f t="shared" ca="1" si="18"/>
        <v/>
      </c>
      <c r="Z33" s="2620" t="str">
        <f t="shared" ca="1" si="18"/>
        <v/>
      </c>
      <c r="AA33" s="2621" t="str">
        <f t="shared" ca="1" si="18"/>
        <v/>
      </c>
      <c r="AB33" s="2624" t="str">
        <f t="shared" ca="1" si="18"/>
        <v/>
      </c>
      <c r="AC33" s="2620" t="str">
        <f t="shared" ca="1" si="18"/>
        <v/>
      </c>
      <c r="AD33" s="2620" t="str">
        <f t="shared" ca="1" si="18"/>
        <v/>
      </c>
      <c r="AE33" s="2621" t="str">
        <f t="shared" ca="1" si="18"/>
        <v/>
      </c>
      <c r="AF33" s="2624" t="str">
        <f t="shared" ca="1" si="15"/>
        <v/>
      </c>
      <c r="AG33" s="2620" t="str">
        <f t="shared" ca="1" si="15"/>
        <v/>
      </c>
      <c r="AH33" s="2620" t="str">
        <f t="shared" ca="1" si="15"/>
        <v/>
      </c>
      <c r="AI33" s="2621" t="str">
        <f t="shared" ca="1" si="15"/>
        <v/>
      </c>
      <c r="AJ33" s="2624" t="str">
        <f t="shared" ca="1" si="15"/>
        <v/>
      </c>
      <c r="AK33" s="2620" t="str">
        <f t="shared" ca="1" si="21"/>
        <v/>
      </c>
      <c r="AL33" s="2620" t="str">
        <f t="shared" ca="1" si="21"/>
        <v/>
      </c>
      <c r="AM33" s="2620" t="str">
        <f t="shared" ca="1" si="21"/>
        <v/>
      </c>
      <c r="AN33" s="2621" t="str">
        <f t="shared" ca="1" si="21"/>
        <v/>
      </c>
      <c r="AO33" s="2624" t="str">
        <f t="shared" ca="1" si="21"/>
        <v/>
      </c>
      <c r="AP33" s="2620" t="str">
        <f t="shared" ca="1" si="21"/>
        <v/>
      </c>
      <c r="AQ33" s="2620" t="str">
        <f t="shared" ca="1" si="21"/>
        <v/>
      </c>
      <c r="AR33" s="2621" t="str">
        <f t="shared" ca="1" si="21"/>
        <v/>
      </c>
      <c r="AS33" s="2624" t="str">
        <f t="shared" ca="1" si="21"/>
        <v/>
      </c>
      <c r="AT33" s="2620" t="str">
        <f t="shared" ca="1" si="21"/>
        <v/>
      </c>
      <c r="AU33" s="2620" t="str">
        <f t="shared" ca="1" si="21"/>
        <v/>
      </c>
      <c r="AV33" s="2621" t="str">
        <f t="shared" ca="1" si="21"/>
        <v/>
      </c>
      <c r="AW33" s="2624" t="str">
        <f t="shared" ca="1" si="21"/>
        <v/>
      </c>
      <c r="AX33" s="2620" t="str">
        <f t="shared" ca="1" si="21"/>
        <v/>
      </c>
      <c r="AY33" s="2620" t="str">
        <f t="shared" ca="1" si="21"/>
        <v/>
      </c>
      <c r="AZ33" s="2621" t="str">
        <f t="shared" ca="1" si="21"/>
        <v/>
      </c>
      <c r="BA33" s="2620" t="str">
        <f t="shared" ca="1" si="19"/>
        <v/>
      </c>
      <c r="BB33" s="2620" t="str">
        <f t="shared" ca="1" si="19"/>
        <v/>
      </c>
      <c r="BC33" s="2620" t="str">
        <f t="shared" ca="1" si="19"/>
        <v/>
      </c>
      <c r="BD33" s="2621" t="str">
        <f t="shared" ca="1" si="19"/>
        <v/>
      </c>
      <c r="BE33" s="2625"/>
      <c r="BF33" s="2763"/>
      <c r="BG33" s="2763"/>
      <c r="BH33" s="2763"/>
      <c r="BI33" s="2514">
        <f t="shared" si="12"/>
        <v>52232</v>
      </c>
      <c r="BJ33" s="2516">
        <f t="shared" si="13"/>
        <v>23</v>
      </c>
      <c r="BK33" s="2499">
        <f t="shared" si="6"/>
        <v>2043</v>
      </c>
      <c r="BN33" s="2367">
        <f t="shared" si="7"/>
        <v>23</v>
      </c>
      <c r="BO33" s="2500" t="str">
        <f t="shared" si="8"/>
        <v>1/0/2043</v>
      </c>
      <c r="BP33" s="2501">
        <f t="shared" ca="1" si="2"/>
        <v>0</v>
      </c>
      <c r="BQ33" s="2367">
        <v>52</v>
      </c>
      <c r="BR33" s="2502">
        <f t="shared" si="3"/>
        <v>1.1111111111111112E-2</v>
      </c>
      <c r="BS33" s="2503">
        <f t="shared" ca="1" si="9"/>
        <v>0</v>
      </c>
      <c r="BT33"/>
      <c r="CB33" s="2370"/>
    </row>
    <row r="34" spans="1:80" ht="13" customHeight="1" x14ac:dyDescent="0.35">
      <c r="A34" s="2943"/>
      <c r="B34" s="2536">
        <f t="shared" si="10"/>
        <v>2044</v>
      </c>
      <c r="C34" s="2616">
        <f t="shared" si="4"/>
        <v>24</v>
      </c>
      <c r="D34" s="2617" t="str">
        <f ca="1">IF(BS34=0,"",SUM(BS$10:BS34))</f>
        <v/>
      </c>
      <c r="E34" s="2618" t="str">
        <f t="shared" ca="1" si="20"/>
        <v/>
      </c>
      <c r="F34" s="2619" t="str">
        <f t="shared" ca="1" si="20"/>
        <v/>
      </c>
      <c r="G34" s="2620" t="str">
        <f t="shared" ca="1" si="20"/>
        <v/>
      </c>
      <c r="H34" s="2620" t="str">
        <f t="shared" ca="1" si="20"/>
        <v/>
      </c>
      <c r="I34" s="2621" t="str">
        <f t="shared" ca="1" si="20"/>
        <v/>
      </c>
      <c r="J34" s="2622" t="str">
        <f t="shared" ca="1" si="20"/>
        <v/>
      </c>
      <c r="K34" s="2620" t="str">
        <f t="shared" ca="1" si="20"/>
        <v/>
      </c>
      <c r="L34" s="2620" t="str">
        <f t="shared" ca="1" si="20"/>
        <v/>
      </c>
      <c r="M34" s="2621" t="str">
        <f t="shared" ca="1" si="20"/>
        <v/>
      </c>
      <c r="N34" s="2623" t="str">
        <f t="shared" ca="1" si="20"/>
        <v/>
      </c>
      <c r="O34" s="2620" t="str">
        <f t="shared" ca="1" si="20"/>
        <v/>
      </c>
      <c r="P34" s="2620" t="str">
        <f t="shared" ca="1" si="20"/>
        <v/>
      </c>
      <c r="Q34" s="2621" t="str">
        <f t="shared" ca="1" si="20"/>
        <v/>
      </c>
      <c r="R34" s="2624" t="str">
        <f t="shared" ca="1" si="20"/>
        <v/>
      </c>
      <c r="S34" s="2620" t="str">
        <f t="shared" ca="1" si="20"/>
        <v/>
      </c>
      <c r="T34" s="2620" t="str">
        <f t="shared" ca="1" si="20"/>
        <v/>
      </c>
      <c r="U34" s="2621" t="str">
        <f t="shared" ca="1" si="18"/>
        <v/>
      </c>
      <c r="V34" s="2624" t="str">
        <f t="shared" ca="1" si="18"/>
        <v/>
      </c>
      <c r="W34" s="2620" t="str">
        <f t="shared" ca="1" si="18"/>
        <v/>
      </c>
      <c r="X34" s="2620" t="str">
        <f t="shared" ca="1" si="18"/>
        <v/>
      </c>
      <c r="Y34" s="2620" t="str">
        <f t="shared" ca="1" si="18"/>
        <v/>
      </c>
      <c r="Z34" s="2620" t="str">
        <f t="shared" ca="1" si="18"/>
        <v/>
      </c>
      <c r="AA34" s="2621" t="str">
        <f t="shared" ca="1" si="18"/>
        <v/>
      </c>
      <c r="AB34" s="2624" t="str">
        <f t="shared" ca="1" si="18"/>
        <v/>
      </c>
      <c r="AC34" s="2620" t="str">
        <f t="shared" ca="1" si="18"/>
        <v/>
      </c>
      <c r="AD34" s="2620" t="str">
        <f t="shared" ca="1" si="18"/>
        <v/>
      </c>
      <c r="AE34" s="2621" t="str">
        <f t="shared" ca="1" si="18"/>
        <v/>
      </c>
      <c r="AF34" s="2624" t="str">
        <f t="shared" ref="AF34:AU50" ca="1" si="22">IF(DATE($BK34,AF$5,AF$6)&lt;=DATE(YEAR($BE$5),MONTH($BE$5),DAY($BE$5)),"X","")</f>
        <v/>
      </c>
      <c r="AG34" s="2620" t="str">
        <f t="shared" ca="1" si="22"/>
        <v/>
      </c>
      <c r="AH34" s="2620" t="str">
        <f t="shared" ca="1" si="22"/>
        <v/>
      </c>
      <c r="AI34" s="2621" t="str">
        <f t="shared" ca="1" si="22"/>
        <v/>
      </c>
      <c r="AJ34" s="2624" t="str">
        <f t="shared" ca="1" si="22"/>
        <v/>
      </c>
      <c r="AK34" s="2620" t="str">
        <f t="shared" ca="1" si="22"/>
        <v/>
      </c>
      <c r="AL34" s="2620" t="str">
        <f t="shared" ca="1" si="22"/>
        <v/>
      </c>
      <c r="AM34" s="2620" t="str">
        <f t="shared" ca="1" si="22"/>
        <v/>
      </c>
      <c r="AN34" s="2621" t="str">
        <f t="shared" ca="1" si="22"/>
        <v/>
      </c>
      <c r="AO34" s="2624" t="str">
        <f t="shared" ca="1" si="22"/>
        <v/>
      </c>
      <c r="AP34" s="2620" t="str">
        <f t="shared" ca="1" si="22"/>
        <v/>
      </c>
      <c r="AQ34" s="2620" t="str">
        <f t="shared" ca="1" si="22"/>
        <v/>
      </c>
      <c r="AR34" s="2621" t="str">
        <f t="shared" ca="1" si="22"/>
        <v/>
      </c>
      <c r="AS34" s="2624" t="str">
        <f t="shared" ca="1" si="22"/>
        <v/>
      </c>
      <c r="AT34" s="2620" t="str">
        <f t="shared" ca="1" si="22"/>
        <v/>
      </c>
      <c r="AU34" s="2620" t="str">
        <f t="shared" ca="1" si="22"/>
        <v/>
      </c>
      <c r="AV34" s="2621" t="str">
        <f t="shared" ca="1" si="21"/>
        <v/>
      </c>
      <c r="AW34" s="2624" t="str">
        <f t="shared" ca="1" si="21"/>
        <v/>
      </c>
      <c r="AX34" s="2620" t="str">
        <f t="shared" ca="1" si="21"/>
        <v/>
      </c>
      <c r="AY34" s="2620" t="str">
        <f t="shared" ca="1" si="21"/>
        <v/>
      </c>
      <c r="AZ34" s="2621" t="str">
        <f t="shared" ca="1" si="21"/>
        <v/>
      </c>
      <c r="BA34" s="2620" t="str">
        <f t="shared" ca="1" si="19"/>
        <v/>
      </c>
      <c r="BB34" s="2620" t="str">
        <f t="shared" ca="1" si="19"/>
        <v/>
      </c>
      <c r="BC34" s="2620" t="str">
        <f t="shared" ca="1" si="19"/>
        <v/>
      </c>
      <c r="BD34" s="2621" t="str">
        <f t="shared" ca="1" si="19"/>
        <v/>
      </c>
      <c r="BE34" s="2625"/>
      <c r="BF34" s="2763"/>
      <c r="BG34" s="2763"/>
      <c r="BH34" s="2763"/>
      <c r="BI34" s="2514">
        <f t="shared" si="12"/>
        <v>52597</v>
      </c>
      <c r="BJ34" s="2516">
        <f t="shared" si="13"/>
        <v>24</v>
      </c>
      <c r="BK34" s="2499">
        <f t="shared" si="6"/>
        <v>2044</v>
      </c>
      <c r="BN34" s="2367">
        <f t="shared" si="7"/>
        <v>24</v>
      </c>
      <c r="BO34" s="2500" t="str">
        <f t="shared" si="8"/>
        <v>1/0/2044</v>
      </c>
      <c r="BP34" s="2501">
        <f t="shared" ca="1" si="2"/>
        <v>0</v>
      </c>
      <c r="BQ34" s="2367">
        <v>52</v>
      </c>
      <c r="BR34" s="2502">
        <f t="shared" si="3"/>
        <v>1.1111111111111112E-2</v>
      </c>
      <c r="BS34" s="2503">
        <f t="shared" ca="1" si="9"/>
        <v>0</v>
      </c>
      <c r="BT34"/>
      <c r="CB34" s="2370"/>
    </row>
    <row r="35" spans="1:80" ht="13" customHeight="1" x14ac:dyDescent="0.35">
      <c r="A35" s="2943"/>
      <c r="B35" s="2536">
        <f t="shared" si="10"/>
        <v>2045</v>
      </c>
      <c r="C35" s="2616">
        <f t="shared" si="4"/>
        <v>25</v>
      </c>
      <c r="D35" s="2617" t="str">
        <f ca="1">IF(BS35=0,"",SUM(BS$10:BS35))</f>
        <v/>
      </c>
      <c r="E35" s="2618" t="str">
        <f t="shared" ca="1" si="20"/>
        <v/>
      </c>
      <c r="F35" s="2619" t="str">
        <f t="shared" ca="1" si="20"/>
        <v/>
      </c>
      <c r="G35" s="2620" t="str">
        <f t="shared" ca="1" si="20"/>
        <v/>
      </c>
      <c r="H35" s="2620" t="str">
        <f t="shared" ca="1" si="20"/>
        <v/>
      </c>
      <c r="I35" s="2621" t="str">
        <f t="shared" ca="1" si="20"/>
        <v/>
      </c>
      <c r="J35" s="2622" t="str">
        <f t="shared" ca="1" si="20"/>
        <v/>
      </c>
      <c r="K35" s="2620" t="str">
        <f t="shared" ca="1" si="20"/>
        <v/>
      </c>
      <c r="L35" s="2620" t="str">
        <f t="shared" ca="1" si="20"/>
        <v/>
      </c>
      <c r="M35" s="2621" t="str">
        <f t="shared" ca="1" si="20"/>
        <v/>
      </c>
      <c r="N35" s="2623" t="str">
        <f t="shared" ca="1" si="20"/>
        <v/>
      </c>
      <c r="O35" s="2620" t="str">
        <f t="shared" ca="1" si="20"/>
        <v/>
      </c>
      <c r="P35" s="2620" t="str">
        <f t="shared" ca="1" si="20"/>
        <v/>
      </c>
      <c r="Q35" s="2621" t="str">
        <f t="shared" ca="1" si="20"/>
        <v/>
      </c>
      <c r="R35" s="2624" t="str">
        <f t="shared" ca="1" si="20"/>
        <v/>
      </c>
      <c r="S35" s="2620" t="str">
        <f t="shared" ca="1" si="20"/>
        <v/>
      </c>
      <c r="T35" s="2620" t="str">
        <f t="shared" ca="1" si="20"/>
        <v/>
      </c>
      <c r="U35" s="2621" t="str">
        <f t="shared" ca="1" si="18"/>
        <v/>
      </c>
      <c r="V35" s="2624" t="str">
        <f t="shared" ca="1" si="18"/>
        <v/>
      </c>
      <c r="W35" s="2620" t="str">
        <f t="shared" ca="1" si="18"/>
        <v/>
      </c>
      <c r="X35" s="2620" t="str">
        <f t="shared" ca="1" si="18"/>
        <v/>
      </c>
      <c r="Y35" s="2620" t="str">
        <f t="shared" ca="1" si="18"/>
        <v/>
      </c>
      <c r="Z35" s="2620" t="str">
        <f t="shared" ca="1" si="18"/>
        <v/>
      </c>
      <c r="AA35" s="2621" t="str">
        <f t="shared" ca="1" si="18"/>
        <v/>
      </c>
      <c r="AB35" s="2624" t="str">
        <f t="shared" ca="1" si="18"/>
        <v/>
      </c>
      <c r="AC35" s="2620" t="str">
        <f t="shared" ca="1" si="18"/>
        <v/>
      </c>
      <c r="AD35" s="2620" t="str">
        <f t="shared" ca="1" si="18"/>
        <v/>
      </c>
      <c r="AE35" s="2621" t="str">
        <f t="shared" ca="1" si="18"/>
        <v/>
      </c>
      <c r="AF35" s="2624" t="str">
        <f t="shared" ca="1" si="22"/>
        <v/>
      </c>
      <c r="AG35" s="2620" t="str">
        <f t="shared" ca="1" si="22"/>
        <v/>
      </c>
      <c r="AH35" s="2620" t="str">
        <f t="shared" ca="1" si="22"/>
        <v/>
      </c>
      <c r="AI35" s="2621" t="str">
        <f t="shared" ca="1" si="22"/>
        <v/>
      </c>
      <c r="AJ35" s="2624" t="str">
        <f t="shared" ca="1" si="22"/>
        <v/>
      </c>
      <c r="AK35" s="2620" t="str">
        <f t="shared" ca="1" si="22"/>
        <v/>
      </c>
      <c r="AL35" s="2620" t="str">
        <f t="shared" ca="1" si="22"/>
        <v/>
      </c>
      <c r="AM35" s="2620" t="str">
        <f t="shared" ca="1" si="22"/>
        <v/>
      </c>
      <c r="AN35" s="2621" t="str">
        <f t="shared" ca="1" si="22"/>
        <v/>
      </c>
      <c r="AO35" s="2624" t="str">
        <f t="shared" ca="1" si="22"/>
        <v/>
      </c>
      <c r="AP35" s="2620" t="str">
        <f t="shared" ca="1" si="22"/>
        <v/>
      </c>
      <c r="AQ35" s="2620" t="str">
        <f t="shared" ca="1" si="22"/>
        <v/>
      </c>
      <c r="AR35" s="2621" t="str">
        <f t="shared" ca="1" si="22"/>
        <v/>
      </c>
      <c r="AS35" s="2624" t="str">
        <f t="shared" ca="1" si="22"/>
        <v/>
      </c>
      <c r="AT35" s="2620" t="str">
        <f t="shared" ca="1" si="22"/>
        <v/>
      </c>
      <c r="AU35" s="2620" t="str">
        <f t="shared" ca="1" si="22"/>
        <v/>
      </c>
      <c r="AV35" s="2621" t="str">
        <f t="shared" ca="1" si="21"/>
        <v/>
      </c>
      <c r="AW35" s="2624" t="str">
        <f t="shared" ca="1" si="21"/>
        <v/>
      </c>
      <c r="AX35" s="2620" t="str">
        <f t="shared" ca="1" si="21"/>
        <v/>
      </c>
      <c r="AY35" s="2620" t="str">
        <f t="shared" ca="1" si="21"/>
        <v/>
      </c>
      <c r="AZ35" s="2621" t="str">
        <f t="shared" ca="1" si="21"/>
        <v/>
      </c>
      <c r="BA35" s="2620" t="str">
        <f t="shared" ca="1" si="19"/>
        <v/>
      </c>
      <c r="BB35" s="2620" t="str">
        <f t="shared" ca="1" si="19"/>
        <v/>
      </c>
      <c r="BC35" s="2620" t="str">
        <f t="shared" ca="1" si="19"/>
        <v/>
      </c>
      <c r="BD35" s="2621" t="str">
        <f t="shared" ca="1" si="19"/>
        <v/>
      </c>
      <c r="BE35" s="2625"/>
      <c r="BF35" s="2763"/>
      <c r="BG35" s="2763"/>
      <c r="BH35" s="2763"/>
      <c r="BI35" s="2514">
        <f t="shared" si="12"/>
        <v>52963</v>
      </c>
      <c r="BJ35" s="2516">
        <f t="shared" si="13"/>
        <v>25</v>
      </c>
      <c r="BK35" s="2499">
        <f t="shared" si="6"/>
        <v>2045</v>
      </c>
      <c r="BN35" s="2367">
        <f t="shared" si="7"/>
        <v>25</v>
      </c>
      <c r="BO35" s="2500" t="str">
        <f t="shared" si="8"/>
        <v>1/0/2045</v>
      </c>
      <c r="BP35" s="2501">
        <f t="shared" ca="1" si="2"/>
        <v>0</v>
      </c>
      <c r="BQ35" s="2367">
        <v>52</v>
      </c>
      <c r="BR35" s="2502">
        <f t="shared" si="3"/>
        <v>1.1111111111111112E-2</v>
      </c>
      <c r="BS35" s="2503">
        <f t="shared" ca="1" si="9"/>
        <v>0</v>
      </c>
      <c r="BT35"/>
      <c r="CB35" s="2370"/>
    </row>
    <row r="36" spans="1:80" ht="13" customHeight="1" x14ac:dyDescent="0.35">
      <c r="A36" s="2943"/>
      <c r="B36" s="2536">
        <f t="shared" si="10"/>
        <v>2046</v>
      </c>
      <c r="C36" s="2616">
        <f t="shared" si="4"/>
        <v>26</v>
      </c>
      <c r="D36" s="2617" t="str">
        <f ca="1">IF(BS36=0,"",SUM(BS$10:BS36))</f>
        <v/>
      </c>
      <c r="E36" s="2618" t="str">
        <f t="shared" ca="1" si="20"/>
        <v/>
      </c>
      <c r="F36" s="2619" t="str">
        <f t="shared" ca="1" si="20"/>
        <v/>
      </c>
      <c r="G36" s="2620" t="str">
        <f t="shared" ca="1" si="20"/>
        <v/>
      </c>
      <c r="H36" s="2620" t="str">
        <f t="shared" ca="1" si="20"/>
        <v/>
      </c>
      <c r="I36" s="2621" t="str">
        <f t="shared" ca="1" si="20"/>
        <v/>
      </c>
      <c r="J36" s="2622" t="str">
        <f t="shared" ca="1" si="20"/>
        <v/>
      </c>
      <c r="K36" s="2620" t="str">
        <f t="shared" ca="1" si="20"/>
        <v/>
      </c>
      <c r="L36" s="2620" t="str">
        <f t="shared" ca="1" si="20"/>
        <v/>
      </c>
      <c r="M36" s="2621" t="str">
        <f t="shared" ca="1" si="20"/>
        <v/>
      </c>
      <c r="N36" s="2623" t="str">
        <f t="shared" ca="1" si="20"/>
        <v/>
      </c>
      <c r="O36" s="2620" t="str">
        <f t="shared" ca="1" si="20"/>
        <v/>
      </c>
      <c r="P36" s="2620" t="str">
        <f t="shared" ca="1" si="20"/>
        <v/>
      </c>
      <c r="Q36" s="2621" t="str">
        <f t="shared" ca="1" si="20"/>
        <v/>
      </c>
      <c r="R36" s="2624" t="str">
        <f t="shared" ca="1" si="20"/>
        <v/>
      </c>
      <c r="S36" s="2620" t="str">
        <f t="shared" ca="1" si="20"/>
        <v/>
      </c>
      <c r="T36" s="2620" t="str">
        <f t="shared" ca="1" si="20"/>
        <v/>
      </c>
      <c r="U36" s="2621" t="str">
        <f t="shared" ca="1" si="18"/>
        <v/>
      </c>
      <c r="V36" s="2624" t="str">
        <f t="shared" ca="1" si="18"/>
        <v/>
      </c>
      <c r="W36" s="2620" t="str">
        <f t="shared" ca="1" si="18"/>
        <v/>
      </c>
      <c r="X36" s="2620" t="str">
        <f t="shared" ca="1" si="18"/>
        <v/>
      </c>
      <c r="Y36" s="2620" t="str">
        <f t="shared" ca="1" si="18"/>
        <v/>
      </c>
      <c r="Z36" s="2620" t="str">
        <f t="shared" ca="1" si="18"/>
        <v/>
      </c>
      <c r="AA36" s="2621" t="str">
        <f t="shared" ca="1" si="18"/>
        <v/>
      </c>
      <c r="AB36" s="2624" t="str">
        <f t="shared" ca="1" si="18"/>
        <v/>
      </c>
      <c r="AC36" s="2620" t="str">
        <f t="shared" ca="1" si="18"/>
        <v/>
      </c>
      <c r="AD36" s="2620" t="str">
        <f t="shared" ca="1" si="18"/>
        <v/>
      </c>
      <c r="AE36" s="2621" t="str">
        <f t="shared" ca="1" si="18"/>
        <v/>
      </c>
      <c r="AF36" s="2624" t="str">
        <f t="shared" ca="1" si="22"/>
        <v/>
      </c>
      <c r="AG36" s="2620" t="str">
        <f t="shared" ca="1" si="22"/>
        <v/>
      </c>
      <c r="AH36" s="2620" t="str">
        <f t="shared" ca="1" si="22"/>
        <v/>
      </c>
      <c r="AI36" s="2621" t="str">
        <f t="shared" ca="1" si="22"/>
        <v/>
      </c>
      <c r="AJ36" s="2624" t="str">
        <f t="shared" ca="1" si="22"/>
        <v/>
      </c>
      <c r="AK36" s="2620" t="str">
        <f t="shared" ca="1" si="22"/>
        <v/>
      </c>
      <c r="AL36" s="2620" t="str">
        <f t="shared" ca="1" si="22"/>
        <v/>
      </c>
      <c r="AM36" s="2620" t="str">
        <f t="shared" ca="1" si="22"/>
        <v/>
      </c>
      <c r="AN36" s="2621" t="str">
        <f t="shared" ca="1" si="22"/>
        <v/>
      </c>
      <c r="AO36" s="2624" t="str">
        <f t="shared" ca="1" si="22"/>
        <v/>
      </c>
      <c r="AP36" s="2620" t="str">
        <f t="shared" ca="1" si="22"/>
        <v/>
      </c>
      <c r="AQ36" s="2620" t="str">
        <f t="shared" ca="1" si="22"/>
        <v/>
      </c>
      <c r="AR36" s="2621" t="str">
        <f t="shared" ca="1" si="22"/>
        <v/>
      </c>
      <c r="AS36" s="2624" t="str">
        <f t="shared" ca="1" si="22"/>
        <v/>
      </c>
      <c r="AT36" s="2620" t="str">
        <f t="shared" ca="1" si="22"/>
        <v/>
      </c>
      <c r="AU36" s="2620" t="str">
        <f t="shared" ca="1" si="22"/>
        <v/>
      </c>
      <c r="AV36" s="2621" t="str">
        <f t="shared" ca="1" si="21"/>
        <v/>
      </c>
      <c r="AW36" s="2624" t="str">
        <f t="shared" ca="1" si="21"/>
        <v/>
      </c>
      <c r="AX36" s="2620" t="str">
        <f t="shared" ca="1" si="21"/>
        <v/>
      </c>
      <c r="AY36" s="2620" t="str">
        <f t="shared" ca="1" si="21"/>
        <v/>
      </c>
      <c r="AZ36" s="2621" t="str">
        <f t="shared" ca="1" si="21"/>
        <v/>
      </c>
      <c r="BA36" s="2620" t="str">
        <f t="shared" ca="1" si="19"/>
        <v/>
      </c>
      <c r="BB36" s="2620" t="str">
        <f t="shared" ca="1" si="19"/>
        <v/>
      </c>
      <c r="BC36" s="2620" t="str">
        <f t="shared" ca="1" si="19"/>
        <v/>
      </c>
      <c r="BD36" s="2621" t="str">
        <f t="shared" ca="1" si="19"/>
        <v/>
      </c>
      <c r="BE36" s="2625"/>
      <c r="BF36" s="2763"/>
      <c r="BG36" s="2763"/>
      <c r="BH36" s="2763"/>
      <c r="BI36" s="2514">
        <f t="shared" si="12"/>
        <v>53328</v>
      </c>
      <c r="BJ36" s="2516">
        <f t="shared" si="13"/>
        <v>26</v>
      </c>
      <c r="BK36" s="2499">
        <f t="shared" si="6"/>
        <v>2046</v>
      </c>
      <c r="BN36" s="2367">
        <f t="shared" si="7"/>
        <v>26</v>
      </c>
      <c r="BO36" s="2500" t="str">
        <f t="shared" si="8"/>
        <v>1/0/2046</v>
      </c>
      <c r="BP36" s="2501">
        <f t="shared" ca="1" si="2"/>
        <v>0</v>
      </c>
      <c r="BQ36" s="2367">
        <v>52</v>
      </c>
      <c r="BR36" s="2502">
        <f t="shared" si="3"/>
        <v>1.1111111111111112E-2</v>
      </c>
      <c r="BS36" s="2503">
        <f t="shared" ca="1" si="9"/>
        <v>0</v>
      </c>
      <c r="BT36"/>
      <c r="CB36" s="2370"/>
    </row>
    <row r="37" spans="1:80" ht="13" customHeight="1" x14ac:dyDescent="0.35">
      <c r="A37" s="2943"/>
      <c r="B37" s="2536">
        <f t="shared" si="10"/>
        <v>2047</v>
      </c>
      <c r="C37" s="2616">
        <f t="shared" si="4"/>
        <v>27</v>
      </c>
      <c r="D37" s="2617" t="str">
        <f ca="1">IF(BS37=0,"",SUM(BS$10:BS37))</f>
        <v/>
      </c>
      <c r="E37" s="2618" t="str">
        <f t="shared" ca="1" si="20"/>
        <v/>
      </c>
      <c r="F37" s="2619" t="str">
        <f t="shared" ca="1" si="20"/>
        <v/>
      </c>
      <c r="G37" s="2620" t="str">
        <f t="shared" ca="1" si="20"/>
        <v/>
      </c>
      <c r="H37" s="2620" t="str">
        <f t="shared" ca="1" si="20"/>
        <v/>
      </c>
      <c r="I37" s="2621" t="str">
        <f t="shared" ca="1" si="20"/>
        <v/>
      </c>
      <c r="J37" s="2622" t="str">
        <f t="shared" ca="1" si="20"/>
        <v/>
      </c>
      <c r="K37" s="2620" t="str">
        <f t="shared" ca="1" si="20"/>
        <v/>
      </c>
      <c r="L37" s="2620" t="str">
        <f t="shared" ca="1" si="20"/>
        <v/>
      </c>
      <c r="M37" s="2621" t="str">
        <f t="shared" ca="1" si="20"/>
        <v/>
      </c>
      <c r="N37" s="2623" t="str">
        <f t="shared" ca="1" si="20"/>
        <v/>
      </c>
      <c r="O37" s="2620" t="str">
        <f t="shared" ca="1" si="20"/>
        <v/>
      </c>
      <c r="P37" s="2620" t="str">
        <f t="shared" ca="1" si="20"/>
        <v/>
      </c>
      <c r="Q37" s="2621" t="str">
        <f t="shared" ca="1" si="20"/>
        <v/>
      </c>
      <c r="R37" s="2624" t="str">
        <f t="shared" ca="1" si="20"/>
        <v/>
      </c>
      <c r="S37" s="2620" t="str">
        <f t="shared" ca="1" si="20"/>
        <v/>
      </c>
      <c r="T37" s="2620" t="str">
        <f t="shared" ca="1" si="20"/>
        <v/>
      </c>
      <c r="U37" s="2621" t="str">
        <f t="shared" ca="1" si="18"/>
        <v/>
      </c>
      <c r="V37" s="2624" t="str">
        <f t="shared" ca="1" si="18"/>
        <v/>
      </c>
      <c r="W37" s="2620" t="str">
        <f t="shared" ca="1" si="18"/>
        <v/>
      </c>
      <c r="X37" s="2620" t="str">
        <f t="shared" ca="1" si="18"/>
        <v/>
      </c>
      <c r="Y37" s="2620" t="str">
        <f t="shared" ca="1" si="18"/>
        <v/>
      </c>
      <c r="Z37" s="2620" t="str">
        <f t="shared" ca="1" si="18"/>
        <v/>
      </c>
      <c r="AA37" s="2621" t="str">
        <f t="shared" ca="1" si="18"/>
        <v/>
      </c>
      <c r="AB37" s="2624" t="str">
        <f t="shared" ca="1" si="18"/>
        <v/>
      </c>
      <c r="AC37" s="2620" t="str">
        <f t="shared" ca="1" si="18"/>
        <v/>
      </c>
      <c r="AD37" s="2620" t="str">
        <f t="shared" ca="1" si="18"/>
        <v/>
      </c>
      <c r="AE37" s="2621" t="str">
        <f t="shared" ca="1" si="18"/>
        <v/>
      </c>
      <c r="AF37" s="2624" t="str">
        <f t="shared" ca="1" si="22"/>
        <v/>
      </c>
      <c r="AG37" s="2620" t="str">
        <f t="shared" ca="1" si="22"/>
        <v/>
      </c>
      <c r="AH37" s="2620" t="str">
        <f t="shared" ca="1" si="22"/>
        <v/>
      </c>
      <c r="AI37" s="2621" t="str">
        <f t="shared" ca="1" si="22"/>
        <v/>
      </c>
      <c r="AJ37" s="2624" t="str">
        <f t="shared" ca="1" si="22"/>
        <v/>
      </c>
      <c r="AK37" s="2620" t="str">
        <f t="shared" ca="1" si="22"/>
        <v/>
      </c>
      <c r="AL37" s="2620" t="str">
        <f t="shared" ca="1" si="22"/>
        <v/>
      </c>
      <c r="AM37" s="2620" t="str">
        <f t="shared" ca="1" si="22"/>
        <v/>
      </c>
      <c r="AN37" s="2621" t="str">
        <f t="shared" ca="1" si="22"/>
        <v/>
      </c>
      <c r="AO37" s="2624" t="str">
        <f t="shared" ca="1" si="22"/>
        <v/>
      </c>
      <c r="AP37" s="2620" t="str">
        <f t="shared" ca="1" si="22"/>
        <v/>
      </c>
      <c r="AQ37" s="2620" t="str">
        <f t="shared" ca="1" si="22"/>
        <v/>
      </c>
      <c r="AR37" s="2621" t="str">
        <f t="shared" ca="1" si="22"/>
        <v/>
      </c>
      <c r="AS37" s="2624" t="str">
        <f t="shared" ca="1" si="22"/>
        <v/>
      </c>
      <c r="AT37" s="2620" t="str">
        <f t="shared" ca="1" si="22"/>
        <v/>
      </c>
      <c r="AU37" s="2620" t="str">
        <f t="shared" ca="1" si="22"/>
        <v/>
      </c>
      <c r="AV37" s="2621" t="str">
        <f t="shared" ca="1" si="21"/>
        <v/>
      </c>
      <c r="AW37" s="2624" t="str">
        <f t="shared" ca="1" si="21"/>
        <v/>
      </c>
      <c r="AX37" s="2620" t="str">
        <f t="shared" ca="1" si="21"/>
        <v/>
      </c>
      <c r="AY37" s="2620" t="str">
        <f t="shared" ca="1" si="21"/>
        <v/>
      </c>
      <c r="AZ37" s="2621" t="str">
        <f t="shared" ca="1" si="21"/>
        <v/>
      </c>
      <c r="BA37" s="2620" t="str">
        <f t="shared" ca="1" si="19"/>
        <v/>
      </c>
      <c r="BB37" s="2620" t="str">
        <f t="shared" ca="1" si="19"/>
        <v/>
      </c>
      <c r="BC37" s="2620" t="str">
        <f t="shared" ca="1" si="19"/>
        <v/>
      </c>
      <c r="BD37" s="2621" t="str">
        <f t="shared" ca="1" si="19"/>
        <v/>
      </c>
      <c r="BE37" s="2625"/>
      <c r="BF37" s="2763"/>
      <c r="BG37" s="2763"/>
      <c r="BH37" s="2763"/>
      <c r="BI37" s="2514">
        <f t="shared" si="12"/>
        <v>53693</v>
      </c>
      <c r="BJ37" s="2516">
        <f t="shared" si="13"/>
        <v>27</v>
      </c>
      <c r="BK37" s="2499">
        <f t="shared" si="6"/>
        <v>2047</v>
      </c>
      <c r="BN37" s="2367">
        <f t="shared" si="7"/>
        <v>27</v>
      </c>
      <c r="BO37" s="2500" t="str">
        <f t="shared" si="8"/>
        <v>1/0/2047</v>
      </c>
      <c r="BP37" s="2501">
        <f t="shared" ca="1" si="2"/>
        <v>0</v>
      </c>
      <c r="BQ37" s="2367">
        <v>52</v>
      </c>
      <c r="BR37" s="2502">
        <f t="shared" si="3"/>
        <v>1.1111111111111112E-2</v>
      </c>
      <c r="BS37" s="2503">
        <f t="shared" ca="1" si="9"/>
        <v>0</v>
      </c>
      <c r="BT37"/>
      <c r="CB37" s="2370"/>
    </row>
    <row r="38" spans="1:80" ht="13" customHeight="1" x14ac:dyDescent="0.35">
      <c r="A38" s="2943"/>
      <c r="B38" s="2536">
        <f t="shared" si="10"/>
        <v>2048</v>
      </c>
      <c r="C38" s="2616">
        <f t="shared" si="4"/>
        <v>28</v>
      </c>
      <c r="D38" s="2617" t="str">
        <f ca="1">IF(BS38=0,"",SUM(BS$10:BS38))</f>
        <v/>
      </c>
      <c r="E38" s="2618" t="str">
        <f t="shared" ca="1" si="20"/>
        <v/>
      </c>
      <c r="F38" s="2619" t="str">
        <f t="shared" ca="1" si="20"/>
        <v/>
      </c>
      <c r="G38" s="2620" t="str">
        <f t="shared" ca="1" si="20"/>
        <v/>
      </c>
      <c r="H38" s="2620" t="str">
        <f t="shared" ca="1" si="20"/>
        <v/>
      </c>
      <c r="I38" s="2621" t="str">
        <f t="shared" ca="1" si="20"/>
        <v/>
      </c>
      <c r="J38" s="2622" t="str">
        <f t="shared" ca="1" si="20"/>
        <v/>
      </c>
      <c r="K38" s="2620" t="str">
        <f t="shared" ca="1" si="20"/>
        <v/>
      </c>
      <c r="L38" s="2620" t="str">
        <f t="shared" ca="1" si="20"/>
        <v/>
      </c>
      <c r="M38" s="2621" t="str">
        <f t="shared" ca="1" si="20"/>
        <v/>
      </c>
      <c r="N38" s="2623" t="str">
        <f t="shared" ca="1" si="20"/>
        <v/>
      </c>
      <c r="O38" s="2620" t="str">
        <f t="shared" ca="1" si="20"/>
        <v/>
      </c>
      <c r="P38" s="2620" t="str">
        <f t="shared" ca="1" si="20"/>
        <v/>
      </c>
      <c r="Q38" s="2621" t="str">
        <f t="shared" ca="1" si="20"/>
        <v/>
      </c>
      <c r="R38" s="2624" t="str">
        <f t="shared" ca="1" si="20"/>
        <v/>
      </c>
      <c r="S38" s="2620" t="str">
        <f t="shared" ca="1" si="20"/>
        <v/>
      </c>
      <c r="T38" s="2620" t="str">
        <f t="shared" ca="1" si="20"/>
        <v/>
      </c>
      <c r="U38" s="2621" t="str">
        <f t="shared" ca="1" si="18"/>
        <v/>
      </c>
      <c r="V38" s="2624" t="str">
        <f t="shared" ca="1" si="18"/>
        <v/>
      </c>
      <c r="W38" s="2620" t="str">
        <f t="shared" ca="1" si="18"/>
        <v/>
      </c>
      <c r="X38" s="2620" t="str">
        <f t="shared" ca="1" si="18"/>
        <v/>
      </c>
      <c r="Y38" s="2620" t="str">
        <f t="shared" ca="1" si="18"/>
        <v/>
      </c>
      <c r="Z38" s="2620" t="str">
        <f t="shared" ca="1" si="18"/>
        <v/>
      </c>
      <c r="AA38" s="2621" t="str">
        <f t="shared" ca="1" si="18"/>
        <v/>
      </c>
      <c r="AB38" s="2624" t="str">
        <f t="shared" ca="1" si="18"/>
        <v/>
      </c>
      <c r="AC38" s="2620" t="str">
        <f t="shared" ca="1" si="18"/>
        <v/>
      </c>
      <c r="AD38" s="2620" t="str">
        <f t="shared" ca="1" si="18"/>
        <v/>
      </c>
      <c r="AE38" s="2621" t="str">
        <f t="shared" ca="1" si="18"/>
        <v/>
      </c>
      <c r="AF38" s="2624" t="str">
        <f t="shared" ca="1" si="22"/>
        <v/>
      </c>
      <c r="AG38" s="2620" t="str">
        <f t="shared" ca="1" si="22"/>
        <v/>
      </c>
      <c r="AH38" s="2620" t="str">
        <f t="shared" ca="1" si="22"/>
        <v/>
      </c>
      <c r="AI38" s="2621" t="str">
        <f t="shared" ca="1" si="22"/>
        <v/>
      </c>
      <c r="AJ38" s="2624" t="str">
        <f t="shared" ca="1" si="22"/>
        <v/>
      </c>
      <c r="AK38" s="2620" t="str">
        <f t="shared" ca="1" si="22"/>
        <v/>
      </c>
      <c r="AL38" s="2620" t="str">
        <f t="shared" ca="1" si="22"/>
        <v/>
      </c>
      <c r="AM38" s="2620" t="str">
        <f t="shared" ca="1" si="22"/>
        <v/>
      </c>
      <c r="AN38" s="2621" t="str">
        <f t="shared" ca="1" si="22"/>
        <v/>
      </c>
      <c r="AO38" s="2624" t="str">
        <f t="shared" ca="1" si="22"/>
        <v/>
      </c>
      <c r="AP38" s="2620" t="str">
        <f t="shared" ca="1" si="22"/>
        <v/>
      </c>
      <c r="AQ38" s="2620" t="str">
        <f t="shared" ca="1" si="22"/>
        <v/>
      </c>
      <c r="AR38" s="2621" t="str">
        <f t="shared" ca="1" si="22"/>
        <v/>
      </c>
      <c r="AS38" s="2624" t="str">
        <f t="shared" ca="1" si="22"/>
        <v/>
      </c>
      <c r="AT38" s="2620" t="str">
        <f t="shared" ca="1" si="22"/>
        <v/>
      </c>
      <c r="AU38" s="2620" t="str">
        <f t="shared" ca="1" si="22"/>
        <v/>
      </c>
      <c r="AV38" s="2621" t="str">
        <f t="shared" ca="1" si="21"/>
        <v/>
      </c>
      <c r="AW38" s="2624" t="str">
        <f t="shared" ca="1" si="21"/>
        <v/>
      </c>
      <c r="AX38" s="2620" t="str">
        <f t="shared" ca="1" si="21"/>
        <v/>
      </c>
      <c r="AY38" s="2620" t="str">
        <f t="shared" ca="1" si="21"/>
        <v/>
      </c>
      <c r="AZ38" s="2621" t="str">
        <f t="shared" ca="1" si="21"/>
        <v/>
      </c>
      <c r="BA38" s="2620" t="str">
        <f t="shared" ca="1" si="19"/>
        <v/>
      </c>
      <c r="BB38" s="2620" t="str">
        <f t="shared" ca="1" si="19"/>
        <v/>
      </c>
      <c r="BC38" s="2620" t="str">
        <f t="shared" ca="1" si="19"/>
        <v/>
      </c>
      <c r="BD38" s="2621" t="str">
        <f t="shared" ca="1" si="19"/>
        <v/>
      </c>
      <c r="BE38" s="2625"/>
      <c r="BF38" s="2763"/>
      <c r="BG38" s="2763"/>
      <c r="BH38" s="2763"/>
      <c r="BI38" s="2514">
        <f t="shared" si="12"/>
        <v>54058</v>
      </c>
      <c r="BJ38" s="2516">
        <f t="shared" si="13"/>
        <v>28</v>
      </c>
      <c r="BK38" s="2499">
        <f t="shared" si="6"/>
        <v>2048</v>
      </c>
      <c r="BN38" s="2367">
        <f t="shared" si="7"/>
        <v>28</v>
      </c>
      <c r="BO38" s="2500" t="str">
        <f t="shared" si="8"/>
        <v>1/0/2048</v>
      </c>
      <c r="BP38" s="2501">
        <f t="shared" ca="1" si="2"/>
        <v>0</v>
      </c>
      <c r="BQ38" s="2367">
        <v>52</v>
      </c>
      <c r="BR38" s="2502">
        <f t="shared" si="3"/>
        <v>1.1111111111111112E-2</v>
      </c>
      <c r="BS38" s="2503">
        <f t="shared" ca="1" si="9"/>
        <v>0</v>
      </c>
      <c r="BT38"/>
      <c r="CB38" s="2370"/>
    </row>
    <row r="39" spans="1:80" ht="13" customHeight="1" thickBot="1" x14ac:dyDescent="0.4">
      <c r="A39" s="2944"/>
      <c r="B39" s="2596">
        <f t="shared" si="10"/>
        <v>2049</v>
      </c>
      <c r="C39" s="2626">
        <f t="shared" si="4"/>
        <v>29</v>
      </c>
      <c r="D39" s="2627" t="str">
        <f ca="1">IF(BS39=0,"",SUM(BS$10:BS39))</f>
        <v/>
      </c>
      <c r="E39" s="2628" t="str">
        <f t="shared" ca="1" si="20"/>
        <v/>
      </c>
      <c r="F39" s="2629" t="str">
        <f t="shared" ca="1" si="20"/>
        <v/>
      </c>
      <c r="G39" s="2630" t="str">
        <f t="shared" ca="1" si="20"/>
        <v/>
      </c>
      <c r="H39" s="2630" t="str">
        <f t="shared" ca="1" si="20"/>
        <v/>
      </c>
      <c r="I39" s="2631" t="str">
        <f t="shared" ca="1" si="20"/>
        <v/>
      </c>
      <c r="J39" s="2632" t="str">
        <f t="shared" ca="1" si="20"/>
        <v/>
      </c>
      <c r="K39" s="2630" t="str">
        <f t="shared" ca="1" si="20"/>
        <v/>
      </c>
      <c r="L39" s="2630" t="str">
        <f t="shared" ca="1" si="20"/>
        <v/>
      </c>
      <c r="M39" s="2631" t="str">
        <f t="shared" ca="1" si="20"/>
        <v/>
      </c>
      <c r="N39" s="2633" t="str">
        <f t="shared" ca="1" si="20"/>
        <v/>
      </c>
      <c r="O39" s="2630" t="str">
        <f t="shared" ca="1" si="20"/>
        <v/>
      </c>
      <c r="P39" s="2630" t="str">
        <f t="shared" ca="1" si="20"/>
        <v/>
      </c>
      <c r="Q39" s="2631" t="str">
        <f t="shared" ca="1" si="20"/>
        <v/>
      </c>
      <c r="R39" s="2634" t="str">
        <f t="shared" ca="1" si="20"/>
        <v/>
      </c>
      <c r="S39" s="2630" t="str">
        <f t="shared" ca="1" si="20"/>
        <v/>
      </c>
      <c r="T39" s="2630" t="str">
        <f t="shared" ca="1" si="20"/>
        <v/>
      </c>
      <c r="U39" s="2631" t="str">
        <f t="shared" ca="1" si="18"/>
        <v/>
      </c>
      <c r="V39" s="2634" t="str">
        <f t="shared" ca="1" si="18"/>
        <v/>
      </c>
      <c r="W39" s="2630" t="str">
        <f t="shared" ca="1" si="18"/>
        <v/>
      </c>
      <c r="X39" s="2630" t="str">
        <f t="shared" ca="1" si="18"/>
        <v/>
      </c>
      <c r="Y39" s="2630" t="str">
        <f t="shared" ca="1" si="18"/>
        <v/>
      </c>
      <c r="Z39" s="2630" t="str">
        <f t="shared" ca="1" si="18"/>
        <v/>
      </c>
      <c r="AA39" s="2631" t="str">
        <f t="shared" ca="1" si="18"/>
        <v/>
      </c>
      <c r="AB39" s="2634" t="str">
        <f t="shared" ca="1" si="18"/>
        <v/>
      </c>
      <c r="AC39" s="2630" t="str">
        <f t="shared" ca="1" si="18"/>
        <v/>
      </c>
      <c r="AD39" s="2630" t="str">
        <f t="shared" ca="1" si="18"/>
        <v/>
      </c>
      <c r="AE39" s="2631" t="str">
        <f t="shared" ca="1" si="18"/>
        <v/>
      </c>
      <c r="AF39" s="2634" t="str">
        <f t="shared" ca="1" si="22"/>
        <v/>
      </c>
      <c r="AG39" s="2630" t="str">
        <f t="shared" ca="1" si="22"/>
        <v/>
      </c>
      <c r="AH39" s="2630" t="str">
        <f t="shared" ca="1" si="22"/>
        <v/>
      </c>
      <c r="AI39" s="2631" t="str">
        <f t="shared" ca="1" si="22"/>
        <v/>
      </c>
      <c r="AJ39" s="2634" t="str">
        <f t="shared" ca="1" si="22"/>
        <v/>
      </c>
      <c r="AK39" s="2630" t="str">
        <f t="shared" ca="1" si="22"/>
        <v/>
      </c>
      <c r="AL39" s="2630" t="str">
        <f t="shared" ca="1" si="22"/>
        <v/>
      </c>
      <c r="AM39" s="2630" t="str">
        <f t="shared" ca="1" si="22"/>
        <v/>
      </c>
      <c r="AN39" s="2631" t="str">
        <f t="shared" ca="1" si="22"/>
        <v/>
      </c>
      <c r="AO39" s="2634" t="str">
        <f t="shared" ca="1" si="22"/>
        <v/>
      </c>
      <c r="AP39" s="2630" t="str">
        <f t="shared" ca="1" si="22"/>
        <v/>
      </c>
      <c r="AQ39" s="2630" t="str">
        <f t="shared" ca="1" si="22"/>
        <v/>
      </c>
      <c r="AR39" s="2631" t="str">
        <f t="shared" ca="1" si="22"/>
        <v/>
      </c>
      <c r="AS39" s="2634" t="str">
        <f t="shared" ca="1" si="22"/>
        <v/>
      </c>
      <c r="AT39" s="2630" t="str">
        <f t="shared" ca="1" si="22"/>
        <v/>
      </c>
      <c r="AU39" s="2630" t="str">
        <f t="shared" ca="1" si="22"/>
        <v/>
      </c>
      <c r="AV39" s="2631" t="str">
        <f t="shared" ca="1" si="21"/>
        <v/>
      </c>
      <c r="AW39" s="2634" t="str">
        <f t="shared" ca="1" si="21"/>
        <v/>
      </c>
      <c r="AX39" s="2630" t="str">
        <f t="shared" ca="1" si="21"/>
        <v/>
      </c>
      <c r="AY39" s="2630" t="str">
        <f t="shared" ca="1" si="21"/>
        <v/>
      </c>
      <c r="AZ39" s="2631" t="str">
        <f t="shared" ca="1" si="21"/>
        <v/>
      </c>
      <c r="BA39" s="2630" t="str">
        <f t="shared" ca="1" si="19"/>
        <v/>
      </c>
      <c r="BB39" s="2630" t="str">
        <f t="shared" ca="1" si="19"/>
        <v/>
      </c>
      <c r="BC39" s="2630" t="str">
        <f t="shared" ca="1" si="19"/>
        <v/>
      </c>
      <c r="BD39" s="2631" t="str">
        <f t="shared" ca="1" si="19"/>
        <v/>
      </c>
      <c r="BE39" s="2625"/>
      <c r="BF39" s="2764"/>
      <c r="BG39" s="2764"/>
      <c r="BH39" s="2764"/>
      <c r="BI39" s="2514">
        <f t="shared" si="12"/>
        <v>54424</v>
      </c>
      <c r="BJ39" s="2516">
        <f t="shared" si="13"/>
        <v>29</v>
      </c>
      <c r="BK39" s="2499">
        <f t="shared" si="6"/>
        <v>2049</v>
      </c>
      <c r="BN39" s="2367">
        <f t="shared" si="7"/>
        <v>29</v>
      </c>
      <c r="BO39" s="2500" t="str">
        <f t="shared" si="8"/>
        <v>1/0/2049</v>
      </c>
      <c r="BP39" s="2501">
        <f t="shared" ca="1" si="2"/>
        <v>0</v>
      </c>
      <c r="BQ39" s="2367">
        <v>52</v>
      </c>
      <c r="BR39" s="2502">
        <f t="shared" si="3"/>
        <v>1.1111111111111112E-2</v>
      </c>
      <c r="BS39" s="2503">
        <f t="shared" ca="1" si="9"/>
        <v>0</v>
      </c>
      <c r="BT39"/>
      <c r="CB39" s="2370"/>
    </row>
    <row r="40" spans="1:80" ht="13" customHeight="1" x14ac:dyDescent="0.35">
      <c r="A40" s="2942">
        <v>4</v>
      </c>
      <c r="B40" s="2526">
        <f t="shared" si="10"/>
        <v>2050</v>
      </c>
      <c r="C40" s="2606">
        <f t="shared" si="4"/>
        <v>30</v>
      </c>
      <c r="D40" s="2607" t="str">
        <f ca="1">IF(BS40=0,"",SUM(BS$10:BS40))</f>
        <v/>
      </c>
      <c r="E40" s="2608" t="str">
        <f t="shared" ca="1" si="20"/>
        <v/>
      </c>
      <c r="F40" s="2609" t="str">
        <f t="shared" ca="1" si="20"/>
        <v/>
      </c>
      <c r="G40" s="2610" t="str">
        <f t="shared" ca="1" si="20"/>
        <v/>
      </c>
      <c r="H40" s="2610" t="str">
        <f t="shared" ca="1" si="20"/>
        <v/>
      </c>
      <c r="I40" s="2611" t="str">
        <f t="shared" ca="1" si="20"/>
        <v/>
      </c>
      <c r="J40" s="2612" t="str">
        <f t="shared" ca="1" si="20"/>
        <v/>
      </c>
      <c r="K40" s="2610" t="str">
        <f t="shared" ca="1" si="20"/>
        <v/>
      </c>
      <c r="L40" s="2610" t="str">
        <f t="shared" ca="1" si="20"/>
        <v/>
      </c>
      <c r="M40" s="2611" t="str">
        <f t="shared" ca="1" si="20"/>
        <v/>
      </c>
      <c r="N40" s="2613" t="str">
        <f t="shared" ca="1" si="20"/>
        <v/>
      </c>
      <c r="O40" s="2610" t="str">
        <f t="shared" ca="1" si="20"/>
        <v/>
      </c>
      <c r="P40" s="2610" t="str">
        <f t="shared" ca="1" si="20"/>
        <v/>
      </c>
      <c r="Q40" s="2611" t="str">
        <f t="shared" ca="1" si="20"/>
        <v/>
      </c>
      <c r="R40" s="2614" t="str">
        <f t="shared" ca="1" si="20"/>
        <v/>
      </c>
      <c r="S40" s="2610" t="str">
        <f t="shared" ca="1" si="20"/>
        <v/>
      </c>
      <c r="T40" s="2610" t="str">
        <f t="shared" ca="1" si="20"/>
        <v/>
      </c>
      <c r="U40" s="2611" t="str">
        <f t="shared" ca="1" si="18"/>
        <v/>
      </c>
      <c r="V40" s="2614" t="str">
        <f t="shared" ca="1" si="18"/>
        <v/>
      </c>
      <c r="W40" s="2610" t="str">
        <f t="shared" ca="1" si="18"/>
        <v/>
      </c>
      <c r="X40" s="2610" t="str">
        <f t="shared" ca="1" si="18"/>
        <v/>
      </c>
      <c r="Y40" s="2610" t="str">
        <f t="shared" ca="1" si="18"/>
        <v/>
      </c>
      <c r="Z40" s="2610" t="str">
        <f t="shared" ca="1" si="18"/>
        <v/>
      </c>
      <c r="AA40" s="2611" t="str">
        <f t="shared" ca="1" si="18"/>
        <v/>
      </c>
      <c r="AB40" s="2614" t="str">
        <f t="shared" ca="1" si="18"/>
        <v/>
      </c>
      <c r="AC40" s="2610" t="str">
        <f t="shared" ca="1" si="18"/>
        <v/>
      </c>
      <c r="AD40" s="2610" t="str">
        <f t="shared" ca="1" si="18"/>
        <v/>
      </c>
      <c r="AE40" s="2611" t="str">
        <f t="shared" ca="1" si="18"/>
        <v/>
      </c>
      <c r="AF40" s="2614" t="str">
        <f t="shared" ca="1" si="22"/>
        <v/>
      </c>
      <c r="AG40" s="2610" t="str">
        <f t="shared" ca="1" si="22"/>
        <v/>
      </c>
      <c r="AH40" s="2610" t="str">
        <f t="shared" ca="1" si="22"/>
        <v/>
      </c>
      <c r="AI40" s="2611" t="str">
        <f t="shared" ca="1" si="22"/>
        <v/>
      </c>
      <c r="AJ40" s="2614" t="str">
        <f t="shared" ca="1" si="22"/>
        <v/>
      </c>
      <c r="AK40" s="2610" t="str">
        <f t="shared" ca="1" si="22"/>
        <v/>
      </c>
      <c r="AL40" s="2610" t="str">
        <f t="shared" ca="1" si="22"/>
        <v/>
      </c>
      <c r="AM40" s="2610" t="str">
        <f t="shared" ca="1" si="22"/>
        <v/>
      </c>
      <c r="AN40" s="2611" t="str">
        <f t="shared" ca="1" si="22"/>
        <v/>
      </c>
      <c r="AO40" s="2614" t="str">
        <f t="shared" ca="1" si="22"/>
        <v/>
      </c>
      <c r="AP40" s="2610" t="str">
        <f t="shared" ca="1" si="22"/>
        <v/>
      </c>
      <c r="AQ40" s="2610" t="str">
        <f t="shared" ca="1" si="22"/>
        <v/>
      </c>
      <c r="AR40" s="2611" t="str">
        <f t="shared" ca="1" si="22"/>
        <v/>
      </c>
      <c r="AS40" s="2614" t="str">
        <f t="shared" ca="1" si="22"/>
        <v/>
      </c>
      <c r="AT40" s="2610" t="str">
        <f t="shared" ca="1" si="22"/>
        <v/>
      </c>
      <c r="AU40" s="2610" t="str">
        <f t="shared" ca="1" si="22"/>
        <v/>
      </c>
      <c r="AV40" s="2611" t="str">
        <f t="shared" ca="1" si="21"/>
        <v/>
      </c>
      <c r="AW40" s="2614" t="str">
        <f t="shared" ca="1" si="21"/>
        <v/>
      </c>
      <c r="AX40" s="2610" t="str">
        <f t="shared" ca="1" si="21"/>
        <v/>
      </c>
      <c r="AY40" s="2610" t="str">
        <f t="shared" ca="1" si="21"/>
        <v/>
      </c>
      <c r="AZ40" s="2611" t="str">
        <f t="shared" ca="1" si="21"/>
        <v/>
      </c>
      <c r="BA40" s="2610" t="str">
        <f t="shared" ca="1" si="19"/>
        <v/>
      </c>
      <c r="BB40" s="2610" t="str">
        <f t="shared" ca="1" si="19"/>
        <v/>
      </c>
      <c r="BC40" s="2610" t="str">
        <f t="shared" ca="1" si="19"/>
        <v/>
      </c>
      <c r="BD40" s="2611" t="str">
        <f t="shared" ca="1" si="19"/>
        <v/>
      </c>
      <c r="BE40" s="2625"/>
      <c r="BF40" s="2762"/>
      <c r="BG40" s="2762"/>
      <c r="BH40" s="2762"/>
      <c r="BI40" s="2514">
        <f t="shared" si="12"/>
        <v>54789</v>
      </c>
      <c r="BJ40" s="2516">
        <f t="shared" si="13"/>
        <v>30</v>
      </c>
      <c r="BK40" s="2499">
        <f t="shared" si="6"/>
        <v>2050</v>
      </c>
      <c r="BN40" s="2367">
        <f t="shared" si="7"/>
        <v>30</v>
      </c>
      <c r="BO40" s="2500" t="str">
        <f t="shared" si="8"/>
        <v>1/0/2050</v>
      </c>
      <c r="BP40" s="2501">
        <f t="shared" ca="1" si="2"/>
        <v>0</v>
      </c>
      <c r="BQ40" s="2367">
        <v>52</v>
      </c>
      <c r="BR40" s="2502">
        <f t="shared" si="3"/>
        <v>1.1111111111111112E-2</v>
      </c>
      <c r="BS40" s="2503">
        <f t="shared" ca="1" si="9"/>
        <v>0</v>
      </c>
      <c r="BT40"/>
      <c r="CB40" s="2370"/>
    </row>
    <row r="41" spans="1:80" ht="13" customHeight="1" x14ac:dyDescent="0.35">
      <c r="A41" s="2943"/>
      <c r="B41" s="2536">
        <f t="shared" si="10"/>
        <v>2051</v>
      </c>
      <c r="C41" s="2616">
        <f t="shared" si="4"/>
        <v>31</v>
      </c>
      <c r="D41" s="2617" t="str">
        <f ca="1">IF(BS41=0,"",SUM(BS$10:BS41))</f>
        <v/>
      </c>
      <c r="E41" s="2618" t="str">
        <f t="shared" ca="1" si="20"/>
        <v/>
      </c>
      <c r="F41" s="2619" t="str">
        <f t="shared" ca="1" si="20"/>
        <v/>
      </c>
      <c r="G41" s="2620" t="str">
        <f t="shared" ca="1" si="20"/>
        <v/>
      </c>
      <c r="H41" s="2620" t="str">
        <f t="shared" ca="1" si="20"/>
        <v/>
      </c>
      <c r="I41" s="2621" t="str">
        <f t="shared" ca="1" si="20"/>
        <v/>
      </c>
      <c r="J41" s="2622" t="str">
        <f t="shared" ca="1" si="20"/>
        <v/>
      </c>
      <c r="K41" s="2620" t="str">
        <f t="shared" ca="1" si="20"/>
        <v/>
      </c>
      <c r="L41" s="2620" t="str">
        <f t="shared" ca="1" si="20"/>
        <v/>
      </c>
      <c r="M41" s="2621" t="str">
        <f t="shared" ca="1" si="20"/>
        <v/>
      </c>
      <c r="N41" s="2623" t="str">
        <f t="shared" ca="1" si="20"/>
        <v/>
      </c>
      <c r="O41" s="2620" t="str">
        <f t="shared" ca="1" si="20"/>
        <v/>
      </c>
      <c r="P41" s="2620" t="str">
        <f t="shared" ca="1" si="20"/>
        <v/>
      </c>
      <c r="Q41" s="2621" t="str">
        <f t="shared" ca="1" si="20"/>
        <v/>
      </c>
      <c r="R41" s="2624" t="str">
        <f t="shared" ca="1" si="20"/>
        <v/>
      </c>
      <c r="S41" s="2620" t="str">
        <f t="shared" ca="1" si="20"/>
        <v/>
      </c>
      <c r="T41" s="2620" t="str">
        <f t="shared" ca="1" si="20"/>
        <v/>
      </c>
      <c r="U41" s="2621" t="str">
        <f t="shared" ca="1" si="18"/>
        <v/>
      </c>
      <c r="V41" s="2624" t="str">
        <f t="shared" ca="1" si="18"/>
        <v/>
      </c>
      <c r="W41" s="2620" t="str">
        <f t="shared" ca="1" si="18"/>
        <v/>
      </c>
      <c r="X41" s="2620" t="str">
        <f t="shared" ca="1" si="18"/>
        <v/>
      </c>
      <c r="Y41" s="2620" t="str">
        <f t="shared" ca="1" si="18"/>
        <v/>
      </c>
      <c r="Z41" s="2620" t="str">
        <f t="shared" ca="1" si="18"/>
        <v/>
      </c>
      <c r="AA41" s="2621" t="str">
        <f t="shared" ca="1" si="18"/>
        <v/>
      </c>
      <c r="AB41" s="2624" t="str">
        <f t="shared" ca="1" si="18"/>
        <v/>
      </c>
      <c r="AC41" s="2620" t="str">
        <f t="shared" ca="1" si="18"/>
        <v/>
      </c>
      <c r="AD41" s="2620" t="str">
        <f t="shared" ca="1" si="18"/>
        <v/>
      </c>
      <c r="AE41" s="2621" t="str">
        <f t="shared" ca="1" si="18"/>
        <v/>
      </c>
      <c r="AF41" s="2624" t="str">
        <f t="shared" ca="1" si="22"/>
        <v/>
      </c>
      <c r="AG41" s="2620" t="str">
        <f t="shared" ca="1" si="22"/>
        <v/>
      </c>
      <c r="AH41" s="2620" t="str">
        <f t="shared" ca="1" si="22"/>
        <v/>
      </c>
      <c r="AI41" s="2621" t="str">
        <f t="shared" ca="1" si="22"/>
        <v/>
      </c>
      <c r="AJ41" s="2624" t="str">
        <f t="shared" ca="1" si="22"/>
        <v/>
      </c>
      <c r="AK41" s="2620" t="str">
        <f t="shared" ca="1" si="22"/>
        <v/>
      </c>
      <c r="AL41" s="2620" t="str">
        <f t="shared" ca="1" si="22"/>
        <v/>
      </c>
      <c r="AM41" s="2620" t="str">
        <f t="shared" ca="1" si="22"/>
        <v/>
      </c>
      <c r="AN41" s="2621" t="str">
        <f t="shared" ca="1" si="22"/>
        <v/>
      </c>
      <c r="AO41" s="2624" t="str">
        <f t="shared" ca="1" si="22"/>
        <v/>
      </c>
      <c r="AP41" s="2620" t="str">
        <f t="shared" ca="1" si="22"/>
        <v/>
      </c>
      <c r="AQ41" s="2620" t="str">
        <f t="shared" ca="1" si="22"/>
        <v/>
      </c>
      <c r="AR41" s="2621" t="str">
        <f t="shared" ca="1" si="22"/>
        <v/>
      </c>
      <c r="AS41" s="2624" t="str">
        <f t="shared" ca="1" si="22"/>
        <v/>
      </c>
      <c r="AT41" s="2620" t="str">
        <f t="shared" ca="1" si="22"/>
        <v/>
      </c>
      <c r="AU41" s="2620" t="str">
        <f t="shared" ca="1" si="22"/>
        <v/>
      </c>
      <c r="AV41" s="2621" t="str">
        <f t="shared" ca="1" si="21"/>
        <v/>
      </c>
      <c r="AW41" s="2624" t="str">
        <f t="shared" ca="1" si="21"/>
        <v/>
      </c>
      <c r="AX41" s="2620" t="str">
        <f t="shared" ca="1" si="21"/>
        <v/>
      </c>
      <c r="AY41" s="2620" t="str">
        <f t="shared" ca="1" si="21"/>
        <v/>
      </c>
      <c r="AZ41" s="2621" t="str">
        <f t="shared" ca="1" si="21"/>
        <v/>
      </c>
      <c r="BA41" s="2620" t="str">
        <f t="shared" ca="1" si="19"/>
        <v/>
      </c>
      <c r="BB41" s="2620" t="str">
        <f t="shared" ca="1" si="19"/>
        <v/>
      </c>
      <c r="BC41" s="2620" t="str">
        <f t="shared" ca="1" si="19"/>
        <v/>
      </c>
      <c r="BD41" s="2621" t="str">
        <f t="shared" ca="1" si="19"/>
        <v/>
      </c>
      <c r="BE41" s="2625"/>
      <c r="BF41" s="2763"/>
      <c r="BG41" s="2763"/>
      <c r="BH41" s="2763"/>
      <c r="BI41" s="2514">
        <f t="shared" si="12"/>
        <v>55154</v>
      </c>
      <c r="BJ41" s="2516">
        <f t="shared" si="13"/>
        <v>31</v>
      </c>
      <c r="BK41" s="2499">
        <f t="shared" si="6"/>
        <v>2051</v>
      </c>
      <c r="BN41" s="2367">
        <f t="shared" si="7"/>
        <v>31</v>
      </c>
      <c r="BO41" s="2500" t="str">
        <f t="shared" si="8"/>
        <v>1/0/2051</v>
      </c>
      <c r="BP41" s="2501">
        <f t="shared" ca="1" si="2"/>
        <v>0</v>
      </c>
      <c r="BQ41" s="2367">
        <v>52</v>
      </c>
      <c r="BR41" s="2502">
        <f t="shared" si="3"/>
        <v>1.1111111111111112E-2</v>
      </c>
      <c r="BS41" s="2503">
        <f t="shared" ca="1" si="9"/>
        <v>0</v>
      </c>
      <c r="BT41"/>
      <c r="CB41" s="2370"/>
    </row>
    <row r="42" spans="1:80" ht="13" customHeight="1" x14ac:dyDescent="0.35">
      <c r="A42" s="2943"/>
      <c r="B42" s="2536">
        <f t="shared" si="10"/>
        <v>2052</v>
      </c>
      <c r="C42" s="2616">
        <f t="shared" si="4"/>
        <v>32</v>
      </c>
      <c r="D42" s="2617" t="str">
        <f ca="1">IF(BS42=0,"",SUM(BS$10:BS42))</f>
        <v/>
      </c>
      <c r="E42" s="2618" t="str">
        <f t="shared" ca="1" si="20"/>
        <v/>
      </c>
      <c r="F42" s="2619" t="str">
        <f t="shared" ca="1" si="20"/>
        <v/>
      </c>
      <c r="G42" s="2620" t="str">
        <f t="shared" ca="1" si="20"/>
        <v/>
      </c>
      <c r="H42" s="2620" t="str">
        <f t="shared" ca="1" si="20"/>
        <v/>
      </c>
      <c r="I42" s="2621" t="str">
        <f t="shared" ca="1" si="20"/>
        <v/>
      </c>
      <c r="J42" s="2622" t="str">
        <f t="shared" ca="1" si="20"/>
        <v/>
      </c>
      <c r="K42" s="2620" t="str">
        <f t="shared" ca="1" si="20"/>
        <v/>
      </c>
      <c r="L42" s="2620" t="str">
        <f t="shared" ca="1" si="20"/>
        <v/>
      </c>
      <c r="M42" s="2621" t="str">
        <f t="shared" ca="1" si="20"/>
        <v/>
      </c>
      <c r="N42" s="2623" t="str">
        <f t="shared" ca="1" si="20"/>
        <v/>
      </c>
      <c r="O42" s="2620" t="str">
        <f t="shared" ca="1" si="20"/>
        <v/>
      </c>
      <c r="P42" s="2620" t="str">
        <f t="shared" ca="1" si="20"/>
        <v/>
      </c>
      <c r="Q42" s="2621" t="str">
        <f t="shared" ca="1" si="20"/>
        <v/>
      </c>
      <c r="R42" s="2624" t="str">
        <f t="shared" ca="1" si="20"/>
        <v/>
      </c>
      <c r="S42" s="2620" t="str">
        <f t="shared" ca="1" si="20"/>
        <v/>
      </c>
      <c r="T42" s="2620" t="str">
        <f t="shared" ca="1" si="20"/>
        <v/>
      </c>
      <c r="U42" s="2621" t="str">
        <f t="shared" ca="1" si="18"/>
        <v/>
      </c>
      <c r="V42" s="2624" t="str">
        <f t="shared" ca="1" si="18"/>
        <v/>
      </c>
      <c r="W42" s="2620" t="str">
        <f t="shared" ca="1" si="18"/>
        <v/>
      </c>
      <c r="X42" s="2620" t="str">
        <f t="shared" ca="1" si="18"/>
        <v/>
      </c>
      <c r="Y42" s="2620" t="str">
        <f t="shared" ca="1" si="18"/>
        <v/>
      </c>
      <c r="Z42" s="2620" t="str">
        <f t="shared" ca="1" si="18"/>
        <v/>
      </c>
      <c r="AA42" s="2621" t="str">
        <f t="shared" ca="1" si="18"/>
        <v/>
      </c>
      <c r="AB42" s="2624" t="str">
        <f t="shared" ca="1" si="18"/>
        <v/>
      </c>
      <c r="AC42" s="2620" t="str">
        <f t="shared" ca="1" si="18"/>
        <v/>
      </c>
      <c r="AD42" s="2620" t="str">
        <f t="shared" ca="1" si="18"/>
        <v/>
      </c>
      <c r="AE42" s="2621" t="str">
        <f t="shared" ca="1" si="18"/>
        <v/>
      </c>
      <c r="AF42" s="2624" t="str">
        <f t="shared" ca="1" si="22"/>
        <v/>
      </c>
      <c r="AG42" s="2620" t="str">
        <f t="shared" ca="1" si="22"/>
        <v/>
      </c>
      <c r="AH42" s="2620" t="str">
        <f t="shared" ca="1" si="22"/>
        <v/>
      </c>
      <c r="AI42" s="2621" t="str">
        <f t="shared" ca="1" si="22"/>
        <v/>
      </c>
      <c r="AJ42" s="2624" t="str">
        <f t="shared" ca="1" si="22"/>
        <v/>
      </c>
      <c r="AK42" s="2620" t="str">
        <f t="shared" ca="1" si="22"/>
        <v/>
      </c>
      <c r="AL42" s="2620" t="str">
        <f t="shared" ca="1" si="22"/>
        <v/>
      </c>
      <c r="AM42" s="2620" t="str">
        <f t="shared" ca="1" si="22"/>
        <v/>
      </c>
      <c r="AN42" s="2621" t="str">
        <f t="shared" ca="1" si="22"/>
        <v/>
      </c>
      <c r="AO42" s="2624" t="str">
        <f t="shared" ca="1" si="22"/>
        <v/>
      </c>
      <c r="AP42" s="2620" t="str">
        <f t="shared" ca="1" si="22"/>
        <v/>
      </c>
      <c r="AQ42" s="2620" t="str">
        <f t="shared" ca="1" si="22"/>
        <v/>
      </c>
      <c r="AR42" s="2621" t="str">
        <f t="shared" ca="1" si="22"/>
        <v/>
      </c>
      <c r="AS42" s="2624" t="str">
        <f t="shared" ca="1" si="22"/>
        <v/>
      </c>
      <c r="AT42" s="2620" t="str">
        <f t="shared" ca="1" si="22"/>
        <v/>
      </c>
      <c r="AU42" s="2620" t="str">
        <f t="shared" ca="1" si="22"/>
        <v/>
      </c>
      <c r="AV42" s="2621" t="str">
        <f t="shared" ca="1" si="21"/>
        <v/>
      </c>
      <c r="AW42" s="2624" t="str">
        <f t="shared" ca="1" si="21"/>
        <v/>
      </c>
      <c r="AX42" s="2620" t="str">
        <f t="shared" ca="1" si="21"/>
        <v/>
      </c>
      <c r="AY42" s="2620" t="str">
        <f t="shared" ca="1" si="21"/>
        <v/>
      </c>
      <c r="AZ42" s="2621" t="str">
        <f t="shared" ca="1" si="21"/>
        <v/>
      </c>
      <c r="BA42" s="2620" t="str">
        <f t="shared" ca="1" si="19"/>
        <v/>
      </c>
      <c r="BB42" s="2620" t="str">
        <f t="shared" ca="1" si="19"/>
        <v/>
      </c>
      <c r="BC42" s="2620" t="str">
        <f t="shared" ca="1" si="19"/>
        <v/>
      </c>
      <c r="BD42" s="2621" t="str">
        <f t="shared" ca="1" si="19"/>
        <v/>
      </c>
      <c r="BE42" s="2625"/>
      <c r="BF42" s="2763"/>
      <c r="BG42" s="2763"/>
      <c r="BH42" s="2763"/>
      <c r="BI42" s="2514">
        <f t="shared" si="12"/>
        <v>55519</v>
      </c>
      <c r="BJ42" s="2516">
        <f t="shared" si="13"/>
        <v>32</v>
      </c>
      <c r="BK42" s="2499">
        <f t="shared" si="6"/>
        <v>2052</v>
      </c>
      <c r="BN42" s="2367">
        <f t="shared" si="7"/>
        <v>32</v>
      </c>
      <c r="BO42" s="2500" t="str">
        <f t="shared" si="8"/>
        <v>1/0/2052</v>
      </c>
      <c r="BP42" s="2501">
        <f t="shared" ca="1" si="2"/>
        <v>0</v>
      </c>
      <c r="BQ42" s="2367">
        <v>52</v>
      </c>
      <c r="BR42" s="2502">
        <f t="shared" si="3"/>
        <v>1.1111111111111112E-2</v>
      </c>
      <c r="BS42" s="2503">
        <f t="shared" ca="1" si="9"/>
        <v>0</v>
      </c>
      <c r="BT42"/>
      <c r="CB42" s="2370"/>
    </row>
    <row r="43" spans="1:80" ht="13" customHeight="1" x14ac:dyDescent="0.35">
      <c r="A43" s="2943"/>
      <c r="B43" s="2536">
        <f t="shared" si="10"/>
        <v>2053</v>
      </c>
      <c r="C43" s="2616">
        <f t="shared" ref="C43:C74" si="23">IF(C42="","",IF(DATEDIF($E$1,$A$3,"Y")&lt;90,C42+1,""))</f>
        <v>33</v>
      </c>
      <c r="D43" s="2617" t="str">
        <f ca="1">IF(BS43=0,"",SUM(BS$10:BS43))</f>
        <v/>
      </c>
      <c r="E43" s="2618" t="str">
        <f t="shared" ca="1" si="20"/>
        <v/>
      </c>
      <c r="F43" s="2619" t="str">
        <f t="shared" ca="1" si="20"/>
        <v/>
      </c>
      <c r="G43" s="2620" t="str">
        <f t="shared" ca="1" si="20"/>
        <v/>
      </c>
      <c r="H43" s="2620" t="str">
        <f t="shared" ca="1" si="20"/>
        <v/>
      </c>
      <c r="I43" s="2621" t="str">
        <f t="shared" ca="1" si="20"/>
        <v/>
      </c>
      <c r="J43" s="2622" t="str">
        <f t="shared" ca="1" si="20"/>
        <v/>
      </c>
      <c r="K43" s="2620" t="str">
        <f t="shared" ca="1" si="20"/>
        <v/>
      </c>
      <c r="L43" s="2620" t="str">
        <f t="shared" ca="1" si="20"/>
        <v/>
      </c>
      <c r="M43" s="2621" t="str">
        <f t="shared" ca="1" si="20"/>
        <v/>
      </c>
      <c r="N43" s="2623" t="str">
        <f t="shared" ca="1" si="20"/>
        <v/>
      </c>
      <c r="O43" s="2620" t="str">
        <f t="shared" ca="1" si="20"/>
        <v/>
      </c>
      <c r="P43" s="2620" t="str">
        <f t="shared" ca="1" si="20"/>
        <v/>
      </c>
      <c r="Q43" s="2621" t="str">
        <f t="shared" ca="1" si="20"/>
        <v/>
      </c>
      <c r="R43" s="2624" t="str">
        <f t="shared" ca="1" si="20"/>
        <v/>
      </c>
      <c r="S43" s="2620" t="str">
        <f t="shared" ca="1" si="20"/>
        <v/>
      </c>
      <c r="T43" s="2620" t="str">
        <f t="shared" ca="1" si="20"/>
        <v/>
      </c>
      <c r="U43" s="2621" t="str">
        <f t="shared" ca="1" si="18"/>
        <v/>
      </c>
      <c r="V43" s="2624" t="str">
        <f t="shared" ca="1" si="18"/>
        <v/>
      </c>
      <c r="W43" s="2620" t="str">
        <f t="shared" ca="1" si="18"/>
        <v/>
      </c>
      <c r="X43" s="2620" t="str">
        <f t="shared" ca="1" si="18"/>
        <v/>
      </c>
      <c r="Y43" s="2620" t="str">
        <f t="shared" ca="1" si="18"/>
        <v/>
      </c>
      <c r="Z43" s="2620" t="str">
        <f t="shared" ca="1" si="18"/>
        <v/>
      </c>
      <c r="AA43" s="2621" t="str">
        <f t="shared" ca="1" si="18"/>
        <v/>
      </c>
      <c r="AB43" s="2624" t="str">
        <f t="shared" ca="1" si="18"/>
        <v/>
      </c>
      <c r="AC43" s="2620" t="str">
        <f t="shared" ca="1" si="18"/>
        <v/>
      </c>
      <c r="AD43" s="2620" t="str">
        <f t="shared" ca="1" si="18"/>
        <v/>
      </c>
      <c r="AE43" s="2621" t="str">
        <f t="shared" ca="1" si="18"/>
        <v/>
      </c>
      <c r="AF43" s="2624" t="str">
        <f t="shared" ca="1" si="22"/>
        <v/>
      </c>
      <c r="AG43" s="2620" t="str">
        <f t="shared" ca="1" si="22"/>
        <v/>
      </c>
      <c r="AH43" s="2620" t="str">
        <f t="shared" ca="1" si="22"/>
        <v/>
      </c>
      <c r="AI43" s="2621" t="str">
        <f t="shared" ca="1" si="22"/>
        <v/>
      </c>
      <c r="AJ43" s="2624" t="str">
        <f t="shared" ca="1" si="22"/>
        <v/>
      </c>
      <c r="AK43" s="2620" t="str">
        <f t="shared" ca="1" si="22"/>
        <v/>
      </c>
      <c r="AL43" s="2620" t="str">
        <f t="shared" ca="1" si="22"/>
        <v/>
      </c>
      <c r="AM43" s="2620" t="str">
        <f t="shared" ca="1" si="22"/>
        <v/>
      </c>
      <c r="AN43" s="2621" t="str">
        <f t="shared" ca="1" si="22"/>
        <v/>
      </c>
      <c r="AO43" s="2624" t="str">
        <f t="shared" ca="1" si="22"/>
        <v/>
      </c>
      <c r="AP43" s="2620" t="str">
        <f t="shared" ca="1" si="22"/>
        <v/>
      </c>
      <c r="AQ43" s="2620" t="str">
        <f t="shared" ca="1" si="22"/>
        <v/>
      </c>
      <c r="AR43" s="2621" t="str">
        <f t="shared" ca="1" si="22"/>
        <v/>
      </c>
      <c r="AS43" s="2624" t="str">
        <f t="shared" ca="1" si="22"/>
        <v/>
      </c>
      <c r="AT43" s="2620" t="str">
        <f t="shared" ca="1" si="22"/>
        <v/>
      </c>
      <c r="AU43" s="2620" t="str">
        <f t="shared" ca="1" si="22"/>
        <v/>
      </c>
      <c r="AV43" s="2621" t="str">
        <f t="shared" ca="1" si="21"/>
        <v/>
      </c>
      <c r="AW43" s="2624" t="str">
        <f t="shared" ca="1" si="21"/>
        <v/>
      </c>
      <c r="AX43" s="2620" t="str">
        <f t="shared" ca="1" si="21"/>
        <v/>
      </c>
      <c r="AY43" s="2620" t="str">
        <f t="shared" ca="1" si="21"/>
        <v/>
      </c>
      <c r="AZ43" s="2621" t="str">
        <f t="shared" ca="1" si="21"/>
        <v/>
      </c>
      <c r="BA43" s="2620" t="str">
        <f t="shared" ca="1" si="19"/>
        <v/>
      </c>
      <c r="BB43" s="2620" t="str">
        <f t="shared" ca="1" si="19"/>
        <v/>
      </c>
      <c r="BC43" s="2620" t="str">
        <f t="shared" ca="1" si="19"/>
        <v/>
      </c>
      <c r="BD43" s="2621" t="str">
        <f t="shared" ca="1" si="19"/>
        <v/>
      </c>
      <c r="BE43" s="2625"/>
      <c r="BF43" s="2763"/>
      <c r="BG43" s="2763"/>
      <c r="BH43" s="2763"/>
      <c r="BI43" s="2514">
        <f t="shared" si="12"/>
        <v>55885</v>
      </c>
      <c r="BJ43" s="2516">
        <f t="shared" si="13"/>
        <v>33</v>
      </c>
      <c r="BK43" s="2499">
        <f t="shared" si="6"/>
        <v>2053</v>
      </c>
      <c r="BN43" s="2367">
        <f t="shared" si="7"/>
        <v>33</v>
      </c>
      <c r="BO43" s="2500" t="str">
        <f t="shared" si="8"/>
        <v>1/0/2053</v>
      </c>
      <c r="BP43" s="2501">
        <f t="shared" ca="1" si="2"/>
        <v>0</v>
      </c>
      <c r="BQ43" s="2367">
        <v>52</v>
      </c>
      <c r="BR43" s="2502">
        <f t="shared" si="3"/>
        <v>1.1111111111111112E-2</v>
      </c>
      <c r="BS43" s="2503">
        <f t="shared" ca="1" si="9"/>
        <v>0</v>
      </c>
      <c r="BT43"/>
      <c r="CB43" s="2370"/>
    </row>
    <row r="44" spans="1:80" ht="13" customHeight="1" x14ac:dyDescent="0.35">
      <c r="A44" s="2943"/>
      <c r="B44" s="2536">
        <f t="shared" ref="B44:B75" si="24">IF(B43="","",IF(DATEDIF($E$1,$A$3,"Y")&lt;90,B43+1,""))</f>
        <v>2054</v>
      </c>
      <c r="C44" s="2616">
        <f t="shared" si="23"/>
        <v>34</v>
      </c>
      <c r="D44" s="2617" t="str">
        <f ca="1">IF(BS44=0,"",SUM(BS$10:BS44))</f>
        <v/>
      </c>
      <c r="E44" s="2618" t="str">
        <f t="shared" ca="1" si="20"/>
        <v/>
      </c>
      <c r="F44" s="2619" t="str">
        <f t="shared" ca="1" si="20"/>
        <v/>
      </c>
      <c r="G44" s="2620" t="str">
        <f t="shared" ca="1" si="20"/>
        <v/>
      </c>
      <c r="H44" s="2620" t="str">
        <f t="shared" ca="1" si="20"/>
        <v/>
      </c>
      <c r="I44" s="2621" t="str">
        <f t="shared" ca="1" si="20"/>
        <v/>
      </c>
      <c r="J44" s="2622" t="str">
        <f t="shared" ca="1" si="20"/>
        <v/>
      </c>
      <c r="K44" s="2620" t="str">
        <f t="shared" ca="1" si="20"/>
        <v/>
      </c>
      <c r="L44" s="2620" t="str">
        <f t="shared" ca="1" si="20"/>
        <v/>
      </c>
      <c r="M44" s="2621" t="str">
        <f t="shared" ca="1" si="20"/>
        <v/>
      </c>
      <c r="N44" s="2623" t="str">
        <f t="shared" ca="1" si="20"/>
        <v/>
      </c>
      <c r="O44" s="2620" t="str">
        <f t="shared" ca="1" si="20"/>
        <v/>
      </c>
      <c r="P44" s="2620" t="str">
        <f t="shared" ca="1" si="20"/>
        <v/>
      </c>
      <c r="Q44" s="2621" t="str">
        <f t="shared" ca="1" si="20"/>
        <v/>
      </c>
      <c r="R44" s="2624" t="str">
        <f t="shared" ca="1" si="20"/>
        <v/>
      </c>
      <c r="S44" s="2620" t="str">
        <f t="shared" ca="1" si="20"/>
        <v/>
      </c>
      <c r="T44" s="2620" t="str">
        <f t="shared" ca="1" si="20"/>
        <v/>
      </c>
      <c r="U44" s="2621" t="str">
        <f t="shared" ca="1" si="18"/>
        <v/>
      </c>
      <c r="V44" s="2624" t="str">
        <f t="shared" ca="1" si="18"/>
        <v/>
      </c>
      <c r="W44" s="2620" t="str">
        <f t="shared" ca="1" si="18"/>
        <v/>
      </c>
      <c r="X44" s="2620" t="str">
        <f t="shared" ca="1" si="18"/>
        <v/>
      </c>
      <c r="Y44" s="2620" t="str">
        <f t="shared" ca="1" si="18"/>
        <v/>
      </c>
      <c r="Z44" s="2620" t="str">
        <f t="shared" ca="1" si="18"/>
        <v/>
      </c>
      <c r="AA44" s="2621" t="str">
        <f t="shared" ca="1" si="18"/>
        <v/>
      </c>
      <c r="AB44" s="2624" t="str">
        <f t="shared" ca="1" si="18"/>
        <v/>
      </c>
      <c r="AC44" s="2620" t="str">
        <f t="shared" ca="1" si="18"/>
        <v/>
      </c>
      <c r="AD44" s="2620" t="str">
        <f t="shared" ca="1" si="18"/>
        <v/>
      </c>
      <c r="AE44" s="2621" t="str">
        <f t="shared" ca="1" si="18"/>
        <v/>
      </c>
      <c r="AF44" s="2624" t="str">
        <f t="shared" ca="1" si="22"/>
        <v/>
      </c>
      <c r="AG44" s="2620" t="str">
        <f t="shared" ca="1" si="22"/>
        <v/>
      </c>
      <c r="AH44" s="2620" t="str">
        <f t="shared" ca="1" si="22"/>
        <v/>
      </c>
      <c r="AI44" s="2621" t="str">
        <f t="shared" ca="1" si="22"/>
        <v/>
      </c>
      <c r="AJ44" s="2624" t="str">
        <f t="shared" ca="1" si="22"/>
        <v/>
      </c>
      <c r="AK44" s="2620" t="str">
        <f t="shared" ca="1" si="22"/>
        <v/>
      </c>
      <c r="AL44" s="2620" t="str">
        <f t="shared" ca="1" si="22"/>
        <v/>
      </c>
      <c r="AM44" s="2620" t="str">
        <f t="shared" ca="1" si="22"/>
        <v/>
      </c>
      <c r="AN44" s="2621" t="str">
        <f t="shared" ca="1" si="22"/>
        <v/>
      </c>
      <c r="AO44" s="2624" t="str">
        <f t="shared" ca="1" si="22"/>
        <v/>
      </c>
      <c r="AP44" s="2620" t="str">
        <f t="shared" ca="1" si="22"/>
        <v/>
      </c>
      <c r="AQ44" s="2620" t="str">
        <f t="shared" ca="1" si="22"/>
        <v/>
      </c>
      <c r="AR44" s="2621" t="str">
        <f t="shared" ca="1" si="22"/>
        <v/>
      </c>
      <c r="AS44" s="2624" t="str">
        <f t="shared" ca="1" si="22"/>
        <v/>
      </c>
      <c r="AT44" s="2620" t="str">
        <f t="shared" ca="1" si="22"/>
        <v/>
      </c>
      <c r="AU44" s="2620" t="str">
        <f t="shared" ca="1" si="22"/>
        <v/>
      </c>
      <c r="AV44" s="2621" t="str">
        <f t="shared" ca="1" si="21"/>
        <v/>
      </c>
      <c r="AW44" s="2624" t="str">
        <f t="shared" ca="1" si="21"/>
        <v/>
      </c>
      <c r="AX44" s="2620" t="str">
        <f t="shared" ca="1" si="21"/>
        <v/>
      </c>
      <c r="AY44" s="2620" t="str">
        <f t="shared" ca="1" si="21"/>
        <v/>
      </c>
      <c r="AZ44" s="2621" t="str">
        <f t="shared" ca="1" si="21"/>
        <v/>
      </c>
      <c r="BA44" s="2620" t="str">
        <f t="shared" ca="1" si="19"/>
        <v/>
      </c>
      <c r="BB44" s="2620" t="str">
        <f t="shared" ca="1" si="19"/>
        <v/>
      </c>
      <c r="BC44" s="2620" t="str">
        <f t="shared" ca="1" si="19"/>
        <v/>
      </c>
      <c r="BD44" s="2621" t="str">
        <f t="shared" ca="1" si="19"/>
        <v/>
      </c>
      <c r="BE44" s="2625"/>
      <c r="BF44" s="2763"/>
      <c r="BG44" s="2763"/>
      <c r="BH44" s="2763"/>
      <c r="BI44" s="2514">
        <f t="shared" si="12"/>
        <v>56250</v>
      </c>
      <c r="BJ44" s="2516">
        <f t="shared" si="13"/>
        <v>34</v>
      </c>
      <c r="BK44" s="2499">
        <f t="shared" si="6"/>
        <v>2054</v>
      </c>
      <c r="BN44" s="2367">
        <f t="shared" si="7"/>
        <v>34</v>
      </c>
      <c r="BO44" s="2500" t="str">
        <f t="shared" si="8"/>
        <v>1/0/2054</v>
      </c>
      <c r="BP44" s="2501">
        <f t="shared" ca="1" si="2"/>
        <v>0</v>
      </c>
      <c r="BQ44" s="2367">
        <v>52</v>
      </c>
      <c r="BR44" s="2502">
        <f t="shared" si="3"/>
        <v>1.1111111111111112E-2</v>
      </c>
      <c r="BS44" s="2503">
        <f t="shared" ca="1" si="9"/>
        <v>0</v>
      </c>
      <c r="BT44"/>
      <c r="CB44" s="2370"/>
    </row>
    <row r="45" spans="1:80" ht="13" customHeight="1" x14ac:dyDescent="0.35">
      <c r="A45" s="2943"/>
      <c r="B45" s="2536">
        <f t="shared" si="24"/>
        <v>2055</v>
      </c>
      <c r="C45" s="2616">
        <f t="shared" si="23"/>
        <v>35</v>
      </c>
      <c r="D45" s="2617" t="str">
        <f ca="1">IF(BS45=0,"",SUM(BS$10:BS45))</f>
        <v/>
      </c>
      <c r="E45" s="2618" t="str">
        <f t="shared" ca="1" si="20"/>
        <v/>
      </c>
      <c r="F45" s="2619" t="str">
        <f t="shared" ca="1" si="20"/>
        <v/>
      </c>
      <c r="G45" s="2620" t="str">
        <f t="shared" ca="1" si="20"/>
        <v/>
      </c>
      <c r="H45" s="2620" t="str">
        <f t="shared" ca="1" si="20"/>
        <v/>
      </c>
      <c r="I45" s="2621" t="str">
        <f t="shared" ca="1" si="20"/>
        <v/>
      </c>
      <c r="J45" s="2622" t="str">
        <f t="shared" ca="1" si="20"/>
        <v/>
      </c>
      <c r="K45" s="2620" t="str">
        <f t="shared" ca="1" si="20"/>
        <v/>
      </c>
      <c r="L45" s="2620" t="str">
        <f t="shared" ca="1" si="20"/>
        <v/>
      </c>
      <c r="M45" s="2621" t="str">
        <f t="shared" ca="1" si="20"/>
        <v/>
      </c>
      <c r="N45" s="2623" t="str">
        <f t="shared" ca="1" si="20"/>
        <v/>
      </c>
      <c r="O45" s="2620" t="str">
        <f t="shared" ca="1" si="20"/>
        <v/>
      </c>
      <c r="P45" s="2620" t="str">
        <f t="shared" ca="1" si="20"/>
        <v/>
      </c>
      <c r="Q45" s="2621" t="str">
        <f t="shared" ca="1" si="20"/>
        <v/>
      </c>
      <c r="R45" s="2624" t="str">
        <f t="shared" ca="1" si="20"/>
        <v/>
      </c>
      <c r="S45" s="2620" t="str">
        <f t="shared" ca="1" si="20"/>
        <v/>
      </c>
      <c r="T45" s="2620" t="str">
        <f t="shared" ca="1" si="20"/>
        <v/>
      </c>
      <c r="U45" s="2621" t="str">
        <f t="shared" ca="1" si="18"/>
        <v/>
      </c>
      <c r="V45" s="2624" t="str">
        <f t="shared" ca="1" si="18"/>
        <v/>
      </c>
      <c r="W45" s="2620" t="str">
        <f t="shared" ca="1" si="18"/>
        <v/>
      </c>
      <c r="X45" s="2620" t="str">
        <f t="shared" ca="1" si="18"/>
        <v/>
      </c>
      <c r="Y45" s="2620" t="str">
        <f t="shared" ca="1" si="18"/>
        <v/>
      </c>
      <c r="Z45" s="2620" t="str">
        <f t="shared" ca="1" si="18"/>
        <v/>
      </c>
      <c r="AA45" s="2621" t="str">
        <f t="shared" ca="1" si="18"/>
        <v/>
      </c>
      <c r="AB45" s="2624" t="str">
        <f t="shared" ca="1" si="18"/>
        <v/>
      </c>
      <c r="AC45" s="2620" t="str">
        <f t="shared" ca="1" si="18"/>
        <v/>
      </c>
      <c r="AD45" s="2620" t="str">
        <f t="shared" ca="1" si="18"/>
        <v/>
      </c>
      <c r="AE45" s="2621" t="str">
        <f t="shared" ca="1" si="18"/>
        <v/>
      </c>
      <c r="AF45" s="2624" t="str">
        <f t="shared" ca="1" si="22"/>
        <v/>
      </c>
      <c r="AG45" s="2620" t="str">
        <f t="shared" ca="1" si="22"/>
        <v/>
      </c>
      <c r="AH45" s="2620" t="str">
        <f t="shared" ca="1" si="22"/>
        <v/>
      </c>
      <c r="AI45" s="2621" t="str">
        <f t="shared" ca="1" si="22"/>
        <v/>
      </c>
      <c r="AJ45" s="2624" t="str">
        <f t="shared" ca="1" si="22"/>
        <v/>
      </c>
      <c r="AK45" s="2620" t="str">
        <f t="shared" ca="1" si="22"/>
        <v/>
      </c>
      <c r="AL45" s="2620" t="str">
        <f t="shared" ca="1" si="22"/>
        <v/>
      </c>
      <c r="AM45" s="2620" t="str">
        <f t="shared" ca="1" si="22"/>
        <v/>
      </c>
      <c r="AN45" s="2621" t="str">
        <f t="shared" ca="1" si="22"/>
        <v/>
      </c>
      <c r="AO45" s="2624" t="str">
        <f t="shared" ca="1" si="22"/>
        <v/>
      </c>
      <c r="AP45" s="2620" t="str">
        <f t="shared" ca="1" si="22"/>
        <v/>
      </c>
      <c r="AQ45" s="2620" t="str">
        <f t="shared" ca="1" si="22"/>
        <v/>
      </c>
      <c r="AR45" s="2621" t="str">
        <f t="shared" ca="1" si="22"/>
        <v/>
      </c>
      <c r="AS45" s="2624" t="str">
        <f t="shared" ca="1" si="22"/>
        <v/>
      </c>
      <c r="AT45" s="2620" t="str">
        <f t="shared" ca="1" si="22"/>
        <v/>
      </c>
      <c r="AU45" s="2620" t="str">
        <f t="shared" ca="1" si="22"/>
        <v/>
      </c>
      <c r="AV45" s="2621" t="str">
        <f t="shared" ca="1" si="21"/>
        <v/>
      </c>
      <c r="AW45" s="2624" t="str">
        <f t="shared" ca="1" si="21"/>
        <v/>
      </c>
      <c r="AX45" s="2620" t="str">
        <f t="shared" ca="1" si="21"/>
        <v/>
      </c>
      <c r="AY45" s="2620" t="str">
        <f t="shared" ca="1" si="21"/>
        <v/>
      </c>
      <c r="AZ45" s="2621" t="str">
        <f t="shared" ca="1" si="21"/>
        <v/>
      </c>
      <c r="BA45" s="2620" t="str">
        <f t="shared" ca="1" si="19"/>
        <v/>
      </c>
      <c r="BB45" s="2620" t="str">
        <f t="shared" ca="1" si="19"/>
        <v/>
      </c>
      <c r="BC45" s="2620" t="str">
        <f t="shared" ca="1" si="19"/>
        <v/>
      </c>
      <c r="BD45" s="2621" t="str">
        <f t="shared" ca="1" si="19"/>
        <v/>
      </c>
      <c r="BE45" s="2625"/>
      <c r="BF45" s="2763"/>
      <c r="BG45" s="2763"/>
      <c r="BH45" s="2763"/>
      <c r="BI45" s="2514">
        <f t="shared" si="12"/>
        <v>56615</v>
      </c>
      <c r="BJ45" s="2516">
        <f t="shared" si="13"/>
        <v>35</v>
      </c>
      <c r="BK45" s="2499">
        <f t="shared" si="6"/>
        <v>2055</v>
      </c>
      <c r="BN45" s="2367">
        <f t="shared" si="7"/>
        <v>35</v>
      </c>
      <c r="BO45" s="2500" t="str">
        <f t="shared" si="8"/>
        <v>1/0/2055</v>
      </c>
      <c r="BP45" s="2501">
        <f t="shared" ca="1" si="2"/>
        <v>0</v>
      </c>
      <c r="BQ45" s="2367">
        <v>52</v>
      </c>
      <c r="BR45" s="2502">
        <f t="shared" si="3"/>
        <v>1.1111111111111112E-2</v>
      </c>
      <c r="BS45" s="2503">
        <f t="shared" ca="1" si="9"/>
        <v>0</v>
      </c>
      <c r="BT45"/>
      <c r="CB45" s="2370"/>
    </row>
    <row r="46" spans="1:80" ht="13" customHeight="1" x14ac:dyDescent="0.35">
      <c r="A46" s="2943"/>
      <c r="B46" s="2536">
        <f t="shared" si="24"/>
        <v>2056</v>
      </c>
      <c r="C46" s="2616">
        <f t="shared" si="23"/>
        <v>36</v>
      </c>
      <c r="D46" s="2617" t="str">
        <f ca="1">IF(BS46=0,"",SUM(BS$10:BS46))</f>
        <v/>
      </c>
      <c r="E46" s="2618" t="str">
        <f t="shared" ca="1" si="20"/>
        <v/>
      </c>
      <c r="F46" s="2619" t="str">
        <f t="shared" ca="1" si="20"/>
        <v/>
      </c>
      <c r="G46" s="2620" t="str">
        <f t="shared" ca="1" si="20"/>
        <v/>
      </c>
      <c r="H46" s="2620" t="str">
        <f t="shared" ca="1" si="20"/>
        <v/>
      </c>
      <c r="I46" s="2621" t="str">
        <f t="shared" ca="1" si="20"/>
        <v/>
      </c>
      <c r="J46" s="2622" t="str">
        <f t="shared" ca="1" si="20"/>
        <v/>
      </c>
      <c r="K46" s="2620" t="str">
        <f t="shared" ca="1" si="20"/>
        <v/>
      </c>
      <c r="L46" s="2620" t="str">
        <f t="shared" ca="1" si="20"/>
        <v/>
      </c>
      <c r="M46" s="2621" t="str">
        <f t="shared" ca="1" si="20"/>
        <v/>
      </c>
      <c r="N46" s="2623" t="str">
        <f t="shared" ca="1" si="20"/>
        <v/>
      </c>
      <c r="O46" s="2620" t="str">
        <f t="shared" ca="1" si="20"/>
        <v/>
      </c>
      <c r="P46" s="2620" t="str">
        <f t="shared" ca="1" si="20"/>
        <v/>
      </c>
      <c r="Q46" s="2621" t="str">
        <f t="shared" ca="1" si="20"/>
        <v/>
      </c>
      <c r="R46" s="2624" t="str">
        <f t="shared" ca="1" si="20"/>
        <v/>
      </c>
      <c r="S46" s="2620" t="str">
        <f t="shared" ca="1" si="20"/>
        <v/>
      </c>
      <c r="T46" s="2620" t="str">
        <f t="shared" ca="1" si="20"/>
        <v/>
      </c>
      <c r="U46" s="2621" t="str">
        <f t="shared" ca="1" si="18"/>
        <v/>
      </c>
      <c r="V46" s="2624" t="str">
        <f t="shared" ca="1" si="18"/>
        <v/>
      </c>
      <c r="W46" s="2620" t="str">
        <f t="shared" ca="1" si="18"/>
        <v/>
      </c>
      <c r="X46" s="2620" t="str">
        <f t="shared" ca="1" si="18"/>
        <v/>
      </c>
      <c r="Y46" s="2620" t="str">
        <f t="shared" ca="1" si="18"/>
        <v/>
      </c>
      <c r="Z46" s="2620" t="str">
        <f t="shared" ca="1" si="18"/>
        <v/>
      </c>
      <c r="AA46" s="2621" t="str">
        <f t="shared" ca="1" si="18"/>
        <v/>
      </c>
      <c r="AB46" s="2624" t="str">
        <f t="shared" ca="1" si="18"/>
        <v/>
      </c>
      <c r="AC46" s="2620" t="str">
        <f t="shared" ca="1" si="18"/>
        <v/>
      </c>
      <c r="AD46" s="2620" t="str">
        <f t="shared" ca="1" si="18"/>
        <v/>
      </c>
      <c r="AE46" s="2621" t="str">
        <f t="shared" ca="1" si="18"/>
        <v/>
      </c>
      <c r="AF46" s="2624" t="str">
        <f t="shared" ca="1" si="22"/>
        <v/>
      </c>
      <c r="AG46" s="2620" t="str">
        <f t="shared" ca="1" si="22"/>
        <v/>
      </c>
      <c r="AH46" s="2620" t="str">
        <f t="shared" ca="1" si="22"/>
        <v/>
      </c>
      <c r="AI46" s="2621" t="str">
        <f t="shared" ca="1" si="22"/>
        <v/>
      </c>
      <c r="AJ46" s="2624" t="str">
        <f t="shared" ca="1" si="22"/>
        <v/>
      </c>
      <c r="AK46" s="2620" t="str">
        <f t="shared" ca="1" si="22"/>
        <v/>
      </c>
      <c r="AL46" s="2620" t="str">
        <f t="shared" ca="1" si="22"/>
        <v/>
      </c>
      <c r="AM46" s="2620" t="str">
        <f t="shared" ca="1" si="22"/>
        <v/>
      </c>
      <c r="AN46" s="2621" t="str">
        <f t="shared" ca="1" si="22"/>
        <v/>
      </c>
      <c r="AO46" s="2624" t="str">
        <f t="shared" ca="1" si="22"/>
        <v/>
      </c>
      <c r="AP46" s="2620" t="str">
        <f t="shared" ca="1" si="22"/>
        <v/>
      </c>
      <c r="AQ46" s="2620" t="str">
        <f t="shared" ca="1" si="22"/>
        <v/>
      </c>
      <c r="AR46" s="2621" t="str">
        <f t="shared" ca="1" si="22"/>
        <v/>
      </c>
      <c r="AS46" s="2624" t="str">
        <f t="shared" ca="1" si="22"/>
        <v/>
      </c>
      <c r="AT46" s="2620" t="str">
        <f t="shared" ca="1" si="22"/>
        <v/>
      </c>
      <c r="AU46" s="2620" t="str">
        <f t="shared" ca="1" si="22"/>
        <v/>
      </c>
      <c r="AV46" s="2621" t="str">
        <f t="shared" ca="1" si="21"/>
        <v/>
      </c>
      <c r="AW46" s="2624" t="str">
        <f t="shared" ca="1" si="21"/>
        <v/>
      </c>
      <c r="AX46" s="2620" t="str">
        <f t="shared" ca="1" si="21"/>
        <v/>
      </c>
      <c r="AY46" s="2620" t="str">
        <f t="shared" ca="1" si="21"/>
        <v/>
      </c>
      <c r="AZ46" s="2621" t="str">
        <f t="shared" ca="1" si="21"/>
        <v/>
      </c>
      <c r="BA46" s="2620" t="str">
        <f t="shared" ca="1" si="19"/>
        <v/>
      </c>
      <c r="BB46" s="2620" t="str">
        <f t="shared" ca="1" si="19"/>
        <v/>
      </c>
      <c r="BC46" s="2620" t="str">
        <f t="shared" ca="1" si="19"/>
        <v/>
      </c>
      <c r="BD46" s="2621" t="str">
        <f t="shared" ca="1" si="19"/>
        <v/>
      </c>
      <c r="BE46" s="2625"/>
      <c r="BF46" s="2763"/>
      <c r="BG46" s="2776"/>
      <c r="BH46" s="2763"/>
      <c r="BI46" s="2514">
        <f t="shared" si="12"/>
        <v>56980</v>
      </c>
      <c r="BJ46" s="2516">
        <f t="shared" si="13"/>
        <v>36</v>
      </c>
      <c r="BK46" s="2499">
        <f t="shared" si="6"/>
        <v>2056</v>
      </c>
      <c r="BN46" s="2367">
        <f t="shared" si="7"/>
        <v>36</v>
      </c>
      <c r="BO46" s="2500" t="str">
        <f t="shared" si="8"/>
        <v>1/0/2056</v>
      </c>
      <c r="BP46" s="2501">
        <f t="shared" ca="1" si="2"/>
        <v>0</v>
      </c>
      <c r="BQ46" s="2367">
        <v>52</v>
      </c>
      <c r="BR46" s="2502">
        <f t="shared" si="3"/>
        <v>1.1111111111111112E-2</v>
      </c>
      <c r="BS46" s="2503">
        <f t="shared" ca="1" si="9"/>
        <v>0</v>
      </c>
      <c r="BT46"/>
      <c r="CB46" s="2370"/>
    </row>
    <row r="47" spans="1:80" ht="13" customHeight="1" x14ac:dyDescent="0.35">
      <c r="A47" s="2943"/>
      <c r="B47" s="2536">
        <f t="shared" si="24"/>
        <v>2057</v>
      </c>
      <c r="C47" s="2616">
        <f t="shared" si="23"/>
        <v>37</v>
      </c>
      <c r="D47" s="2617" t="str">
        <f ca="1">IF(BS47=0,"",SUM(BS$10:BS47))</f>
        <v/>
      </c>
      <c r="E47" s="2618" t="str">
        <f t="shared" ca="1" si="20"/>
        <v/>
      </c>
      <c r="F47" s="2619" t="str">
        <f t="shared" ca="1" si="20"/>
        <v/>
      </c>
      <c r="G47" s="2620" t="str">
        <f t="shared" ca="1" si="20"/>
        <v/>
      </c>
      <c r="H47" s="2620" t="str">
        <f t="shared" ca="1" si="20"/>
        <v/>
      </c>
      <c r="I47" s="2621" t="str">
        <f t="shared" ca="1" si="20"/>
        <v/>
      </c>
      <c r="J47" s="2622" t="str">
        <f t="shared" ca="1" si="20"/>
        <v/>
      </c>
      <c r="K47" s="2620" t="str">
        <f t="shared" ca="1" si="20"/>
        <v/>
      </c>
      <c r="L47" s="2620" t="str">
        <f t="shared" ca="1" si="20"/>
        <v/>
      </c>
      <c r="M47" s="2621" t="str">
        <f t="shared" ca="1" si="20"/>
        <v/>
      </c>
      <c r="N47" s="2623" t="str">
        <f t="shared" ca="1" si="20"/>
        <v/>
      </c>
      <c r="O47" s="2620" t="str">
        <f t="shared" ca="1" si="20"/>
        <v/>
      </c>
      <c r="P47" s="2620" t="str">
        <f t="shared" ca="1" si="20"/>
        <v/>
      </c>
      <c r="Q47" s="2621" t="str">
        <f t="shared" ca="1" si="20"/>
        <v/>
      </c>
      <c r="R47" s="2624" t="str">
        <f t="shared" ca="1" si="20"/>
        <v/>
      </c>
      <c r="S47" s="2620" t="str">
        <f t="shared" ca="1" si="20"/>
        <v/>
      </c>
      <c r="T47" s="2620" t="str">
        <f t="shared" ref="T47:AI62" ca="1" si="25">IF(DATE($BK47,T$5,T$6)&lt;=DATE(YEAR($BE$5),MONTH($BE$5),DAY($BE$5)),"X","")</f>
        <v/>
      </c>
      <c r="U47" s="2621" t="str">
        <f t="shared" ca="1" si="25"/>
        <v/>
      </c>
      <c r="V47" s="2624" t="str">
        <f t="shared" ca="1" si="25"/>
        <v/>
      </c>
      <c r="W47" s="2620" t="str">
        <f t="shared" ca="1" si="25"/>
        <v/>
      </c>
      <c r="X47" s="2620" t="str">
        <f t="shared" ca="1" si="25"/>
        <v/>
      </c>
      <c r="Y47" s="2620" t="str">
        <f t="shared" ca="1" si="25"/>
        <v/>
      </c>
      <c r="Z47" s="2620" t="str">
        <f t="shared" ca="1" si="25"/>
        <v/>
      </c>
      <c r="AA47" s="2621" t="str">
        <f t="shared" ca="1" si="25"/>
        <v/>
      </c>
      <c r="AB47" s="2624" t="str">
        <f t="shared" ca="1" si="25"/>
        <v/>
      </c>
      <c r="AC47" s="2620" t="str">
        <f t="shared" ca="1" si="25"/>
        <v/>
      </c>
      <c r="AD47" s="2620" t="str">
        <f t="shared" ca="1" si="25"/>
        <v/>
      </c>
      <c r="AE47" s="2621" t="str">
        <f t="shared" ca="1" si="25"/>
        <v/>
      </c>
      <c r="AF47" s="2624" t="str">
        <f t="shared" ca="1" si="25"/>
        <v/>
      </c>
      <c r="AG47" s="2620" t="str">
        <f t="shared" ca="1" si="25"/>
        <v/>
      </c>
      <c r="AH47" s="2620" t="str">
        <f t="shared" ca="1" si="25"/>
        <v/>
      </c>
      <c r="AI47" s="2621" t="str">
        <f t="shared" ca="1" si="25"/>
        <v/>
      </c>
      <c r="AJ47" s="2624" t="str">
        <f t="shared" ca="1" si="22"/>
        <v/>
      </c>
      <c r="AK47" s="2620" t="str">
        <f t="shared" ca="1" si="22"/>
        <v/>
      </c>
      <c r="AL47" s="2620" t="str">
        <f t="shared" ca="1" si="22"/>
        <v/>
      </c>
      <c r="AM47" s="2620" t="str">
        <f t="shared" ca="1" si="22"/>
        <v/>
      </c>
      <c r="AN47" s="2621" t="str">
        <f t="shared" ca="1" si="22"/>
        <v/>
      </c>
      <c r="AO47" s="2624" t="str">
        <f t="shared" ca="1" si="22"/>
        <v/>
      </c>
      <c r="AP47" s="2620" t="str">
        <f t="shared" ca="1" si="22"/>
        <v/>
      </c>
      <c r="AQ47" s="2620" t="str">
        <f t="shared" ca="1" si="22"/>
        <v/>
      </c>
      <c r="AR47" s="2621" t="str">
        <f t="shared" ca="1" si="22"/>
        <v/>
      </c>
      <c r="AS47" s="2624" t="str">
        <f t="shared" ca="1" si="22"/>
        <v/>
      </c>
      <c r="AT47" s="2620" t="str">
        <f t="shared" ca="1" si="22"/>
        <v/>
      </c>
      <c r="AU47" s="2620" t="str">
        <f t="shared" ca="1" si="22"/>
        <v/>
      </c>
      <c r="AV47" s="2621" t="str">
        <f t="shared" ca="1" si="21"/>
        <v/>
      </c>
      <c r="AW47" s="2624" t="str">
        <f t="shared" ca="1" si="21"/>
        <v/>
      </c>
      <c r="AX47" s="2620" t="str">
        <f t="shared" ca="1" si="21"/>
        <v/>
      </c>
      <c r="AY47" s="2620" t="str">
        <f t="shared" ca="1" si="21"/>
        <v/>
      </c>
      <c r="AZ47" s="2621" t="str">
        <f t="shared" ca="1" si="21"/>
        <v/>
      </c>
      <c r="BA47" s="2620" t="str">
        <f t="shared" ca="1" si="19"/>
        <v/>
      </c>
      <c r="BB47" s="2620" t="str">
        <f t="shared" ca="1" si="19"/>
        <v/>
      </c>
      <c r="BC47" s="2620" t="str">
        <f t="shared" ca="1" si="19"/>
        <v/>
      </c>
      <c r="BD47" s="2621" t="str">
        <f t="shared" ca="1" si="19"/>
        <v/>
      </c>
      <c r="BE47" s="2625"/>
      <c r="BF47" s="2763"/>
      <c r="BG47" s="2763"/>
      <c r="BH47" s="2763"/>
      <c r="BI47" s="2514">
        <f t="shared" si="12"/>
        <v>57346</v>
      </c>
      <c r="BJ47" s="2516">
        <f t="shared" si="13"/>
        <v>37</v>
      </c>
      <c r="BK47" s="2499">
        <f t="shared" si="6"/>
        <v>2057</v>
      </c>
      <c r="BN47" s="2367">
        <f t="shared" si="7"/>
        <v>37</v>
      </c>
      <c r="BO47" s="2500" t="str">
        <f t="shared" si="8"/>
        <v>1/0/2057</v>
      </c>
      <c r="BP47" s="2501">
        <f t="shared" ca="1" si="2"/>
        <v>0</v>
      </c>
      <c r="BQ47" s="2367">
        <v>52</v>
      </c>
      <c r="BR47" s="2502">
        <f t="shared" si="3"/>
        <v>1.1111111111111112E-2</v>
      </c>
      <c r="BS47" s="2503">
        <f t="shared" ca="1" si="9"/>
        <v>0</v>
      </c>
      <c r="BT47"/>
      <c r="CB47" s="2370"/>
    </row>
    <row r="48" spans="1:80" ht="13" customHeight="1" x14ac:dyDescent="0.35">
      <c r="A48" s="2943"/>
      <c r="B48" s="2536">
        <f t="shared" si="24"/>
        <v>2058</v>
      </c>
      <c r="C48" s="2616">
        <f t="shared" si="23"/>
        <v>38</v>
      </c>
      <c r="D48" s="2617" t="str">
        <f ca="1">IF(BS48=0,"",SUM(BS$10:BS48))</f>
        <v/>
      </c>
      <c r="E48" s="2618" t="str">
        <f t="shared" ref="E48:T63" ca="1" si="26">IF(DATE($BK48,E$5,E$6)&lt;=DATE(YEAR($BE$5),MONTH($BE$5),DAY($BE$5)),"X","")</f>
        <v/>
      </c>
      <c r="F48" s="2619" t="str">
        <f t="shared" ca="1" si="26"/>
        <v/>
      </c>
      <c r="G48" s="2620" t="str">
        <f t="shared" ca="1" si="26"/>
        <v/>
      </c>
      <c r="H48" s="2620" t="str">
        <f t="shared" ca="1" si="26"/>
        <v/>
      </c>
      <c r="I48" s="2621" t="str">
        <f t="shared" ca="1" si="26"/>
        <v/>
      </c>
      <c r="J48" s="2622" t="str">
        <f t="shared" ca="1" si="26"/>
        <v/>
      </c>
      <c r="K48" s="2620" t="str">
        <f t="shared" ca="1" si="26"/>
        <v/>
      </c>
      <c r="L48" s="2620" t="str">
        <f t="shared" ca="1" si="26"/>
        <v/>
      </c>
      <c r="M48" s="2621" t="str">
        <f t="shared" ca="1" si="26"/>
        <v/>
      </c>
      <c r="N48" s="2623" t="str">
        <f t="shared" ca="1" si="26"/>
        <v/>
      </c>
      <c r="O48" s="2620" t="str">
        <f t="shared" ca="1" si="26"/>
        <v/>
      </c>
      <c r="P48" s="2620" t="str">
        <f t="shared" ca="1" si="26"/>
        <v/>
      </c>
      <c r="Q48" s="2621" t="str">
        <f t="shared" ca="1" si="26"/>
        <v/>
      </c>
      <c r="R48" s="2624" t="str">
        <f t="shared" ca="1" si="26"/>
        <v/>
      </c>
      <c r="S48" s="2620" t="str">
        <f t="shared" ca="1" si="26"/>
        <v/>
      </c>
      <c r="T48" s="2620" t="str">
        <f t="shared" ca="1" si="26"/>
        <v/>
      </c>
      <c r="U48" s="2621" t="str">
        <f t="shared" ca="1" si="25"/>
        <v/>
      </c>
      <c r="V48" s="2624" t="str">
        <f t="shared" ca="1" si="25"/>
        <v/>
      </c>
      <c r="W48" s="2620" t="str">
        <f t="shared" ca="1" si="25"/>
        <v/>
      </c>
      <c r="X48" s="2620" t="str">
        <f t="shared" ca="1" si="25"/>
        <v/>
      </c>
      <c r="Y48" s="2620" t="str">
        <f t="shared" ca="1" si="25"/>
        <v/>
      </c>
      <c r="Z48" s="2620" t="str">
        <f t="shared" ca="1" si="25"/>
        <v/>
      </c>
      <c r="AA48" s="2621" t="str">
        <f t="shared" ca="1" si="25"/>
        <v/>
      </c>
      <c r="AB48" s="2624" t="str">
        <f t="shared" ca="1" si="25"/>
        <v/>
      </c>
      <c r="AC48" s="2620" t="str">
        <f t="shared" ca="1" si="25"/>
        <v/>
      </c>
      <c r="AD48" s="2620" t="str">
        <f t="shared" ca="1" si="25"/>
        <v/>
      </c>
      <c r="AE48" s="2621" t="str">
        <f t="shared" ca="1" si="25"/>
        <v/>
      </c>
      <c r="AF48" s="2624" t="str">
        <f t="shared" ca="1" si="25"/>
        <v/>
      </c>
      <c r="AG48" s="2620" t="str">
        <f t="shared" ca="1" si="25"/>
        <v/>
      </c>
      <c r="AH48" s="2620" t="str">
        <f t="shared" ca="1" si="25"/>
        <v/>
      </c>
      <c r="AI48" s="2621" t="str">
        <f t="shared" ca="1" si="25"/>
        <v/>
      </c>
      <c r="AJ48" s="2624" t="str">
        <f t="shared" ca="1" si="22"/>
        <v/>
      </c>
      <c r="AK48" s="2620" t="str">
        <f t="shared" ca="1" si="22"/>
        <v/>
      </c>
      <c r="AL48" s="2620" t="str">
        <f t="shared" ca="1" si="22"/>
        <v/>
      </c>
      <c r="AM48" s="2620" t="str">
        <f t="shared" ca="1" si="22"/>
        <v/>
      </c>
      <c r="AN48" s="2621" t="str">
        <f t="shared" ca="1" si="22"/>
        <v/>
      </c>
      <c r="AO48" s="2624" t="str">
        <f t="shared" ca="1" si="22"/>
        <v/>
      </c>
      <c r="AP48" s="2620" t="str">
        <f t="shared" ca="1" si="22"/>
        <v/>
      </c>
      <c r="AQ48" s="2620" t="str">
        <f t="shared" ca="1" si="22"/>
        <v/>
      </c>
      <c r="AR48" s="2621" t="str">
        <f t="shared" ca="1" si="22"/>
        <v/>
      </c>
      <c r="AS48" s="2624" t="str">
        <f t="shared" ca="1" si="22"/>
        <v/>
      </c>
      <c r="AT48" s="2620" t="str">
        <f t="shared" ca="1" si="22"/>
        <v/>
      </c>
      <c r="AU48" s="2620" t="str">
        <f t="shared" ca="1" si="22"/>
        <v/>
      </c>
      <c r="AV48" s="2621" t="str">
        <f t="shared" ca="1" si="21"/>
        <v/>
      </c>
      <c r="AW48" s="2624" t="str">
        <f t="shared" ca="1" si="21"/>
        <v/>
      </c>
      <c r="AX48" s="2620" t="str">
        <f t="shared" ca="1" si="21"/>
        <v/>
      </c>
      <c r="AY48" s="2620" t="str">
        <f t="shared" ca="1" si="21"/>
        <v/>
      </c>
      <c r="AZ48" s="2621" t="str">
        <f t="shared" ca="1" si="21"/>
        <v/>
      </c>
      <c r="BA48" s="2620" t="str">
        <f t="shared" ca="1" si="19"/>
        <v/>
      </c>
      <c r="BB48" s="2620" t="str">
        <f t="shared" ca="1" si="19"/>
        <v/>
      </c>
      <c r="BC48" s="2620" t="str">
        <f t="shared" ca="1" si="19"/>
        <v/>
      </c>
      <c r="BD48" s="2621" t="str">
        <f t="shared" ca="1" si="19"/>
        <v/>
      </c>
      <c r="BE48" s="2625"/>
      <c r="BF48" s="2763" t="s">
        <v>833</v>
      </c>
      <c r="BG48" s="2763" t="s">
        <v>834</v>
      </c>
      <c r="BH48" s="2763"/>
      <c r="BI48" s="2514">
        <f t="shared" si="12"/>
        <v>57711</v>
      </c>
      <c r="BJ48" s="2516">
        <f t="shared" si="13"/>
        <v>38</v>
      </c>
      <c r="BK48" s="2499">
        <f t="shared" si="6"/>
        <v>2058</v>
      </c>
      <c r="BN48" s="2367">
        <f t="shared" si="7"/>
        <v>38</v>
      </c>
      <c r="BO48" s="2500" t="str">
        <f t="shared" si="8"/>
        <v>1/0/2058</v>
      </c>
      <c r="BP48" s="2501">
        <f t="shared" ca="1" si="2"/>
        <v>0</v>
      </c>
      <c r="BQ48" s="2367">
        <v>52</v>
      </c>
      <c r="BR48" s="2502">
        <f t="shared" si="3"/>
        <v>1.1111111111111112E-2</v>
      </c>
      <c r="BS48" s="2503">
        <f t="shared" ca="1" si="9"/>
        <v>0</v>
      </c>
      <c r="BT48"/>
      <c r="CB48" s="2370"/>
    </row>
    <row r="49" spans="1:80" ht="13" customHeight="1" thickBot="1" x14ac:dyDescent="0.4">
      <c r="A49" s="2944"/>
      <c r="B49" s="2596">
        <f t="shared" si="24"/>
        <v>2059</v>
      </c>
      <c r="C49" s="2626">
        <f t="shared" si="23"/>
        <v>39</v>
      </c>
      <c r="D49" s="2627" t="str">
        <f ca="1">IF(BS49=0,"",SUM(BS$10:BS49))</f>
        <v/>
      </c>
      <c r="E49" s="2628" t="str">
        <f t="shared" ca="1" si="26"/>
        <v/>
      </c>
      <c r="F49" s="2629" t="str">
        <f t="shared" ca="1" si="26"/>
        <v/>
      </c>
      <c r="G49" s="2630" t="str">
        <f t="shared" ca="1" si="26"/>
        <v/>
      </c>
      <c r="H49" s="2630" t="str">
        <f t="shared" ca="1" si="26"/>
        <v/>
      </c>
      <c r="I49" s="2631" t="str">
        <f t="shared" ca="1" si="26"/>
        <v/>
      </c>
      <c r="J49" s="2632" t="str">
        <f t="shared" ca="1" si="26"/>
        <v/>
      </c>
      <c r="K49" s="2630" t="str">
        <f t="shared" ca="1" si="26"/>
        <v/>
      </c>
      <c r="L49" s="2630" t="str">
        <f t="shared" ca="1" si="26"/>
        <v/>
      </c>
      <c r="M49" s="2631" t="str">
        <f t="shared" ca="1" si="26"/>
        <v/>
      </c>
      <c r="N49" s="2633" t="str">
        <f t="shared" ca="1" si="26"/>
        <v/>
      </c>
      <c r="O49" s="2630" t="str">
        <f t="shared" ca="1" si="26"/>
        <v/>
      </c>
      <c r="P49" s="2630" t="str">
        <f t="shared" ca="1" si="26"/>
        <v/>
      </c>
      <c r="Q49" s="2631" t="str">
        <f t="shared" ca="1" si="26"/>
        <v/>
      </c>
      <c r="R49" s="2634" t="str">
        <f t="shared" ca="1" si="26"/>
        <v/>
      </c>
      <c r="S49" s="2630" t="str">
        <f t="shared" ca="1" si="26"/>
        <v/>
      </c>
      <c r="T49" s="2630" t="str">
        <f t="shared" ca="1" si="26"/>
        <v/>
      </c>
      <c r="U49" s="2631" t="str">
        <f t="shared" ca="1" si="25"/>
        <v/>
      </c>
      <c r="V49" s="2634" t="str">
        <f t="shared" ca="1" si="25"/>
        <v/>
      </c>
      <c r="W49" s="2630" t="str">
        <f t="shared" ca="1" si="25"/>
        <v/>
      </c>
      <c r="X49" s="2630" t="str">
        <f t="shared" ca="1" si="25"/>
        <v/>
      </c>
      <c r="Y49" s="2630" t="str">
        <f t="shared" ca="1" si="25"/>
        <v/>
      </c>
      <c r="Z49" s="2630" t="str">
        <f t="shared" ca="1" si="25"/>
        <v/>
      </c>
      <c r="AA49" s="2631" t="str">
        <f t="shared" ca="1" si="25"/>
        <v/>
      </c>
      <c r="AB49" s="2634" t="str">
        <f t="shared" ca="1" si="25"/>
        <v/>
      </c>
      <c r="AC49" s="2630" t="str">
        <f t="shared" ca="1" si="25"/>
        <v/>
      </c>
      <c r="AD49" s="2630" t="str">
        <f t="shared" ca="1" si="25"/>
        <v/>
      </c>
      <c r="AE49" s="2631" t="str">
        <f t="shared" ca="1" si="25"/>
        <v/>
      </c>
      <c r="AF49" s="2634" t="str">
        <f t="shared" ca="1" si="25"/>
        <v/>
      </c>
      <c r="AG49" s="2630" t="str">
        <f t="shared" ca="1" si="25"/>
        <v/>
      </c>
      <c r="AH49" s="2630" t="str">
        <f t="shared" ca="1" si="25"/>
        <v/>
      </c>
      <c r="AI49" s="2631" t="str">
        <f t="shared" ca="1" si="25"/>
        <v/>
      </c>
      <c r="AJ49" s="2634" t="str">
        <f t="shared" ca="1" si="22"/>
        <v/>
      </c>
      <c r="AK49" s="2630" t="str">
        <f t="shared" ca="1" si="22"/>
        <v/>
      </c>
      <c r="AL49" s="2630" t="str">
        <f t="shared" ca="1" si="22"/>
        <v/>
      </c>
      <c r="AM49" s="2630" t="str">
        <f t="shared" ca="1" si="22"/>
        <v/>
      </c>
      <c r="AN49" s="2631" t="str">
        <f t="shared" ca="1" si="22"/>
        <v/>
      </c>
      <c r="AO49" s="2634" t="str">
        <f t="shared" ca="1" si="22"/>
        <v/>
      </c>
      <c r="AP49" s="2630" t="str">
        <f t="shared" ca="1" si="22"/>
        <v/>
      </c>
      <c r="AQ49" s="2630" t="str">
        <f t="shared" ca="1" si="22"/>
        <v/>
      </c>
      <c r="AR49" s="2631" t="str">
        <f t="shared" ca="1" si="22"/>
        <v/>
      </c>
      <c r="AS49" s="2634" t="str">
        <f t="shared" ca="1" si="22"/>
        <v/>
      </c>
      <c r="AT49" s="2630" t="str">
        <f t="shared" ca="1" si="22"/>
        <v/>
      </c>
      <c r="AU49" s="2630" t="str">
        <f t="shared" ca="1" si="22"/>
        <v/>
      </c>
      <c r="AV49" s="2631" t="str">
        <f t="shared" ca="1" si="21"/>
        <v/>
      </c>
      <c r="AW49" s="2634" t="str">
        <f t="shared" ca="1" si="21"/>
        <v/>
      </c>
      <c r="AX49" s="2630" t="str">
        <f t="shared" ca="1" si="21"/>
        <v/>
      </c>
      <c r="AY49" s="2630" t="str">
        <f t="shared" ca="1" si="21"/>
        <v/>
      </c>
      <c r="AZ49" s="2631" t="str">
        <f t="shared" ca="1" si="21"/>
        <v/>
      </c>
      <c r="BA49" s="2630" t="str">
        <f t="shared" ca="1" si="19"/>
        <v/>
      </c>
      <c r="BB49" s="2630" t="str">
        <f t="shared" ca="1" si="19"/>
        <v/>
      </c>
      <c r="BC49" s="2630" t="str">
        <f t="shared" ca="1" si="19"/>
        <v/>
      </c>
      <c r="BD49" s="2631" t="str">
        <f t="shared" ca="1" si="19"/>
        <v/>
      </c>
      <c r="BE49" s="2625"/>
      <c r="BF49" s="2764" t="s">
        <v>835</v>
      </c>
      <c r="BG49" s="2764" t="s">
        <v>834</v>
      </c>
      <c r="BH49" s="2764" t="s">
        <v>836</v>
      </c>
      <c r="BI49" s="2514">
        <f t="shared" si="12"/>
        <v>58076</v>
      </c>
      <c r="BJ49" s="2516">
        <f t="shared" si="13"/>
        <v>39</v>
      </c>
      <c r="BK49" s="2499">
        <f t="shared" si="6"/>
        <v>2059</v>
      </c>
      <c r="BN49" s="2367">
        <f t="shared" si="7"/>
        <v>39</v>
      </c>
      <c r="BO49" s="2500" t="str">
        <f t="shared" si="8"/>
        <v>1/0/2059</v>
      </c>
      <c r="BP49" s="2501">
        <f t="shared" ca="1" si="2"/>
        <v>0</v>
      </c>
      <c r="BQ49" s="2367">
        <v>52</v>
      </c>
      <c r="BR49" s="2502">
        <f t="shared" si="3"/>
        <v>1.1111111111111112E-2</v>
      </c>
      <c r="BS49" s="2503">
        <f t="shared" ca="1" si="9"/>
        <v>0</v>
      </c>
      <c r="BT49"/>
      <c r="CB49" s="2370"/>
    </row>
    <row r="50" spans="1:80" ht="13" customHeight="1" x14ac:dyDescent="0.35">
      <c r="A50" s="2942">
        <v>5</v>
      </c>
      <c r="B50" s="2526">
        <f t="shared" si="24"/>
        <v>2060</v>
      </c>
      <c r="C50" s="2606">
        <f t="shared" si="23"/>
        <v>40</v>
      </c>
      <c r="D50" s="2607" t="str">
        <f ca="1">IF(BS50=0,"",SUM(BS$10:BS50))</f>
        <v/>
      </c>
      <c r="E50" s="2608" t="str">
        <f t="shared" ca="1" si="26"/>
        <v/>
      </c>
      <c r="F50" s="2609" t="str">
        <f t="shared" ca="1" si="26"/>
        <v/>
      </c>
      <c r="G50" s="2610" t="str">
        <f t="shared" ca="1" si="26"/>
        <v/>
      </c>
      <c r="H50" s="2610" t="str">
        <f t="shared" ca="1" si="26"/>
        <v/>
      </c>
      <c r="I50" s="2611" t="str">
        <f t="shared" ca="1" si="26"/>
        <v/>
      </c>
      <c r="J50" s="2612" t="str">
        <f t="shared" ca="1" si="26"/>
        <v/>
      </c>
      <c r="K50" s="2610" t="str">
        <f t="shared" ca="1" si="26"/>
        <v/>
      </c>
      <c r="L50" s="2610" t="str">
        <f t="shared" ca="1" si="26"/>
        <v/>
      </c>
      <c r="M50" s="2611" t="str">
        <f t="shared" ca="1" si="26"/>
        <v/>
      </c>
      <c r="N50" s="2613" t="str">
        <f t="shared" ca="1" si="26"/>
        <v/>
      </c>
      <c r="O50" s="2610" t="str">
        <f t="shared" ca="1" si="26"/>
        <v/>
      </c>
      <c r="P50" s="2610" t="str">
        <f t="shared" ca="1" si="26"/>
        <v/>
      </c>
      <c r="Q50" s="2611" t="str">
        <f t="shared" ca="1" si="26"/>
        <v/>
      </c>
      <c r="R50" s="2614" t="str">
        <f t="shared" ca="1" si="26"/>
        <v/>
      </c>
      <c r="S50" s="2610" t="str">
        <f t="shared" ca="1" si="26"/>
        <v/>
      </c>
      <c r="T50" s="2610" t="str">
        <f t="shared" ca="1" si="26"/>
        <v/>
      </c>
      <c r="U50" s="2611" t="str">
        <f t="shared" ca="1" si="25"/>
        <v/>
      </c>
      <c r="V50" s="2614" t="str">
        <f t="shared" ca="1" si="25"/>
        <v/>
      </c>
      <c r="W50" s="2610" t="str">
        <f t="shared" ca="1" si="25"/>
        <v/>
      </c>
      <c r="X50" s="2610" t="str">
        <f t="shared" ca="1" si="25"/>
        <v/>
      </c>
      <c r="Y50" s="2610" t="str">
        <f t="shared" ca="1" si="25"/>
        <v/>
      </c>
      <c r="Z50" s="2610" t="str">
        <f t="shared" ca="1" si="25"/>
        <v/>
      </c>
      <c r="AA50" s="2611" t="str">
        <f t="shared" ca="1" si="25"/>
        <v/>
      </c>
      <c r="AB50" s="2614" t="str">
        <f t="shared" ca="1" si="25"/>
        <v/>
      </c>
      <c r="AC50" s="2610" t="str">
        <f t="shared" ca="1" si="25"/>
        <v/>
      </c>
      <c r="AD50" s="2610" t="str">
        <f t="shared" ca="1" si="25"/>
        <v/>
      </c>
      <c r="AE50" s="2611" t="str">
        <f t="shared" ca="1" si="25"/>
        <v/>
      </c>
      <c r="AF50" s="2614" t="str">
        <f t="shared" ca="1" si="25"/>
        <v/>
      </c>
      <c r="AG50" s="2610" t="str">
        <f t="shared" ca="1" si="25"/>
        <v/>
      </c>
      <c r="AH50" s="2610" t="str">
        <f t="shared" ca="1" si="25"/>
        <v/>
      </c>
      <c r="AI50" s="2611" t="str">
        <f t="shared" ca="1" si="25"/>
        <v/>
      </c>
      <c r="AJ50" s="2614" t="str">
        <f t="shared" ca="1" si="22"/>
        <v/>
      </c>
      <c r="AK50" s="2610" t="str">
        <f t="shared" ca="1" si="22"/>
        <v/>
      </c>
      <c r="AL50" s="2610" t="str">
        <f t="shared" ca="1" si="22"/>
        <v/>
      </c>
      <c r="AM50" s="2610" t="str">
        <f t="shared" ca="1" si="22"/>
        <v/>
      </c>
      <c r="AN50" s="2611" t="str">
        <f t="shared" ca="1" si="22"/>
        <v/>
      </c>
      <c r="AO50" s="2614" t="str">
        <f t="shared" ca="1" si="22"/>
        <v/>
      </c>
      <c r="AP50" s="2610" t="str">
        <f t="shared" ca="1" si="22"/>
        <v/>
      </c>
      <c r="AQ50" s="2610" t="str">
        <f t="shared" ca="1" si="22"/>
        <v/>
      </c>
      <c r="AR50" s="2611" t="str">
        <f t="shared" ca="1" si="22"/>
        <v/>
      </c>
      <c r="AS50" s="2614" t="str">
        <f t="shared" ca="1" si="22"/>
        <v/>
      </c>
      <c r="AT50" s="2610" t="str">
        <f t="shared" ca="1" si="22"/>
        <v/>
      </c>
      <c r="AU50" s="2610" t="str">
        <f t="shared" ref="AU50:BD65" ca="1" si="27">IF(DATE($BK50,AU$5,AU$6)&lt;=DATE(YEAR($BE$5),MONTH($BE$5),DAY($BE$5)),"X","")</f>
        <v/>
      </c>
      <c r="AV50" s="2611" t="str">
        <f t="shared" ca="1" si="27"/>
        <v/>
      </c>
      <c r="AW50" s="2614" t="str">
        <f t="shared" ca="1" si="27"/>
        <v/>
      </c>
      <c r="AX50" s="2610" t="str">
        <f t="shared" ca="1" si="27"/>
        <v/>
      </c>
      <c r="AY50" s="2610" t="str">
        <f t="shared" ca="1" si="27"/>
        <v/>
      </c>
      <c r="AZ50" s="2611" t="str">
        <f t="shared" ca="1" si="27"/>
        <v/>
      </c>
      <c r="BA50" s="2610" t="str">
        <f t="shared" ca="1" si="27"/>
        <v/>
      </c>
      <c r="BB50" s="2610" t="str">
        <f t="shared" ca="1" si="27"/>
        <v/>
      </c>
      <c r="BC50" s="2610" t="str">
        <f t="shared" ca="1" si="27"/>
        <v/>
      </c>
      <c r="BD50" s="2611" t="str">
        <f t="shared" ca="1" si="27"/>
        <v/>
      </c>
      <c r="BE50" s="2625"/>
      <c r="BF50" s="2762" t="s">
        <v>837</v>
      </c>
      <c r="BG50" s="2762" t="s">
        <v>838</v>
      </c>
      <c r="BH50" s="2762" t="s">
        <v>839</v>
      </c>
      <c r="BI50" s="2514">
        <f t="shared" si="12"/>
        <v>58441</v>
      </c>
      <c r="BJ50" s="2516">
        <f t="shared" si="13"/>
        <v>40</v>
      </c>
      <c r="BK50" s="2499">
        <f t="shared" si="6"/>
        <v>2060</v>
      </c>
      <c r="BN50" s="2367">
        <f t="shared" si="7"/>
        <v>40</v>
      </c>
      <c r="BO50" s="2500" t="str">
        <f t="shared" si="8"/>
        <v>1/0/2060</v>
      </c>
      <c r="BP50" s="2501">
        <f t="shared" ca="1" si="2"/>
        <v>0</v>
      </c>
      <c r="BQ50" s="2367">
        <v>52</v>
      </c>
      <c r="BR50" s="2502">
        <f t="shared" si="3"/>
        <v>1.1111111111111112E-2</v>
      </c>
      <c r="BS50" s="2503">
        <f t="shared" ca="1" si="9"/>
        <v>0</v>
      </c>
      <c r="BT50"/>
      <c r="CB50" s="2370"/>
    </row>
    <row r="51" spans="1:80" ht="13" customHeight="1" x14ac:dyDescent="0.35">
      <c r="A51" s="2943"/>
      <c r="B51" s="2635">
        <f t="shared" si="24"/>
        <v>2061</v>
      </c>
      <c r="C51" s="2616">
        <f t="shared" si="23"/>
        <v>41</v>
      </c>
      <c r="D51" s="2617" t="str">
        <f ca="1">IF(BS51=0,"",SUM(BS$10:BS51))</f>
        <v/>
      </c>
      <c r="E51" s="2618" t="str">
        <f t="shared" ca="1" si="26"/>
        <v/>
      </c>
      <c r="F51" s="2619" t="str">
        <f t="shared" ca="1" si="26"/>
        <v/>
      </c>
      <c r="G51" s="2620" t="str">
        <f t="shared" ca="1" si="26"/>
        <v/>
      </c>
      <c r="H51" s="2620" t="str">
        <f t="shared" ca="1" si="26"/>
        <v/>
      </c>
      <c r="I51" s="2621" t="str">
        <f t="shared" ca="1" si="26"/>
        <v/>
      </c>
      <c r="J51" s="2622" t="str">
        <f t="shared" ca="1" si="26"/>
        <v/>
      </c>
      <c r="K51" s="2620" t="str">
        <f t="shared" ca="1" si="26"/>
        <v/>
      </c>
      <c r="L51" s="2620" t="str">
        <f t="shared" ca="1" si="26"/>
        <v/>
      </c>
      <c r="M51" s="2621" t="str">
        <f t="shared" ca="1" si="26"/>
        <v/>
      </c>
      <c r="N51" s="2623" t="str">
        <f t="shared" ca="1" si="26"/>
        <v/>
      </c>
      <c r="O51" s="2620" t="str">
        <f t="shared" ca="1" si="26"/>
        <v/>
      </c>
      <c r="P51" s="2620" t="str">
        <f t="shared" ca="1" si="26"/>
        <v/>
      </c>
      <c r="Q51" s="2621" t="str">
        <f t="shared" ca="1" si="26"/>
        <v/>
      </c>
      <c r="R51" s="2624" t="str">
        <f t="shared" ca="1" si="26"/>
        <v/>
      </c>
      <c r="S51" s="2620" t="str">
        <f t="shared" ca="1" si="26"/>
        <v/>
      </c>
      <c r="T51" s="2620" t="str">
        <f t="shared" ca="1" si="26"/>
        <v/>
      </c>
      <c r="U51" s="2621" t="str">
        <f t="shared" ca="1" si="25"/>
        <v/>
      </c>
      <c r="V51" s="2624" t="str">
        <f t="shared" ca="1" si="25"/>
        <v/>
      </c>
      <c r="W51" s="2620" t="str">
        <f t="shared" ca="1" si="25"/>
        <v/>
      </c>
      <c r="X51" s="2620" t="str">
        <f t="shared" ca="1" si="25"/>
        <v/>
      </c>
      <c r="Y51" s="2620" t="str">
        <f t="shared" ca="1" si="25"/>
        <v/>
      </c>
      <c r="Z51" s="2620" t="str">
        <f t="shared" ca="1" si="25"/>
        <v/>
      </c>
      <c r="AA51" s="2621" t="str">
        <f t="shared" ca="1" si="25"/>
        <v/>
      </c>
      <c r="AB51" s="2624" t="str">
        <f t="shared" ca="1" si="25"/>
        <v/>
      </c>
      <c r="AC51" s="2620" t="str">
        <f t="shared" ca="1" si="25"/>
        <v/>
      </c>
      <c r="AD51" s="2620" t="str">
        <f t="shared" ca="1" si="25"/>
        <v/>
      </c>
      <c r="AE51" s="2621" t="str">
        <f t="shared" ca="1" si="25"/>
        <v/>
      </c>
      <c r="AF51" s="2624" t="str">
        <f t="shared" ca="1" si="25"/>
        <v/>
      </c>
      <c r="AG51" s="2620" t="str">
        <f t="shared" ca="1" si="25"/>
        <v/>
      </c>
      <c r="AH51" s="2620" t="str">
        <f t="shared" ca="1" si="25"/>
        <v/>
      </c>
      <c r="AI51" s="2621" t="str">
        <f t="shared" ca="1" si="25"/>
        <v/>
      </c>
      <c r="AJ51" s="2624" t="str">
        <f t="shared" ref="AJ51:AY66" ca="1" si="28">IF(DATE($BK51,AJ$5,AJ$6)&lt;=DATE(YEAR($BE$5),MONTH($BE$5),DAY($BE$5)),"X","")</f>
        <v/>
      </c>
      <c r="AK51" s="2620" t="str">
        <f t="shared" ca="1" si="28"/>
        <v/>
      </c>
      <c r="AL51" s="2620" t="str">
        <f t="shared" ca="1" si="28"/>
        <v/>
      </c>
      <c r="AM51" s="2620" t="str">
        <f t="shared" ca="1" si="28"/>
        <v/>
      </c>
      <c r="AN51" s="2621" t="str">
        <f t="shared" ca="1" si="28"/>
        <v/>
      </c>
      <c r="AO51" s="2624" t="str">
        <f t="shared" ca="1" si="28"/>
        <v/>
      </c>
      <c r="AP51" s="2620" t="str">
        <f t="shared" ca="1" si="28"/>
        <v/>
      </c>
      <c r="AQ51" s="2620" t="str">
        <f t="shared" ca="1" si="28"/>
        <v/>
      </c>
      <c r="AR51" s="2621" t="str">
        <f t="shared" ca="1" si="28"/>
        <v/>
      </c>
      <c r="AS51" s="2624" t="str">
        <f t="shared" ca="1" si="28"/>
        <v/>
      </c>
      <c r="AT51" s="2620" t="str">
        <f t="shared" ca="1" si="28"/>
        <v/>
      </c>
      <c r="AU51" s="2620" t="str">
        <f t="shared" ca="1" si="28"/>
        <v/>
      </c>
      <c r="AV51" s="2621" t="str">
        <f t="shared" ca="1" si="28"/>
        <v/>
      </c>
      <c r="AW51" s="2624" t="str">
        <f t="shared" ca="1" si="28"/>
        <v/>
      </c>
      <c r="AX51" s="2620" t="str">
        <f t="shared" ca="1" si="28"/>
        <v/>
      </c>
      <c r="AY51" s="2620" t="str">
        <f t="shared" ca="1" si="28"/>
        <v/>
      </c>
      <c r="AZ51" s="2621" t="str">
        <f t="shared" ca="1" si="27"/>
        <v/>
      </c>
      <c r="BA51" s="2620" t="str">
        <f t="shared" ca="1" si="27"/>
        <v/>
      </c>
      <c r="BB51" s="2620" t="str">
        <f t="shared" ca="1" si="27"/>
        <v/>
      </c>
      <c r="BC51" s="2620" t="str">
        <f t="shared" ca="1" si="27"/>
        <v/>
      </c>
      <c r="BD51" s="2621" t="str">
        <f t="shared" ca="1" si="27"/>
        <v/>
      </c>
      <c r="BE51" s="2625"/>
      <c r="BF51" s="2763" t="s">
        <v>837</v>
      </c>
      <c r="BG51" s="2776" t="s">
        <v>853</v>
      </c>
      <c r="BH51" s="2763" t="s">
        <v>839</v>
      </c>
      <c r="BI51" s="2514">
        <f t="shared" si="12"/>
        <v>58807</v>
      </c>
      <c r="BJ51" s="2516">
        <f t="shared" si="13"/>
        <v>41</v>
      </c>
      <c r="BK51" s="2499">
        <f t="shared" si="6"/>
        <v>2061</v>
      </c>
      <c r="BN51" s="2367">
        <f t="shared" si="7"/>
        <v>41</v>
      </c>
      <c r="BO51" s="2500" t="str">
        <f t="shared" si="8"/>
        <v>1/0/2061</v>
      </c>
      <c r="BP51" s="2501">
        <f t="shared" ca="1" si="2"/>
        <v>0</v>
      </c>
      <c r="BQ51" s="2367">
        <v>52</v>
      </c>
      <c r="BR51" s="2502">
        <f t="shared" si="3"/>
        <v>1.1111111111111112E-2</v>
      </c>
      <c r="BS51" s="2503">
        <f t="shared" ca="1" si="9"/>
        <v>0</v>
      </c>
      <c r="BT51"/>
      <c r="CB51" s="2370"/>
    </row>
    <row r="52" spans="1:80" ht="13" customHeight="1" x14ac:dyDescent="0.35">
      <c r="A52" s="2943"/>
      <c r="B52" s="2536">
        <f t="shared" si="24"/>
        <v>2062</v>
      </c>
      <c r="C52" s="2616">
        <f t="shared" si="23"/>
        <v>42</v>
      </c>
      <c r="D52" s="2617" t="str">
        <f ca="1">IF(BS52=0,"",SUM(BS$10:BS52))</f>
        <v/>
      </c>
      <c r="E52" s="2618" t="str">
        <f t="shared" ca="1" si="26"/>
        <v/>
      </c>
      <c r="F52" s="2619" t="str">
        <f t="shared" ca="1" si="26"/>
        <v/>
      </c>
      <c r="G52" s="2620" t="str">
        <f t="shared" ca="1" si="26"/>
        <v/>
      </c>
      <c r="H52" s="2620" t="str">
        <f t="shared" ca="1" si="26"/>
        <v/>
      </c>
      <c r="I52" s="2621" t="str">
        <f t="shared" ca="1" si="26"/>
        <v/>
      </c>
      <c r="J52" s="2622" t="str">
        <f t="shared" ca="1" si="26"/>
        <v/>
      </c>
      <c r="K52" s="2620" t="str">
        <f t="shared" ca="1" si="26"/>
        <v/>
      </c>
      <c r="L52" s="2620" t="str">
        <f t="shared" ca="1" si="26"/>
        <v/>
      </c>
      <c r="M52" s="2621" t="str">
        <f t="shared" ca="1" si="26"/>
        <v/>
      </c>
      <c r="N52" s="2623" t="str">
        <f t="shared" ca="1" si="26"/>
        <v/>
      </c>
      <c r="O52" s="2620" t="str">
        <f t="shared" ca="1" si="26"/>
        <v/>
      </c>
      <c r="P52" s="2620" t="str">
        <f t="shared" ca="1" si="26"/>
        <v/>
      </c>
      <c r="Q52" s="2621" t="str">
        <f t="shared" ca="1" si="26"/>
        <v/>
      </c>
      <c r="R52" s="2624" t="str">
        <f t="shared" ca="1" si="26"/>
        <v/>
      </c>
      <c r="S52" s="2620" t="str">
        <f t="shared" ca="1" si="26"/>
        <v/>
      </c>
      <c r="T52" s="2620" t="str">
        <f t="shared" ca="1" si="26"/>
        <v/>
      </c>
      <c r="U52" s="2621" t="str">
        <f t="shared" ca="1" si="25"/>
        <v/>
      </c>
      <c r="V52" s="2624" t="str">
        <f t="shared" ca="1" si="25"/>
        <v/>
      </c>
      <c r="W52" s="2620" t="str">
        <f t="shared" ca="1" si="25"/>
        <v/>
      </c>
      <c r="X52" s="2620" t="str">
        <f t="shared" ca="1" si="25"/>
        <v/>
      </c>
      <c r="Y52" s="2620" t="str">
        <f t="shared" ca="1" si="25"/>
        <v/>
      </c>
      <c r="Z52" s="2620" t="str">
        <f t="shared" ca="1" si="25"/>
        <v/>
      </c>
      <c r="AA52" s="2621" t="str">
        <f t="shared" ca="1" si="25"/>
        <v/>
      </c>
      <c r="AB52" s="2624" t="str">
        <f t="shared" ca="1" si="25"/>
        <v/>
      </c>
      <c r="AC52" s="2620" t="str">
        <f t="shared" ca="1" si="25"/>
        <v/>
      </c>
      <c r="AD52" s="2620" t="str">
        <f t="shared" ca="1" si="25"/>
        <v/>
      </c>
      <c r="AE52" s="2621" t="str">
        <f t="shared" ca="1" si="25"/>
        <v/>
      </c>
      <c r="AF52" s="2624" t="str">
        <f t="shared" ca="1" si="25"/>
        <v/>
      </c>
      <c r="AG52" s="2620" t="str">
        <f t="shared" ca="1" si="25"/>
        <v/>
      </c>
      <c r="AH52" s="2620" t="str">
        <f t="shared" ca="1" si="25"/>
        <v/>
      </c>
      <c r="AI52" s="2621" t="str">
        <f t="shared" ca="1" si="25"/>
        <v/>
      </c>
      <c r="AJ52" s="2624" t="str">
        <f t="shared" ca="1" si="28"/>
        <v/>
      </c>
      <c r="AK52" s="2620" t="str">
        <f t="shared" ca="1" si="28"/>
        <v/>
      </c>
      <c r="AL52" s="2620" t="str">
        <f t="shared" ca="1" si="28"/>
        <v/>
      </c>
      <c r="AM52" s="2620" t="str">
        <f t="shared" ca="1" si="28"/>
        <v/>
      </c>
      <c r="AN52" s="2621" t="str">
        <f t="shared" ca="1" si="28"/>
        <v/>
      </c>
      <c r="AO52" s="2624" t="str">
        <f t="shared" ca="1" si="28"/>
        <v/>
      </c>
      <c r="AP52" s="2620" t="str">
        <f t="shared" ca="1" si="28"/>
        <v/>
      </c>
      <c r="AQ52" s="2620" t="str">
        <f t="shared" ca="1" si="28"/>
        <v/>
      </c>
      <c r="AR52" s="2621" t="str">
        <f t="shared" ca="1" si="28"/>
        <v/>
      </c>
      <c r="AS52" s="2624" t="str">
        <f t="shared" ca="1" si="28"/>
        <v/>
      </c>
      <c r="AT52" s="2620" t="str">
        <f t="shared" ca="1" si="28"/>
        <v/>
      </c>
      <c r="AU52" s="2620" t="str">
        <f t="shared" ca="1" si="28"/>
        <v/>
      </c>
      <c r="AV52" s="2621" t="str">
        <f t="shared" ca="1" si="28"/>
        <v/>
      </c>
      <c r="AW52" s="2624" t="str">
        <f t="shared" ca="1" si="28"/>
        <v/>
      </c>
      <c r="AX52" s="2620" t="str">
        <f t="shared" ca="1" si="28"/>
        <v/>
      </c>
      <c r="AY52" s="2620" t="str">
        <f t="shared" ca="1" si="28"/>
        <v/>
      </c>
      <c r="AZ52" s="2621" t="str">
        <f t="shared" ca="1" si="27"/>
        <v/>
      </c>
      <c r="BA52" s="2620" t="str">
        <f t="shared" ca="1" si="27"/>
        <v/>
      </c>
      <c r="BB52" s="2620" t="str">
        <f t="shared" ca="1" si="27"/>
        <v/>
      </c>
      <c r="BC52" s="2620" t="str">
        <f t="shared" ca="1" si="27"/>
        <v/>
      </c>
      <c r="BD52" s="2621" t="str">
        <f t="shared" ca="1" si="27"/>
        <v/>
      </c>
      <c r="BE52" s="2625"/>
      <c r="BF52" s="2763" t="s">
        <v>837</v>
      </c>
      <c r="BG52" s="2776" t="s">
        <v>854</v>
      </c>
      <c r="BH52" s="2763" t="s">
        <v>839</v>
      </c>
      <c r="BI52" s="2514">
        <f t="shared" si="12"/>
        <v>59172</v>
      </c>
      <c r="BJ52" s="2516">
        <f t="shared" si="13"/>
        <v>42</v>
      </c>
      <c r="BK52" s="2499">
        <f t="shared" si="6"/>
        <v>2062</v>
      </c>
      <c r="BN52" s="2367">
        <f t="shared" si="7"/>
        <v>42</v>
      </c>
      <c r="BO52" s="2500" t="str">
        <f t="shared" si="8"/>
        <v>1/0/2062</v>
      </c>
      <c r="BP52" s="2501">
        <f t="shared" ca="1" si="2"/>
        <v>0</v>
      </c>
      <c r="BQ52" s="2367">
        <v>52</v>
      </c>
      <c r="BR52" s="2502">
        <f t="shared" si="3"/>
        <v>1.1111111111111112E-2</v>
      </c>
      <c r="BS52" s="2503">
        <f t="shared" ca="1" si="9"/>
        <v>0</v>
      </c>
      <c r="BT52"/>
      <c r="CB52" s="2370"/>
    </row>
    <row r="53" spans="1:80" ht="13" customHeight="1" x14ac:dyDescent="0.35">
      <c r="A53" s="2943"/>
      <c r="B53" s="2536">
        <f t="shared" si="24"/>
        <v>2063</v>
      </c>
      <c r="C53" s="2616">
        <f t="shared" si="23"/>
        <v>43</v>
      </c>
      <c r="D53" s="2617" t="str">
        <f ca="1">IF(BS53=0,"",SUM(BS$10:BS53))</f>
        <v/>
      </c>
      <c r="E53" s="2618" t="str">
        <f t="shared" ca="1" si="26"/>
        <v/>
      </c>
      <c r="F53" s="2619" t="str">
        <f t="shared" ca="1" si="26"/>
        <v/>
      </c>
      <c r="G53" s="2620" t="str">
        <f t="shared" ca="1" si="26"/>
        <v/>
      </c>
      <c r="H53" s="2620" t="str">
        <f t="shared" ca="1" si="26"/>
        <v/>
      </c>
      <c r="I53" s="2621" t="str">
        <f t="shared" ca="1" si="26"/>
        <v/>
      </c>
      <c r="J53" s="2622" t="str">
        <f t="shared" ca="1" si="26"/>
        <v/>
      </c>
      <c r="K53" s="2620" t="str">
        <f t="shared" ca="1" si="26"/>
        <v/>
      </c>
      <c r="L53" s="2620" t="str">
        <f t="shared" ca="1" si="26"/>
        <v/>
      </c>
      <c r="M53" s="2621" t="str">
        <f t="shared" ca="1" si="26"/>
        <v/>
      </c>
      <c r="N53" s="2623" t="str">
        <f t="shared" ca="1" si="26"/>
        <v/>
      </c>
      <c r="O53" s="2620" t="str">
        <f t="shared" ca="1" si="26"/>
        <v/>
      </c>
      <c r="P53" s="2620" t="str">
        <f t="shared" ca="1" si="26"/>
        <v/>
      </c>
      <c r="Q53" s="2621" t="str">
        <f t="shared" ca="1" si="26"/>
        <v/>
      </c>
      <c r="R53" s="2624" t="str">
        <f t="shared" ca="1" si="26"/>
        <v/>
      </c>
      <c r="S53" s="2620" t="str">
        <f t="shared" ca="1" si="26"/>
        <v/>
      </c>
      <c r="T53" s="2620" t="str">
        <f t="shared" ca="1" si="26"/>
        <v/>
      </c>
      <c r="U53" s="2621" t="str">
        <f t="shared" ca="1" si="25"/>
        <v/>
      </c>
      <c r="V53" s="2624" t="str">
        <f t="shared" ca="1" si="25"/>
        <v/>
      </c>
      <c r="W53" s="2620" t="str">
        <f t="shared" ca="1" si="25"/>
        <v/>
      </c>
      <c r="X53" s="2620" t="str">
        <f t="shared" ca="1" si="25"/>
        <v/>
      </c>
      <c r="Y53" s="2620" t="str">
        <f t="shared" ca="1" si="25"/>
        <v/>
      </c>
      <c r="Z53" s="2620" t="str">
        <f t="shared" ca="1" si="25"/>
        <v/>
      </c>
      <c r="AA53" s="2621" t="str">
        <f t="shared" ca="1" si="25"/>
        <v/>
      </c>
      <c r="AB53" s="2624" t="str">
        <f t="shared" ca="1" si="25"/>
        <v/>
      </c>
      <c r="AC53" s="2620" t="str">
        <f t="shared" ca="1" si="25"/>
        <v/>
      </c>
      <c r="AD53" s="2620" t="str">
        <f t="shared" ca="1" si="25"/>
        <v/>
      </c>
      <c r="AE53" s="2621" t="str">
        <f t="shared" ca="1" si="25"/>
        <v/>
      </c>
      <c r="AF53" s="2624" t="str">
        <f t="shared" ca="1" si="25"/>
        <v/>
      </c>
      <c r="AG53" s="2620" t="str">
        <f t="shared" ca="1" si="25"/>
        <v/>
      </c>
      <c r="AH53" s="2620" t="str">
        <f t="shared" ca="1" si="25"/>
        <v/>
      </c>
      <c r="AI53" s="2621" t="str">
        <f t="shared" ca="1" si="25"/>
        <v/>
      </c>
      <c r="AJ53" s="2624" t="str">
        <f t="shared" ca="1" si="28"/>
        <v/>
      </c>
      <c r="AK53" s="2620" t="str">
        <f t="shared" ca="1" si="28"/>
        <v/>
      </c>
      <c r="AL53" s="2620" t="str">
        <f t="shared" ca="1" si="28"/>
        <v/>
      </c>
      <c r="AM53" s="2620" t="str">
        <f t="shared" ca="1" si="28"/>
        <v/>
      </c>
      <c r="AN53" s="2621" t="str">
        <f t="shared" ca="1" si="28"/>
        <v/>
      </c>
      <c r="AO53" s="2624" t="str">
        <f t="shared" ca="1" si="28"/>
        <v/>
      </c>
      <c r="AP53" s="2620" t="str">
        <f t="shared" ca="1" si="28"/>
        <v/>
      </c>
      <c r="AQ53" s="2620" t="str">
        <f t="shared" ca="1" si="28"/>
        <v/>
      </c>
      <c r="AR53" s="2621" t="str">
        <f t="shared" ca="1" si="28"/>
        <v/>
      </c>
      <c r="AS53" s="2624" t="str">
        <f t="shared" ca="1" si="28"/>
        <v/>
      </c>
      <c r="AT53" s="2620" t="str">
        <f t="shared" ca="1" si="28"/>
        <v/>
      </c>
      <c r="AU53" s="2620" t="str">
        <f t="shared" ca="1" si="28"/>
        <v/>
      </c>
      <c r="AV53" s="2621" t="str">
        <f t="shared" ca="1" si="28"/>
        <v/>
      </c>
      <c r="AW53" s="2624" t="str">
        <f t="shared" ca="1" si="28"/>
        <v/>
      </c>
      <c r="AX53" s="2620" t="str">
        <f t="shared" ca="1" si="28"/>
        <v/>
      </c>
      <c r="AY53" s="2620" t="str">
        <f t="shared" ca="1" si="28"/>
        <v/>
      </c>
      <c r="AZ53" s="2621" t="str">
        <f t="shared" ca="1" si="27"/>
        <v/>
      </c>
      <c r="BA53" s="2620" t="str">
        <f t="shared" ca="1" si="27"/>
        <v/>
      </c>
      <c r="BB53" s="2620" t="str">
        <f t="shared" ca="1" si="27"/>
        <v/>
      </c>
      <c r="BC53" s="2620" t="str">
        <f t="shared" ca="1" si="27"/>
        <v/>
      </c>
      <c r="BD53" s="2621" t="str">
        <f t="shared" ca="1" si="27"/>
        <v/>
      </c>
      <c r="BE53" s="2625"/>
      <c r="BF53" s="2763" t="s">
        <v>837</v>
      </c>
      <c r="BG53" s="2776" t="s">
        <v>852</v>
      </c>
      <c r="BH53" s="2763" t="s">
        <v>839</v>
      </c>
      <c r="BI53" s="2514">
        <f t="shared" si="12"/>
        <v>59537</v>
      </c>
      <c r="BJ53" s="2516">
        <f t="shared" si="13"/>
        <v>43</v>
      </c>
      <c r="BK53" s="2499">
        <f t="shared" si="6"/>
        <v>2063</v>
      </c>
      <c r="BN53" s="2367">
        <f t="shared" si="7"/>
        <v>43</v>
      </c>
      <c r="BO53" s="2500" t="str">
        <f t="shared" si="8"/>
        <v>1/0/2063</v>
      </c>
      <c r="BP53" s="2501">
        <f t="shared" ca="1" si="2"/>
        <v>0</v>
      </c>
      <c r="BQ53" s="2367">
        <v>52</v>
      </c>
      <c r="BR53" s="2502">
        <f t="shared" si="3"/>
        <v>1.1111111111111112E-2</v>
      </c>
      <c r="BS53" s="2503">
        <f t="shared" ca="1" si="9"/>
        <v>0</v>
      </c>
      <c r="BT53"/>
      <c r="CB53" s="2370"/>
    </row>
    <row r="54" spans="1:80" ht="13" customHeight="1" x14ac:dyDescent="0.35">
      <c r="A54" s="2943"/>
      <c r="B54" s="2536">
        <f t="shared" si="24"/>
        <v>2064</v>
      </c>
      <c r="C54" s="2616">
        <f t="shared" si="23"/>
        <v>44</v>
      </c>
      <c r="D54" s="2617" t="str">
        <f ca="1">IF(BS54=0,"",SUM(BS$10:BS54))</f>
        <v/>
      </c>
      <c r="E54" s="2618" t="str">
        <f t="shared" ca="1" si="26"/>
        <v/>
      </c>
      <c r="F54" s="2619" t="str">
        <f t="shared" ca="1" si="26"/>
        <v/>
      </c>
      <c r="G54" s="2620" t="str">
        <f t="shared" ca="1" si="26"/>
        <v/>
      </c>
      <c r="H54" s="2620" t="str">
        <f t="shared" ca="1" si="26"/>
        <v/>
      </c>
      <c r="I54" s="2621" t="str">
        <f t="shared" ca="1" si="26"/>
        <v/>
      </c>
      <c r="J54" s="2622" t="str">
        <f t="shared" ca="1" si="26"/>
        <v/>
      </c>
      <c r="K54" s="2620" t="str">
        <f t="shared" ca="1" si="26"/>
        <v/>
      </c>
      <c r="L54" s="2620" t="str">
        <f t="shared" ca="1" si="26"/>
        <v/>
      </c>
      <c r="M54" s="2621" t="str">
        <f t="shared" ca="1" si="26"/>
        <v/>
      </c>
      <c r="N54" s="2623" t="str">
        <f t="shared" ca="1" si="26"/>
        <v/>
      </c>
      <c r="O54" s="2620" t="str">
        <f t="shared" ca="1" si="26"/>
        <v/>
      </c>
      <c r="P54" s="2620" t="str">
        <f t="shared" ca="1" si="26"/>
        <v/>
      </c>
      <c r="Q54" s="2621" t="str">
        <f t="shared" ca="1" si="26"/>
        <v/>
      </c>
      <c r="R54" s="2624" t="str">
        <f t="shared" ca="1" si="26"/>
        <v/>
      </c>
      <c r="S54" s="2620" t="str">
        <f t="shared" ca="1" si="26"/>
        <v/>
      </c>
      <c r="T54" s="2620" t="str">
        <f t="shared" ca="1" si="26"/>
        <v/>
      </c>
      <c r="U54" s="2621" t="str">
        <f t="shared" ca="1" si="25"/>
        <v/>
      </c>
      <c r="V54" s="2624" t="str">
        <f t="shared" ca="1" si="25"/>
        <v/>
      </c>
      <c r="W54" s="2620" t="str">
        <f t="shared" ca="1" si="25"/>
        <v/>
      </c>
      <c r="X54" s="2620" t="str">
        <f t="shared" ca="1" si="25"/>
        <v/>
      </c>
      <c r="Y54" s="2620" t="str">
        <f t="shared" ca="1" si="25"/>
        <v/>
      </c>
      <c r="Z54" s="2620" t="str">
        <f t="shared" ca="1" si="25"/>
        <v/>
      </c>
      <c r="AA54" s="2621" t="str">
        <f t="shared" ca="1" si="25"/>
        <v/>
      </c>
      <c r="AB54" s="2624" t="str">
        <f t="shared" ca="1" si="25"/>
        <v/>
      </c>
      <c r="AC54" s="2620" t="str">
        <f t="shared" ca="1" si="25"/>
        <v/>
      </c>
      <c r="AD54" s="2620" t="str">
        <f t="shared" ca="1" si="25"/>
        <v/>
      </c>
      <c r="AE54" s="2621" t="str">
        <f t="shared" ca="1" si="25"/>
        <v/>
      </c>
      <c r="AF54" s="2624" t="str">
        <f t="shared" ca="1" si="25"/>
        <v/>
      </c>
      <c r="AG54" s="2620" t="str">
        <f t="shared" ca="1" si="25"/>
        <v/>
      </c>
      <c r="AH54" s="2620" t="str">
        <f t="shared" ca="1" si="25"/>
        <v/>
      </c>
      <c r="AI54" s="2621" t="str">
        <f t="shared" ca="1" si="25"/>
        <v/>
      </c>
      <c r="AJ54" s="2624" t="str">
        <f t="shared" ca="1" si="28"/>
        <v/>
      </c>
      <c r="AK54" s="2620" t="str">
        <f t="shared" ca="1" si="28"/>
        <v/>
      </c>
      <c r="AL54" s="2620" t="str">
        <f t="shared" ca="1" si="28"/>
        <v/>
      </c>
      <c r="AM54" s="2620" t="str">
        <f t="shared" ca="1" si="28"/>
        <v/>
      </c>
      <c r="AN54" s="2621" t="str">
        <f t="shared" ca="1" si="28"/>
        <v/>
      </c>
      <c r="AO54" s="2624" t="str">
        <f t="shared" ca="1" si="28"/>
        <v/>
      </c>
      <c r="AP54" s="2620" t="str">
        <f t="shared" ca="1" si="28"/>
        <v/>
      </c>
      <c r="AQ54" s="2620" t="str">
        <f t="shared" ca="1" si="28"/>
        <v/>
      </c>
      <c r="AR54" s="2621" t="str">
        <f t="shared" ca="1" si="28"/>
        <v/>
      </c>
      <c r="AS54" s="2624" t="str">
        <f t="shared" ca="1" si="28"/>
        <v/>
      </c>
      <c r="AT54" s="2620" t="str">
        <f t="shared" ca="1" si="28"/>
        <v/>
      </c>
      <c r="AU54" s="2620" t="str">
        <f t="shared" ca="1" si="28"/>
        <v/>
      </c>
      <c r="AV54" s="2621" t="str">
        <f t="shared" ca="1" si="28"/>
        <v/>
      </c>
      <c r="AW54" s="2624" t="str">
        <f t="shared" ca="1" si="28"/>
        <v/>
      </c>
      <c r="AX54" s="2620" t="str">
        <f t="shared" ca="1" si="28"/>
        <v/>
      </c>
      <c r="AY54" s="2620" t="str">
        <f t="shared" ca="1" si="28"/>
        <v/>
      </c>
      <c r="AZ54" s="2621" t="str">
        <f t="shared" ca="1" si="27"/>
        <v/>
      </c>
      <c r="BA54" s="2620" t="str">
        <f t="shared" ca="1" si="27"/>
        <v/>
      </c>
      <c r="BB54" s="2620" t="str">
        <f t="shared" ca="1" si="27"/>
        <v/>
      </c>
      <c r="BC54" s="2620" t="str">
        <f t="shared" ca="1" si="27"/>
        <v/>
      </c>
      <c r="BD54" s="2621" t="str">
        <f t="shared" ca="1" si="27"/>
        <v/>
      </c>
      <c r="BE54" s="2625"/>
      <c r="BF54" s="2763"/>
      <c r="BG54" s="2763" t="s">
        <v>840</v>
      </c>
      <c r="BH54" s="2763" t="s">
        <v>839</v>
      </c>
      <c r="BI54" s="2514">
        <f t="shared" si="12"/>
        <v>59902</v>
      </c>
      <c r="BJ54" s="2516">
        <f t="shared" si="13"/>
        <v>44</v>
      </c>
      <c r="BK54" s="2499">
        <f t="shared" si="6"/>
        <v>2064</v>
      </c>
      <c r="BN54" s="2367">
        <f t="shared" si="7"/>
        <v>44</v>
      </c>
      <c r="BO54" s="2500" t="str">
        <f t="shared" si="8"/>
        <v>1/0/2064</v>
      </c>
      <c r="BP54" s="2501">
        <f t="shared" ca="1" si="2"/>
        <v>0</v>
      </c>
      <c r="BQ54" s="2367">
        <v>52</v>
      </c>
      <c r="BR54" s="2502">
        <f t="shared" si="3"/>
        <v>1.1111111111111112E-2</v>
      </c>
      <c r="BS54" s="2503">
        <f t="shared" ca="1" si="9"/>
        <v>0</v>
      </c>
      <c r="BT54"/>
      <c r="CB54" s="2370"/>
    </row>
    <row r="55" spans="1:80" ht="13" customHeight="1" x14ac:dyDescent="0.35">
      <c r="A55" s="2943"/>
      <c r="B55" s="2536">
        <f t="shared" si="24"/>
        <v>2065</v>
      </c>
      <c r="C55" s="2616">
        <f t="shared" si="23"/>
        <v>45</v>
      </c>
      <c r="D55" s="2617" t="str">
        <f ca="1">IF(BS55=0,"",SUM(BS$10:BS55))</f>
        <v/>
      </c>
      <c r="E55" s="2618" t="str">
        <f t="shared" ca="1" si="26"/>
        <v/>
      </c>
      <c r="F55" s="2619" t="str">
        <f t="shared" ca="1" si="26"/>
        <v/>
      </c>
      <c r="G55" s="2620" t="str">
        <f t="shared" ca="1" si="26"/>
        <v/>
      </c>
      <c r="H55" s="2620" t="str">
        <f t="shared" ca="1" si="26"/>
        <v/>
      </c>
      <c r="I55" s="2621" t="str">
        <f t="shared" ca="1" si="26"/>
        <v/>
      </c>
      <c r="J55" s="2622" t="str">
        <f t="shared" ca="1" si="26"/>
        <v/>
      </c>
      <c r="K55" s="2620" t="str">
        <f t="shared" ca="1" si="26"/>
        <v/>
      </c>
      <c r="L55" s="2620" t="str">
        <f t="shared" ca="1" si="26"/>
        <v/>
      </c>
      <c r="M55" s="2621" t="str">
        <f t="shared" ca="1" si="26"/>
        <v/>
      </c>
      <c r="N55" s="2623" t="str">
        <f t="shared" ca="1" si="26"/>
        <v/>
      </c>
      <c r="O55" s="2620" t="str">
        <f t="shared" ca="1" si="26"/>
        <v/>
      </c>
      <c r="P55" s="2620" t="str">
        <f t="shared" ca="1" si="26"/>
        <v/>
      </c>
      <c r="Q55" s="2621" t="str">
        <f t="shared" ca="1" si="26"/>
        <v/>
      </c>
      <c r="R55" s="2624" t="str">
        <f t="shared" ca="1" si="26"/>
        <v/>
      </c>
      <c r="S55" s="2620" t="str">
        <f t="shared" ca="1" si="26"/>
        <v/>
      </c>
      <c r="T55" s="2620" t="str">
        <f t="shared" ca="1" si="26"/>
        <v/>
      </c>
      <c r="U55" s="2621" t="str">
        <f t="shared" ca="1" si="25"/>
        <v/>
      </c>
      <c r="V55" s="2624" t="str">
        <f t="shared" ca="1" si="25"/>
        <v/>
      </c>
      <c r="W55" s="2620" t="str">
        <f t="shared" ca="1" si="25"/>
        <v/>
      </c>
      <c r="X55" s="2620" t="str">
        <f t="shared" ca="1" si="25"/>
        <v/>
      </c>
      <c r="Y55" s="2620" t="str">
        <f t="shared" ca="1" si="25"/>
        <v/>
      </c>
      <c r="Z55" s="2620" t="str">
        <f t="shared" ca="1" si="25"/>
        <v/>
      </c>
      <c r="AA55" s="2621" t="str">
        <f t="shared" ca="1" si="25"/>
        <v/>
      </c>
      <c r="AB55" s="2624" t="str">
        <f t="shared" ca="1" si="25"/>
        <v/>
      </c>
      <c r="AC55" s="2620" t="str">
        <f t="shared" ca="1" si="25"/>
        <v/>
      </c>
      <c r="AD55" s="2620" t="str">
        <f t="shared" ca="1" si="25"/>
        <v/>
      </c>
      <c r="AE55" s="2621" t="str">
        <f t="shared" ca="1" si="25"/>
        <v/>
      </c>
      <c r="AF55" s="2624" t="str">
        <f t="shared" ca="1" si="25"/>
        <v/>
      </c>
      <c r="AG55" s="2620" t="str">
        <f t="shared" ca="1" si="25"/>
        <v/>
      </c>
      <c r="AH55" s="2620" t="str">
        <f t="shared" ca="1" si="25"/>
        <v/>
      </c>
      <c r="AI55" s="2621" t="str">
        <f t="shared" ca="1" si="25"/>
        <v/>
      </c>
      <c r="AJ55" s="2624" t="str">
        <f t="shared" ca="1" si="28"/>
        <v/>
      </c>
      <c r="AK55" s="2620" t="str">
        <f t="shared" ca="1" si="28"/>
        <v/>
      </c>
      <c r="AL55" s="2620" t="str">
        <f t="shared" ca="1" si="28"/>
        <v/>
      </c>
      <c r="AM55" s="2620" t="str">
        <f t="shared" ca="1" si="28"/>
        <v/>
      </c>
      <c r="AN55" s="2621" t="str">
        <f t="shared" ca="1" si="28"/>
        <v/>
      </c>
      <c r="AO55" s="2624" t="str">
        <f t="shared" ca="1" si="28"/>
        <v/>
      </c>
      <c r="AP55" s="2620" t="str">
        <f t="shared" ca="1" si="28"/>
        <v/>
      </c>
      <c r="AQ55" s="2620" t="str">
        <f t="shared" ca="1" si="28"/>
        <v/>
      </c>
      <c r="AR55" s="2621" t="str">
        <f t="shared" ca="1" si="28"/>
        <v/>
      </c>
      <c r="AS55" s="2624" t="str">
        <f t="shared" ca="1" si="28"/>
        <v/>
      </c>
      <c r="AT55" s="2620" t="str">
        <f t="shared" ca="1" si="28"/>
        <v/>
      </c>
      <c r="AU55" s="2620" t="str">
        <f t="shared" ca="1" si="28"/>
        <v/>
      </c>
      <c r="AV55" s="2621" t="str">
        <f t="shared" ca="1" si="28"/>
        <v/>
      </c>
      <c r="AW55" s="2624" t="str">
        <f t="shared" ca="1" si="28"/>
        <v/>
      </c>
      <c r="AX55" s="2620" t="str">
        <f t="shared" ca="1" si="28"/>
        <v/>
      </c>
      <c r="AY55" s="2620" t="str">
        <f t="shared" ca="1" si="28"/>
        <v/>
      </c>
      <c r="AZ55" s="2621" t="str">
        <f t="shared" ca="1" si="27"/>
        <v/>
      </c>
      <c r="BA55" s="2620" t="str">
        <f t="shared" ca="1" si="27"/>
        <v/>
      </c>
      <c r="BB55" s="2620" t="str">
        <f t="shared" ca="1" si="27"/>
        <v/>
      </c>
      <c r="BC55" s="2620" t="str">
        <f t="shared" ca="1" si="27"/>
        <v/>
      </c>
      <c r="BD55" s="2621" t="str">
        <f t="shared" ca="1" si="27"/>
        <v/>
      </c>
      <c r="BE55" s="2625"/>
      <c r="BF55" s="2763" t="s">
        <v>832</v>
      </c>
      <c r="BG55" s="2763" t="s">
        <v>841</v>
      </c>
      <c r="BH55" s="2763" t="s">
        <v>842</v>
      </c>
      <c r="BI55" s="2514">
        <f t="shared" si="12"/>
        <v>60268</v>
      </c>
      <c r="BJ55" s="2516">
        <f t="shared" si="13"/>
        <v>45</v>
      </c>
      <c r="BK55" s="2499">
        <f t="shared" si="6"/>
        <v>2065</v>
      </c>
      <c r="BN55" s="2367">
        <f t="shared" si="7"/>
        <v>45</v>
      </c>
      <c r="BO55" s="2500" t="str">
        <f t="shared" si="8"/>
        <v>1/0/2065</v>
      </c>
      <c r="BP55" s="2501">
        <f t="shared" ca="1" si="2"/>
        <v>0</v>
      </c>
      <c r="BQ55" s="2367">
        <v>52</v>
      </c>
      <c r="BR55" s="2502">
        <f t="shared" si="3"/>
        <v>1.1111111111111112E-2</v>
      </c>
      <c r="BS55" s="2503">
        <f t="shared" ca="1" si="9"/>
        <v>0</v>
      </c>
      <c r="BT55"/>
      <c r="CB55" s="2370"/>
    </row>
    <row r="56" spans="1:80" ht="13" customHeight="1" x14ac:dyDescent="0.35">
      <c r="A56" s="2943"/>
      <c r="B56" s="2536">
        <f t="shared" si="24"/>
        <v>2066</v>
      </c>
      <c r="C56" s="2616">
        <f t="shared" si="23"/>
        <v>46</v>
      </c>
      <c r="D56" s="2617" t="str">
        <f ca="1">IF(BS56=0,"",SUM(BS$10:BS56))</f>
        <v/>
      </c>
      <c r="E56" s="2618" t="str">
        <f t="shared" ca="1" si="26"/>
        <v/>
      </c>
      <c r="F56" s="2619" t="str">
        <f t="shared" ca="1" si="26"/>
        <v/>
      </c>
      <c r="G56" s="2620" t="str">
        <f t="shared" ca="1" si="26"/>
        <v/>
      </c>
      <c r="H56" s="2620" t="str">
        <f t="shared" ca="1" si="26"/>
        <v/>
      </c>
      <c r="I56" s="2621" t="str">
        <f t="shared" ca="1" si="26"/>
        <v/>
      </c>
      <c r="J56" s="2622" t="str">
        <f t="shared" ca="1" si="26"/>
        <v/>
      </c>
      <c r="K56" s="2620" t="str">
        <f t="shared" ca="1" si="26"/>
        <v/>
      </c>
      <c r="L56" s="2620" t="str">
        <f t="shared" ca="1" si="26"/>
        <v/>
      </c>
      <c r="M56" s="2621" t="str">
        <f t="shared" ca="1" si="26"/>
        <v/>
      </c>
      <c r="N56" s="2623" t="str">
        <f t="shared" ca="1" si="26"/>
        <v/>
      </c>
      <c r="O56" s="2620" t="str">
        <f t="shared" ca="1" si="26"/>
        <v/>
      </c>
      <c r="P56" s="2620" t="str">
        <f t="shared" ca="1" si="26"/>
        <v/>
      </c>
      <c r="Q56" s="2621" t="str">
        <f t="shared" ca="1" si="26"/>
        <v/>
      </c>
      <c r="R56" s="2624" t="str">
        <f t="shared" ca="1" si="26"/>
        <v/>
      </c>
      <c r="S56" s="2620" t="str">
        <f t="shared" ca="1" si="26"/>
        <v/>
      </c>
      <c r="T56" s="2620" t="str">
        <f t="shared" ca="1" si="26"/>
        <v/>
      </c>
      <c r="U56" s="2621" t="str">
        <f t="shared" ca="1" si="25"/>
        <v/>
      </c>
      <c r="V56" s="2624" t="str">
        <f t="shared" ca="1" si="25"/>
        <v/>
      </c>
      <c r="W56" s="2620" t="str">
        <f t="shared" ca="1" si="25"/>
        <v/>
      </c>
      <c r="X56" s="2620" t="str">
        <f t="shared" ca="1" si="25"/>
        <v/>
      </c>
      <c r="Y56" s="2620" t="str">
        <f t="shared" ca="1" si="25"/>
        <v/>
      </c>
      <c r="Z56" s="2620" t="str">
        <f t="shared" ca="1" si="25"/>
        <v/>
      </c>
      <c r="AA56" s="2621" t="str">
        <f t="shared" ca="1" si="25"/>
        <v/>
      </c>
      <c r="AB56" s="2624" t="str">
        <f t="shared" ca="1" si="25"/>
        <v/>
      </c>
      <c r="AC56" s="2620" t="str">
        <f t="shared" ca="1" si="25"/>
        <v/>
      </c>
      <c r="AD56" s="2620" t="str">
        <f t="shared" ca="1" si="25"/>
        <v/>
      </c>
      <c r="AE56" s="2621" t="str">
        <f t="shared" ca="1" si="25"/>
        <v/>
      </c>
      <c r="AF56" s="2624" t="str">
        <f t="shared" ca="1" si="25"/>
        <v/>
      </c>
      <c r="AG56" s="2620" t="str">
        <f t="shared" ca="1" si="25"/>
        <v/>
      </c>
      <c r="AH56" s="2620" t="str">
        <f t="shared" ca="1" si="25"/>
        <v/>
      </c>
      <c r="AI56" s="2621" t="str">
        <f t="shared" ca="1" si="25"/>
        <v/>
      </c>
      <c r="AJ56" s="2624" t="str">
        <f t="shared" ca="1" si="28"/>
        <v/>
      </c>
      <c r="AK56" s="2620" t="str">
        <f t="shared" ca="1" si="28"/>
        <v/>
      </c>
      <c r="AL56" s="2620" t="str">
        <f t="shared" ca="1" si="28"/>
        <v/>
      </c>
      <c r="AM56" s="2620" t="str">
        <f t="shared" ca="1" si="28"/>
        <v/>
      </c>
      <c r="AN56" s="2621" t="str">
        <f t="shared" ca="1" si="28"/>
        <v/>
      </c>
      <c r="AO56" s="2624" t="str">
        <f t="shared" ca="1" si="28"/>
        <v/>
      </c>
      <c r="AP56" s="2620" t="str">
        <f t="shared" ca="1" si="28"/>
        <v/>
      </c>
      <c r="AQ56" s="2620" t="str">
        <f t="shared" ca="1" si="28"/>
        <v/>
      </c>
      <c r="AR56" s="2621" t="str">
        <f t="shared" ca="1" si="28"/>
        <v/>
      </c>
      <c r="AS56" s="2624" t="str">
        <f t="shared" ca="1" si="28"/>
        <v/>
      </c>
      <c r="AT56" s="2620" t="str">
        <f t="shared" ca="1" si="28"/>
        <v/>
      </c>
      <c r="AU56" s="2620" t="str">
        <f t="shared" ca="1" si="28"/>
        <v/>
      </c>
      <c r="AV56" s="2621" t="str">
        <f t="shared" ca="1" si="28"/>
        <v/>
      </c>
      <c r="AW56" s="2624" t="str">
        <f t="shared" ca="1" si="28"/>
        <v/>
      </c>
      <c r="AX56" s="2620" t="str">
        <f t="shared" ca="1" si="28"/>
        <v/>
      </c>
      <c r="AY56" s="2620" t="str">
        <f t="shared" ca="1" si="28"/>
        <v/>
      </c>
      <c r="AZ56" s="2621" t="str">
        <f t="shared" ca="1" si="27"/>
        <v/>
      </c>
      <c r="BA56" s="2620" t="str">
        <f t="shared" ca="1" si="27"/>
        <v/>
      </c>
      <c r="BB56" s="2620" t="str">
        <f t="shared" ca="1" si="27"/>
        <v/>
      </c>
      <c r="BC56" s="2620" t="str">
        <f t="shared" ca="1" si="27"/>
        <v/>
      </c>
      <c r="BD56" s="2621" t="str">
        <f t="shared" ca="1" si="27"/>
        <v/>
      </c>
      <c r="BE56" s="2625"/>
      <c r="BF56" s="2763" t="s">
        <v>843</v>
      </c>
      <c r="BG56" s="2763" t="s">
        <v>841</v>
      </c>
      <c r="BH56" s="2763" t="s">
        <v>844</v>
      </c>
      <c r="BI56" s="2514">
        <f t="shared" si="12"/>
        <v>60633</v>
      </c>
      <c r="BJ56" s="2516">
        <f t="shared" si="13"/>
        <v>46</v>
      </c>
      <c r="BK56" s="2499">
        <f t="shared" si="6"/>
        <v>2066</v>
      </c>
      <c r="BN56" s="2367">
        <f t="shared" si="7"/>
        <v>46</v>
      </c>
      <c r="BO56" s="2500" t="str">
        <f t="shared" si="8"/>
        <v>1/0/2066</v>
      </c>
      <c r="BP56" s="2501">
        <f t="shared" ca="1" si="2"/>
        <v>0</v>
      </c>
      <c r="BQ56" s="2367">
        <v>52</v>
      </c>
      <c r="BR56" s="2502">
        <f t="shared" si="3"/>
        <v>1.1111111111111112E-2</v>
      </c>
      <c r="BS56" s="2503">
        <f t="shared" ca="1" si="9"/>
        <v>0</v>
      </c>
      <c r="BT56"/>
      <c r="CB56" s="2370"/>
    </row>
    <row r="57" spans="1:80" ht="13" customHeight="1" x14ac:dyDescent="0.35">
      <c r="A57" s="2943"/>
      <c r="B57" s="2536">
        <f t="shared" si="24"/>
        <v>2067</v>
      </c>
      <c r="C57" s="2616">
        <f t="shared" si="23"/>
        <v>47</v>
      </c>
      <c r="D57" s="2617" t="str">
        <f ca="1">IF(BS57=0,"",SUM(BS$10:BS57))</f>
        <v/>
      </c>
      <c r="E57" s="2618" t="str">
        <f t="shared" ca="1" si="26"/>
        <v/>
      </c>
      <c r="F57" s="2619" t="str">
        <f t="shared" ca="1" si="26"/>
        <v/>
      </c>
      <c r="G57" s="2620" t="str">
        <f t="shared" ca="1" si="26"/>
        <v/>
      </c>
      <c r="H57" s="2620" t="str">
        <f t="shared" ca="1" si="26"/>
        <v/>
      </c>
      <c r="I57" s="2621" t="str">
        <f t="shared" ca="1" si="26"/>
        <v/>
      </c>
      <c r="J57" s="2622" t="str">
        <f t="shared" ca="1" si="26"/>
        <v/>
      </c>
      <c r="K57" s="2620" t="str">
        <f t="shared" ca="1" si="26"/>
        <v/>
      </c>
      <c r="L57" s="2620" t="str">
        <f t="shared" ca="1" si="26"/>
        <v/>
      </c>
      <c r="M57" s="2621" t="str">
        <f t="shared" ca="1" si="26"/>
        <v/>
      </c>
      <c r="N57" s="2623" t="str">
        <f t="shared" ca="1" si="26"/>
        <v/>
      </c>
      <c r="O57" s="2620" t="str">
        <f t="shared" ca="1" si="26"/>
        <v/>
      </c>
      <c r="P57" s="2620" t="str">
        <f t="shared" ca="1" si="26"/>
        <v/>
      </c>
      <c r="Q57" s="2621" t="str">
        <f t="shared" ca="1" si="26"/>
        <v/>
      </c>
      <c r="R57" s="2624" t="str">
        <f t="shared" ca="1" si="26"/>
        <v/>
      </c>
      <c r="S57" s="2620" t="str">
        <f t="shared" ca="1" si="26"/>
        <v/>
      </c>
      <c r="T57" s="2620" t="str">
        <f t="shared" ca="1" si="26"/>
        <v/>
      </c>
      <c r="U57" s="2621" t="str">
        <f t="shared" ca="1" si="25"/>
        <v/>
      </c>
      <c r="V57" s="2624" t="str">
        <f t="shared" ca="1" si="25"/>
        <v/>
      </c>
      <c r="W57" s="2620" t="str">
        <f t="shared" ca="1" si="25"/>
        <v/>
      </c>
      <c r="X57" s="2620" t="str">
        <f t="shared" ca="1" si="25"/>
        <v/>
      </c>
      <c r="Y57" s="2620" t="str">
        <f t="shared" ca="1" si="25"/>
        <v/>
      </c>
      <c r="Z57" s="2620" t="str">
        <f t="shared" ca="1" si="25"/>
        <v/>
      </c>
      <c r="AA57" s="2621" t="str">
        <f t="shared" ca="1" si="25"/>
        <v/>
      </c>
      <c r="AB57" s="2624" t="str">
        <f t="shared" ca="1" si="25"/>
        <v/>
      </c>
      <c r="AC57" s="2620" t="str">
        <f t="shared" ca="1" si="25"/>
        <v/>
      </c>
      <c r="AD57" s="2620" t="str">
        <f t="shared" ca="1" si="25"/>
        <v/>
      </c>
      <c r="AE57" s="2621" t="str">
        <f t="shared" ca="1" si="25"/>
        <v/>
      </c>
      <c r="AF57" s="2624" t="str">
        <f t="shared" ca="1" si="25"/>
        <v/>
      </c>
      <c r="AG57" s="2620" t="str">
        <f t="shared" ca="1" si="25"/>
        <v/>
      </c>
      <c r="AH57" s="2620" t="str">
        <f t="shared" ca="1" si="25"/>
        <v/>
      </c>
      <c r="AI57" s="2621" t="str">
        <f t="shared" ca="1" si="25"/>
        <v/>
      </c>
      <c r="AJ57" s="2624" t="str">
        <f t="shared" ca="1" si="28"/>
        <v/>
      </c>
      <c r="AK57" s="2620" t="str">
        <f t="shared" ca="1" si="28"/>
        <v/>
      </c>
      <c r="AL57" s="2620" t="str">
        <f t="shared" ca="1" si="28"/>
        <v/>
      </c>
      <c r="AM57" s="2620" t="str">
        <f t="shared" ca="1" si="28"/>
        <v/>
      </c>
      <c r="AN57" s="2621" t="str">
        <f t="shared" ca="1" si="28"/>
        <v/>
      </c>
      <c r="AO57" s="2624" t="str">
        <f t="shared" ca="1" si="28"/>
        <v/>
      </c>
      <c r="AP57" s="2620" t="str">
        <f t="shared" ca="1" si="28"/>
        <v/>
      </c>
      <c r="AQ57" s="2620" t="str">
        <f t="shared" ca="1" si="28"/>
        <v/>
      </c>
      <c r="AR57" s="2621" t="str">
        <f t="shared" ca="1" si="28"/>
        <v/>
      </c>
      <c r="AS57" s="2624" t="str">
        <f t="shared" ca="1" si="28"/>
        <v/>
      </c>
      <c r="AT57" s="2620" t="str">
        <f t="shared" ca="1" si="28"/>
        <v/>
      </c>
      <c r="AU57" s="2620" t="str">
        <f t="shared" ca="1" si="28"/>
        <v/>
      </c>
      <c r="AV57" s="2621" t="str">
        <f t="shared" ca="1" si="28"/>
        <v/>
      </c>
      <c r="AW57" s="2624" t="str">
        <f t="shared" ca="1" si="28"/>
        <v/>
      </c>
      <c r="AX57" s="2620" t="str">
        <f t="shared" ca="1" si="28"/>
        <v/>
      </c>
      <c r="AY57" s="2620" t="str">
        <f t="shared" ca="1" si="28"/>
        <v/>
      </c>
      <c r="AZ57" s="2621" t="str">
        <f t="shared" ca="1" si="27"/>
        <v/>
      </c>
      <c r="BA57" s="2620" t="str">
        <f t="shared" ca="1" si="27"/>
        <v/>
      </c>
      <c r="BB57" s="2620" t="str">
        <f t="shared" ca="1" si="27"/>
        <v/>
      </c>
      <c r="BC57" s="2620" t="str">
        <f t="shared" ca="1" si="27"/>
        <v/>
      </c>
      <c r="BD57" s="2621" t="str">
        <f t="shared" ca="1" si="27"/>
        <v/>
      </c>
      <c r="BE57" s="2625"/>
      <c r="BF57" s="2763" t="s">
        <v>843</v>
      </c>
      <c r="BG57" s="2763" t="s">
        <v>834</v>
      </c>
      <c r="BH57" s="2763" t="s">
        <v>844</v>
      </c>
      <c r="BI57" s="2514">
        <f t="shared" si="12"/>
        <v>60998</v>
      </c>
      <c r="BJ57" s="2516">
        <f t="shared" si="13"/>
        <v>47</v>
      </c>
      <c r="BK57" s="2499">
        <f t="shared" si="6"/>
        <v>2067</v>
      </c>
      <c r="BN57" s="2367">
        <f t="shared" si="7"/>
        <v>47</v>
      </c>
      <c r="BO57" s="2500" t="str">
        <f t="shared" si="8"/>
        <v>1/0/2067</v>
      </c>
      <c r="BP57" s="2501">
        <f t="shared" ca="1" si="2"/>
        <v>0</v>
      </c>
      <c r="BQ57" s="2367">
        <v>52</v>
      </c>
      <c r="BR57" s="2502">
        <f t="shared" si="3"/>
        <v>1.1111111111111112E-2</v>
      </c>
      <c r="BS57" s="2503">
        <f t="shared" ca="1" si="9"/>
        <v>0</v>
      </c>
      <c r="BT57"/>
      <c r="CB57" s="2370"/>
    </row>
    <row r="58" spans="1:80" ht="13" customHeight="1" x14ac:dyDescent="0.35">
      <c r="A58" s="2943"/>
      <c r="B58" s="2536">
        <f t="shared" si="24"/>
        <v>2068</v>
      </c>
      <c r="C58" s="2616">
        <f t="shared" si="23"/>
        <v>48</v>
      </c>
      <c r="D58" s="2617" t="str">
        <f ca="1">IF(BS58=0,"",SUM(BS$10:BS58))</f>
        <v/>
      </c>
      <c r="E58" s="2618" t="str">
        <f t="shared" ca="1" si="26"/>
        <v/>
      </c>
      <c r="F58" s="2619" t="str">
        <f t="shared" ca="1" si="26"/>
        <v/>
      </c>
      <c r="G58" s="2620" t="str">
        <f t="shared" ca="1" si="26"/>
        <v/>
      </c>
      <c r="H58" s="2620" t="str">
        <f t="shared" ca="1" si="26"/>
        <v/>
      </c>
      <c r="I58" s="2621" t="str">
        <f t="shared" ca="1" si="26"/>
        <v/>
      </c>
      <c r="J58" s="2622" t="str">
        <f t="shared" ca="1" si="26"/>
        <v/>
      </c>
      <c r="K58" s="2620" t="str">
        <f t="shared" ca="1" si="26"/>
        <v/>
      </c>
      <c r="L58" s="2620" t="str">
        <f t="shared" ca="1" si="26"/>
        <v/>
      </c>
      <c r="M58" s="2621" t="str">
        <f t="shared" ca="1" si="26"/>
        <v/>
      </c>
      <c r="N58" s="2623" t="str">
        <f t="shared" ca="1" si="26"/>
        <v/>
      </c>
      <c r="O58" s="2620" t="str">
        <f t="shared" ca="1" si="26"/>
        <v/>
      </c>
      <c r="P58" s="2620" t="str">
        <f t="shared" ca="1" si="26"/>
        <v/>
      </c>
      <c r="Q58" s="2621" t="str">
        <f t="shared" ca="1" si="26"/>
        <v/>
      </c>
      <c r="R58" s="2624" t="str">
        <f t="shared" ca="1" si="26"/>
        <v/>
      </c>
      <c r="S58" s="2620" t="str">
        <f t="shared" ca="1" si="26"/>
        <v/>
      </c>
      <c r="T58" s="2620" t="str">
        <f t="shared" ca="1" si="26"/>
        <v/>
      </c>
      <c r="U58" s="2621" t="str">
        <f t="shared" ca="1" si="25"/>
        <v/>
      </c>
      <c r="V58" s="2624" t="str">
        <f t="shared" ca="1" si="25"/>
        <v/>
      </c>
      <c r="W58" s="2620" t="str">
        <f t="shared" ca="1" si="25"/>
        <v/>
      </c>
      <c r="X58" s="2620" t="str">
        <f t="shared" ca="1" si="25"/>
        <v/>
      </c>
      <c r="Y58" s="2620" t="str">
        <f t="shared" ca="1" si="25"/>
        <v/>
      </c>
      <c r="Z58" s="2620" t="str">
        <f t="shared" ca="1" si="25"/>
        <v/>
      </c>
      <c r="AA58" s="2621" t="str">
        <f t="shared" ca="1" si="25"/>
        <v/>
      </c>
      <c r="AB58" s="2624" t="str">
        <f t="shared" ca="1" si="25"/>
        <v/>
      </c>
      <c r="AC58" s="2620" t="str">
        <f t="shared" ca="1" si="25"/>
        <v/>
      </c>
      <c r="AD58" s="2620" t="str">
        <f t="shared" ca="1" si="25"/>
        <v/>
      </c>
      <c r="AE58" s="2621" t="str">
        <f t="shared" ca="1" si="25"/>
        <v/>
      </c>
      <c r="AF58" s="2624" t="str">
        <f t="shared" ca="1" si="25"/>
        <v/>
      </c>
      <c r="AG58" s="2620" t="str">
        <f t="shared" ca="1" si="25"/>
        <v/>
      </c>
      <c r="AH58" s="2620" t="str">
        <f t="shared" ca="1" si="25"/>
        <v/>
      </c>
      <c r="AI58" s="2621" t="str">
        <f t="shared" ca="1" si="25"/>
        <v/>
      </c>
      <c r="AJ58" s="2624" t="str">
        <f t="shared" ca="1" si="28"/>
        <v/>
      </c>
      <c r="AK58" s="2620" t="str">
        <f t="shared" ca="1" si="28"/>
        <v/>
      </c>
      <c r="AL58" s="2620" t="str">
        <f t="shared" ca="1" si="28"/>
        <v/>
      </c>
      <c r="AM58" s="2620" t="str">
        <f t="shared" ca="1" si="28"/>
        <v/>
      </c>
      <c r="AN58" s="2621" t="str">
        <f t="shared" ca="1" si="28"/>
        <v/>
      </c>
      <c r="AO58" s="2624" t="str">
        <f t="shared" ca="1" si="28"/>
        <v/>
      </c>
      <c r="AP58" s="2620" t="str">
        <f t="shared" ca="1" si="28"/>
        <v/>
      </c>
      <c r="AQ58" s="2620" t="str">
        <f t="shared" ca="1" si="28"/>
        <v/>
      </c>
      <c r="AR58" s="2621" t="str">
        <f t="shared" ca="1" si="28"/>
        <v/>
      </c>
      <c r="AS58" s="2624" t="str">
        <f t="shared" ca="1" si="28"/>
        <v/>
      </c>
      <c r="AT58" s="2620" t="str">
        <f t="shared" ca="1" si="28"/>
        <v/>
      </c>
      <c r="AU58" s="2620" t="str">
        <f t="shared" ca="1" si="28"/>
        <v/>
      </c>
      <c r="AV58" s="2621" t="str">
        <f t="shared" ca="1" si="28"/>
        <v/>
      </c>
      <c r="AW58" s="2624" t="str">
        <f t="shared" ca="1" si="28"/>
        <v/>
      </c>
      <c r="AX58" s="2620" t="str">
        <f t="shared" ca="1" si="28"/>
        <v/>
      </c>
      <c r="AY58" s="2620" t="str">
        <f t="shared" ca="1" si="28"/>
        <v/>
      </c>
      <c r="AZ58" s="2621" t="str">
        <f t="shared" ca="1" si="27"/>
        <v/>
      </c>
      <c r="BA58" s="2620" t="str">
        <f t="shared" ca="1" si="27"/>
        <v/>
      </c>
      <c r="BB58" s="2620" t="str">
        <f t="shared" ca="1" si="27"/>
        <v/>
      </c>
      <c r="BC58" s="2620" t="str">
        <f t="shared" ca="1" si="27"/>
        <v/>
      </c>
      <c r="BD58" s="2621" t="str">
        <f t="shared" ca="1" si="27"/>
        <v/>
      </c>
      <c r="BE58" s="2625"/>
      <c r="BF58" s="2763" t="s">
        <v>843</v>
      </c>
      <c r="BG58" s="2763" t="s">
        <v>845</v>
      </c>
      <c r="BH58" s="2763" t="s">
        <v>7</v>
      </c>
      <c r="BI58" s="2514">
        <f t="shared" si="12"/>
        <v>61363</v>
      </c>
      <c r="BJ58" s="2516">
        <f t="shared" si="13"/>
        <v>48</v>
      </c>
      <c r="BK58" s="2499">
        <f t="shared" si="6"/>
        <v>2068</v>
      </c>
      <c r="BN58" s="2367">
        <f t="shared" si="7"/>
        <v>48</v>
      </c>
      <c r="BO58" s="2500" t="str">
        <f t="shared" si="8"/>
        <v>1/0/2068</v>
      </c>
      <c r="BP58" s="2501">
        <f t="shared" ca="1" si="2"/>
        <v>0</v>
      </c>
      <c r="BQ58" s="2367">
        <v>52</v>
      </c>
      <c r="BR58" s="2502">
        <f t="shared" si="3"/>
        <v>1.1111111111111112E-2</v>
      </c>
      <c r="BS58" s="2503">
        <f t="shared" ca="1" si="9"/>
        <v>0</v>
      </c>
      <c r="BT58"/>
      <c r="CB58" s="2370"/>
    </row>
    <row r="59" spans="1:80" ht="13" customHeight="1" thickBot="1" x14ac:dyDescent="0.4">
      <c r="A59" s="2944"/>
      <c r="B59" s="2596">
        <f t="shared" si="24"/>
        <v>2069</v>
      </c>
      <c r="C59" s="2626">
        <f t="shared" si="23"/>
        <v>49</v>
      </c>
      <c r="D59" s="2627" t="str">
        <f ca="1">IF(BS59=0,"",SUM(BS$10:BS59))</f>
        <v/>
      </c>
      <c r="E59" s="2628" t="str">
        <f t="shared" ca="1" si="26"/>
        <v/>
      </c>
      <c r="F59" s="2629" t="str">
        <f t="shared" ca="1" si="26"/>
        <v/>
      </c>
      <c r="G59" s="2630" t="str">
        <f t="shared" ca="1" si="26"/>
        <v/>
      </c>
      <c r="H59" s="2630" t="str">
        <f t="shared" ca="1" si="26"/>
        <v/>
      </c>
      <c r="I59" s="2631" t="str">
        <f t="shared" ca="1" si="26"/>
        <v/>
      </c>
      <c r="J59" s="2632" t="str">
        <f t="shared" ca="1" si="26"/>
        <v/>
      </c>
      <c r="K59" s="2630" t="str">
        <f t="shared" ca="1" si="26"/>
        <v/>
      </c>
      <c r="L59" s="2630" t="str">
        <f t="shared" ca="1" si="26"/>
        <v/>
      </c>
      <c r="M59" s="2631" t="str">
        <f t="shared" ca="1" si="26"/>
        <v/>
      </c>
      <c r="N59" s="2636" t="str">
        <f t="shared" ca="1" si="26"/>
        <v/>
      </c>
      <c r="O59" s="2630" t="str">
        <f t="shared" ca="1" si="26"/>
        <v/>
      </c>
      <c r="P59" s="2630" t="str">
        <f t="shared" ca="1" si="26"/>
        <v/>
      </c>
      <c r="Q59" s="2631" t="str">
        <f t="shared" ca="1" si="26"/>
        <v/>
      </c>
      <c r="R59" s="2634" t="str">
        <f t="shared" ca="1" si="26"/>
        <v/>
      </c>
      <c r="S59" s="2630" t="str">
        <f t="shared" ca="1" si="26"/>
        <v/>
      </c>
      <c r="T59" s="2630" t="str">
        <f t="shared" ca="1" si="26"/>
        <v/>
      </c>
      <c r="U59" s="2631" t="str">
        <f t="shared" ca="1" si="25"/>
        <v/>
      </c>
      <c r="V59" s="2634" t="str">
        <f t="shared" ca="1" si="25"/>
        <v/>
      </c>
      <c r="W59" s="2630" t="str">
        <f t="shared" ca="1" si="25"/>
        <v/>
      </c>
      <c r="X59" s="2630" t="str">
        <f t="shared" ca="1" si="25"/>
        <v/>
      </c>
      <c r="Y59" s="2630" t="str">
        <f t="shared" ca="1" si="25"/>
        <v/>
      </c>
      <c r="Z59" s="2630" t="str">
        <f t="shared" ca="1" si="25"/>
        <v/>
      </c>
      <c r="AA59" s="2631" t="str">
        <f t="shared" ca="1" si="25"/>
        <v/>
      </c>
      <c r="AB59" s="2634" t="str">
        <f t="shared" ca="1" si="25"/>
        <v/>
      </c>
      <c r="AC59" s="2630" t="str">
        <f t="shared" ca="1" si="25"/>
        <v/>
      </c>
      <c r="AD59" s="2630" t="str">
        <f t="shared" ca="1" si="25"/>
        <v/>
      </c>
      <c r="AE59" s="2631" t="str">
        <f t="shared" ca="1" si="25"/>
        <v/>
      </c>
      <c r="AF59" s="2634" t="str">
        <f t="shared" ca="1" si="25"/>
        <v/>
      </c>
      <c r="AG59" s="2630" t="str">
        <f t="shared" ca="1" si="25"/>
        <v/>
      </c>
      <c r="AH59" s="2630" t="str">
        <f t="shared" ca="1" si="25"/>
        <v/>
      </c>
      <c r="AI59" s="2631" t="str">
        <f t="shared" ca="1" si="25"/>
        <v/>
      </c>
      <c r="AJ59" s="2634" t="str">
        <f t="shared" ca="1" si="28"/>
        <v/>
      </c>
      <c r="AK59" s="2630" t="str">
        <f t="shared" ca="1" si="28"/>
        <v/>
      </c>
      <c r="AL59" s="2630" t="str">
        <f t="shared" ca="1" si="28"/>
        <v/>
      </c>
      <c r="AM59" s="2630" t="str">
        <f t="shared" ca="1" si="28"/>
        <v/>
      </c>
      <c r="AN59" s="2631" t="str">
        <f t="shared" ca="1" si="28"/>
        <v/>
      </c>
      <c r="AO59" s="2634" t="str">
        <f t="shared" ca="1" si="28"/>
        <v/>
      </c>
      <c r="AP59" s="2630" t="str">
        <f t="shared" ca="1" si="28"/>
        <v/>
      </c>
      <c r="AQ59" s="2630" t="str">
        <f t="shared" ca="1" si="28"/>
        <v/>
      </c>
      <c r="AR59" s="2631" t="str">
        <f t="shared" ca="1" si="28"/>
        <v/>
      </c>
      <c r="AS59" s="2634" t="str">
        <f t="shared" ca="1" si="28"/>
        <v/>
      </c>
      <c r="AT59" s="2630" t="str">
        <f t="shared" ca="1" si="28"/>
        <v/>
      </c>
      <c r="AU59" s="2630" t="str">
        <f t="shared" ca="1" si="28"/>
        <v/>
      </c>
      <c r="AV59" s="2631" t="str">
        <f t="shared" ca="1" si="28"/>
        <v/>
      </c>
      <c r="AW59" s="2634" t="str">
        <f t="shared" ca="1" si="28"/>
        <v/>
      </c>
      <c r="AX59" s="2630" t="str">
        <f t="shared" ca="1" si="28"/>
        <v/>
      </c>
      <c r="AY59" s="2630" t="str">
        <f t="shared" ca="1" si="28"/>
        <v/>
      </c>
      <c r="AZ59" s="2631" t="str">
        <f t="shared" ca="1" si="27"/>
        <v/>
      </c>
      <c r="BA59" s="2630" t="str">
        <f t="shared" ca="1" si="27"/>
        <v/>
      </c>
      <c r="BB59" s="2630" t="str">
        <f t="shared" ca="1" si="27"/>
        <v/>
      </c>
      <c r="BC59" s="2630" t="str">
        <f t="shared" ca="1" si="27"/>
        <v/>
      </c>
      <c r="BD59" s="2631" t="str">
        <f t="shared" ca="1" si="27"/>
        <v/>
      </c>
      <c r="BE59" s="2625"/>
      <c r="BF59" s="2764" t="s">
        <v>843</v>
      </c>
      <c r="BG59" s="2764" t="s">
        <v>845</v>
      </c>
      <c r="BH59" s="2764" t="s">
        <v>7</v>
      </c>
      <c r="BI59" s="2514">
        <f t="shared" si="12"/>
        <v>61729</v>
      </c>
      <c r="BJ59" s="2516">
        <f t="shared" si="13"/>
        <v>49</v>
      </c>
      <c r="BK59" s="2499">
        <f t="shared" si="6"/>
        <v>2069</v>
      </c>
      <c r="BN59" s="2367">
        <f t="shared" si="7"/>
        <v>49</v>
      </c>
      <c r="BO59" s="2500" t="str">
        <f t="shared" si="8"/>
        <v>1/0/2069</v>
      </c>
      <c r="BP59" s="2501">
        <f t="shared" ca="1" si="2"/>
        <v>0</v>
      </c>
      <c r="BQ59" s="2367">
        <v>52</v>
      </c>
      <c r="BR59" s="2502">
        <f t="shared" si="3"/>
        <v>1.1111111111111112E-2</v>
      </c>
      <c r="BS59" s="2503">
        <f t="shared" ca="1" si="9"/>
        <v>0</v>
      </c>
      <c r="BT59"/>
      <c r="CB59" s="2370"/>
    </row>
    <row r="60" spans="1:80" ht="13" customHeight="1" x14ac:dyDescent="0.35">
      <c r="A60" s="2942">
        <v>6</v>
      </c>
      <c r="B60" s="2526">
        <f t="shared" si="24"/>
        <v>2070</v>
      </c>
      <c r="C60" s="2606">
        <f t="shared" si="23"/>
        <v>50</v>
      </c>
      <c r="D60" s="2607" t="str">
        <f ca="1">IF(BS60=0,"",SUM(BS$10:BS60))</f>
        <v/>
      </c>
      <c r="E60" s="2608" t="str">
        <f t="shared" ca="1" si="26"/>
        <v/>
      </c>
      <c r="F60" s="2609" t="str">
        <f t="shared" ca="1" si="26"/>
        <v/>
      </c>
      <c r="G60" s="2610" t="str">
        <f t="shared" ca="1" si="26"/>
        <v/>
      </c>
      <c r="H60" s="2610" t="str">
        <f t="shared" ca="1" si="26"/>
        <v/>
      </c>
      <c r="I60" s="2611" t="str">
        <f t="shared" ca="1" si="26"/>
        <v/>
      </c>
      <c r="J60" s="2612" t="str">
        <f t="shared" ca="1" si="26"/>
        <v/>
      </c>
      <c r="K60" s="2610" t="str">
        <f t="shared" ca="1" si="26"/>
        <v/>
      </c>
      <c r="L60" s="2610" t="str">
        <f t="shared" ca="1" si="26"/>
        <v/>
      </c>
      <c r="M60" s="2611" t="str">
        <f t="shared" ca="1" si="26"/>
        <v/>
      </c>
      <c r="N60" s="2613" t="str">
        <f t="shared" ca="1" si="26"/>
        <v/>
      </c>
      <c r="O60" s="2610" t="str">
        <f t="shared" ca="1" si="26"/>
        <v/>
      </c>
      <c r="P60" s="2610" t="str">
        <f t="shared" ca="1" si="26"/>
        <v/>
      </c>
      <c r="Q60" s="2611" t="str">
        <f t="shared" ca="1" si="26"/>
        <v/>
      </c>
      <c r="R60" s="2614" t="str">
        <f t="shared" ca="1" si="26"/>
        <v/>
      </c>
      <c r="S60" s="2610" t="str">
        <f t="shared" ca="1" si="26"/>
        <v/>
      </c>
      <c r="T60" s="2610" t="str">
        <f t="shared" ca="1" si="26"/>
        <v/>
      </c>
      <c r="U60" s="2611" t="str">
        <f t="shared" ca="1" si="25"/>
        <v/>
      </c>
      <c r="V60" s="2614" t="str">
        <f t="shared" ca="1" si="25"/>
        <v/>
      </c>
      <c r="W60" s="2610" t="str">
        <f t="shared" ca="1" si="25"/>
        <v/>
      </c>
      <c r="X60" s="2610" t="str">
        <f t="shared" ca="1" si="25"/>
        <v/>
      </c>
      <c r="Y60" s="2610" t="str">
        <f t="shared" ca="1" si="25"/>
        <v/>
      </c>
      <c r="Z60" s="2610" t="str">
        <f t="shared" ca="1" si="25"/>
        <v/>
      </c>
      <c r="AA60" s="2611" t="str">
        <f t="shared" ca="1" si="25"/>
        <v/>
      </c>
      <c r="AB60" s="2614" t="str">
        <f t="shared" ca="1" si="25"/>
        <v/>
      </c>
      <c r="AC60" s="2610" t="str">
        <f t="shared" ca="1" si="25"/>
        <v/>
      </c>
      <c r="AD60" s="2610" t="str">
        <f t="shared" ca="1" si="25"/>
        <v/>
      </c>
      <c r="AE60" s="2611" t="str">
        <f t="shared" ca="1" si="25"/>
        <v/>
      </c>
      <c r="AF60" s="2614" t="str">
        <f t="shared" ca="1" si="25"/>
        <v/>
      </c>
      <c r="AG60" s="2610" t="str">
        <f t="shared" ca="1" si="25"/>
        <v/>
      </c>
      <c r="AH60" s="2610" t="str">
        <f t="shared" ca="1" si="25"/>
        <v/>
      </c>
      <c r="AI60" s="2611" t="str">
        <f t="shared" ca="1" si="25"/>
        <v/>
      </c>
      <c r="AJ60" s="2614" t="str">
        <f t="shared" ca="1" si="28"/>
        <v/>
      </c>
      <c r="AK60" s="2610" t="str">
        <f t="shared" ca="1" si="28"/>
        <v/>
      </c>
      <c r="AL60" s="2610" t="str">
        <f t="shared" ca="1" si="28"/>
        <v/>
      </c>
      <c r="AM60" s="2610" t="str">
        <f t="shared" ca="1" si="28"/>
        <v/>
      </c>
      <c r="AN60" s="2611" t="str">
        <f t="shared" ca="1" si="28"/>
        <v/>
      </c>
      <c r="AO60" s="2614" t="str">
        <f t="shared" ca="1" si="28"/>
        <v/>
      </c>
      <c r="AP60" s="2610" t="str">
        <f t="shared" ca="1" si="28"/>
        <v/>
      </c>
      <c r="AQ60" s="2610" t="str">
        <f t="shared" ca="1" si="28"/>
        <v/>
      </c>
      <c r="AR60" s="2611" t="str">
        <f t="shared" ca="1" si="28"/>
        <v/>
      </c>
      <c r="AS60" s="2614" t="str">
        <f t="shared" ca="1" si="28"/>
        <v/>
      </c>
      <c r="AT60" s="2610" t="str">
        <f t="shared" ca="1" si="28"/>
        <v/>
      </c>
      <c r="AU60" s="2610" t="str">
        <f t="shared" ca="1" si="28"/>
        <v/>
      </c>
      <c r="AV60" s="2611" t="str">
        <f t="shared" ca="1" si="28"/>
        <v/>
      </c>
      <c r="AW60" s="2614" t="str">
        <f t="shared" ca="1" si="28"/>
        <v/>
      </c>
      <c r="AX60" s="2610" t="str">
        <f t="shared" ca="1" si="28"/>
        <v/>
      </c>
      <c r="AY60" s="2610" t="str">
        <f t="shared" ca="1" si="28"/>
        <v/>
      </c>
      <c r="AZ60" s="2611" t="str">
        <f t="shared" ca="1" si="27"/>
        <v/>
      </c>
      <c r="BA60" s="2610" t="str">
        <f t="shared" ca="1" si="27"/>
        <v/>
      </c>
      <c r="BB60" s="2610" t="str">
        <f t="shared" ca="1" si="27"/>
        <v/>
      </c>
      <c r="BC60" s="2610" t="str">
        <f t="shared" ca="1" si="27"/>
        <v/>
      </c>
      <c r="BD60" s="2611" t="str">
        <f t="shared" ca="1" si="27"/>
        <v/>
      </c>
      <c r="BE60" s="2625"/>
      <c r="BF60" s="2762" t="s">
        <v>846</v>
      </c>
      <c r="BG60" s="2762" t="s">
        <v>845</v>
      </c>
      <c r="BH60" s="2762" t="s">
        <v>7</v>
      </c>
      <c r="BI60" s="2514">
        <f t="shared" si="12"/>
        <v>62094</v>
      </c>
      <c r="BJ60" s="2516">
        <f t="shared" si="13"/>
        <v>50</v>
      </c>
      <c r="BK60" s="2499">
        <f t="shared" si="6"/>
        <v>2070</v>
      </c>
      <c r="BN60" s="2367">
        <f t="shared" si="7"/>
        <v>50</v>
      </c>
      <c r="BO60" s="2500" t="str">
        <f t="shared" si="8"/>
        <v>1/0/2070</v>
      </c>
      <c r="BP60" s="2501">
        <f t="shared" ca="1" si="2"/>
        <v>0</v>
      </c>
      <c r="BQ60" s="2367">
        <v>52</v>
      </c>
      <c r="BR60" s="2502">
        <f t="shared" si="3"/>
        <v>1.1111111111111112E-2</v>
      </c>
      <c r="BS60" s="2503">
        <f t="shared" ca="1" si="9"/>
        <v>0</v>
      </c>
      <c r="BT60"/>
      <c r="CB60" s="2370"/>
    </row>
    <row r="61" spans="1:80" ht="13" customHeight="1" x14ac:dyDescent="0.35">
      <c r="A61" s="2943"/>
      <c r="B61" s="2536">
        <f t="shared" si="24"/>
        <v>2071</v>
      </c>
      <c r="C61" s="2616">
        <f t="shared" si="23"/>
        <v>51</v>
      </c>
      <c r="D61" s="2617" t="str">
        <f ca="1">IF(BS61=0,"",SUM(BS$10:BS61))</f>
        <v/>
      </c>
      <c r="E61" s="2618" t="str">
        <f t="shared" ca="1" si="26"/>
        <v/>
      </c>
      <c r="F61" s="2619" t="str">
        <f t="shared" ca="1" si="26"/>
        <v/>
      </c>
      <c r="G61" s="2620" t="str">
        <f t="shared" ca="1" si="26"/>
        <v/>
      </c>
      <c r="H61" s="2620" t="str">
        <f t="shared" ca="1" si="26"/>
        <v/>
      </c>
      <c r="I61" s="2621" t="str">
        <f t="shared" ca="1" si="26"/>
        <v/>
      </c>
      <c r="J61" s="2622" t="str">
        <f t="shared" ca="1" si="26"/>
        <v/>
      </c>
      <c r="K61" s="2620" t="str">
        <f t="shared" ca="1" si="26"/>
        <v/>
      </c>
      <c r="L61" s="2620" t="str">
        <f t="shared" ca="1" si="26"/>
        <v/>
      </c>
      <c r="M61" s="2621" t="str">
        <f t="shared" ca="1" si="26"/>
        <v/>
      </c>
      <c r="N61" s="2623" t="str">
        <f t="shared" ca="1" si="26"/>
        <v/>
      </c>
      <c r="O61" s="2620" t="str">
        <f t="shared" ca="1" si="26"/>
        <v/>
      </c>
      <c r="P61" s="2620" t="str">
        <f t="shared" ca="1" si="26"/>
        <v/>
      </c>
      <c r="Q61" s="2621" t="str">
        <f t="shared" ca="1" si="26"/>
        <v/>
      </c>
      <c r="R61" s="2624" t="str">
        <f t="shared" ca="1" si="26"/>
        <v/>
      </c>
      <c r="S61" s="2620" t="str">
        <f t="shared" ca="1" si="26"/>
        <v/>
      </c>
      <c r="T61" s="2620" t="str">
        <f t="shared" ca="1" si="26"/>
        <v/>
      </c>
      <c r="U61" s="2621" t="str">
        <f t="shared" ca="1" si="25"/>
        <v/>
      </c>
      <c r="V61" s="2624" t="str">
        <f t="shared" ca="1" si="25"/>
        <v/>
      </c>
      <c r="W61" s="2620" t="str">
        <f t="shared" ca="1" si="25"/>
        <v/>
      </c>
      <c r="X61" s="2620" t="str">
        <f t="shared" ca="1" si="25"/>
        <v/>
      </c>
      <c r="Y61" s="2620" t="str">
        <f t="shared" ca="1" si="25"/>
        <v/>
      </c>
      <c r="Z61" s="2620" t="str">
        <f t="shared" ca="1" si="25"/>
        <v/>
      </c>
      <c r="AA61" s="2621" t="str">
        <f t="shared" ca="1" si="25"/>
        <v/>
      </c>
      <c r="AB61" s="2624" t="str">
        <f t="shared" ca="1" si="25"/>
        <v/>
      </c>
      <c r="AC61" s="2620" t="str">
        <f t="shared" ca="1" si="25"/>
        <v/>
      </c>
      <c r="AD61" s="2620" t="str">
        <f t="shared" ca="1" si="25"/>
        <v/>
      </c>
      <c r="AE61" s="2621" t="str">
        <f t="shared" ca="1" si="25"/>
        <v/>
      </c>
      <c r="AF61" s="2624" t="str">
        <f t="shared" ca="1" si="25"/>
        <v/>
      </c>
      <c r="AG61" s="2620" t="str">
        <f t="shared" ca="1" si="25"/>
        <v/>
      </c>
      <c r="AH61" s="2620" t="str">
        <f t="shared" ca="1" si="25"/>
        <v/>
      </c>
      <c r="AI61" s="2621" t="str">
        <f t="shared" ca="1" si="25"/>
        <v/>
      </c>
      <c r="AJ61" s="2624" t="str">
        <f t="shared" ca="1" si="28"/>
        <v/>
      </c>
      <c r="AK61" s="2620" t="str">
        <f t="shared" ca="1" si="28"/>
        <v/>
      </c>
      <c r="AL61" s="2620" t="str">
        <f t="shared" ca="1" si="28"/>
        <v/>
      </c>
      <c r="AM61" s="2620" t="str">
        <f t="shared" ca="1" si="28"/>
        <v/>
      </c>
      <c r="AN61" s="2621" t="str">
        <f t="shared" ca="1" si="28"/>
        <v/>
      </c>
      <c r="AO61" s="2624" t="str">
        <f t="shared" ca="1" si="28"/>
        <v/>
      </c>
      <c r="AP61" s="2620" t="str">
        <f t="shared" ca="1" si="28"/>
        <v/>
      </c>
      <c r="AQ61" s="2620" t="str">
        <f t="shared" ca="1" si="28"/>
        <v/>
      </c>
      <c r="AR61" s="2621" t="str">
        <f t="shared" ca="1" si="28"/>
        <v/>
      </c>
      <c r="AS61" s="2624" t="str">
        <f t="shared" ca="1" si="28"/>
        <v/>
      </c>
      <c r="AT61" s="2620" t="str">
        <f t="shared" ca="1" si="28"/>
        <v/>
      </c>
      <c r="AU61" s="2620" t="str">
        <f t="shared" ca="1" si="28"/>
        <v/>
      </c>
      <c r="AV61" s="2621" t="str">
        <f t="shared" ca="1" si="28"/>
        <v/>
      </c>
      <c r="AW61" s="2624" t="str">
        <f t="shared" ca="1" si="28"/>
        <v/>
      </c>
      <c r="AX61" s="2620" t="str">
        <f t="shared" ca="1" si="28"/>
        <v/>
      </c>
      <c r="AY61" s="2620" t="str">
        <f t="shared" ca="1" si="28"/>
        <v/>
      </c>
      <c r="AZ61" s="2621" t="str">
        <f t="shared" ca="1" si="27"/>
        <v/>
      </c>
      <c r="BA61" s="2620" t="str">
        <f t="shared" ca="1" si="27"/>
        <v/>
      </c>
      <c r="BB61" s="2620" t="str">
        <f t="shared" ca="1" si="27"/>
        <v/>
      </c>
      <c r="BC61" s="2620" t="str">
        <f t="shared" ca="1" si="27"/>
        <v/>
      </c>
      <c r="BD61" s="2621" t="str">
        <f t="shared" ca="1" si="27"/>
        <v/>
      </c>
      <c r="BE61" s="2625"/>
      <c r="BF61" s="2763" t="s">
        <v>843</v>
      </c>
      <c r="BG61" s="2763" t="s">
        <v>845</v>
      </c>
      <c r="BH61" s="2763" t="s">
        <v>847</v>
      </c>
      <c r="BI61" s="2514">
        <f t="shared" si="12"/>
        <v>62459</v>
      </c>
      <c r="BJ61" s="2516">
        <f t="shared" si="13"/>
        <v>51</v>
      </c>
      <c r="BK61" s="2499">
        <f t="shared" si="6"/>
        <v>2071</v>
      </c>
      <c r="BN61" s="2367">
        <f t="shared" si="7"/>
        <v>51</v>
      </c>
      <c r="BO61" s="2500" t="str">
        <f t="shared" si="8"/>
        <v>1/0/2071</v>
      </c>
      <c r="BP61" s="2501">
        <f t="shared" ca="1" si="2"/>
        <v>0</v>
      </c>
      <c r="BQ61" s="2367">
        <v>52</v>
      </c>
      <c r="BR61" s="2502">
        <f t="shared" si="3"/>
        <v>1.1111111111111112E-2</v>
      </c>
      <c r="BS61" s="2503">
        <f t="shared" ca="1" si="9"/>
        <v>0</v>
      </c>
      <c r="BT61"/>
      <c r="CB61" s="2370"/>
    </row>
    <row r="62" spans="1:80" ht="13" customHeight="1" x14ac:dyDescent="0.35">
      <c r="A62" s="2943"/>
      <c r="B62" s="2536">
        <f t="shared" si="24"/>
        <v>2072</v>
      </c>
      <c r="C62" s="2616">
        <f t="shared" si="23"/>
        <v>52</v>
      </c>
      <c r="D62" s="2617" t="str">
        <f ca="1">IF(BS62=0,"",SUM(BS$10:BS62))</f>
        <v/>
      </c>
      <c r="E62" s="2618" t="str">
        <f t="shared" ca="1" si="26"/>
        <v/>
      </c>
      <c r="F62" s="2619" t="str">
        <f t="shared" ca="1" si="26"/>
        <v/>
      </c>
      <c r="G62" s="2620" t="str">
        <f t="shared" ca="1" si="26"/>
        <v/>
      </c>
      <c r="H62" s="2620" t="str">
        <f t="shared" ca="1" si="26"/>
        <v/>
      </c>
      <c r="I62" s="2621" t="str">
        <f t="shared" ca="1" si="26"/>
        <v/>
      </c>
      <c r="J62" s="2622" t="str">
        <f t="shared" ca="1" si="26"/>
        <v/>
      </c>
      <c r="K62" s="2620" t="str">
        <f t="shared" ca="1" si="26"/>
        <v/>
      </c>
      <c r="L62" s="2620" t="str">
        <f t="shared" ca="1" si="26"/>
        <v/>
      </c>
      <c r="M62" s="2621" t="str">
        <f t="shared" ca="1" si="26"/>
        <v/>
      </c>
      <c r="N62" s="2623" t="str">
        <f t="shared" ca="1" si="26"/>
        <v/>
      </c>
      <c r="O62" s="2620" t="str">
        <f t="shared" ca="1" si="26"/>
        <v/>
      </c>
      <c r="P62" s="2620" t="str">
        <f t="shared" ca="1" si="26"/>
        <v/>
      </c>
      <c r="Q62" s="2621" t="str">
        <f t="shared" ca="1" si="26"/>
        <v/>
      </c>
      <c r="R62" s="2624" t="str">
        <f t="shared" ca="1" si="26"/>
        <v/>
      </c>
      <c r="S62" s="2620" t="str">
        <f t="shared" ca="1" si="26"/>
        <v/>
      </c>
      <c r="T62" s="2620" t="str">
        <f t="shared" ca="1" si="26"/>
        <v/>
      </c>
      <c r="U62" s="2621" t="str">
        <f t="shared" ca="1" si="25"/>
        <v/>
      </c>
      <c r="V62" s="2624" t="str">
        <f t="shared" ca="1" si="25"/>
        <v/>
      </c>
      <c r="W62" s="2620" t="str">
        <f t="shared" ca="1" si="25"/>
        <v/>
      </c>
      <c r="X62" s="2620" t="str">
        <f t="shared" ca="1" si="25"/>
        <v/>
      </c>
      <c r="Y62" s="2620" t="str">
        <f t="shared" ca="1" si="25"/>
        <v/>
      </c>
      <c r="Z62" s="2620" t="str">
        <f t="shared" ca="1" si="25"/>
        <v/>
      </c>
      <c r="AA62" s="2621" t="str">
        <f t="shared" ca="1" si="25"/>
        <v/>
      </c>
      <c r="AB62" s="2624" t="str">
        <f t="shared" ca="1" si="25"/>
        <v/>
      </c>
      <c r="AC62" s="2620" t="str">
        <f t="shared" ca="1" si="25"/>
        <v/>
      </c>
      <c r="AD62" s="2620" t="str">
        <f t="shared" ca="1" si="25"/>
        <v/>
      </c>
      <c r="AE62" s="2621" t="str">
        <f t="shared" ca="1" si="25"/>
        <v/>
      </c>
      <c r="AF62" s="2624" t="str">
        <f t="shared" ca="1" si="25"/>
        <v/>
      </c>
      <c r="AG62" s="2620" t="str">
        <f t="shared" ca="1" si="25"/>
        <v/>
      </c>
      <c r="AH62" s="2620" t="str">
        <f t="shared" ca="1" si="25"/>
        <v/>
      </c>
      <c r="AI62" s="2621" t="str">
        <f t="shared" ca="1" si="25"/>
        <v/>
      </c>
      <c r="AJ62" s="2624" t="str">
        <f t="shared" ca="1" si="28"/>
        <v/>
      </c>
      <c r="AK62" s="2620" t="str">
        <f t="shared" ca="1" si="28"/>
        <v/>
      </c>
      <c r="AL62" s="2620" t="str">
        <f t="shared" ca="1" si="28"/>
        <v/>
      </c>
      <c r="AM62" s="2620" t="str">
        <f t="shared" ca="1" si="28"/>
        <v/>
      </c>
      <c r="AN62" s="2621" t="str">
        <f t="shared" ca="1" si="28"/>
        <v/>
      </c>
      <c r="AO62" s="2624" t="str">
        <f t="shared" ca="1" si="28"/>
        <v/>
      </c>
      <c r="AP62" s="2620" t="str">
        <f t="shared" ca="1" si="28"/>
        <v/>
      </c>
      <c r="AQ62" s="2620" t="str">
        <f t="shared" ca="1" si="28"/>
        <v/>
      </c>
      <c r="AR62" s="2621" t="str">
        <f t="shared" ca="1" si="28"/>
        <v/>
      </c>
      <c r="AS62" s="2624" t="str">
        <f t="shared" ca="1" si="28"/>
        <v/>
      </c>
      <c r="AT62" s="2620" t="str">
        <f t="shared" ca="1" si="28"/>
        <v/>
      </c>
      <c r="AU62" s="2620" t="str">
        <f t="shared" ca="1" si="28"/>
        <v/>
      </c>
      <c r="AV62" s="2621" t="str">
        <f t="shared" ca="1" si="28"/>
        <v/>
      </c>
      <c r="AW62" s="2624" t="str">
        <f t="shared" ca="1" si="28"/>
        <v/>
      </c>
      <c r="AX62" s="2620" t="str">
        <f t="shared" ca="1" si="28"/>
        <v/>
      </c>
      <c r="AY62" s="2620" t="str">
        <f t="shared" ca="1" si="28"/>
        <v/>
      </c>
      <c r="AZ62" s="2621" t="str">
        <f t="shared" ca="1" si="27"/>
        <v/>
      </c>
      <c r="BA62" s="2620" t="str">
        <f t="shared" ca="1" si="27"/>
        <v/>
      </c>
      <c r="BB62" s="2620" t="str">
        <f t="shared" ca="1" si="27"/>
        <v/>
      </c>
      <c r="BC62" s="2620" t="str">
        <f t="shared" ca="1" si="27"/>
        <v/>
      </c>
      <c r="BD62" s="2621" t="str">
        <f t="shared" ca="1" si="27"/>
        <v/>
      </c>
      <c r="BE62" s="2625"/>
      <c r="BF62" s="2763" t="s">
        <v>843</v>
      </c>
      <c r="BG62" s="2763" t="s">
        <v>845</v>
      </c>
      <c r="BH62" s="2763" t="s">
        <v>847</v>
      </c>
      <c r="BI62" s="2514">
        <f t="shared" si="12"/>
        <v>62824</v>
      </c>
      <c r="BJ62" s="2516">
        <f t="shared" si="13"/>
        <v>52</v>
      </c>
      <c r="BK62" s="2499">
        <f t="shared" si="6"/>
        <v>2072</v>
      </c>
      <c r="BN62" s="2367">
        <f t="shared" si="7"/>
        <v>52</v>
      </c>
      <c r="BO62" s="2500" t="str">
        <f t="shared" si="8"/>
        <v>1/0/2072</v>
      </c>
      <c r="BP62" s="2501">
        <f t="shared" ca="1" si="2"/>
        <v>0</v>
      </c>
      <c r="BQ62" s="2367">
        <v>52</v>
      </c>
      <c r="BR62" s="2502">
        <f t="shared" si="3"/>
        <v>1.1111111111111112E-2</v>
      </c>
      <c r="BS62" s="2503">
        <f t="shared" ca="1" si="9"/>
        <v>0</v>
      </c>
      <c r="BT62"/>
      <c r="CB62" s="2370"/>
    </row>
    <row r="63" spans="1:80" ht="13" customHeight="1" x14ac:dyDescent="0.35">
      <c r="A63" s="2943"/>
      <c r="B63" s="2536">
        <f t="shared" si="24"/>
        <v>2073</v>
      </c>
      <c r="C63" s="2616">
        <f t="shared" si="23"/>
        <v>53</v>
      </c>
      <c r="D63" s="2617" t="str">
        <f ca="1">IF(BS63=0,"",SUM(BS$10:BS63))</f>
        <v/>
      </c>
      <c r="E63" s="2618" t="str">
        <f t="shared" ca="1" si="26"/>
        <v/>
      </c>
      <c r="F63" s="2619" t="str">
        <f t="shared" ca="1" si="26"/>
        <v/>
      </c>
      <c r="G63" s="2620" t="str">
        <f t="shared" ca="1" si="26"/>
        <v/>
      </c>
      <c r="H63" s="2620" t="str">
        <f t="shared" ca="1" si="26"/>
        <v/>
      </c>
      <c r="I63" s="2621" t="str">
        <f t="shared" ca="1" si="26"/>
        <v/>
      </c>
      <c r="J63" s="2622" t="str">
        <f t="shared" ca="1" si="26"/>
        <v/>
      </c>
      <c r="K63" s="2620" t="str">
        <f t="shared" ca="1" si="26"/>
        <v/>
      </c>
      <c r="L63" s="2620" t="str">
        <f t="shared" ca="1" si="26"/>
        <v/>
      </c>
      <c r="M63" s="2621" t="str">
        <f t="shared" ca="1" si="26"/>
        <v/>
      </c>
      <c r="N63" s="2623" t="str">
        <f t="shared" ca="1" si="26"/>
        <v/>
      </c>
      <c r="O63" s="2620" t="str">
        <f t="shared" ca="1" si="26"/>
        <v/>
      </c>
      <c r="P63" s="2620" t="str">
        <f t="shared" ca="1" si="26"/>
        <v/>
      </c>
      <c r="Q63" s="2621" t="str">
        <f t="shared" ca="1" si="26"/>
        <v/>
      </c>
      <c r="R63" s="2624" t="str">
        <f t="shared" ca="1" si="26"/>
        <v/>
      </c>
      <c r="S63" s="2620" t="str">
        <f t="shared" ca="1" si="26"/>
        <v/>
      </c>
      <c r="T63" s="2620" t="str">
        <f t="shared" ref="T63:AI78" ca="1" si="29">IF(DATE($BK63,T$5,T$6)&lt;=DATE(YEAR($BE$5),MONTH($BE$5),DAY($BE$5)),"X","")</f>
        <v/>
      </c>
      <c r="U63" s="2621" t="str">
        <f t="shared" ca="1" si="29"/>
        <v/>
      </c>
      <c r="V63" s="2624" t="str">
        <f t="shared" ca="1" si="29"/>
        <v/>
      </c>
      <c r="W63" s="2620" t="str">
        <f t="shared" ca="1" si="29"/>
        <v/>
      </c>
      <c r="X63" s="2620" t="str">
        <f t="shared" ca="1" si="29"/>
        <v/>
      </c>
      <c r="Y63" s="2620" t="str">
        <f t="shared" ca="1" si="29"/>
        <v/>
      </c>
      <c r="Z63" s="2620" t="str">
        <f t="shared" ca="1" si="29"/>
        <v/>
      </c>
      <c r="AA63" s="2621" t="str">
        <f t="shared" ca="1" si="29"/>
        <v/>
      </c>
      <c r="AB63" s="2624" t="str">
        <f t="shared" ca="1" si="29"/>
        <v/>
      </c>
      <c r="AC63" s="2620" t="str">
        <f t="shared" ca="1" si="29"/>
        <v/>
      </c>
      <c r="AD63" s="2620" t="str">
        <f t="shared" ca="1" si="29"/>
        <v/>
      </c>
      <c r="AE63" s="2621" t="str">
        <f t="shared" ca="1" si="29"/>
        <v/>
      </c>
      <c r="AF63" s="2624" t="str">
        <f t="shared" ca="1" si="29"/>
        <v/>
      </c>
      <c r="AG63" s="2620" t="str">
        <f t="shared" ca="1" si="29"/>
        <v/>
      </c>
      <c r="AH63" s="2620" t="str">
        <f t="shared" ca="1" si="29"/>
        <v/>
      </c>
      <c r="AI63" s="2621" t="str">
        <f t="shared" ca="1" si="29"/>
        <v/>
      </c>
      <c r="AJ63" s="2624" t="str">
        <f t="shared" ca="1" si="28"/>
        <v/>
      </c>
      <c r="AK63" s="2620" t="str">
        <f t="shared" ca="1" si="28"/>
        <v/>
      </c>
      <c r="AL63" s="2620" t="str">
        <f t="shared" ca="1" si="28"/>
        <v/>
      </c>
      <c r="AM63" s="2620" t="str">
        <f t="shared" ca="1" si="28"/>
        <v/>
      </c>
      <c r="AN63" s="2621" t="str">
        <f t="shared" ca="1" si="28"/>
        <v/>
      </c>
      <c r="AO63" s="2624" t="str">
        <f t="shared" ca="1" si="28"/>
        <v/>
      </c>
      <c r="AP63" s="2620" t="str">
        <f t="shared" ca="1" si="28"/>
        <v/>
      </c>
      <c r="AQ63" s="2620" t="str">
        <f t="shared" ca="1" si="28"/>
        <v/>
      </c>
      <c r="AR63" s="2621" t="str">
        <f t="shared" ca="1" si="28"/>
        <v/>
      </c>
      <c r="AS63" s="2624" t="str">
        <f t="shared" ca="1" si="28"/>
        <v/>
      </c>
      <c r="AT63" s="2620" t="str">
        <f t="shared" ca="1" si="28"/>
        <v/>
      </c>
      <c r="AU63" s="2620" t="str">
        <f t="shared" ca="1" si="28"/>
        <v/>
      </c>
      <c r="AV63" s="2621" t="str">
        <f t="shared" ca="1" si="28"/>
        <v/>
      </c>
      <c r="AW63" s="2624" t="str">
        <f t="shared" ca="1" si="28"/>
        <v/>
      </c>
      <c r="AX63" s="2620" t="str">
        <f t="shared" ca="1" si="28"/>
        <v/>
      </c>
      <c r="AY63" s="2620" t="str">
        <f t="shared" ca="1" si="28"/>
        <v/>
      </c>
      <c r="AZ63" s="2621" t="str">
        <f t="shared" ca="1" si="27"/>
        <v/>
      </c>
      <c r="BA63" s="2620" t="str">
        <f t="shared" ca="1" si="27"/>
        <v/>
      </c>
      <c r="BB63" s="2620" t="str">
        <f t="shared" ca="1" si="27"/>
        <v/>
      </c>
      <c r="BC63" s="2620" t="str">
        <f t="shared" ca="1" si="27"/>
        <v/>
      </c>
      <c r="BD63" s="2621" t="str">
        <f t="shared" ca="1" si="27"/>
        <v/>
      </c>
      <c r="BE63" s="2625"/>
      <c r="BF63" s="2763" t="s">
        <v>848</v>
      </c>
      <c r="BG63" s="2763" t="s">
        <v>845</v>
      </c>
      <c r="BH63" s="2763" t="s">
        <v>847</v>
      </c>
      <c r="BI63" s="2514">
        <f t="shared" si="12"/>
        <v>63190</v>
      </c>
      <c r="BJ63" s="2516">
        <f t="shared" si="13"/>
        <v>53</v>
      </c>
      <c r="BK63" s="2499">
        <f t="shared" si="6"/>
        <v>2073</v>
      </c>
      <c r="BN63" s="2367">
        <f t="shared" si="7"/>
        <v>53</v>
      </c>
      <c r="BO63" s="2500" t="str">
        <f t="shared" si="8"/>
        <v>1/0/2073</v>
      </c>
      <c r="BP63" s="2501">
        <f t="shared" ca="1" si="2"/>
        <v>0</v>
      </c>
      <c r="BQ63" s="2367">
        <v>52</v>
      </c>
      <c r="BR63" s="2502">
        <f t="shared" si="3"/>
        <v>1.1111111111111112E-2</v>
      </c>
      <c r="BS63" s="2503">
        <f t="shared" ca="1" si="9"/>
        <v>0</v>
      </c>
      <c r="BT63"/>
      <c r="CB63" s="2370"/>
    </row>
    <row r="64" spans="1:80" ht="13" customHeight="1" x14ac:dyDescent="0.35">
      <c r="A64" s="2943"/>
      <c r="B64" s="2536">
        <f t="shared" si="24"/>
        <v>2074</v>
      </c>
      <c r="C64" s="2616">
        <f t="shared" si="23"/>
        <v>54</v>
      </c>
      <c r="D64" s="2617" t="str">
        <f ca="1">IF(BS64=0,"",SUM(BS$10:BS64))</f>
        <v/>
      </c>
      <c r="E64" s="2618" t="str">
        <f t="shared" ref="E64:T79" ca="1" si="30">IF(DATE($BK64,E$5,E$6)&lt;=DATE(YEAR($BE$5),MONTH($BE$5),DAY($BE$5)),"X","")</f>
        <v/>
      </c>
      <c r="F64" s="2619" t="str">
        <f t="shared" ca="1" si="30"/>
        <v/>
      </c>
      <c r="G64" s="2620" t="str">
        <f t="shared" ca="1" si="30"/>
        <v/>
      </c>
      <c r="H64" s="2620" t="str">
        <f t="shared" ca="1" si="30"/>
        <v/>
      </c>
      <c r="I64" s="2621" t="str">
        <f t="shared" ca="1" si="30"/>
        <v/>
      </c>
      <c r="J64" s="2622" t="str">
        <f t="shared" ca="1" si="30"/>
        <v/>
      </c>
      <c r="K64" s="2620" t="str">
        <f t="shared" ca="1" si="30"/>
        <v/>
      </c>
      <c r="L64" s="2620" t="str">
        <f t="shared" ca="1" si="30"/>
        <v/>
      </c>
      <c r="M64" s="2621" t="str">
        <f t="shared" ca="1" si="30"/>
        <v/>
      </c>
      <c r="N64" s="2623" t="str">
        <f t="shared" ca="1" si="30"/>
        <v/>
      </c>
      <c r="O64" s="2620" t="str">
        <f t="shared" ca="1" si="30"/>
        <v/>
      </c>
      <c r="P64" s="2620" t="str">
        <f t="shared" ca="1" si="30"/>
        <v/>
      </c>
      <c r="Q64" s="2621" t="str">
        <f t="shared" ca="1" si="30"/>
        <v/>
      </c>
      <c r="R64" s="2624" t="str">
        <f t="shared" ca="1" si="30"/>
        <v/>
      </c>
      <c r="S64" s="2620" t="str">
        <f t="shared" ca="1" si="30"/>
        <v/>
      </c>
      <c r="T64" s="2620" t="str">
        <f t="shared" ca="1" si="30"/>
        <v/>
      </c>
      <c r="U64" s="2621" t="str">
        <f t="shared" ca="1" si="29"/>
        <v/>
      </c>
      <c r="V64" s="2624" t="str">
        <f t="shared" ca="1" si="29"/>
        <v/>
      </c>
      <c r="W64" s="2620" t="str">
        <f t="shared" ca="1" si="29"/>
        <v/>
      </c>
      <c r="X64" s="2620" t="str">
        <f t="shared" ca="1" si="29"/>
        <v/>
      </c>
      <c r="Y64" s="2620" t="str">
        <f t="shared" ca="1" si="29"/>
        <v/>
      </c>
      <c r="Z64" s="2620" t="str">
        <f t="shared" ca="1" si="29"/>
        <v/>
      </c>
      <c r="AA64" s="2621" t="str">
        <f t="shared" ca="1" si="29"/>
        <v/>
      </c>
      <c r="AB64" s="2624" t="str">
        <f t="shared" ca="1" si="29"/>
        <v/>
      </c>
      <c r="AC64" s="2620" t="str">
        <f t="shared" ca="1" si="29"/>
        <v/>
      </c>
      <c r="AD64" s="2620" t="str">
        <f t="shared" ca="1" si="29"/>
        <v/>
      </c>
      <c r="AE64" s="2621" t="str">
        <f t="shared" ca="1" si="29"/>
        <v/>
      </c>
      <c r="AF64" s="2624" t="str">
        <f t="shared" ca="1" si="29"/>
        <v/>
      </c>
      <c r="AG64" s="2620" t="str">
        <f t="shared" ca="1" si="29"/>
        <v/>
      </c>
      <c r="AH64" s="2620" t="str">
        <f t="shared" ca="1" si="29"/>
        <v/>
      </c>
      <c r="AI64" s="2621" t="str">
        <f t="shared" ca="1" si="29"/>
        <v/>
      </c>
      <c r="AJ64" s="2624" t="str">
        <f t="shared" ca="1" si="28"/>
        <v/>
      </c>
      <c r="AK64" s="2620" t="str">
        <f t="shared" ca="1" si="28"/>
        <v/>
      </c>
      <c r="AL64" s="2620" t="str">
        <f t="shared" ca="1" si="28"/>
        <v/>
      </c>
      <c r="AM64" s="2620" t="str">
        <f t="shared" ca="1" si="28"/>
        <v/>
      </c>
      <c r="AN64" s="2621" t="str">
        <f t="shared" ca="1" si="28"/>
        <v/>
      </c>
      <c r="AO64" s="2624" t="str">
        <f t="shared" ca="1" si="28"/>
        <v/>
      </c>
      <c r="AP64" s="2620" t="str">
        <f t="shared" ca="1" si="28"/>
        <v/>
      </c>
      <c r="AQ64" s="2620" t="str">
        <f t="shared" ca="1" si="28"/>
        <v/>
      </c>
      <c r="AR64" s="2621" t="str">
        <f t="shared" ca="1" si="28"/>
        <v/>
      </c>
      <c r="AS64" s="2624" t="str">
        <f t="shared" ca="1" si="28"/>
        <v/>
      </c>
      <c r="AT64" s="2620" t="str">
        <f t="shared" ca="1" si="28"/>
        <v/>
      </c>
      <c r="AU64" s="2620" t="str">
        <f t="shared" ca="1" si="28"/>
        <v/>
      </c>
      <c r="AV64" s="2621" t="str">
        <f t="shared" ca="1" si="28"/>
        <v/>
      </c>
      <c r="AW64" s="2624" t="str">
        <f t="shared" ca="1" si="28"/>
        <v/>
      </c>
      <c r="AX64" s="2620" t="str">
        <f t="shared" ca="1" si="28"/>
        <v/>
      </c>
      <c r="AY64" s="2620" t="str">
        <f t="shared" ca="1" si="28"/>
        <v/>
      </c>
      <c r="AZ64" s="2621" t="str">
        <f t="shared" ca="1" si="27"/>
        <v/>
      </c>
      <c r="BA64" s="2620" t="str">
        <f t="shared" ca="1" si="27"/>
        <v/>
      </c>
      <c r="BB64" s="2620" t="str">
        <f t="shared" ca="1" si="27"/>
        <v/>
      </c>
      <c r="BC64" s="2620" t="str">
        <f t="shared" ca="1" si="27"/>
        <v/>
      </c>
      <c r="BD64" s="2621" t="str">
        <f t="shared" ca="1" si="27"/>
        <v/>
      </c>
      <c r="BE64" s="2625"/>
      <c r="BF64" s="2763" t="s">
        <v>848</v>
      </c>
      <c r="BG64" s="2763" t="s">
        <v>845</v>
      </c>
      <c r="BH64" s="2763" t="s">
        <v>847</v>
      </c>
      <c r="BI64" s="2514">
        <f t="shared" si="12"/>
        <v>63555</v>
      </c>
      <c r="BJ64" s="2516">
        <f t="shared" si="13"/>
        <v>54</v>
      </c>
      <c r="BK64" s="2499">
        <f t="shared" si="6"/>
        <v>2074</v>
      </c>
      <c r="BN64" s="2367">
        <f t="shared" si="7"/>
        <v>54</v>
      </c>
      <c r="BO64" s="2500" t="str">
        <f t="shared" si="8"/>
        <v>1/0/2074</v>
      </c>
      <c r="BP64" s="2501">
        <f t="shared" ca="1" si="2"/>
        <v>0</v>
      </c>
      <c r="BQ64" s="2367">
        <v>52</v>
      </c>
      <c r="BR64" s="2502">
        <f t="shared" si="3"/>
        <v>1.1111111111111112E-2</v>
      </c>
      <c r="BS64" s="2503">
        <f t="shared" ca="1" si="9"/>
        <v>0</v>
      </c>
      <c r="BT64"/>
      <c r="CB64" s="2370"/>
    </row>
    <row r="65" spans="1:80" ht="13" customHeight="1" x14ac:dyDescent="0.35">
      <c r="A65" s="2943"/>
      <c r="B65" s="2536">
        <f t="shared" si="24"/>
        <v>2075</v>
      </c>
      <c r="C65" s="2616">
        <f t="shared" si="23"/>
        <v>55</v>
      </c>
      <c r="D65" s="2617" t="str">
        <f ca="1">IF(BS65=0,"",SUM(BS$10:BS65))</f>
        <v/>
      </c>
      <c r="E65" s="2618" t="str">
        <f t="shared" ca="1" si="30"/>
        <v/>
      </c>
      <c r="F65" s="2619" t="str">
        <f t="shared" ca="1" si="30"/>
        <v/>
      </c>
      <c r="G65" s="2620" t="str">
        <f t="shared" ca="1" si="30"/>
        <v/>
      </c>
      <c r="H65" s="2620" t="str">
        <f t="shared" ca="1" si="30"/>
        <v/>
      </c>
      <c r="I65" s="2621" t="str">
        <f t="shared" ca="1" si="30"/>
        <v/>
      </c>
      <c r="J65" s="2622" t="str">
        <f t="shared" ca="1" si="30"/>
        <v/>
      </c>
      <c r="K65" s="2620" t="str">
        <f t="shared" ca="1" si="30"/>
        <v/>
      </c>
      <c r="L65" s="2620" t="str">
        <f t="shared" ca="1" si="30"/>
        <v/>
      </c>
      <c r="M65" s="2621" t="str">
        <f t="shared" ca="1" si="30"/>
        <v/>
      </c>
      <c r="N65" s="2623" t="str">
        <f t="shared" ca="1" si="30"/>
        <v/>
      </c>
      <c r="O65" s="2620" t="str">
        <f t="shared" ca="1" si="30"/>
        <v/>
      </c>
      <c r="P65" s="2620" t="str">
        <f t="shared" ca="1" si="30"/>
        <v/>
      </c>
      <c r="Q65" s="2621" t="str">
        <f t="shared" ca="1" si="30"/>
        <v/>
      </c>
      <c r="R65" s="2624" t="str">
        <f t="shared" ca="1" si="30"/>
        <v/>
      </c>
      <c r="S65" s="2620" t="str">
        <f t="shared" ca="1" si="30"/>
        <v/>
      </c>
      <c r="T65" s="2620" t="str">
        <f t="shared" ca="1" si="30"/>
        <v/>
      </c>
      <c r="U65" s="2621" t="str">
        <f t="shared" ca="1" si="29"/>
        <v/>
      </c>
      <c r="V65" s="2624" t="str">
        <f t="shared" ca="1" si="29"/>
        <v/>
      </c>
      <c r="W65" s="2620" t="str">
        <f t="shared" ca="1" si="29"/>
        <v/>
      </c>
      <c r="X65" s="2620" t="str">
        <f t="shared" ca="1" si="29"/>
        <v/>
      </c>
      <c r="Y65" s="2620" t="str">
        <f t="shared" ca="1" si="29"/>
        <v/>
      </c>
      <c r="Z65" s="2620" t="str">
        <f t="shared" ca="1" si="29"/>
        <v/>
      </c>
      <c r="AA65" s="2621" t="str">
        <f t="shared" ca="1" si="29"/>
        <v/>
      </c>
      <c r="AB65" s="2624" t="str">
        <f t="shared" ca="1" si="29"/>
        <v/>
      </c>
      <c r="AC65" s="2620" t="str">
        <f t="shared" ca="1" si="29"/>
        <v/>
      </c>
      <c r="AD65" s="2620" t="str">
        <f t="shared" ca="1" si="29"/>
        <v/>
      </c>
      <c r="AE65" s="2621" t="str">
        <f t="shared" ca="1" si="29"/>
        <v/>
      </c>
      <c r="AF65" s="2624" t="str">
        <f t="shared" ca="1" si="29"/>
        <v/>
      </c>
      <c r="AG65" s="2620" t="str">
        <f t="shared" ca="1" si="29"/>
        <v/>
      </c>
      <c r="AH65" s="2620" t="str">
        <f t="shared" ca="1" si="29"/>
        <v/>
      </c>
      <c r="AI65" s="2621" t="str">
        <f t="shared" ca="1" si="29"/>
        <v/>
      </c>
      <c r="AJ65" s="2624" t="str">
        <f t="shared" ca="1" si="28"/>
        <v/>
      </c>
      <c r="AK65" s="2620" t="str">
        <f t="shared" ca="1" si="28"/>
        <v/>
      </c>
      <c r="AL65" s="2620" t="str">
        <f t="shared" ca="1" si="28"/>
        <v/>
      </c>
      <c r="AM65" s="2620" t="str">
        <f t="shared" ca="1" si="28"/>
        <v/>
      </c>
      <c r="AN65" s="2621" t="str">
        <f t="shared" ca="1" si="28"/>
        <v/>
      </c>
      <c r="AO65" s="2624" t="str">
        <f t="shared" ca="1" si="28"/>
        <v/>
      </c>
      <c r="AP65" s="2620" t="str">
        <f t="shared" ca="1" si="28"/>
        <v/>
      </c>
      <c r="AQ65" s="2620" t="str">
        <f t="shared" ca="1" si="28"/>
        <v/>
      </c>
      <c r="AR65" s="2621" t="str">
        <f t="shared" ca="1" si="28"/>
        <v/>
      </c>
      <c r="AS65" s="2624" t="str">
        <f t="shared" ca="1" si="28"/>
        <v/>
      </c>
      <c r="AT65" s="2620" t="str">
        <f t="shared" ca="1" si="28"/>
        <v/>
      </c>
      <c r="AU65" s="2620" t="str">
        <f t="shared" ca="1" si="28"/>
        <v/>
      </c>
      <c r="AV65" s="2621" t="str">
        <f t="shared" ca="1" si="28"/>
        <v/>
      </c>
      <c r="AW65" s="2624" t="str">
        <f t="shared" ca="1" si="28"/>
        <v/>
      </c>
      <c r="AX65" s="2620" t="str">
        <f t="shared" ca="1" si="28"/>
        <v/>
      </c>
      <c r="AY65" s="2620" t="str">
        <f t="shared" ca="1" si="28"/>
        <v/>
      </c>
      <c r="AZ65" s="2621" t="str">
        <f t="shared" ca="1" si="27"/>
        <v/>
      </c>
      <c r="BA65" s="2620" t="str">
        <f t="shared" ca="1" si="27"/>
        <v/>
      </c>
      <c r="BB65" s="2620" t="str">
        <f t="shared" ca="1" si="27"/>
        <v/>
      </c>
      <c r="BC65" s="2620" t="str">
        <f t="shared" ca="1" si="27"/>
        <v/>
      </c>
      <c r="BD65" s="2621" t="str">
        <f t="shared" ca="1" si="27"/>
        <v/>
      </c>
      <c r="BE65" s="2625"/>
      <c r="BF65" s="2763" t="s">
        <v>849</v>
      </c>
      <c r="BG65" s="2763" t="s">
        <v>845</v>
      </c>
      <c r="BH65" s="2763" t="s">
        <v>847</v>
      </c>
      <c r="BI65" s="2514">
        <f t="shared" si="12"/>
        <v>63920</v>
      </c>
      <c r="BJ65" s="2516">
        <f t="shared" si="13"/>
        <v>55</v>
      </c>
      <c r="BK65" s="2499">
        <f t="shared" si="6"/>
        <v>2075</v>
      </c>
      <c r="BN65" s="2367">
        <f t="shared" si="7"/>
        <v>55</v>
      </c>
      <c r="BO65" s="2500" t="str">
        <f t="shared" si="8"/>
        <v>1/0/2075</v>
      </c>
      <c r="BP65" s="2501">
        <f t="shared" ca="1" si="2"/>
        <v>0</v>
      </c>
      <c r="BQ65" s="2367">
        <v>52</v>
      </c>
      <c r="BR65" s="2502">
        <f t="shared" si="3"/>
        <v>1.1111111111111112E-2</v>
      </c>
      <c r="BS65" s="2503">
        <f t="shared" ca="1" si="9"/>
        <v>0</v>
      </c>
      <c r="BT65"/>
      <c r="CB65" s="2370"/>
    </row>
    <row r="66" spans="1:80" ht="13" customHeight="1" x14ac:dyDescent="0.35">
      <c r="A66" s="2943"/>
      <c r="B66" s="2536">
        <f t="shared" si="24"/>
        <v>2076</v>
      </c>
      <c r="C66" s="2616">
        <f t="shared" si="23"/>
        <v>56</v>
      </c>
      <c r="D66" s="2617" t="str">
        <f ca="1">IF(BS66=0,"",SUM(BS$10:BS66))</f>
        <v/>
      </c>
      <c r="E66" s="2618" t="str">
        <f t="shared" ca="1" si="30"/>
        <v/>
      </c>
      <c r="F66" s="2619" t="str">
        <f t="shared" ca="1" si="30"/>
        <v/>
      </c>
      <c r="G66" s="2620" t="str">
        <f t="shared" ca="1" si="30"/>
        <v/>
      </c>
      <c r="H66" s="2620" t="str">
        <f t="shared" ca="1" si="30"/>
        <v/>
      </c>
      <c r="I66" s="2621" t="str">
        <f t="shared" ca="1" si="30"/>
        <v/>
      </c>
      <c r="J66" s="2622" t="str">
        <f t="shared" ca="1" si="30"/>
        <v/>
      </c>
      <c r="K66" s="2620" t="str">
        <f t="shared" ca="1" si="30"/>
        <v/>
      </c>
      <c r="L66" s="2620" t="str">
        <f t="shared" ca="1" si="30"/>
        <v/>
      </c>
      <c r="M66" s="2621" t="str">
        <f t="shared" ca="1" si="30"/>
        <v/>
      </c>
      <c r="N66" s="2623" t="str">
        <f t="shared" ca="1" si="30"/>
        <v/>
      </c>
      <c r="O66" s="2620" t="str">
        <f t="shared" ca="1" si="30"/>
        <v/>
      </c>
      <c r="P66" s="2620" t="str">
        <f t="shared" ca="1" si="30"/>
        <v/>
      </c>
      <c r="Q66" s="2621" t="str">
        <f t="shared" ca="1" si="30"/>
        <v/>
      </c>
      <c r="R66" s="2624" t="str">
        <f t="shared" ca="1" si="30"/>
        <v/>
      </c>
      <c r="S66" s="2620" t="str">
        <f t="shared" ca="1" si="30"/>
        <v/>
      </c>
      <c r="T66" s="2620" t="str">
        <f t="shared" ca="1" si="30"/>
        <v/>
      </c>
      <c r="U66" s="2621" t="str">
        <f t="shared" ca="1" si="29"/>
        <v/>
      </c>
      <c r="V66" s="2624" t="str">
        <f t="shared" ca="1" si="29"/>
        <v/>
      </c>
      <c r="W66" s="2620" t="str">
        <f t="shared" ca="1" si="29"/>
        <v/>
      </c>
      <c r="X66" s="2620" t="str">
        <f t="shared" ca="1" si="29"/>
        <v/>
      </c>
      <c r="Y66" s="2620" t="str">
        <f t="shared" ca="1" si="29"/>
        <v/>
      </c>
      <c r="Z66" s="2620" t="str">
        <f t="shared" ca="1" si="29"/>
        <v/>
      </c>
      <c r="AA66" s="2621" t="str">
        <f t="shared" ca="1" si="29"/>
        <v/>
      </c>
      <c r="AB66" s="2624" t="str">
        <f t="shared" ca="1" si="29"/>
        <v/>
      </c>
      <c r="AC66" s="2620" t="str">
        <f t="shared" ca="1" si="29"/>
        <v/>
      </c>
      <c r="AD66" s="2620" t="str">
        <f t="shared" ca="1" si="29"/>
        <v/>
      </c>
      <c r="AE66" s="2621" t="str">
        <f t="shared" ca="1" si="29"/>
        <v/>
      </c>
      <c r="AF66" s="2624" t="str">
        <f t="shared" ca="1" si="29"/>
        <v/>
      </c>
      <c r="AG66" s="2620" t="str">
        <f t="shared" ca="1" si="29"/>
        <v/>
      </c>
      <c r="AH66" s="2620" t="str">
        <f t="shared" ca="1" si="29"/>
        <v/>
      </c>
      <c r="AI66" s="2621" t="str">
        <f t="shared" ca="1" si="29"/>
        <v/>
      </c>
      <c r="AJ66" s="2624" t="str">
        <f t="shared" ca="1" si="28"/>
        <v/>
      </c>
      <c r="AK66" s="2620" t="str">
        <f t="shared" ca="1" si="28"/>
        <v/>
      </c>
      <c r="AL66" s="2620" t="str">
        <f t="shared" ca="1" si="28"/>
        <v/>
      </c>
      <c r="AM66" s="2620" t="str">
        <f t="shared" ca="1" si="28"/>
        <v/>
      </c>
      <c r="AN66" s="2621" t="str">
        <f t="shared" ca="1" si="28"/>
        <v/>
      </c>
      <c r="AO66" s="2624" t="str">
        <f t="shared" ca="1" si="28"/>
        <v/>
      </c>
      <c r="AP66" s="2620" t="str">
        <f t="shared" ca="1" si="28"/>
        <v/>
      </c>
      <c r="AQ66" s="2620" t="str">
        <f t="shared" ca="1" si="28"/>
        <v/>
      </c>
      <c r="AR66" s="2621" t="str">
        <f t="shared" ca="1" si="28"/>
        <v/>
      </c>
      <c r="AS66" s="2624" t="str">
        <f t="shared" ca="1" si="28"/>
        <v/>
      </c>
      <c r="AT66" s="2620" t="str">
        <f t="shared" ca="1" si="28"/>
        <v/>
      </c>
      <c r="AU66" s="2620" t="str">
        <f t="shared" ca="1" si="28"/>
        <v/>
      </c>
      <c r="AV66" s="2621" t="str">
        <f t="shared" ca="1" si="28"/>
        <v/>
      </c>
      <c r="AW66" s="2624" t="str">
        <f t="shared" ca="1" si="28"/>
        <v/>
      </c>
      <c r="AX66" s="2620" t="str">
        <f t="shared" ca="1" si="28"/>
        <v/>
      </c>
      <c r="AY66" s="2620" t="str">
        <f t="shared" ref="AY66:BD81" ca="1" si="31">IF(DATE($BK66,AY$5,AY$6)&lt;=DATE(YEAR($BE$5),MONTH($BE$5),DAY($BE$5)),"X","")</f>
        <v/>
      </c>
      <c r="AZ66" s="2621" t="str">
        <f t="shared" ca="1" si="31"/>
        <v/>
      </c>
      <c r="BA66" s="2620" t="str">
        <f t="shared" ca="1" si="31"/>
        <v/>
      </c>
      <c r="BB66" s="2620" t="str">
        <f t="shared" ca="1" si="31"/>
        <v/>
      </c>
      <c r="BC66" s="2620" t="str">
        <f t="shared" ca="1" si="31"/>
        <v/>
      </c>
      <c r="BD66" s="2621" t="str">
        <f t="shared" ca="1" si="31"/>
        <v/>
      </c>
      <c r="BE66" s="2625"/>
      <c r="BF66" s="2763" t="s">
        <v>849</v>
      </c>
      <c r="BG66" s="2763" t="s">
        <v>845</v>
      </c>
      <c r="BH66" s="2763" t="s">
        <v>847</v>
      </c>
      <c r="BI66" s="2514">
        <f t="shared" si="12"/>
        <v>64285</v>
      </c>
      <c r="BJ66" s="2516">
        <f t="shared" si="13"/>
        <v>56</v>
      </c>
      <c r="BK66" s="2499">
        <f t="shared" si="6"/>
        <v>2076</v>
      </c>
      <c r="BN66" s="2367">
        <f t="shared" si="7"/>
        <v>56</v>
      </c>
      <c r="BO66" s="2500" t="str">
        <f t="shared" si="8"/>
        <v>1/0/2076</v>
      </c>
      <c r="BP66" s="2501">
        <f t="shared" ca="1" si="2"/>
        <v>0</v>
      </c>
      <c r="BQ66" s="2367">
        <v>52</v>
      </c>
      <c r="BR66" s="2502">
        <f t="shared" si="3"/>
        <v>1.1111111111111112E-2</v>
      </c>
      <c r="BS66" s="2503">
        <f t="shared" ca="1" si="9"/>
        <v>0</v>
      </c>
      <c r="BT66"/>
      <c r="CB66" s="2370"/>
    </row>
    <row r="67" spans="1:80" ht="13" customHeight="1" x14ac:dyDescent="0.35">
      <c r="A67" s="2943"/>
      <c r="B67" s="2536">
        <f t="shared" si="24"/>
        <v>2077</v>
      </c>
      <c r="C67" s="2616">
        <f t="shared" si="23"/>
        <v>57</v>
      </c>
      <c r="D67" s="2617" t="str">
        <f ca="1">IF(BS67=0,"",SUM(BS$10:BS67))</f>
        <v/>
      </c>
      <c r="E67" s="2618" t="str">
        <f t="shared" ca="1" si="30"/>
        <v/>
      </c>
      <c r="F67" s="2619" t="str">
        <f t="shared" ca="1" si="30"/>
        <v/>
      </c>
      <c r="G67" s="2620" t="str">
        <f t="shared" ca="1" si="30"/>
        <v/>
      </c>
      <c r="H67" s="2620" t="str">
        <f t="shared" ca="1" si="30"/>
        <v/>
      </c>
      <c r="I67" s="2621" t="str">
        <f t="shared" ca="1" si="30"/>
        <v/>
      </c>
      <c r="J67" s="2622" t="str">
        <f t="shared" ca="1" si="30"/>
        <v/>
      </c>
      <c r="K67" s="2620" t="str">
        <f t="shared" ca="1" si="30"/>
        <v/>
      </c>
      <c r="L67" s="2620" t="str">
        <f t="shared" ca="1" si="30"/>
        <v/>
      </c>
      <c r="M67" s="2621" t="str">
        <f t="shared" ca="1" si="30"/>
        <v/>
      </c>
      <c r="N67" s="2623" t="str">
        <f t="shared" ca="1" si="30"/>
        <v/>
      </c>
      <c r="O67" s="2620" t="str">
        <f t="shared" ca="1" si="30"/>
        <v/>
      </c>
      <c r="P67" s="2620" t="str">
        <f t="shared" ca="1" si="30"/>
        <v/>
      </c>
      <c r="Q67" s="2621" t="str">
        <f t="shared" ca="1" si="30"/>
        <v/>
      </c>
      <c r="R67" s="2624" t="str">
        <f t="shared" ca="1" si="30"/>
        <v/>
      </c>
      <c r="S67" s="2620" t="str">
        <f t="shared" ca="1" si="30"/>
        <v/>
      </c>
      <c r="T67" s="2620" t="str">
        <f t="shared" ca="1" si="30"/>
        <v/>
      </c>
      <c r="U67" s="2621" t="str">
        <f t="shared" ca="1" si="29"/>
        <v/>
      </c>
      <c r="V67" s="2624" t="str">
        <f t="shared" ca="1" si="29"/>
        <v/>
      </c>
      <c r="W67" s="2620" t="str">
        <f t="shared" ca="1" si="29"/>
        <v/>
      </c>
      <c r="X67" s="2620" t="str">
        <f t="shared" ca="1" si="29"/>
        <v/>
      </c>
      <c r="Y67" s="2620" t="str">
        <f t="shared" ca="1" si="29"/>
        <v/>
      </c>
      <c r="Z67" s="2620" t="str">
        <f t="shared" ca="1" si="29"/>
        <v/>
      </c>
      <c r="AA67" s="2621" t="str">
        <f t="shared" ca="1" si="29"/>
        <v/>
      </c>
      <c r="AB67" s="2624" t="str">
        <f t="shared" ca="1" si="29"/>
        <v/>
      </c>
      <c r="AC67" s="2620" t="str">
        <f t="shared" ca="1" si="29"/>
        <v/>
      </c>
      <c r="AD67" s="2620" t="str">
        <f t="shared" ca="1" si="29"/>
        <v/>
      </c>
      <c r="AE67" s="2621" t="str">
        <f t="shared" ca="1" si="29"/>
        <v/>
      </c>
      <c r="AF67" s="2624" t="str">
        <f t="shared" ca="1" si="29"/>
        <v/>
      </c>
      <c r="AG67" s="2620" t="str">
        <f t="shared" ca="1" si="29"/>
        <v/>
      </c>
      <c r="AH67" s="2620" t="str">
        <f t="shared" ca="1" si="29"/>
        <v/>
      </c>
      <c r="AI67" s="2621" t="str">
        <f t="shared" ca="1" si="29"/>
        <v/>
      </c>
      <c r="AJ67" s="2624" t="str">
        <f t="shared" ref="AJ67:AY82" ca="1" si="32">IF(DATE($BK67,AJ$5,AJ$6)&lt;=DATE(YEAR($BE$5),MONTH($BE$5),DAY($BE$5)),"X","")</f>
        <v/>
      </c>
      <c r="AK67" s="2620" t="str">
        <f t="shared" ca="1" si="32"/>
        <v/>
      </c>
      <c r="AL67" s="2620" t="str">
        <f t="shared" ca="1" si="32"/>
        <v/>
      </c>
      <c r="AM67" s="2620" t="str">
        <f t="shared" ca="1" si="32"/>
        <v/>
      </c>
      <c r="AN67" s="2621" t="str">
        <f t="shared" ca="1" si="32"/>
        <v/>
      </c>
      <c r="AO67" s="2624" t="str">
        <f t="shared" ca="1" si="32"/>
        <v/>
      </c>
      <c r="AP67" s="2620" t="str">
        <f t="shared" ca="1" si="32"/>
        <v/>
      </c>
      <c r="AQ67" s="2620" t="str">
        <f t="shared" ca="1" si="32"/>
        <v/>
      </c>
      <c r="AR67" s="2621" t="str">
        <f t="shared" ca="1" si="32"/>
        <v/>
      </c>
      <c r="AS67" s="2624" t="str">
        <f t="shared" ca="1" si="32"/>
        <v/>
      </c>
      <c r="AT67" s="2620" t="str">
        <f t="shared" ca="1" si="32"/>
        <v/>
      </c>
      <c r="AU67" s="2620" t="str">
        <f t="shared" ca="1" si="32"/>
        <v/>
      </c>
      <c r="AV67" s="2621" t="str">
        <f t="shared" ca="1" si="32"/>
        <v/>
      </c>
      <c r="AW67" s="2624" t="str">
        <f t="shared" ca="1" si="32"/>
        <v/>
      </c>
      <c r="AX67" s="2620" t="str">
        <f t="shared" ca="1" si="32"/>
        <v/>
      </c>
      <c r="AY67" s="2620" t="str">
        <f t="shared" ca="1" si="32"/>
        <v/>
      </c>
      <c r="AZ67" s="2621" t="str">
        <f t="shared" ca="1" si="31"/>
        <v/>
      </c>
      <c r="BA67" s="2620" t="str">
        <f t="shared" ca="1" si="31"/>
        <v/>
      </c>
      <c r="BB67" s="2620" t="str">
        <f t="shared" ca="1" si="31"/>
        <v/>
      </c>
      <c r="BC67" s="2620" t="str">
        <f t="shared" ca="1" si="31"/>
        <v/>
      </c>
      <c r="BD67" s="2621" t="str">
        <f t="shared" ca="1" si="31"/>
        <v/>
      </c>
      <c r="BE67" s="2625"/>
      <c r="BF67" s="2763" t="s">
        <v>849</v>
      </c>
      <c r="BG67" s="2763" t="s">
        <v>845</v>
      </c>
      <c r="BH67" s="2763" t="s">
        <v>850</v>
      </c>
      <c r="BI67" s="2514">
        <f t="shared" si="12"/>
        <v>64651</v>
      </c>
      <c r="BJ67" s="2516">
        <f t="shared" si="13"/>
        <v>57</v>
      </c>
      <c r="BK67" s="2499">
        <f t="shared" si="6"/>
        <v>2077</v>
      </c>
      <c r="BN67" s="2367">
        <f t="shared" si="7"/>
        <v>57</v>
      </c>
      <c r="BO67" s="2500" t="str">
        <f t="shared" si="8"/>
        <v>1/0/2077</v>
      </c>
      <c r="BP67" s="2501">
        <f t="shared" ca="1" si="2"/>
        <v>0</v>
      </c>
      <c r="BQ67" s="2367">
        <v>52</v>
      </c>
      <c r="BR67" s="2502">
        <f t="shared" si="3"/>
        <v>1.1111111111111112E-2</v>
      </c>
      <c r="BS67" s="2503">
        <f t="shared" ca="1" si="9"/>
        <v>0</v>
      </c>
      <c r="BT67"/>
      <c r="CB67" s="2370"/>
    </row>
    <row r="68" spans="1:80" ht="13" customHeight="1" x14ac:dyDescent="0.35">
      <c r="A68" s="2943"/>
      <c r="B68" s="2536">
        <f t="shared" si="24"/>
        <v>2078</v>
      </c>
      <c r="C68" s="2616">
        <f t="shared" si="23"/>
        <v>58</v>
      </c>
      <c r="D68" s="2617" t="str">
        <f ca="1">IF(BS68=0,"",SUM(BS$10:BS68))</f>
        <v/>
      </c>
      <c r="E68" s="2618" t="str">
        <f t="shared" ca="1" si="30"/>
        <v/>
      </c>
      <c r="F68" s="2619" t="str">
        <f t="shared" ca="1" si="30"/>
        <v/>
      </c>
      <c r="G68" s="2620" t="str">
        <f t="shared" ca="1" si="30"/>
        <v/>
      </c>
      <c r="H68" s="2620" t="str">
        <f t="shared" ca="1" si="30"/>
        <v/>
      </c>
      <c r="I68" s="2621" t="str">
        <f t="shared" ca="1" si="30"/>
        <v/>
      </c>
      <c r="J68" s="2622" t="str">
        <f t="shared" ca="1" si="30"/>
        <v/>
      </c>
      <c r="K68" s="2620" t="str">
        <f t="shared" ca="1" si="30"/>
        <v/>
      </c>
      <c r="L68" s="2620" t="str">
        <f t="shared" ca="1" si="30"/>
        <v/>
      </c>
      <c r="M68" s="2621" t="str">
        <f t="shared" ca="1" si="30"/>
        <v/>
      </c>
      <c r="N68" s="2623" t="str">
        <f t="shared" ca="1" si="30"/>
        <v/>
      </c>
      <c r="O68" s="2620" t="str">
        <f t="shared" ca="1" si="30"/>
        <v/>
      </c>
      <c r="P68" s="2620" t="str">
        <f t="shared" ca="1" si="30"/>
        <v/>
      </c>
      <c r="Q68" s="2621" t="str">
        <f t="shared" ca="1" si="30"/>
        <v/>
      </c>
      <c r="R68" s="2624" t="str">
        <f t="shared" ca="1" si="30"/>
        <v/>
      </c>
      <c r="S68" s="2620" t="str">
        <f t="shared" ca="1" si="30"/>
        <v/>
      </c>
      <c r="T68" s="2620" t="str">
        <f t="shared" ca="1" si="30"/>
        <v/>
      </c>
      <c r="U68" s="2621" t="str">
        <f t="shared" ca="1" si="29"/>
        <v/>
      </c>
      <c r="V68" s="2624" t="str">
        <f t="shared" ca="1" si="29"/>
        <v/>
      </c>
      <c r="W68" s="2620" t="str">
        <f t="shared" ca="1" si="29"/>
        <v/>
      </c>
      <c r="X68" s="2620" t="str">
        <f t="shared" ca="1" si="29"/>
        <v/>
      </c>
      <c r="Y68" s="2620" t="str">
        <f t="shared" ca="1" si="29"/>
        <v/>
      </c>
      <c r="Z68" s="2620" t="str">
        <f t="shared" ca="1" si="29"/>
        <v/>
      </c>
      <c r="AA68" s="2621" t="str">
        <f t="shared" ca="1" si="29"/>
        <v/>
      </c>
      <c r="AB68" s="2624" t="str">
        <f t="shared" ca="1" si="29"/>
        <v/>
      </c>
      <c r="AC68" s="2620" t="str">
        <f t="shared" ca="1" si="29"/>
        <v/>
      </c>
      <c r="AD68" s="2620" t="str">
        <f t="shared" ca="1" si="29"/>
        <v/>
      </c>
      <c r="AE68" s="2621" t="str">
        <f t="shared" ca="1" si="29"/>
        <v/>
      </c>
      <c r="AF68" s="2624" t="str">
        <f t="shared" ca="1" si="29"/>
        <v/>
      </c>
      <c r="AG68" s="2620" t="str">
        <f t="shared" ca="1" si="29"/>
        <v/>
      </c>
      <c r="AH68" s="2620" t="str">
        <f t="shared" ca="1" si="29"/>
        <v/>
      </c>
      <c r="AI68" s="2621" t="str">
        <f t="shared" ca="1" si="29"/>
        <v/>
      </c>
      <c r="AJ68" s="2624" t="str">
        <f t="shared" ca="1" si="32"/>
        <v/>
      </c>
      <c r="AK68" s="2620" t="str">
        <f t="shared" ca="1" si="32"/>
        <v/>
      </c>
      <c r="AL68" s="2620" t="str">
        <f t="shared" ca="1" si="32"/>
        <v/>
      </c>
      <c r="AM68" s="2620" t="str">
        <f t="shared" ca="1" si="32"/>
        <v/>
      </c>
      <c r="AN68" s="2621" t="str">
        <f t="shared" ca="1" si="32"/>
        <v/>
      </c>
      <c r="AO68" s="2624" t="str">
        <f t="shared" ca="1" si="32"/>
        <v/>
      </c>
      <c r="AP68" s="2620" t="str">
        <f t="shared" ca="1" si="32"/>
        <v/>
      </c>
      <c r="AQ68" s="2620" t="str">
        <f t="shared" ca="1" si="32"/>
        <v/>
      </c>
      <c r="AR68" s="2621" t="str">
        <f t="shared" ca="1" si="32"/>
        <v/>
      </c>
      <c r="AS68" s="2624" t="str">
        <f t="shared" ca="1" si="32"/>
        <v/>
      </c>
      <c r="AT68" s="2620" t="str">
        <f t="shared" ca="1" si="32"/>
        <v/>
      </c>
      <c r="AU68" s="2620" t="str">
        <f t="shared" ca="1" si="32"/>
        <v/>
      </c>
      <c r="AV68" s="2621" t="str">
        <f t="shared" ca="1" si="32"/>
        <v/>
      </c>
      <c r="AW68" s="2624" t="str">
        <f t="shared" ca="1" si="32"/>
        <v/>
      </c>
      <c r="AX68" s="2620" t="str">
        <f t="shared" ca="1" si="32"/>
        <v/>
      </c>
      <c r="AY68" s="2620" t="str">
        <f t="shared" ca="1" si="32"/>
        <v/>
      </c>
      <c r="AZ68" s="2621" t="str">
        <f t="shared" ca="1" si="31"/>
        <v/>
      </c>
      <c r="BA68" s="2620" t="str">
        <f t="shared" ca="1" si="31"/>
        <v/>
      </c>
      <c r="BB68" s="2620" t="str">
        <f t="shared" ca="1" si="31"/>
        <v/>
      </c>
      <c r="BC68" s="2620" t="str">
        <f t="shared" ca="1" si="31"/>
        <v/>
      </c>
      <c r="BD68" s="2621" t="str">
        <f t="shared" ca="1" si="31"/>
        <v/>
      </c>
      <c r="BE68" s="2625"/>
      <c r="BF68" s="2763" t="s">
        <v>849</v>
      </c>
      <c r="BG68" s="2763" t="s">
        <v>845</v>
      </c>
      <c r="BH68" s="2763" t="s">
        <v>851</v>
      </c>
      <c r="BI68" s="2514">
        <f t="shared" si="12"/>
        <v>65016</v>
      </c>
      <c r="BJ68" s="2516">
        <f t="shared" si="13"/>
        <v>58</v>
      </c>
      <c r="BK68" s="2499">
        <f t="shared" si="6"/>
        <v>2078</v>
      </c>
      <c r="BN68" s="2367">
        <f t="shared" si="7"/>
        <v>58</v>
      </c>
      <c r="BO68" s="2500" t="str">
        <f t="shared" si="8"/>
        <v>1/0/2078</v>
      </c>
      <c r="BP68" s="2501">
        <f t="shared" ca="1" si="2"/>
        <v>0</v>
      </c>
      <c r="BQ68" s="2367">
        <v>52</v>
      </c>
      <c r="BR68" s="2502">
        <f t="shared" si="3"/>
        <v>1.1111111111111112E-2</v>
      </c>
      <c r="BS68" s="2503">
        <f t="shared" ca="1" si="9"/>
        <v>0</v>
      </c>
      <c r="BT68"/>
      <c r="CB68" s="2370"/>
    </row>
    <row r="69" spans="1:80" ht="13" customHeight="1" thickBot="1" x14ac:dyDescent="0.4">
      <c r="A69" s="2944"/>
      <c r="B69" s="2596">
        <f t="shared" si="24"/>
        <v>2079</v>
      </c>
      <c r="C69" s="2626">
        <f t="shared" si="23"/>
        <v>59</v>
      </c>
      <c r="D69" s="2627" t="str">
        <f ca="1">IF(BS69=0,"",SUM(BS$10:BS69))</f>
        <v/>
      </c>
      <c r="E69" s="2628" t="str">
        <f t="shared" ca="1" si="30"/>
        <v/>
      </c>
      <c r="F69" s="2629" t="str">
        <f t="shared" ca="1" si="30"/>
        <v/>
      </c>
      <c r="G69" s="2630" t="str">
        <f t="shared" ca="1" si="30"/>
        <v/>
      </c>
      <c r="H69" s="2630" t="str">
        <f t="shared" ca="1" si="30"/>
        <v/>
      </c>
      <c r="I69" s="2631" t="str">
        <f t="shared" ca="1" si="30"/>
        <v/>
      </c>
      <c r="J69" s="2632" t="str">
        <f t="shared" ca="1" si="30"/>
        <v/>
      </c>
      <c r="K69" s="2630" t="str">
        <f t="shared" ca="1" si="30"/>
        <v/>
      </c>
      <c r="L69" s="2630" t="str">
        <f t="shared" ca="1" si="30"/>
        <v/>
      </c>
      <c r="M69" s="2631" t="str">
        <f t="shared" ca="1" si="30"/>
        <v/>
      </c>
      <c r="N69" s="2636" t="str">
        <f t="shared" ca="1" si="30"/>
        <v/>
      </c>
      <c r="O69" s="2630" t="str">
        <f t="shared" ca="1" si="30"/>
        <v/>
      </c>
      <c r="P69" s="2630" t="str">
        <f t="shared" ca="1" si="30"/>
        <v/>
      </c>
      <c r="Q69" s="2631" t="str">
        <f t="shared" ca="1" si="30"/>
        <v/>
      </c>
      <c r="R69" s="2634" t="str">
        <f t="shared" ca="1" si="30"/>
        <v/>
      </c>
      <c r="S69" s="2630" t="str">
        <f t="shared" ca="1" si="30"/>
        <v/>
      </c>
      <c r="T69" s="2630" t="str">
        <f t="shared" ca="1" si="30"/>
        <v/>
      </c>
      <c r="U69" s="2631" t="str">
        <f t="shared" ca="1" si="29"/>
        <v/>
      </c>
      <c r="V69" s="2634" t="str">
        <f t="shared" ca="1" si="29"/>
        <v/>
      </c>
      <c r="W69" s="2630" t="str">
        <f t="shared" ca="1" si="29"/>
        <v/>
      </c>
      <c r="X69" s="2630" t="str">
        <f t="shared" ca="1" si="29"/>
        <v/>
      </c>
      <c r="Y69" s="2630" t="str">
        <f t="shared" ca="1" si="29"/>
        <v/>
      </c>
      <c r="Z69" s="2630" t="str">
        <f t="shared" ca="1" si="29"/>
        <v/>
      </c>
      <c r="AA69" s="2631" t="str">
        <f t="shared" ca="1" si="29"/>
        <v/>
      </c>
      <c r="AB69" s="2634" t="str">
        <f t="shared" ca="1" si="29"/>
        <v/>
      </c>
      <c r="AC69" s="2630" t="str">
        <f t="shared" ca="1" si="29"/>
        <v/>
      </c>
      <c r="AD69" s="2630" t="str">
        <f t="shared" ca="1" si="29"/>
        <v/>
      </c>
      <c r="AE69" s="2631" t="str">
        <f t="shared" ca="1" si="29"/>
        <v/>
      </c>
      <c r="AF69" s="2634" t="str">
        <f t="shared" ca="1" si="29"/>
        <v/>
      </c>
      <c r="AG69" s="2630" t="str">
        <f t="shared" ca="1" si="29"/>
        <v/>
      </c>
      <c r="AH69" s="2630" t="str">
        <f t="shared" ca="1" si="29"/>
        <v/>
      </c>
      <c r="AI69" s="2631" t="str">
        <f t="shared" ca="1" si="29"/>
        <v/>
      </c>
      <c r="AJ69" s="2634" t="str">
        <f t="shared" ca="1" si="32"/>
        <v/>
      </c>
      <c r="AK69" s="2630" t="str">
        <f t="shared" ca="1" si="32"/>
        <v/>
      </c>
      <c r="AL69" s="2630" t="str">
        <f t="shared" ca="1" si="32"/>
        <v/>
      </c>
      <c r="AM69" s="2630" t="str">
        <f t="shared" ca="1" si="32"/>
        <v/>
      </c>
      <c r="AN69" s="2631" t="str">
        <f t="shared" ca="1" si="32"/>
        <v/>
      </c>
      <c r="AO69" s="2634" t="str">
        <f t="shared" ca="1" si="32"/>
        <v/>
      </c>
      <c r="AP69" s="2630" t="str">
        <f t="shared" ca="1" si="32"/>
        <v/>
      </c>
      <c r="AQ69" s="2630" t="str">
        <f t="shared" ca="1" si="32"/>
        <v/>
      </c>
      <c r="AR69" s="2631" t="str">
        <f t="shared" ca="1" si="32"/>
        <v/>
      </c>
      <c r="AS69" s="2634" t="str">
        <f t="shared" ca="1" si="32"/>
        <v/>
      </c>
      <c r="AT69" s="2630" t="str">
        <f t="shared" ca="1" si="32"/>
        <v/>
      </c>
      <c r="AU69" s="2630" t="str">
        <f t="shared" ca="1" si="32"/>
        <v/>
      </c>
      <c r="AV69" s="2631" t="str">
        <f t="shared" ca="1" si="32"/>
        <v/>
      </c>
      <c r="AW69" s="2634" t="str">
        <f t="shared" ca="1" si="32"/>
        <v/>
      </c>
      <c r="AX69" s="2630" t="str">
        <f t="shared" ca="1" si="32"/>
        <v/>
      </c>
      <c r="AY69" s="2630" t="str">
        <f t="shared" ca="1" si="32"/>
        <v/>
      </c>
      <c r="AZ69" s="2631" t="str">
        <f t="shared" ca="1" si="31"/>
        <v/>
      </c>
      <c r="BA69" s="2630" t="str">
        <f t="shared" ca="1" si="31"/>
        <v/>
      </c>
      <c r="BB69" s="2630" t="str">
        <f t="shared" ca="1" si="31"/>
        <v/>
      </c>
      <c r="BC69" s="2630" t="str">
        <f t="shared" ca="1" si="31"/>
        <v/>
      </c>
      <c r="BD69" s="2631" t="str">
        <f t="shared" ca="1" si="31"/>
        <v/>
      </c>
      <c r="BE69" s="2625"/>
      <c r="BF69" s="2764" t="s">
        <v>849</v>
      </c>
      <c r="BG69" s="2764" t="s">
        <v>845</v>
      </c>
      <c r="BH69" s="2764"/>
      <c r="BI69" s="2514">
        <f t="shared" si="12"/>
        <v>65381</v>
      </c>
      <c r="BJ69" s="2516">
        <f t="shared" si="13"/>
        <v>59</v>
      </c>
      <c r="BK69" s="2499">
        <f t="shared" si="6"/>
        <v>2079</v>
      </c>
      <c r="BN69" s="2367">
        <f t="shared" si="7"/>
        <v>59</v>
      </c>
      <c r="BO69" s="2500" t="str">
        <f t="shared" si="8"/>
        <v>1/0/2079</v>
      </c>
      <c r="BP69" s="2501">
        <f t="shared" ca="1" si="2"/>
        <v>0</v>
      </c>
      <c r="BQ69" s="2367">
        <v>52</v>
      </c>
      <c r="BR69" s="2502">
        <f t="shared" si="3"/>
        <v>1.1111111111111112E-2</v>
      </c>
      <c r="BS69" s="2503">
        <f t="shared" ca="1" si="9"/>
        <v>0</v>
      </c>
      <c r="BT69"/>
      <c r="CB69" s="2370"/>
    </row>
    <row r="70" spans="1:80" ht="12.75" customHeight="1" x14ac:dyDescent="0.35">
      <c r="A70" s="2942">
        <v>7</v>
      </c>
      <c r="B70" s="2635">
        <f t="shared" si="24"/>
        <v>2080</v>
      </c>
      <c r="C70" s="2637">
        <f t="shared" si="23"/>
        <v>60</v>
      </c>
      <c r="D70" s="2638" t="str">
        <f ca="1">IF(BS70=0,"",SUM(BS$10:BS70))</f>
        <v/>
      </c>
      <c r="E70" s="2639" t="str">
        <f t="shared" ca="1" si="30"/>
        <v/>
      </c>
      <c r="F70" s="2640" t="str">
        <f t="shared" ca="1" si="30"/>
        <v/>
      </c>
      <c r="G70" s="2641" t="str">
        <f t="shared" ca="1" si="30"/>
        <v/>
      </c>
      <c r="H70" s="2641" t="str">
        <f t="shared" ca="1" si="30"/>
        <v/>
      </c>
      <c r="I70" s="2642" t="str">
        <f t="shared" ca="1" si="30"/>
        <v/>
      </c>
      <c r="J70" s="2643" t="str">
        <f t="shared" ca="1" si="30"/>
        <v/>
      </c>
      <c r="K70" s="2641" t="str">
        <f t="shared" ca="1" si="30"/>
        <v/>
      </c>
      <c r="L70" s="2641" t="str">
        <f t="shared" ca="1" si="30"/>
        <v/>
      </c>
      <c r="M70" s="2642" t="str">
        <f t="shared" ca="1" si="30"/>
        <v/>
      </c>
      <c r="N70" s="2623" t="str">
        <f t="shared" ca="1" si="30"/>
        <v/>
      </c>
      <c r="O70" s="2641" t="str">
        <f t="shared" ca="1" si="30"/>
        <v/>
      </c>
      <c r="P70" s="2641" t="str">
        <f t="shared" ca="1" si="30"/>
        <v/>
      </c>
      <c r="Q70" s="2642" t="str">
        <f t="shared" ca="1" si="30"/>
        <v/>
      </c>
      <c r="R70" s="2644" t="str">
        <f t="shared" ca="1" si="30"/>
        <v/>
      </c>
      <c r="S70" s="2641" t="str">
        <f t="shared" ca="1" si="30"/>
        <v/>
      </c>
      <c r="T70" s="2641" t="str">
        <f t="shared" ca="1" si="30"/>
        <v/>
      </c>
      <c r="U70" s="2642" t="str">
        <f t="shared" ca="1" si="29"/>
        <v/>
      </c>
      <c r="V70" s="2644" t="str">
        <f t="shared" ca="1" si="29"/>
        <v/>
      </c>
      <c r="W70" s="2641" t="str">
        <f t="shared" ca="1" si="29"/>
        <v/>
      </c>
      <c r="X70" s="2641" t="str">
        <f t="shared" ca="1" si="29"/>
        <v/>
      </c>
      <c r="Y70" s="2641" t="str">
        <f t="shared" ca="1" si="29"/>
        <v/>
      </c>
      <c r="Z70" s="2641" t="str">
        <f t="shared" ca="1" si="29"/>
        <v/>
      </c>
      <c r="AA70" s="2642" t="str">
        <f t="shared" ca="1" si="29"/>
        <v/>
      </c>
      <c r="AB70" s="2644" t="str">
        <f t="shared" ca="1" si="29"/>
        <v/>
      </c>
      <c r="AC70" s="2641" t="str">
        <f t="shared" ca="1" si="29"/>
        <v/>
      </c>
      <c r="AD70" s="2641" t="str">
        <f t="shared" ca="1" si="29"/>
        <v/>
      </c>
      <c r="AE70" s="2642" t="str">
        <f t="shared" ca="1" si="29"/>
        <v/>
      </c>
      <c r="AF70" s="2644" t="str">
        <f t="shared" ca="1" si="29"/>
        <v/>
      </c>
      <c r="AG70" s="2641" t="str">
        <f t="shared" ca="1" si="29"/>
        <v/>
      </c>
      <c r="AH70" s="2641" t="str">
        <f t="shared" ca="1" si="29"/>
        <v/>
      </c>
      <c r="AI70" s="2642" t="str">
        <f t="shared" ca="1" si="29"/>
        <v/>
      </c>
      <c r="AJ70" s="2644" t="str">
        <f t="shared" ca="1" si="32"/>
        <v/>
      </c>
      <c r="AK70" s="2641" t="str">
        <f t="shared" ca="1" si="32"/>
        <v/>
      </c>
      <c r="AL70" s="2641" t="str">
        <f t="shared" ca="1" si="32"/>
        <v/>
      </c>
      <c r="AM70" s="2641" t="str">
        <f t="shared" ca="1" si="32"/>
        <v/>
      </c>
      <c r="AN70" s="2642" t="str">
        <f t="shared" ca="1" si="32"/>
        <v/>
      </c>
      <c r="AO70" s="2644" t="str">
        <f t="shared" ca="1" si="32"/>
        <v/>
      </c>
      <c r="AP70" s="2641" t="str">
        <f t="shared" ca="1" si="32"/>
        <v/>
      </c>
      <c r="AQ70" s="2641" t="str">
        <f t="shared" ca="1" si="32"/>
        <v/>
      </c>
      <c r="AR70" s="2642" t="str">
        <f t="shared" ca="1" si="32"/>
        <v/>
      </c>
      <c r="AS70" s="2644" t="str">
        <f t="shared" ca="1" si="32"/>
        <v/>
      </c>
      <c r="AT70" s="2641" t="str">
        <f t="shared" ca="1" si="32"/>
        <v/>
      </c>
      <c r="AU70" s="2641" t="str">
        <f t="shared" ca="1" si="32"/>
        <v/>
      </c>
      <c r="AV70" s="2642" t="str">
        <f t="shared" ca="1" si="32"/>
        <v/>
      </c>
      <c r="AW70" s="2644" t="str">
        <f t="shared" ca="1" si="32"/>
        <v/>
      </c>
      <c r="AX70" s="2641" t="str">
        <f t="shared" ca="1" si="32"/>
        <v/>
      </c>
      <c r="AY70" s="2641" t="str">
        <f t="shared" ca="1" si="32"/>
        <v/>
      </c>
      <c r="AZ70" s="2642" t="str">
        <f t="shared" ca="1" si="31"/>
        <v/>
      </c>
      <c r="BA70" s="2641" t="str">
        <f t="shared" ca="1" si="31"/>
        <v/>
      </c>
      <c r="BB70" s="2641" t="str">
        <f t="shared" ca="1" si="31"/>
        <v/>
      </c>
      <c r="BC70" s="2641" t="str">
        <f t="shared" ca="1" si="31"/>
        <v/>
      </c>
      <c r="BD70" s="2641" t="str">
        <f t="shared" ca="1" si="31"/>
        <v/>
      </c>
      <c r="BE70" s="2625"/>
      <c r="BF70" s="2775" t="s">
        <v>849</v>
      </c>
      <c r="BG70" s="2775" t="s">
        <v>845</v>
      </c>
      <c r="BH70" s="2765" t="s">
        <v>862</v>
      </c>
      <c r="BI70" s="2514">
        <f t="shared" si="12"/>
        <v>65746</v>
      </c>
      <c r="BJ70" s="2516">
        <f t="shared" si="13"/>
        <v>60</v>
      </c>
      <c r="BK70" s="2499">
        <f t="shared" si="6"/>
        <v>2080</v>
      </c>
      <c r="BN70" s="2367">
        <f t="shared" si="7"/>
        <v>60</v>
      </c>
      <c r="BO70" s="2500" t="str">
        <f t="shared" si="8"/>
        <v>1/0/2080</v>
      </c>
      <c r="BP70" s="2501">
        <f t="shared" ca="1" si="2"/>
        <v>0</v>
      </c>
      <c r="BQ70" s="2367">
        <v>52</v>
      </c>
      <c r="BR70" s="2502">
        <f t="shared" si="3"/>
        <v>1.1111111111111112E-2</v>
      </c>
      <c r="BS70" s="2503">
        <f t="shared" ca="1" si="9"/>
        <v>0</v>
      </c>
      <c r="BT70"/>
      <c r="CB70" s="2370"/>
    </row>
    <row r="71" spans="1:80" ht="13" customHeight="1" x14ac:dyDescent="0.35">
      <c r="A71" s="2943"/>
      <c r="B71" s="2505">
        <f t="shared" si="24"/>
        <v>2081</v>
      </c>
      <c r="C71" s="2645">
        <f t="shared" si="23"/>
        <v>61</v>
      </c>
      <c r="D71" s="2617" t="str">
        <f ca="1">IF(BS71=0,"",SUM(BS$10:BS71))</f>
        <v/>
      </c>
      <c r="E71" s="2618" t="str">
        <f t="shared" ca="1" si="30"/>
        <v/>
      </c>
      <c r="F71" s="2619" t="str">
        <f t="shared" ca="1" si="30"/>
        <v/>
      </c>
      <c r="G71" s="2620" t="str">
        <f t="shared" ca="1" si="30"/>
        <v/>
      </c>
      <c r="H71" s="2620" t="str">
        <f t="shared" ca="1" si="30"/>
        <v/>
      </c>
      <c r="I71" s="2621" t="str">
        <f t="shared" ca="1" si="30"/>
        <v/>
      </c>
      <c r="J71" s="2622" t="str">
        <f t="shared" ca="1" si="30"/>
        <v/>
      </c>
      <c r="K71" s="2620" t="str">
        <f t="shared" ca="1" si="30"/>
        <v/>
      </c>
      <c r="L71" s="2620" t="str">
        <f t="shared" ca="1" si="30"/>
        <v/>
      </c>
      <c r="M71" s="2621" t="str">
        <f t="shared" ca="1" si="30"/>
        <v/>
      </c>
      <c r="N71" s="2623" t="str">
        <f t="shared" ca="1" si="30"/>
        <v/>
      </c>
      <c r="O71" s="2620" t="str">
        <f t="shared" ca="1" si="30"/>
        <v/>
      </c>
      <c r="P71" s="2620" t="str">
        <f t="shared" ca="1" si="30"/>
        <v/>
      </c>
      <c r="Q71" s="2621" t="str">
        <f t="shared" ca="1" si="30"/>
        <v/>
      </c>
      <c r="R71" s="2624" t="str">
        <f t="shared" ca="1" si="30"/>
        <v/>
      </c>
      <c r="S71" s="2620" t="str">
        <f t="shared" ca="1" si="30"/>
        <v/>
      </c>
      <c r="T71" s="2620" t="str">
        <f t="shared" ca="1" si="30"/>
        <v/>
      </c>
      <c r="U71" s="2621" t="str">
        <f t="shared" ca="1" si="29"/>
        <v/>
      </c>
      <c r="V71" s="2624" t="str">
        <f t="shared" ca="1" si="29"/>
        <v/>
      </c>
      <c r="W71" s="2620" t="str">
        <f t="shared" ca="1" si="29"/>
        <v/>
      </c>
      <c r="X71" s="2620" t="str">
        <f t="shared" ca="1" si="29"/>
        <v/>
      </c>
      <c r="Y71" s="2620" t="str">
        <f t="shared" ca="1" si="29"/>
        <v/>
      </c>
      <c r="Z71" s="2620" t="str">
        <f t="shared" ca="1" si="29"/>
        <v/>
      </c>
      <c r="AA71" s="2621" t="str">
        <f t="shared" ca="1" si="29"/>
        <v/>
      </c>
      <c r="AB71" s="2624" t="str">
        <f t="shared" ca="1" si="29"/>
        <v/>
      </c>
      <c r="AC71" s="2620" t="str">
        <f t="shared" ca="1" si="29"/>
        <v/>
      </c>
      <c r="AD71" s="2620" t="str">
        <f t="shared" ca="1" si="29"/>
        <v/>
      </c>
      <c r="AE71" s="2621" t="str">
        <f t="shared" ca="1" si="29"/>
        <v/>
      </c>
      <c r="AF71" s="2624" t="str">
        <f t="shared" ca="1" si="29"/>
        <v/>
      </c>
      <c r="AG71" s="2620" t="str">
        <f t="shared" ca="1" si="29"/>
        <v/>
      </c>
      <c r="AH71" s="2620" t="str">
        <f t="shared" ca="1" si="29"/>
        <v/>
      </c>
      <c r="AI71" s="2621" t="str">
        <f t="shared" ca="1" si="29"/>
        <v/>
      </c>
      <c r="AJ71" s="2624" t="str">
        <f t="shared" ca="1" si="32"/>
        <v/>
      </c>
      <c r="AK71" s="2620" t="str">
        <f t="shared" ca="1" si="32"/>
        <v/>
      </c>
      <c r="AL71" s="2620" t="str">
        <f t="shared" ca="1" si="32"/>
        <v/>
      </c>
      <c r="AM71" s="2620" t="str">
        <f t="shared" ca="1" si="32"/>
        <v/>
      </c>
      <c r="AN71" s="2621" t="str">
        <f t="shared" ca="1" si="32"/>
        <v/>
      </c>
      <c r="AO71" s="2624" t="str">
        <f t="shared" ca="1" si="32"/>
        <v/>
      </c>
      <c r="AP71" s="2620" t="str">
        <f t="shared" ca="1" si="32"/>
        <v/>
      </c>
      <c r="AQ71" s="2620" t="str">
        <f t="shared" ca="1" si="32"/>
        <v/>
      </c>
      <c r="AR71" s="2621" t="str">
        <f t="shared" ca="1" si="32"/>
        <v/>
      </c>
      <c r="AS71" s="2624" t="str">
        <f t="shared" ca="1" si="32"/>
        <v/>
      </c>
      <c r="AT71" s="2620" t="str">
        <f t="shared" ca="1" si="32"/>
        <v/>
      </c>
      <c r="AU71" s="2620" t="str">
        <f t="shared" ca="1" si="32"/>
        <v/>
      </c>
      <c r="AV71" s="2621" t="str">
        <f t="shared" ca="1" si="32"/>
        <v/>
      </c>
      <c r="AW71" s="2624" t="str">
        <f t="shared" ca="1" si="32"/>
        <v/>
      </c>
      <c r="AX71" s="2620" t="str">
        <f t="shared" ca="1" si="32"/>
        <v/>
      </c>
      <c r="AY71" s="2620" t="str">
        <f t="shared" ca="1" si="32"/>
        <v/>
      </c>
      <c r="AZ71" s="2621" t="str">
        <f t="shared" ca="1" si="31"/>
        <v/>
      </c>
      <c r="BA71" s="2620" t="str">
        <f t="shared" ca="1" si="31"/>
        <v/>
      </c>
      <c r="BB71" s="2620" t="str">
        <f t="shared" ca="1" si="31"/>
        <v/>
      </c>
      <c r="BC71" s="2620" t="str">
        <f t="shared" ca="1" si="31"/>
        <v/>
      </c>
      <c r="BD71" s="2620" t="str">
        <f t="shared" ca="1" si="31"/>
        <v/>
      </c>
      <c r="BE71" s="2625"/>
      <c r="BF71" s="2766"/>
      <c r="BG71" s="2766"/>
      <c r="BH71" s="2766"/>
      <c r="BI71" s="2514">
        <f t="shared" si="12"/>
        <v>66112</v>
      </c>
      <c r="BJ71" s="2516">
        <f t="shared" si="13"/>
        <v>61</v>
      </c>
      <c r="BK71" s="2499">
        <f t="shared" si="6"/>
        <v>2081</v>
      </c>
      <c r="BN71" s="2367">
        <f t="shared" si="7"/>
        <v>61</v>
      </c>
      <c r="BO71" s="2500" t="str">
        <f t="shared" si="8"/>
        <v>1/0/2081</v>
      </c>
      <c r="BP71" s="2501">
        <f t="shared" ca="1" si="2"/>
        <v>0</v>
      </c>
      <c r="BQ71" s="2367">
        <v>52</v>
      </c>
      <c r="BR71" s="2502">
        <f t="shared" si="3"/>
        <v>1.1111111111111112E-2</v>
      </c>
      <c r="BS71" s="2503">
        <f t="shared" ca="1" si="9"/>
        <v>0</v>
      </c>
      <c r="BT71"/>
      <c r="CB71" s="2370"/>
    </row>
    <row r="72" spans="1:80" ht="13" customHeight="1" x14ac:dyDescent="0.35">
      <c r="A72" s="2943"/>
      <c r="B72" s="2505">
        <f t="shared" si="24"/>
        <v>2082</v>
      </c>
      <c r="C72" s="2645">
        <f t="shared" si="23"/>
        <v>62</v>
      </c>
      <c r="D72" s="2617" t="str">
        <f ca="1">IF(BS72=0,"",SUM(BS$10:BS72))</f>
        <v/>
      </c>
      <c r="E72" s="2618" t="str">
        <f t="shared" ca="1" si="30"/>
        <v/>
      </c>
      <c r="F72" s="2619" t="str">
        <f t="shared" ca="1" si="30"/>
        <v/>
      </c>
      <c r="G72" s="2620" t="str">
        <f t="shared" ca="1" si="30"/>
        <v/>
      </c>
      <c r="H72" s="2620" t="str">
        <f t="shared" ca="1" si="30"/>
        <v/>
      </c>
      <c r="I72" s="2621" t="str">
        <f t="shared" ca="1" si="30"/>
        <v/>
      </c>
      <c r="J72" s="2622" t="str">
        <f t="shared" ca="1" si="30"/>
        <v/>
      </c>
      <c r="K72" s="2620" t="str">
        <f t="shared" ca="1" si="30"/>
        <v/>
      </c>
      <c r="L72" s="2620" t="str">
        <f t="shared" ca="1" si="30"/>
        <v/>
      </c>
      <c r="M72" s="2621" t="str">
        <f t="shared" ca="1" si="30"/>
        <v/>
      </c>
      <c r="N72" s="2623" t="str">
        <f t="shared" ca="1" si="30"/>
        <v/>
      </c>
      <c r="O72" s="2620" t="str">
        <f t="shared" ca="1" si="30"/>
        <v/>
      </c>
      <c r="P72" s="2620" t="str">
        <f t="shared" ca="1" si="30"/>
        <v/>
      </c>
      <c r="Q72" s="2621" t="str">
        <f t="shared" ca="1" si="30"/>
        <v/>
      </c>
      <c r="R72" s="2624" t="str">
        <f t="shared" ca="1" si="30"/>
        <v/>
      </c>
      <c r="S72" s="2620" t="str">
        <f t="shared" ca="1" si="30"/>
        <v/>
      </c>
      <c r="T72" s="2620" t="str">
        <f t="shared" ca="1" si="30"/>
        <v/>
      </c>
      <c r="U72" s="2621" t="str">
        <f t="shared" ca="1" si="29"/>
        <v/>
      </c>
      <c r="V72" s="2624" t="str">
        <f t="shared" ca="1" si="29"/>
        <v/>
      </c>
      <c r="W72" s="2620" t="str">
        <f t="shared" ca="1" si="29"/>
        <v/>
      </c>
      <c r="X72" s="2620" t="str">
        <f t="shared" ca="1" si="29"/>
        <v/>
      </c>
      <c r="Y72" s="2620" t="str">
        <f t="shared" ca="1" si="29"/>
        <v/>
      </c>
      <c r="Z72" s="2620" t="str">
        <f t="shared" ca="1" si="29"/>
        <v/>
      </c>
      <c r="AA72" s="2621" t="str">
        <f t="shared" ca="1" si="29"/>
        <v/>
      </c>
      <c r="AB72" s="2624" t="str">
        <f t="shared" ca="1" si="29"/>
        <v/>
      </c>
      <c r="AC72" s="2620" t="str">
        <f t="shared" ca="1" si="29"/>
        <v/>
      </c>
      <c r="AD72" s="2620" t="str">
        <f t="shared" ca="1" si="29"/>
        <v/>
      </c>
      <c r="AE72" s="2621" t="str">
        <f t="shared" ca="1" si="29"/>
        <v/>
      </c>
      <c r="AF72" s="2624" t="str">
        <f t="shared" ca="1" si="29"/>
        <v/>
      </c>
      <c r="AG72" s="2620" t="str">
        <f t="shared" ca="1" si="29"/>
        <v/>
      </c>
      <c r="AH72" s="2620" t="str">
        <f t="shared" ca="1" si="29"/>
        <v/>
      </c>
      <c r="AI72" s="2621" t="str">
        <f t="shared" ca="1" si="29"/>
        <v/>
      </c>
      <c r="AJ72" s="2624" t="str">
        <f t="shared" ca="1" si="32"/>
        <v/>
      </c>
      <c r="AK72" s="2620" t="str">
        <f t="shared" ca="1" si="32"/>
        <v/>
      </c>
      <c r="AL72" s="2620" t="str">
        <f t="shared" ca="1" si="32"/>
        <v/>
      </c>
      <c r="AM72" s="2620" t="str">
        <f t="shared" ca="1" si="32"/>
        <v/>
      </c>
      <c r="AN72" s="2621" t="str">
        <f t="shared" ca="1" si="32"/>
        <v/>
      </c>
      <c r="AO72" s="2624" t="str">
        <f t="shared" ca="1" si="32"/>
        <v/>
      </c>
      <c r="AP72" s="2620" t="str">
        <f t="shared" ca="1" si="32"/>
        <v/>
      </c>
      <c r="AQ72" s="2620" t="str">
        <f t="shared" ca="1" si="32"/>
        <v/>
      </c>
      <c r="AR72" s="2621" t="str">
        <f t="shared" ca="1" si="32"/>
        <v/>
      </c>
      <c r="AS72" s="2624" t="str">
        <f t="shared" ca="1" si="32"/>
        <v/>
      </c>
      <c r="AT72" s="2620" t="str">
        <f t="shared" ca="1" si="32"/>
        <v/>
      </c>
      <c r="AU72" s="2620" t="str">
        <f t="shared" ca="1" si="32"/>
        <v/>
      </c>
      <c r="AV72" s="2621" t="str">
        <f t="shared" ca="1" si="32"/>
        <v/>
      </c>
      <c r="AW72" s="2624" t="str">
        <f t="shared" ca="1" si="32"/>
        <v/>
      </c>
      <c r="AX72" s="2620" t="str">
        <f t="shared" ca="1" si="32"/>
        <v/>
      </c>
      <c r="AY72" s="2620" t="str">
        <f t="shared" ca="1" si="32"/>
        <v/>
      </c>
      <c r="AZ72" s="2621" t="str">
        <f t="shared" ca="1" si="31"/>
        <v/>
      </c>
      <c r="BA72" s="2620" t="str">
        <f t="shared" ca="1" si="31"/>
        <v/>
      </c>
      <c r="BB72" s="2620" t="str">
        <f t="shared" ca="1" si="31"/>
        <v/>
      </c>
      <c r="BC72" s="2620" t="str">
        <f t="shared" ca="1" si="31"/>
        <v/>
      </c>
      <c r="BD72" s="2620" t="str">
        <f t="shared" ca="1" si="31"/>
        <v/>
      </c>
      <c r="BE72" s="2625"/>
      <c r="BF72" s="2766"/>
      <c r="BG72" s="2766"/>
      <c r="BH72" s="2766"/>
      <c r="BI72" s="2514">
        <f t="shared" si="12"/>
        <v>66477</v>
      </c>
      <c r="BJ72" s="2516">
        <f t="shared" si="13"/>
        <v>62</v>
      </c>
      <c r="BK72" s="2499">
        <f t="shared" si="6"/>
        <v>2082</v>
      </c>
      <c r="BN72" s="2367">
        <f t="shared" si="7"/>
        <v>62</v>
      </c>
      <c r="BO72" s="2500" t="str">
        <f t="shared" si="8"/>
        <v>1/0/2082</v>
      </c>
      <c r="BP72" s="2501">
        <f t="shared" ca="1" si="2"/>
        <v>0</v>
      </c>
      <c r="BQ72" s="2367">
        <v>52</v>
      </c>
      <c r="BR72" s="2502">
        <f t="shared" si="3"/>
        <v>1.1111111111111112E-2</v>
      </c>
      <c r="BS72" s="2503">
        <f t="shared" ca="1" si="9"/>
        <v>0</v>
      </c>
      <c r="BT72"/>
      <c r="CB72" s="2370"/>
    </row>
    <row r="73" spans="1:80" ht="13" customHeight="1" x14ac:dyDescent="0.35">
      <c r="A73" s="2943"/>
      <c r="B73" s="2505">
        <f t="shared" si="24"/>
        <v>2083</v>
      </c>
      <c r="C73" s="2645">
        <f t="shared" si="23"/>
        <v>63</v>
      </c>
      <c r="D73" s="2617" t="str">
        <f ca="1">IF(BS73=0,"",SUM(BS$10:BS73))</f>
        <v/>
      </c>
      <c r="E73" s="2618" t="str">
        <f t="shared" ca="1" si="30"/>
        <v/>
      </c>
      <c r="F73" s="2619" t="str">
        <f t="shared" ca="1" si="30"/>
        <v/>
      </c>
      <c r="G73" s="2620" t="str">
        <f t="shared" ca="1" si="30"/>
        <v/>
      </c>
      <c r="H73" s="2620" t="str">
        <f t="shared" ca="1" si="30"/>
        <v/>
      </c>
      <c r="I73" s="2621" t="str">
        <f t="shared" ca="1" si="30"/>
        <v/>
      </c>
      <c r="J73" s="2622" t="str">
        <f t="shared" ca="1" si="30"/>
        <v/>
      </c>
      <c r="K73" s="2620" t="str">
        <f t="shared" ca="1" si="30"/>
        <v/>
      </c>
      <c r="L73" s="2620" t="str">
        <f t="shared" ca="1" si="30"/>
        <v/>
      </c>
      <c r="M73" s="2621" t="str">
        <f t="shared" ca="1" si="30"/>
        <v/>
      </c>
      <c r="N73" s="2623" t="str">
        <f t="shared" ca="1" si="30"/>
        <v/>
      </c>
      <c r="O73" s="2620" t="str">
        <f t="shared" ca="1" si="30"/>
        <v/>
      </c>
      <c r="P73" s="2620" t="str">
        <f t="shared" ca="1" si="30"/>
        <v/>
      </c>
      <c r="Q73" s="2621" t="str">
        <f t="shared" ca="1" si="30"/>
        <v/>
      </c>
      <c r="R73" s="2624" t="str">
        <f t="shared" ca="1" si="30"/>
        <v/>
      </c>
      <c r="S73" s="2620" t="str">
        <f t="shared" ca="1" si="30"/>
        <v/>
      </c>
      <c r="T73" s="2620" t="str">
        <f t="shared" ca="1" si="30"/>
        <v/>
      </c>
      <c r="U73" s="2621" t="str">
        <f t="shared" ca="1" si="29"/>
        <v/>
      </c>
      <c r="V73" s="2624" t="str">
        <f t="shared" ca="1" si="29"/>
        <v/>
      </c>
      <c r="W73" s="2620" t="str">
        <f t="shared" ca="1" si="29"/>
        <v/>
      </c>
      <c r="X73" s="2620" t="str">
        <f t="shared" ca="1" si="29"/>
        <v/>
      </c>
      <c r="Y73" s="2620" t="str">
        <f t="shared" ca="1" si="29"/>
        <v/>
      </c>
      <c r="Z73" s="2620" t="str">
        <f t="shared" ca="1" si="29"/>
        <v/>
      </c>
      <c r="AA73" s="2621" t="str">
        <f t="shared" ca="1" si="29"/>
        <v/>
      </c>
      <c r="AB73" s="2624" t="str">
        <f t="shared" ca="1" si="29"/>
        <v/>
      </c>
      <c r="AC73" s="2620" t="str">
        <f t="shared" ca="1" si="29"/>
        <v/>
      </c>
      <c r="AD73" s="2620" t="str">
        <f t="shared" ca="1" si="29"/>
        <v/>
      </c>
      <c r="AE73" s="2621" t="str">
        <f t="shared" ca="1" si="29"/>
        <v/>
      </c>
      <c r="AF73" s="2624" t="str">
        <f t="shared" ca="1" si="29"/>
        <v/>
      </c>
      <c r="AG73" s="2620" t="str">
        <f t="shared" ca="1" si="29"/>
        <v/>
      </c>
      <c r="AH73" s="2620" t="str">
        <f t="shared" ca="1" si="29"/>
        <v/>
      </c>
      <c r="AI73" s="2621" t="str">
        <f t="shared" ca="1" si="29"/>
        <v/>
      </c>
      <c r="AJ73" s="2624" t="str">
        <f t="shared" ca="1" si="32"/>
        <v/>
      </c>
      <c r="AK73" s="2620" t="str">
        <f t="shared" ca="1" si="32"/>
        <v/>
      </c>
      <c r="AL73" s="2620" t="str">
        <f t="shared" ca="1" si="32"/>
        <v/>
      </c>
      <c r="AM73" s="2620" t="str">
        <f t="shared" ca="1" si="32"/>
        <v/>
      </c>
      <c r="AN73" s="2621" t="str">
        <f t="shared" ca="1" si="32"/>
        <v/>
      </c>
      <c r="AO73" s="2624" t="str">
        <f t="shared" ca="1" si="32"/>
        <v/>
      </c>
      <c r="AP73" s="2620" t="str">
        <f t="shared" ca="1" si="32"/>
        <v/>
      </c>
      <c r="AQ73" s="2620" t="str">
        <f t="shared" ca="1" si="32"/>
        <v/>
      </c>
      <c r="AR73" s="2621" t="str">
        <f t="shared" ca="1" si="32"/>
        <v/>
      </c>
      <c r="AS73" s="2624" t="str">
        <f t="shared" ca="1" si="32"/>
        <v/>
      </c>
      <c r="AT73" s="2620" t="str">
        <f t="shared" ca="1" si="32"/>
        <v/>
      </c>
      <c r="AU73" s="2620" t="str">
        <f t="shared" ca="1" si="32"/>
        <v/>
      </c>
      <c r="AV73" s="2621" t="str">
        <f t="shared" ca="1" si="32"/>
        <v/>
      </c>
      <c r="AW73" s="2624" t="str">
        <f t="shared" ca="1" si="32"/>
        <v/>
      </c>
      <c r="AX73" s="2620" t="str">
        <f t="shared" ca="1" si="32"/>
        <v/>
      </c>
      <c r="AY73" s="2620" t="str">
        <f t="shared" ca="1" si="32"/>
        <v/>
      </c>
      <c r="AZ73" s="2621" t="str">
        <f t="shared" ca="1" si="31"/>
        <v/>
      </c>
      <c r="BA73" s="2620" t="str">
        <f t="shared" ca="1" si="31"/>
        <v/>
      </c>
      <c r="BB73" s="2620" t="str">
        <f t="shared" ca="1" si="31"/>
        <v/>
      </c>
      <c r="BC73" s="2620" t="str">
        <f t="shared" ca="1" si="31"/>
        <v/>
      </c>
      <c r="BD73" s="2620" t="str">
        <f t="shared" ca="1" si="31"/>
        <v/>
      </c>
      <c r="BE73" s="2625"/>
      <c r="BF73" s="2766"/>
      <c r="BG73" s="2766"/>
      <c r="BH73" s="2766"/>
      <c r="BI73" s="2514">
        <f t="shared" si="12"/>
        <v>66842</v>
      </c>
      <c r="BJ73" s="2516">
        <f t="shared" si="13"/>
        <v>63</v>
      </c>
      <c r="BK73" s="2499">
        <f t="shared" si="6"/>
        <v>2083</v>
      </c>
      <c r="BN73" s="2367">
        <f t="shared" si="7"/>
        <v>63</v>
      </c>
      <c r="BO73" s="2500" t="str">
        <f t="shared" si="8"/>
        <v>1/0/2083</v>
      </c>
      <c r="BP73" s="2501">
        <f t="shared" ca="1" si="2"/>
        <v>0</v>
      </c>
      <c r="BQ73" s="2367">
        <v>52</v>
      </c>
      <c r="BR73" s="2502">
        <f t="shared" si="3"/>
        <v>1.1111111111111112E-2</v>
      </c>
      <c r="BS73" s="2503">
        <f t="shared" ca="1" si="9"/>
        <v>0</v>
      </c>
      <c r="BT73"/>
      <c r="CB73" s="2370"/>
    </row>
    <row r="74" spans="1:80" ht="13" customHeight="1" x14ac:dyDescent="0.35">
      <c r="A74" s="2943"/>
      <c r="B74" s="2505">
        <f t="shared" si="24"/>
        <v>2084</v>
      </c>
      <c r="C74" s="2645">
        <f t="shared" si="23"/>
        <v>64</v>
      </c>
      <c r="D74" s="2617" t="str">
        <f ca="1">IF(BS74=0,"",SUM(BS$10:BS74))</f>
        <v/>
      </c>
      <c r="E74" s="2618" t="str">
        <f t="shared" ca="1" si="30"/>
        <v/>
      </c>
      <c r="F74" s="2619" t="str">
        <f t="shared" ca="1" si="30"/>
        <v/>
      </c>
      <c r="G74" s="2620" t="str">
        <f t="shared" ca="1" si="30"/>
        <v/>
      </c>
      <c r="H74" s="2620" t="str">
        <f t="shared" ca="1" si="30"/>
        <v/>
      </c>
      <c r="I74" s="2621" t="str">
        <f t="shared" ca="1" si="30"/>
        <v/>
      </c>
      <c r="J74" s="2622" t="str">
        <f t="shared" ca="1" si="30"/>
        <v/>
      </c>
      <c r="K74" s="2620" t="str">
        <f t="shared" ca="1" si="30"/>
        <v/>
      </c>
      <c r="L74" s="2620" t="str">
        <f t="shared" ca="1" si="30"/>
        <v/>
      </c>
      <c r="M74" s="2621" t="str">
        <f t="shared" ca="1" si="30"/>
        <v/>
      </c>
      <c r="N74" s="2623" t="str">
        <f t="shared" ca="1" si="30"/>
        <v/>
      </c>
      <c r="O74" s="2620" t="str">
        <f t="shared" ca="1" si="30"/>
        <v/>
      </c>
      <c r="P74" s="2620" t="str">
        <f t="shared" ca="1" si="30"/>
        <v/>
      </c>
      <c r="Q74" s="2621" t="str">
        <f t="shared" ca="1" si="30"/>
        <v/>
      </c>
      <c r="R74" s="2624" t="str">
        <f t="shared" ca="1" si="30"/>
        <v/>
      </c>
      <c r="S74" s="2620" t="str">
        <f t="shared" ca="1" si="30"/>
        <v/>
      </c>
      <c r="T74" s="2620" t="str">
        <f t="shared" ca="1" si="30"/>
        <v/>
      </c>
      <c r="U74" s="2621" t="str">
        <f t="shared" ca="1" si="29"/>
        <v/>
      </c>
      <c r="V74" s="2624" t="str">
        <f t="shared" ca="1" si="29"/>
        <v/>
      </c>
      <c r="W74" s="2620" t="str">
        <f t="shared" ca="1" si="29"/>
        <v/>
      </c>
      <c r="X74" s="2620" t="str">
        <f t="shared" ca="1" si="29"/>
        <v/>
      </c>
      <c r="Y74" s="2620" t="str">
        <f t="shared" ca="1" si="29"/>
        <v/>
      </c>
      <c r="Z74" s="2620" t="str">
        <f t="shared" ca="1" si="29"/>
        <v/>
      </c>
      <c r="AA74" s="2621" t="str">
        <f t="shared" ca="1" si="29"/>
        <v/>
      </c>
      <c r="AB74" s="2624" t="str">
        <f t="shared" ca="1" si="29"/>
        <v/>
      </c>
      <c r="AC74" s="2620" t="str">
        <f t="shared" ca="1" si="29"/>
        <v/>
      </c>
      <c r="AD74" s="2620" t="str">
        <f t="shared" ca="1" si="29"/>
        <v/>
      </c>
      <c r="AE74" s="2621" t="str">
        <f t="shared" ca="1" si="29"/>
        <v/>
      </c>
      <c r="AF74" s="2624" t="str">
        <f t="shared" ca="1" si="29"/>
        <v/>
      </c>
      <c r="AG74" s="2620" t="str">
        <f t="shared" ca="1" si="29"/>
        <v/>
      </c>
      <c r="AH74" s="2620" t="str">
        <f t="shared" ca="1" si="29"/>
        <v/>
      </c>
      <c r="AI74" s="2621" t="str">
        <f t="shared" ca="1" si="29"/>
        <v/>
      </c>
      <c r="AJ74" s="2624" t="str">
        <f t="shared" ca="1" si="32"/>
        <v/>
      </c>
      <c r="AK74" s="2620" t="str">
        <f t="shared" ca="1" si="32"/>
        <v/>
      </c>
      <c r="AL74" s="2620" t="str">
        <f t="shared" ca="1" si="32"/>
        <v/>
      </c>
      <c r="AM74" s="2620" t="str">
        <f t="shared" ca="1" si="32"/>
        <v/>
      </c>
      <c r="AN74" s="2621" t="str">
        <f t="shared" ca="1" si="32"/>
        <v/>
      </c>
      <c r="AO74" s="2624" t="str">
        <f t="shared" ca="1" si="32"/>
        <v/>
      </c>
      <c r="AP74" s="2620" t="str">
        <f t="shared" ca="1" si="32"/>
        <v/>
      </c>
      <c r="AQ74" s="2620" t="str">
        <f t="shared" ca="1" si="32"/>
        <v/>
      </c>
      <c r="AR74" s="2621" t="str">
        <f t="shared" ca="1" si="32"/>
        <v/>
      </c>
      <c r="AS74" s="2624" t="str">
        <f t="shared" ca="1" si="32"/>
        <v/>
      </c>
      <c r="AT74" s="2620" t="str">
        <f t="shared" ca="1" si="32"/>
        <v/>
      </c>
      <c r="AU74" s="2620" t="str">
        <f t="shared" ca="1" si="32"/>
        <v/>
      </c>
      <c r="AV74" s="2621" t="str">
        <f t="shared" ca="1" si="32"/>
        <v/>
      </c>
      <c r="AW74" s="2624" t="str">
        <f t="shared" ca="1" si="32"/>
        <v/>
      </c>
      <c r="AX74" s="2620" t="str">
        <f t="shared" ca="1" si="32"/>
        <v/>
      </c>
      <c r="AY74" s="2620" t="str">
        <f t="shared" ca="1" si="32"/>
        <v/>
      </c>
      <c r="AZ74" s="2621" t="str">
        <f t="shared" ca="1" si="31"/>
        <v/>
      </c>
      <c r="BA74" s="2620" t="str">
        <f t="shared" ca="1" si="31"/>
        <v/>
      </c>
      <c r="BB74" s="2620" t="str">
        <f t="shared" ca="1" si="31"/>
        <v/>
      </c>
      <c r="BC74" s="2620" t="str">
        <f t="shared" ca="1" si="31"/>
        <v/>
      </c>
      <c r="BD74" s="2620" t="str">
        <f t="shared" ca="1" si="31"/>
        <v/>
      </c>
      <c r="BE74" s="2625"/>
      <c r="BF74" s="2766"/>
      <c r="BG74" s="2766"/>
      <c r="BH74" s="2766"/>
      <c r="BI74" s="2514">
        <f t="shared" si="12"/>
        <v>67207</v>
      </c>
      <c r="BJ74" s="2516">
        <f t="shared" si="13"/>
        <v>64</v>
      </c>
      <c r="BK74" s="2499">
        <f t="shared" si="6"/>
        <v>2084</v>
      </c>
      <c r="BN74" s="2367">
        <f t="shared" si="7"/>
        <v>64</v>
      </c>
      <c r="BO74" s="2500" t="str">
        <f t="shared" si="8"/>
        <v>1/0/2084</v>
      </c>
      <c r="BP74" s="2501">
        <f t="shared" ref="BP74:BP99" ca="1" si="33">COUNTIF(E74:BD74,"X")</f>
        <v>0</v>
      </c>
      <c r="BQ74" s="2367">
        <v>52</v>
      </c>
      <c r="BR74" s="2502">
        <f t="shared" ref="BR74:BR99" si="34">BQ74/$BQ$100</f>
        <v>1.1111111111111112E-2</v>
      </c>
      <c r="BS74" s="2503">
        <f t="shared" ca="1" si="9"/>
        <v>0</v>
      </c>
      <c r="BT74"/>
      <c r="CB74" s="2370"/>
    </row>
    <row r="75" spans="1:80" ht="13" customHeight="1" thickBot="1" x14ac:dyDescent="0.4">
      <c r="A75" s="2943"/>
      <c r="B75" s="2646">
        <f t="shared" si="24"/>
        <v>2085</v>
      </c>
      <c r="C75" s="2647">
        <f t="shared" ref="C75:C109" si="35">IF(C74="","",IF(DATEDIF($E$1,$A$3,"Y")&lt;90,C74+1,""))</f>
        <v>65</v>
      </c>
      <c r="D75" s="2627" t="str">
        <f ca="1">IF(BS75=0,"",SUM(BS$10:BS75))</f>
        <v/>
      </c>
      <c r="E75" s="2628" t="str">
        <f t="shared" ca="1" si="30"/>
        <v/>
      </c>
      <c r="F75" s="2629" t="str">
        <f t="shared" ca="1" si="30"/>
        <v/>
      </c>
      <c r="G75" s="2630" t="str">
        <f t="shared" ca="1" si="30"/>
        <v/>
      </c>
      <c r="H75" s="2630" t="str">
        <f t="shared" ca="1" si="30"/>
        <v/>
      </c>
      <c r="I75" s="2631" t="str">
        <f t="shared" ca="1" si="30"/>
        <v/>
      </c>
      <c r="J75" s="2632" t="str">
        <f t="shared" ca="1" si="30"/>
        <v/>
      </c>
      <c r="K75" s="2630" t="str">
        <f t="shared" ca="1" si="30"/>
        <v/>
      </c>
      <c r="L75" s="2630" t="str">
        <f t="shared" ca="1" si="30"/>
        <v/>
      </c>
      <c r="M75" s="2631" t="str">
        <f t="shared" ca="1" si="30"/>
        <v/>
      </c>
      <c r="N75" s="2633" t="str">
        <f t="shared" ca="1" si="30"/>
        <v/>
      </c>
      <c r="O75" s="2630" t="str">
        <f t="shared" ca="1" si="30"/>
        <v/>
      </c>
      <c r="P75" s="2630" t="str">
        <f t="shared" ca="1" si="30"/>
        <v/>
      </c>
      <c r="Q75" s="2631" t="str">
        <f t="shared" ca="1" si="30"/>
        <v/>
      </c>
      <c r="R75" s="2634" t="str">
        <f t="shared" ca="1" si="30"/>
        <v/>
      </c>
      <c r="S75" s="2630" t="str">
        <f t="shared" ca="1" si="30"/>
        <v/>
      </c>
      <c r="T75" s="2630" t="str">
        <f t="shared" ca="1" si="30"/>
        <v/>
      </c>
      <c r="U75" s="2631" t="str">
        <f t="shared" ca="1" si="29"/>
        <v/>
      </c>
      <c r="V75" s="2634" t="str">
        <f t="shared" ca="1" si="29"/>
        <v/>
      </c>
      <c r="W75" s="2630" t="str">
        <f t="shared" ca="1" si="29"/>
        <v/>
      </c>
      <c r="X75" s="2630" t="str">
        <f t="shared" ca="1" si="29"/>
        <v/>
      </c>
      <c r="Y75" s="2630" t="str">
        <f t="shared" ca="1" si="29"/>
        <v/>
      </c>
      <c r="Z75" s="2630" t="str">
        <f t="shared" ca="1" si="29"/>
        <v/>
      </c>
      <c r="AA75" s="2631" t="str">
        <f t="shared" ca="1" si="29"/>
        <v/>
      </c>
      <c r="AB75" s="2634" t="str">
        <f t="shared" ca="1" si="29"/>
        <v/>
      </c>
      <c r="AC75" s="2630" t="str">
        <f t="shared" ca="1" si="29"/>
        <v/>
      </c>
      <c r="AD75" s="2630" t="str">
        <f t="shared" ca="1" si="29"/>
        <v/>
      </c>
      <c r="AE75" s="2631" t="str">
        <f t="shared" ca="1" si="29"/>
        <v/>
      </c>
      <c r="AF75" s="2634" t="str">
        <f t="shared" ca="1" si="29"/>
        <v/>
      </c>
      <c r="AG75" s="2630" t="str">
        <f t="shared" ca="1" si="29"/>
        <v/>
      </c>
      <c r="AH75" s="2630" t="str">
        <f t="shared" ca="1" si="29"/>
        <v/>
      </c>
      <c r="AI75" s="2631" t="str">
        <f t="shared" ca="1" si="29"/>
        <v/>
      </c>
      <c r="AJ75" s="2634" t="str">
        <f t="shared" ca="1" si="32"/>
        <v/>
      </c>
      <c r="AK75" s="2630" t="str">
        <f t="shared" ca="1" si="32"/>
        <v/>
      </c>
      <c r="AL75" s="2630" t="str">
        <f t="shared" ca="1" si="32"/>
        <v/>
      </c>
      <c r="AM75" s="2630" t="str">
        <f t="shared" ca="1" si="32"/>
        <v/>
      </c>
      <c r="AN75" s="2631" t="str">
        <f t="shared" ca="1" si="32"/>
        <v/>
      </c>
      <c r="AO75" s="2634" t="str">
        <f t="shared" ca="1" si="32"/>
        <v/>
      </c>
      <c r="AP75" s="2630" t="str">
        <f t="shared" ca="1" si="32"/>
        <v/>
      </c>
      <c r="AQ75" s="2630" t="str">
        <f t="shared" ca="1" si="32"/>
        <v/>
      </c>
      <c r="AR75" s="2631" t="str">
        <f t="shared" ca="1" si="32"/>
        <v/>
      </c>
      <c r="AS75" s="2634" t="str">
        <f t="shared" ca="1" si="32"/>
        <v/>
      </c>
      <c r="AT75" s="2630" t="str">
        <f t="shared" ca="1" si="32"/>
        <v/>
      </c>
      <c r="AU75" s="2630" t="str">
        <f t="shared" ca="1" si="32"/>
        <v/>
      </c>
      <c r="AV75" s="2631" t="str">
        <f t="shared" ca="1" si="32"/>
        <v/>
      </c>
      <c r="AW75" s="2634" t="str">
        <f t="shared" ca="1" si="32"/>
        <v/>
      </c>
      <c r="AX75" s="2630" t="str">
        <f t="shared" ca="1" si="32"/>
        <v/>
      </c>
      <c r="AY75" s="2630" t="str">
        <f t="shared" ca="1" si="32"/>
        <v/>
      </c>
      <c r="AZ75" s="2631" t="str">
        <f t="shared" ca="1" si="31"/>
        <v/>
      </c>
      <c r="BA75" s="2630" t="str">
        <f t="shared" ca="1" si="31"/>
        <v/>
      </c>
      <c r="BB75" s="2630" t="str">
        <f t="shared" ca="1" si="31"/>
        <v/>
      </c>
      <c r="BC75" s="2630" t="str">
        <f t="shared" ca="1" si="31"/>
        <v/>
      </c>
      <c r="BD75" s="2630" t="str">
        <f t="shared" ca="1" si="31"/>
        <v/>
      </c>
      <c r="BE75" s="2648"/>
      <c r="BF75" s="2767"/>
      <c r="BG75" s="2767"/>
      <c r="BH75" s="2767"/>
      <c r="BI75" s="2514">
        <f t="shared" si="12"/>
        <v>67573</v>
      </c>
      <c r="BJ75" s="2516">
        <f t="shared" si="13"/>
        <v>65</v>
      </c>
      <c r="BK75" s="2499">
        <f t="shared" ref="BK75:BK109" si="36">YEAR(BI75)</f>
        <v>2085</v>
      </c>
      <c r="BN75" s="2367">
        <f t="shared" ref="BN75:BN99" si="37">C75</f>
        <v>65</v>
      </c>
      <c r="BO75" s="2500" t="str">
        <f t="shared" ref="BO75:BO98" si="38">MONTH($C$2)&amp;"/"&amp;DAY($C$2)&amp;"/"&amp;B75</f>
        <v>1/0/2085</v>
      </c>
      <c r="BP75" s="2501">
        <f t="shared" ca="1" si="33"/>
        <v>0</v>
      </c>
      <c r="BQ75" s="2367">
        <v>52</v>
      </c>
      <c r="BR75" s="2502">
        <f t="shared" si="34"/>
        <v>1.1111111111111112E-2</v>
      </c>
      <c r="BS75" s="2503">
        <f t="shared" ref="BS75:BS99" ca="1" si="39">(BP75/BQ75)*BR75</f>
        <v>0</v>
      </c>
      <c r="BT75"/>
      <c r="CB75" s="2370"/>
    </row>
    <row r="76" spans="1:80" ht="13" customHeight="1" x14ac:dyDescent="0.35">
      <c r="A76" s="2943"/>
      <c r="B76" s="2649">
        <f t="shared" ref="B76:B109" si="40">IF(B75="","",IF(DATEDIF($E$1,$A$3,"Y")&lt;90,B75+1,""))</f>
        <v>2086</v>
      </c>
      <c r="C76" s="2650">
        <f t="shared" si="35"/>
        <v>66</v>
      </c>
      <c r="D76" s="2651" t="str">
        <f ca="1">IF(BS76=0,"",SUM(BS$10:BS76))</f>
        <v/>
      </c>
      <c r="E76" s="2652" t="str">
        <f t="shared" ca="1" si="30"/>
        <v/>
      </c>
      <c r="F76" s="2653" t="str">
        <f t="shared" ca="1" si="30"/>
        <v/>
      </c>
      <c r="G76" s="2654" t="str">
        <f t="shared" ca="1" si="30"/>
        <v/>
      </c>
      <c r="H76" s="2654" t="str">
        <f t="shared" ca="1" si="30"/>
        <v/>
      </c>
      <c r="I76" s="2655" t="str">
        <f t="shared" ca="1" si="30"/>
        <v/>
      </c>
      <c r="J76" s="2656" t="str">
        <f t="shared" ca="1" si="30"/>
        <v/>
      </c>
      <c r="K76" s="2654" t="str">
        <f t="shared" ca="1" si="30"/>
        <v/>
      </c>
      <c r="L76" s="2654" t="str">
        <f t="shared" ca="1" si="30"/>
        <v/>
      </c>
      <c r="M76" s="2655" t="str">
        <f t="shared" ca="1" si="30"/>
        <v/>
      </c>
      <c r="N76" s="2657" t="str">
        <f t="shared" ca="1" si="30"/>
        <v/>
      </c>
      <c r="O76" s="2654" t="str">
        <f t="shared" ca="1" si="30"/>
        <v/>
      </c>
      <c r="P76" s="2654" t="str">
        <f t="shared" ca="1" si="30"/>
        <v/>
      </c>
      <c r="Q76" s="2655" t="str">
        <f t="shared" ca="1" si="30"/>
        <v/>
      </c>
      <c r="R76" s="2658" t="str">
        <f t="shared" ca="1" si="30"/>
        <v/>
      </c>
      <c r="S76" s="2654" t="str">
        <f t="shared" ca="1" si="30"/>
        <v/>
      </c>
      <c r="T76" s="2654" t="str">
        <f t="shared" ca="1" si="30"/>
        <v/>
      </c>
      <c r="U76" s="2655" t="str">
        <f t="shared" ca="1" si="29"/>
        <v/>
      </c>
      <c r="V76" s="2658" t="str">
        <f t="shared" ca="1" si="29"/>
        <v/>
      </c>
      <c r="W76" s="2654" t="str">
        <f t="shared" ca="1" si="29"/>
        <v/>
      </c>
      <c r="X76" s="2654" t="str">
        <f t="shared" ca="1" si="29"/>
        <v/>
      </c>
      <c r="Y76" s="2654" t="str">
        <f t="shared" ca="1" si="29"/>
        <v/>
      </c>
      <c r="Z76" s="2654" t="str">
        <f t="shared" ca="1" si="29"/>
        <v/>
      </c>
      <c r="AA76" s="2655" t="str">
        <f t="shared" ca="1" si="29"/>
        <v/>
      </c>
      <c r="AB76" s="2658" t="str">
        <f t="shared" ca="1" si="29"/>
        <v/>
      </c>
      <c r="AC76" s="2654" t="str">
        <f t="shared" ca="1" si="29"/>
        <v/>
      </c>
      <c r="AD76" s="2654" t="str">
        <f t="shared" ca="1" si="29"/>
        <v/>
      </c>
      <c r="AE76" s="2655" t="str">
        <f t="shared" ca="1" si="29"/>
        <v/>
      </c>
      <c r="AF76" s="2658" t="str">
        <f t="shared" ca="1" si="29"/>
        <v/>
      </c>
      <c r="AG76" s="2654" t="str">
        <f t="shared" ca="1" si="29"/>
        <v/>
      </c>
      <c r="AH76" s="2654" t="str">
        <f t="shared" ca="1" si="29"/>
        <v/>
      </c>
      <c r="AI76" s="2655" t="str">
        <f t="shared" ca="1" si="29"/>
        <v/>
      </c>
      <c r="AJ76" s="2658" t="str">
        <f t="shared" ca="1" si="32"/>
        <v/>
      </c>
      <c r="AK76" s="2654" t="str">
        <f t="shared" ca="1" si="32"/>
        <v/>
      </c>
      <c r="AL76" s="2654" t="str">
        <f t="shared" ca="1" si="32"/>
        <v/>
      </c>
      <c r="AM76" s="2654" t="str">
        <f t="shared" ca="1" si="32"/>
        <v/>
      </c>
      <c r="AN76" s="2655" t="str">
        <f t="shared" ca="1" si="32"/>
        <v/>
      </c>
      <c r="AO76" s="2658" t="str">
        <f t="shared" ca="1" si="32"/>
        <v/>
      </c>
      <c r="AP76" s="2654" t="str">
        <f t="shared" ca="1" si="32"/>
        <v/>
      </c>
      <c r="AQ76" s="2654" t="str">
        <f t="shared" ca="1" si="32"/>
        <v/>
      </c>
      <c r="AR76" s="2655" t="str">
        <f t="shared" ca="1" si="32"/>
        <v/>
      </c>
      <c r="AS76" s="2658" t="str">
        <f t="shared" ca="1" si="32"/>
        <v/>
      </c>
      <c r="AT76" s="2654" t="str">
        <f t="shared" ca="1" si="32"/>
        <v/>
      </c>
      <c r="AU76" s="2654" t="str">
        <f t="shared" ca="1" si="32"/>
        <v/>
      </c>
      <c r="AV76" s="2655" t="str">
        <f t="shared" ca="1" si="32"/>
        <v/>
      </c>
      <c r="AW76" s="2658" t="str">
        <f t="shared" ca="1" si="32"/>
        <v/>
      </c>
      <c r="AX76" s="2654" t="str">
        <f t="shared" ca="1" si="32"/>
        <v/>
      </c>
      <c r="AY76" s="2654" t="str">
        <f t="shared" ca="1" si="32"/>
        <v/>
      </c>
      <c r="AZ76" s="2655" t="str">
        <f t="shared" ca="1" si="31"/>
        <v/>
      </c>
      <c r="BA76" s="2654" t="str">
        <f t="shared" ca="1" si="31"/>
        <v/>
      </c>
      <c r="BB76" s="2654" t="str">
        <f t="shared" ca="1" si="31"/>
        <v/>
      </c>
      <c r="BC76" s="2654" t="str">
        <f t="shared" ca="1" si="31"/>
        <v/>
      </c>
      <c r="BD76" s="2655" t="str">
        <f t="shared" ca="1" si="31"/>
        <v/>
      </c>
      <c r="BE76" s="2659" t="s">
        <v>0</v>
      </c>
      <c r="BF76" s="2768"/>
      <c r="BG76" s="2768"/>
      <c r="BH76" s="2768"/>
      <c r="BI76" s="2514">
        <f t="shared" ref="BI76:BI109" si="41">DATE(YEAR($E$1)+BJ76,MONTH($E$1),DAY($E$1))</f>
        <v>67938</v>
      </c>
      <c r="BJ76" s="2516">
        <f t="shared" si="13"/>
        <v>66</v>
      </c>
      <c r="BK76" s="2499">
        <f t="shared" si="36"/>
        <v>2086</v>
      </c>
      <c r="BN76" s="2367">
        <f t="shared" si="37"/>
        <v>66</v>
      </c>
      <c r="BO76" s="2500" t="str">
        <f t="shared" si="38"/>
        <v>1/0/2086</v>
      </c>
      <c r="BP76" s="2501">
        <f t="shared" ca="1" si="33"/>
        <v>0</v>
      </c>
      <c r="BQ76" s="2367">
        <v>52</v>
      </c>
      <c r="BR76" s="2502">
        <f t="shared" si="34"/>
        <v>1.1111111111111112E-2</v>
      </c>
      <c r="BS76" s="2503">
        <f t="shared" ca="1" si="39"/>
        <v>0</v>
      </c>
      <c r="BT76"/>
      <c r="CB76" s="2370"/>
    </row>
    <row r="77" spans="1:80" ht="13" customHeight="1" x14ac:dyDescent="0.35">
      <c r="A77" s="2943"/>
      <c r="B77" s="2660">
        <f t="shared" si="40"/>
        <v>2087</v>
      </c>
      <c r="C77" s="2661">
        <f t="shared" si="35"/>
        <v>67</v>
      </c>
      <c r="D77" s="2662" t="str">
        <f ca="1">IF(BS77=0,"",SUM(BS$10:BS77))</f>
        <v/>
      </c>
      <c r="E77" s="2663" t="str">
        <f t="shared" ca="1" si="30"/>
        <v/>
      </c>
      <c r="F77" s="2664" t="str">
        <f t="shared" ca="1" si="30"/>
        <v/>
      </c>
      <c r="G77" s="2665" t="str">
        <f t="shared" ca="1" si="30"/>
        <v/>
      </c>
      <c r="H77" s="2665" t="str">
        <f t="shared" ca="1" si="30"/>
        <v/>
      </c>
      <c r="I77" s="2666" t="str">
        <f t="shared" ca="1" si="30"/>
        <v/>
      </c>
      <c r="J77" s="2667" t="str">
        <f t="shared" ca="1" si="30"/>
        <v/>
      </c>
      <c r="K77" s="2665" t="str">
        <f t="shared" ca="1" si="30"/>
        <v/>
      </c>
      <c r="L77" s="2665" t="str">
        <f t="shared" ca="1" si="30"/>
        <v/>
      </c>
      <c r="M77" s="2666" t="str">
        <f t="shared" ca="1" si="30"/>
        <v/>
      </c>
      <c r="N77" s="2668" t="str">
        <f t="shared" ca="1" si="30"/>
        <v/>
      </c>
      <c r="O77" s="2665" t="str">
        <f t="shared" ca="1" si="30"/>
        <v/>
      </c>
      <c r="P77" s="2665" t="str">
        <f t="shared" ca="1" si="30"/>
        <v/>
      </c>
      <c r="Q77" s="2666" t="str">
        <f t="shared" ca="1" si="30"/>
        <v/>
      </c>
      <c r="R77" s="2669" t="str">
        <f t="shared" ca="1" si="30"/>
        <v/>
      </c>
      <c r="S77" s="2665" t="str">
        <f t="shared" ca="1" si="30"/>
        <v/>
      </c>
      <c r="T77" s="2665" t="str">
        <f t="shared" ca="1" si="30"/>
        <v/>
      </c>
      <c r="U77" s="2666" t="str">
        <f t="shared" ca="1" si="29"/>
        <v/>
      </c>
      <c r="V77" s="2669" t="str">
        <f t="shared" ca="1" si="29"/>
        <v/>
      </c>
      <c r="W77" s="2665" t="str">
        <f t="shared" ca="1" si="29"/>
        <v/>
      </c>
      <c r="X77" s="2665" t="str">
        <f t="shared" ca="1" si="29"/>
        <v/>
      </c>
      <c r="Y77" s="2665" t="str">
        <f t="shared" ca="1" si="29"/>
        <v/>
      </c>
      <c r="Z77" s="2665" t="str">
        <f t="shared" ca="1" si="29"/>
        <v/>
      </c>
      <c r="AA77" s="2666" t="str">
        <f t="shared" ca="1" si="29"/>
        <v/>
      </c>
      <c r="AB77" s="2669" t="str">
        <f t="shared" ca="1" si="29"/>
        <v/>
      </c>
      <c r="AC77" s="2665" t="str">
        <f t="shared" ca="1" si="29"/>
        <v/>
      </c>
      <c r="AD77" s="2665" t="str">
        <f t="shared" ca="1" si="29"/>
        <v/>
      </c>
      <c r="AE77" s="2666" t="str">
        <f t="shared" ca="1" si="29"/>
        <v/>
      </c>
      <c r="AF77" s="2669" t="str">
        <f t="shared" ca="1" si="29"/>
        <v/>
      </c>
      <c r="AG77" s="2665" t="str">
        <f t="shared" ca="1" si="29"/>
        <v/>
      </c>
      <c r="AH77" s="2665" t="str">
        <f t="shared" ca="1" si="29"/>
        <v/>
      </c>
      <c r="AI77" s="2666" t="str">
        <f t="shared" ca="1" si="29"/>
        <v/>
      </c>
      <c r="AJ77" s="2669" t="str">
        <f t="shared" ca="1" si="32"/>
        <v/>
      </c>
      <c r="AK77" s="2665" t="str">
        <f t="shared" ca="1" si="32"/>
        <v/>
      </c>
      <c r="AL77" s="2665" t="str">
        <f t="shared" ca="1" si="32"/>
        <v/>
      </c>
      <c r="AM77" s="2665" t="str">
        <f t="shared" ca="1" si="32"/>
        <v/>
      </c>
      <c r="AN77" s="2666" t="str">
        <f t="shared" ca="1" si="32"/>
        <v/>
      </c>
      <c r="AO77" s="2669" t="str">
        <f t="shared" ca="1" si="32"/>
        <v/>
      </c>
      <c r="AP77" s="2665" t="str">
        <f t="shared" ca="1" si="32"/>
        <v/>
      </c>
      <c r="AQ77" s="2665" t="str">
        <f t="shared" ca="1" si="32"/>
        <v/>
      </c>
      <c r="AR77" s="2666" t="str">
        <f t="shared" ca="1" si="32"/>
        <v/>
      </c>
      <c r="AS77" s="2669" t="str">
        <f t="shared" ca="1" si="32"/>
        <v/>
      </c>
      <c r="AT77" s="2665" t="str">
        <f t="shared" ca="1" si="32"/>
        <v/>
      </c>
      <c r="AU77" s="2665" t="str">
        <f t="shared" ca="1" si="32"/>
        <v/>
      </c>
      <c r="AV77" s="2666" t="str">
        <f t="shared" ca="1" si="32"/>
        <v/>
      </c>
      <c r="AW77" s="2669" t="str">
        <f t="shared" ca="1" si="32"/>
        <v/>
      </c>
      <c r="AX77" s="2665" t="str">
        <f t="shared" ca="1" si="32"/>
        <v/>
      </c>
      <c r="AY77" s="2665" t="str">
        <f t="shared" ca="1" si="32"/>
        <v/>
      </c>
      <c r="AZ77" s="2666" t="str">
        <f t="shared" ca="1" si="31"/>
        <v/>
      </c>
      <c r="BA77" s="2665" t="str">
        <f t="shared" ca="1" si="31"/>
        <v/>
      </c>
      <c r="BB77" s="2665" t="str">
        <f t="shared" ca="1" si="31"/>
        <v/>
      </c>
      <c r="BC77" s="2665" t="str">
        <f t="shared" ca="1" si="31"/>
        <v/>
      </c>
      <c r="BD77" s="2666" t="str">
        <f t="shared" ca="1" si="31"/>
        <v/>
      </c>
      <c r="BE77" s="2670"/>
      <c r="BF77" s="2769"/>
      <c r="BG77" s="2769"/>
      <c r="BH77" s="2769"/>
      <c r="BI77" s="2514">
        <f t="shared" si="41"/>
        <v>68303</v>
      </c>
      <c r="BJ77" s="2516">
        <f t="shared" ref="BJ77:BJ109" si="42">BJ76+1</f>
        <v>67</v>
      </c>
      <c r="BK77" s="2499">
        <f t="shared" si="36"/>
        <v>2087</v>
      </c>
      <c r="BN77" s="2367">
        <f t="shared" si="37"/>
        <v>67</v>
      </c>
      <c r="BO77" s="2500" t="str">
        <f t="shared" si="38"/>
        <v>1/0/2087</v>
      </c>
      <c r="BP77" s="2501">
        <f t="shared" ca="1" si="33"/>
        <v>0</v>
      </c>
      <c r="BQ77" s="2367">
        <v>52</v>
      </c>
      <c r="BR77" s="2502">
        <f t="shared" si="34"/>
        <v>1.1111111111111112E-2</v>
      </c>
      <c r="BS77" s="2503">
        <f t="shared" ca="1" si="39"/>
        <v>0</v>
      </c>
      <c r="BT77"/>
      <c r="CB77" s="2370"/>
    </row>
    <row r="78" spans="1:80" ht="13" customHeight="1" x14ac:dyDescent="0.35">
      <c r="A78" s="2943"/>
      <c r="B78" s="2660">
        <f t="shared" si="40"/>
        <v>2088</v>
      </c>
      <c r="C78" s="2661">
        <f t="shared" si="35"/>
        <v>68</v>
      </c>
      <c r="D78" s="2662" t="str">
        <f ca="1">IF(BS78=0,"",SUM(BS$10:BS78))</f>
        <v/>
      </c>
      <c r="E78" s="2663" t="str">
        <f t="shared" ca="1" si="30"/>
        <v/>
      </c>
      <c r="F78" s="2664" t="str">
        <f t="shared" ca="1" si="30"/>
        <v/>
      </c>
      <c r="G78" s="2665" t="str">
        <f t="shared" ca="1" si="30"/>
        <v/>
      </c>
      <c r="H78" s="2665" t="str">
        <f t="shared" ca="1" si="30"/>
        <v/>
      </c>
      <c r="I78" s="2666" t="str">
        <f t="shared" ca="1" si="30"/>
        <v/>
      </c>
      <c r="J78" s="2667" t="str">
        <f t="shared" ca="1" si="30"/>
        <v/>
      </c>
      <c r="K78" s="2665" t="str">
        <f t="shared" ca="1" si="30"/>
        <v/>
      </c>
      <c r="L78" s="2665" t="str">
        <f t="shared" ca="1" si="30"/>
        <v/>
      </c>
      <c r="M78" s="2666" t="str">
        <f t="shared" ca="1" si="30"/>
        <v/>
      </c>
      <c r="N78" s="2668" t="str">
        <f t="shared" ca="1" si="30"/>
        <v/>
      </c>
      <c r="O78" s="2665" t="str">
        <f t="shared" ca="1" si="30"/>
        <v/>
      </c>
      <c r="P78" s="2665" t="str">
        <f t="shared" ca="1" si="30"/>
        <v/>
      </c>
      <c r="Q78" s="2666" t="str">
        <f t="shared" ca="1" si="30"/>
        <v/>
      </c>
      <c r="R78" s="2669" t="str">
        <f t="shared" ca="1" si="30"/>
        <v/>
      </c>
      <c r="S78" s="2665" t="str">
        <f t="shared" ca="1" si="30"/>
        <v/>
      </c>
      <c r="T78" s="2665" t="str">
        <f t="shared" ca="1" si="30"/>
        <v/>
      </c>
      <c r="U78" s="2666" t="str">
        <f t="shared" ca="1" si="29"/>
        <v/>
      </c>
      <c r="V78" s="2669" t="str">
        <f t="shared" ca="1" si="29"/>
        <v/>
      </c>
      <c r="W78" s="2665" t="str">
        <f t="shared" ca="1" si="29"/>
        <v/>
      </c>
      <c r="X78" s="2665" t="str">
        <f t="shared" ca="1" si="29"/>
        <v/>
      </c>
      <c r="Y78" s="2665" t="str">
        <f t="shared" ca="1" si="29"/>
        <v/>
      </c>
      <c r="Z78" s="2665" t="str">
        <f t="shared" ca="1" si="29"/>
        <v/>
      </c>
      <c r="AA78" s="2666" t="str">
        <f t="shared" ca="1" si="29"/>
        <v/>
      </c>
      <c r="AB78" s="2669" t="str">
        <f t="shared" ca="1" si="29"/>
        <v/>
      </c>
      <c r="AC78" s="2665" t="str">
        <f t="shared" ca="1" si="29"/>
        <v/>
      </c>
      <c r="AD78" s="2665" t="str">
        <f t="shared" ca="1" si="29"/>
        <v/>
      </c>
      <c r="AE78" s="2666" t="str">
        <f t="shared" ca="1" si="29"/>
        <v/>
      </c>
      <c r="AF78" s="2669" t="str">
        <f t="shared" ca="1" si="29"/>
        <v/>
      </c>
      <c r="AG78" s="2665" t="str">
        <f t="shared" ca="1" si="29"/>
        <v/>
      </c>
      <c r="AH78" s="2665" t="str">
        <f t="shared" ca="1" si="29"/>
        <v/>
      </c>
      <c r="AI78" s="2666" t="str">
        <f t="shared" ca="1" si="29"/>
        <v/>
      </c>
      <c r="AJ78" s="2669" t="str">
        <f t="shared" ca="1" si="32"/>
        <v/>
      </c>
      <c r="AK78" s="2665" t="str">
        <f t="shared" ca="1" si="32"/>
        <v/>
      </c>
      <c r="AL78" s="2665" t="str">
        <f t="shared" ca="1" si="32"/>
        <v/>
      </c>
      <c r="AM78" s="2665" t="str">
        <f t="shared" ca="1" si="32"/>
        <v/>
      </c>
      <c r="AN78" s="2666" t="str">
        <f t="shared" ca="1" si="32"/>
        <v/>
      </c>
      <c r="AO78" s="2669" t="str">
        <f t="shared" ca="1" si="32"/>
        <v/>
      </c>
      <c r="AP78" s="2665" t="str">
        <f t="shared" ca="1" si="32"/>
        <v/>
      </c>
      <c r="AQ78" s="2665" t="str">
        <f t="shared" ca="1" si="32"/>
        <v/>
      </c>
      <c r="AR78" s="2666" t="str">
        <f t="shared" ca="1" si="32"/>
        <v/>
      </c>
      <c r="AS78" s="2669" t="str">
        <f t="shared" ca="1" si="32"/>
        <v/>
      </c>
      <c r="AT78" s="2665" t="str">
        <f t="shared" ca="1" si="32"/>
        <v/>
      </c>
      <c r="AU78" s="2665" t="str">
        <f t="shared" ca="1" si="32"/>
        <v/>
      </c>
      <c r="AV78" s="2666" t="str">
        <f t="shared" ca="1" si="32"/>
        <v/>
      </c>
      <c r="AW78" s="2669" t="str">
        <f t="shared" ca="1" si="32"/>
        <v/>
      </c>
      <c r="AX78" s="2665" t="str">
        <f t="shared" ca="1" si="32"/>
        <v/>
      </c>
      <c r="AY78" s="2665" t="str">
        <f t="shared" ca="1" si="32"/>
        <v/>
      </c>
      <c r="AZ78" s="2666" t="str">
        <f t="shared" ca="1" si="31"/>
        <v/>
      </c>
      <c r="BA78" s="2665" t="str">
        <f t="shared" ca="1" si="31"/>
        <v/>
      </c>
      <c r="BB78" s="2665" t="str">
        <f t="shared" ca="1" si="31"/>
        <v/>
      </c>
      <c r="BC78" s="2665" t="str">
        <f t="shared" ca="1" si="31"/>
        <v/>
      </c>
      <c r="BD78" s="2666" t="str">
        <f t="shared" ca="1" si="31"/>
        <v/>
      </c>
      <c r="BE78" s="2670"/>
      <c r="BF78" s="2769"/>
      <c r="BG78" s="2769"/>
      <c r="BH78" s="2769"/>
      <c r="BI78" s="2514">
        <f t="shared" si="41"/>
        <v>68668</v>
      </c>
      <c r="BJ78" s="2516">
        <f t="shared" si="42"/>
        <v>68</v>
      </c>
      <c r="BK78" s="2499">
        <f t="shared" si="36"/>
        <v>2088</v>
      </c>
      <c r="BN78" s="2367">
        <f t="shared" si="37"/>
        <v>68</v>
      </c>
      <c r="BO78" s="2500" t="str">
        <f t="shared" si="38"/>
        <v>1/0/2088</v>
      </c>
      <c r="BP78" s="2501">
        <f t="shared" ca="1" si="33"/>
        <v>0</v>
      </c>
      <c r="BQ78" s="2367">
        <v>52</v>
      </c>
      <c r="BR78" s="2502">
        <f t="shared" si="34"/>
        <v>1.1111111111111112E-2</v>
      </c>
      <c r="BS78" s="2503">
        <f t="shared" ca="1" si="39"/>
        <v>0</v>
      </c>
      <c r="BT78"/>
      <c r="CB78" s="2370"/>
    </row>
    <row r="79" spans="1:80" ht="13" customHeight="1" thickBot="1" x14ac:dyDescent="0.4">
      <c r="A79" s="2944"/>
      <c r="B79" s="2671">
        <f t="shared" si="40"/>
        <v>2089</v>
      </c>
      <c r="C79" s="2672">
        <f t="shared" si="35"/>
        <v>69</v>
      </c>
      <c r="D79" s="2673" t="str">
        <f ca="1">IF(BS79=0,"",SUM(BS$10:BS79))</f>
        <v/>
      </c>
      <c r="E79" s="2674" t="str">
        <f t="shared" ca="1" si="30"/>
        <v/>
      </c>
      <c r="F79" s="2675" t="str">
        <f t="shared" ca="1" si="30"/>
        <v/>
      </c>
      <c r="G79" s="2676" t="str">
        <f t="shared" ca="1" si="30"/>
        <v/>
      </c>
      <c r="H79" s="2676" t="str">
        <f t="shared" ca="1" si="30"/>
        <v/>
      </c>
      <c r="I79" s="2677" t="str">
        <f t="shared" ca="1" si="30"/>
        <v/>
      </c>
      <c r="J79" s="2678" t="str">
        <f t="shared" ca="1" si="30"/>
        <v/>
      </c>
      <c r="K79" s="2676" t="str">
        <f t="shared" ca="1" si="30"/>
        <v/>
      </c>
      <c r="L79" s="2676" t="str">
        <f t="shared" ca="1" si="30"/>
        <v/>
      </c>
      <c r="M79" s="2677" t="str">
        <f t="shared" ca="1" si="30"/>
        <v/>
      </c>
      <c r="N79" s="2679" t="str">
        <f t="shared" ca="1" si="30"/>
        <v/>
      </c>
      <c r="O79" s="2676" t="str">
        <f t="shared" ca="1" si="30"/>
        <v/>
      </c>
      <c r="P79" s="2676" t="str">
        <f t="shared" ca="1" si="30"/>
        <v/>
      </c>
      <c r="Q79" s="2677" t="str">
        <f t="shared" ca="1" si="30"/>
        <v/>
      </c>
      <c r="R79" s="2680" t="str">
        <f t="shared" ca="1" si="30"/>
        <v/>
      </c>
      <c r="S79" s="2676" t="str">
        <f t="shared" ca="1" si="30"/>
        <v/>
      </c>
      <c r="T79" s="2676" t="str">
        <f t="shared" ref="T79:AI94" ca="1" si="43">IF(DATE($BK79,T$5,T$6)&lt;=DATE(YEAR($BE$5),MONTH($BE$5),DAY($BE$5)),"X","")</f>
        <v/>
      </c>
      <c r="U79" s="2677" t="str">
        <f t="shared" ca="1" si="43"/>
        <v/>
      </c>
      <c r="V79" s="2680" t="str">
        <f t="shared" ca="1" si="43"/>
        <v/>
      </c>
      <c r="W79" s="2676" t="str">
        <f t="shared" ca="1" si="43"/>
        <v/>
      </c>
      <c r="X79" s="2676" t="str">
        <f t="shared" ca="1" si="43"/>
        <v/>
      </c>
      <c r="Y79" s="2676" t="str">
        <f t="shared" ca="1" si="43"/>
        <v/>
      </c>
      <c r="Z79" s="2676" t="str">
        <f t="shared" ca="1" si="43"/>
        <v/>
      </c>
      <c r="AA79" s="2677" t="str">
        <f t="shared" ca="1" si="43"/>
        <v/>
      </c>
      <c r="AB79" s="2680" t="str">
        <f t="shared" ca="1" si="43"/>
        <v/>
      </c>
      <c r="AC79" s="2676" t="str">
        <f t="shared" ca="1" si="43"/>
        <v/>
      </c>
      <c r="AD79" s="2676" t="str">
        <f t="shared" ca="1" si="43"/>
        <v/>
      </c>
      <c r="AE79" s="2677" t="str">
        <f t="shared" ca="1" si="43"/>
        <v/>
      </c>
      <c r="AF79" s="2680" t="str">
        <f t="shared" ca="1" si="43"/>
        <v/>
      </c>
      <c r="AG79" s="2676" t="str">
        <f t="shared" ca="1" si="43"/>
        <v/>
      </c>
      <c r="AH79" s="2676" t="str">
        <f t="shared" ca="1" si="43"/>
        <v/>
      </c>
      <c r="AI79" s="2677" t="str">
        <f t="shared" ca="1" si="43"/>
        <v/>
      </c>
      <c r="AJ79" s="2680" t="str">
        <f t="shared" ca="1" si="32"/>
        <v/>
      </c>
      <c r="AK79" s="2676" t="str">
        <f t="shared" ca="1" si="32"/>
        <v/>
      </c>
      <c r="AL79" s="2676" t="str">
        <f t="shared" ca="1" si="32"/>
        <v/>
      </c>
      <c r="AM79" s="2676" t="str">
        <f t="shared" ca="1" si="32"/>
        <v/>
      </c>
      <c r="AN79" s="2677" t="str">
        <f t="shared" ca="1" si="32"/>
        <v/>
      </c>
      <c r="AO79" s="2680" t="str">
        <f t="shared" ca="1" si="32"/>
        <v/>
      </c>
      <c r="AP79" s="2676" t="str">
        <f t="shared" ca="1" si="32"/>
        <v/>
      </c>
      <c r="AQ79" s="2676" t="str">
        <f t="shared" ca="1" si="32"/>
        <v/>
      </c>
      <c r="AR79" s="2677" t="str">
        <f t="shared" ca="1" si="32"/>
        <v/>
      </c>
      <c r="AS79" s="2680" t="str">
        <f t="shared" ca="1" si="32"/>
        <v/>
      </c>
      <c r="AT79" s="2676" t="str">
        <f t="shared" ca="1" si="32"/>
        <v/>
      </c>
      <c r="AU79" s="2676" t="str">
        <f t="shared" ca="1" si="32"/>
        <v/>
      </c>
      <c r="AV79" s="2677" t="str">
        <f t="shared" ca="1" si="32"/>
        <v/>
      </c>
      <c r="AW79" s="2680" t="str">
        <f t="shared" ca="1" si="32"/>
        <v/>
      </c>
      <c r="AX79" s="2676" t="str">
        <f t="shared" ca="1" si="32"/>
        <v/>
      </c>
      <c r="AY79" s="2676" t="str">
        <f t="shared" ca="1" si="32"/>
        <v/>
      </c>
      <c r="AZ79" s="2677" t="str">
        <f t="shared" ca="1" si="31"/>
        <v/>
      </c>
      <c r="BA79" s="2676" t="str">
        <f t="shared" ca="1" si="31"/>
        <v/>
      </c>
      <c r="BB79" s="2676" t="str">
        <f t="shared" ca="1" si="31"/>
        <v/>
      </c>
      <c r="BC79" s="2676" t="str">
        <f t="shared" ca="1" si="31"/>
        <v/>
      </c>
      <c r="BD79" s="2677" t="str">
        <f t="shared" ca="1" si="31"/>
        <v/>
      </c>
      <c r="BE79" s="2670"/>
      <c r="BF79" s="2770"/>
      <c r="BG79" s="2770"/>
      <c r="BH79" s="2770"/>
      <c r="BI79" s="2514">
        <f t="shared" si="41"/>
        <v>69034</v>
      </c>
      <c r="BJ79" s="2516">
        <f t="shared" si="42"/>
        <v>69</v>
      </c>
      <c r="BK79" s="2499">
        <f t="shared" si="36"/>
        <v>2089</v>
      </c>
      <c r="BN79" s="2367">
        <f t="shared" si="37"/>
        <v>69</v>
      </c>
      <c r="BO79" s="2500" t="str">
        <f t="shared" si="38"/>
        <v>1/0/2089</v>
      </c>
      <c r="BP79" s="2501">
        <f t="shared" ca="1" si="33"/>
        <v>0</v>
      </c>
      <c r="BQ79" s="2367">
        <v>52</v>
      </c>
      <c r="BR79" s="2502">
        <f t="shared" si="34"/>
        <v>1.1111111111111112E-2</v>
      </c>
      <c r="BS79" s="2503">
        <f t="shared" ca="1" si="39"/>
        <v>0</v>
      </c>
      <c r="BT79"/>
      <c r="CB79" s="2370"/>
    </row>
    <row r="80" spans="1:80" ht="13" customHeight="1" x14ac:dyDescent="0.35">
      <c r="A80" s="2942">
        <v>8</v>
      </c>
      <c r="B80" s="2649">
        <f t="shared" si="40"/>
        <v>2090</v>
      </c>
      <c r="C80" s="2650">
        <f t="shared" si="35"/>
        <v>70</v>
      </c>
      <c r="D80" s="2651" t="str">
        <f ca="1">IF(BS80=0,"",SUM(BS$10:BS80))</f>
        <v/>
      </c>
      <c r="E80" s="2652" t="str">
        <f t="shared" ref="E80:T95" ca="1" si="44">IF(DATE($BK80,E$5,E$6)&lt;=DATE(YEAR($BE$5),MONTH($BE$5),DAY($BE$5)),"X","")</f>
        <v/>
      </c>
      <c r="F80" s="2653" t="str">
        <f t="shared" ca="1" si="44"/>
        <v/>
      </c>
      <c r="G80" s="2654" t="str">
        <f t="shared" ca="1" si="44"/>
        <v/>
      </c>
      <c r="H80" s="2654" t="str">
        <f t="shared" ca="1" si="44"/>
        <v/>
      </c>
      <c r="I80" s="2655" t="str">
        <f t="shared" ca="1" si="44"/>
        <v/>
      </c>
      <c r="J80" s="2656" t="str">
        <f t="shared" ca="1" si="44"/>
        <v/>
      </c>
      <c r="K80" s="2654" t="str">
        <f t="shared" ca="1" si="44"/>
        <v/>
      </c>
      <c r="L80" s="2654" t="str">
        <f t="shared" ca="1" si="44"/>
        <v/>
      </c>
      <c r="M80" s="2655" t="str">
        <f t="shared" ca="1" si="44"/>
        <v/>
      </c>
      <c r="N80" s="2657" t="str">
        <f t="shared" ca="1" si="44"/>
        <v/>
      </c>
      <c r="O80" s="2654" t="str">
        <f t="shared" ca="1" si="44"/>
        <v/>
      </c>
      <c r="P80" s="2654" t="str">
        <f t="shared" ca="1" si="44"/>
        <v/>
      </c>
      <c r="Q80" s="2655" t="str">
        <f t="shared" ca="1" si="44"/>
        <v/>
      </c>
      <c r="R80" s="2658" t="str">
        <f t="shared" ca="1" si="44"/>
        <v/>
      </c>
      <c r="S80" s="2654" t="str">
        <f t="shared" ca="1" si="44"/>
        <v/>
      </c>
      <c r="T80" s="2654" t="str">
        <f t="shared" ca="1" si="44"/>
        <v/>
      </c>
      <c r="U80" s="2655" t="str">
        <f t="shared" ca="1" si="43"/>
        <v/>
      </c>
      <c r="V80" s="2658" t="str">
        <f t="shared" ca="1" si="43"/>
        <v/>
      </c>
      <c r="W80" s="2654" t="str">
        <f t="shared" ca="1" si="43"/>
        <v/>
      </c>
      <c r="X80" s="2654" t="str">
        <f t="shared" ca="1" si="43"/>
        <v/>
      </c>
      <c r="Y80" s="2654" t="str">
        <f t="shared" ca="1" si="43"/>
        <v/>
      </c>
      <c r="Z80" s="2654" t="str">
        <f t="shared" ca="1" si="43"/>
        <v/>
      </c>
      <c r="AA80" s="2655" t="str">
        <f t="shared" ca="1" si="43"/>
        <v/>
      </c>
      <c r="AB80" s="2658" t="str">
        <f t="shared" ca="1" si="43"/>
        <v/>
      </c>
      <c r="AC80" s="2654" t="str">
        <f t="shared" ca="1" si="43"/>
        <v/>
      </c>
      <c r="AD80" s="2654" t="str">
        <f t="shared" ca="1" si="43"/>
        <v/>
      </c>
      <c r="AE80" s="2655" t="str">
        <f t="shared" ca="1" si="43"/>
        <v/>
      </c>
      <c r="AF80" s="2658" t="str">
        <f t="shared" ca="1" si="43"/>
        <v/>
      </c>
      <c r="AG80" s="2654" t="str">
        <f t="shared" ca="1" si="43"/>
        <v/>
      </c>
      <c r="AH80" s="2654" t="str">
        <f t="shared" ca="1" si="43"/>
        <v/>
      </c>
      <c r="AI80" s="2655" t="str">
        <f t="shared" ca="1" si="43"/>
        <v/>
      </c>
      <c r="AJ80" s="2658" t="str">
        <f t="shared" ca="1" si="32"/>
        <v/>
      </c>
      <c r="AK80" s="2654" t="str">
        <f t="shared" ca="1" si="32"/>
        <v/>
      </c>
      <c r="AL80" s="2654" t="str">
        <f t="shared" ca="1" si="32"/>
        <v/>
      </c>
      <c r="AM80" s="2654" t="str">
        <f t="shared" ca="1" si="32"/>
        <v/>
      </c>
      <c r="AN80" s="2655" t="str">
        <f t="shared" ca="1" si="32"/>
        <v/>
      </c>
      <c r="AO80" s="2658" t="str">
        <f t="shared" ca="1" si="32"/>
        <v/>
      </c>
      <c r="AP80" s="2654" t="str">
        <f t="shared" ca="1" si="32"/>
        <v/>
      </c>
      <c r="AQ80" s="2654" t="str">
        <f t="shared" ca="1" si="32"/>
        <v/>
      </c>
      <c r="AR80" s="2655" t="str">
        <f t="shared" ca="1" si="32"/>
        <v/>
      </c>
      <c r="AS80" s="2658" t="str">
        <f t="shared" ca="1" si="32"/>
        <v/>
      </c>
      <c r="AT80" s="2654" t="str">
        <f t="shared" ca="1" si="32"/>
        <v/>
      </c>
      <c r="AU80" s="2654" t="str">
        <f t="shared" ca="1" si="32"/>
        <v/>
      </c>
      <c r="AV80" s="2655" t="str">
        <f t="shared" ca="1" si="32"/>
        <v/>
      </c>
      <c r="AW80" s="2658" t="str">
        <f t="shared" ca="1" si="32"/>
        <v/>
      </c>
      <c r="AX80" s="2654" t="str">
        <f t="shared" ca="1" si="32"/>
        <v/>
      </c>
      <c r="AY80" s="2654" t="str">
        <f t="shared" ca="1" si="32"/>
        <v/>
      </c>
      <c r="AZ80" s="2655" t="str">
        <f t="shared" ca="1" si="31"/>
        <v/>
      </c>
      <c r="BA80" s="2654" t="str">
        <f t="shared" ca="1" si="31"/>
        <v/>
      </c>
      <c r="BB80" s="2654" t="str">
        <f t="shared" ca="1" si="31"/>
        <v/>
      </c>
      <c r="BC80" s="2654" t="str">
        <f t="shared" ca="1" si="31"/>
        <v/>
      </c>
      <c r="BD80" s="2655" t="str">
        <f t="shared" ca="1" si="31"/>
        <v/>
      </c>
      <c r="BE80" s="2670"/>
      <c r="BF80" s="2768"/>
      <c r="BG80" s="2768"/>
      <c r="BH80" s="2768"/>
      <c r="BI80" s="2514">
        <f t="shared" si="41"/>
        <v>69399</v>
      </c>
      <c r="BJ80" s="2516">
        <f t="shared" si="42"/>
        <v>70</v>
      </c>
      <c r="BK80" s="2499">
        <f t="shared" si="36"/>
        <v>2090</v>
      </c>
      <c r="BN80" s="2367">
        <f t="shared" si="37"/>
        <v>70</v>
      </c>
      <c r="BO80" s="2500" t="str">
        <f t="shared" si="38"/>
        <v>1/0/2090</v>
      </c>
      <c r="BP80" s="2501">
        <f t="shared" ca="1" si="33"/>
        <v>0</v>
      </c>
      <c r="BQ80" s="2367">
        <v>52</v>
      </c>
      <c r="BR80" s="2502">
        <f t="shared" si="34"/>
        <v>1.1111111111111112E-2</v>
      </c>
      <c r="BS80" s="2503">
        <f t="shared" ca="1" si="39"/>
        <v>0</v>
      </c>
      <c r="BT80"/>
      <c r="CB80" s="2370"/>
    </row>
    <row r="81" spans="1:80" ht="13" customHeight="1" x14ac:dyDescent="0.35">
      <c r="A81" s="2943"/>
      <c r="B81" s="2660">
        <f t="shared" si="40"/>
        <v>2091</v>
      </c>
      <c r="C81" s="2661">
        <f t="shared" si="35"/>
        <v>71</v>
      </c>
      <c r="D81" s="2662" t="str">
        <f ca="1">IF(BS81=0,"",SUM(BS$10:BS81))</f>
        <v/>
      </c>
      <c r="E81" s="2663" t="str">
        <f t="shared" ca="1" si="44"/>
        <v/>
      </c>
      <c r="F81" s="2664" t="str">
        <f t="shared" ca="1" si="44"/>
        <v/>
      </c>
      <c r="G81" s="2665" t="str">
        <f t="shared" ca="1" si="44"/>
        <v/>
      </c>
      <c r="H81" s="2665" t="str">
        <f t="shared" ca="1" si="44"/>
        <v/>
      </c>
      <c r="I81" s="2666" t="str">
        <f t="shared" ca="1" si="44"/>
        <v/>
      </c>
      <c r="J81" s="2667" t="str">
        <f t="shared" ca="1" si="44"/>
        <v/>
      </c>
      <c r="K81" s="2665" t="str">
        <f t="shared" ca="1" si="44"/>
        <v/>
      </c>
      <c r="L81" s="2665" t="str">
        <f t="shared" ca="1" si="44"/>
        <v/>
      </c>
      <c r="M81" s="2666" t="str">
        <f t="shared" ca="1" si="44"/>
        <v/>
      </c>
      <c r="N81" s="2668" t="str">
        <f t="shared" ca="1" si="44"/>
        <v/>
      </c>
      <c r="O81" s="2665" t="str">
        <f t="shared" ca="1" si="44"/>
        <v/>
      </c>
      <c r="P81" s="2665" t="str">
        <f t="shared" ca="1" si="44"/>
        <v/>
      </c>
      <c r="Q81" s="2666" t="str">
        <f t="shared" ca="1" si="44"/>
        <v/>
      </c>
      <c r="R81" s="2669" t="str">
        <f t="shared" ca="1" si="44"/>
        <v/>
      </c>
      <c r="S81" s="2665" t="str">
        <f t="shared" ca="1" si="44"/>
        <v/>
      </c>
      <c r="T81" s="2665" t="str">
        <f t="shared" ca="1" si="44"/>
        <v/>
      </c>
      <c r="U81" s="2666" t="str">
        <f t="shared" ca="1" si="43"/>
        <v/>
      </c>
      <c r="V81" s="2669" t="str">
        <f t="shared" ca="1" si="43"/>
        <v/>
      </c>
      <c r="W81" s="2665" t="str">
        <f t="shared" ca="1" si="43"/>
        <v/>
      </c>
      <c r="X81" s="2665" t="str">
        <f t="shared" ca="1" si="43"/>
        <v/>
      </c>
      <c r="Y81" s="2665" t="str">
        <f t="shared" ca="1" si="43"/>
        <v/>
      </c>
      <c r="Z81" s="2665" t="str">
        <f t="shared" ca="1" si="43"/>
        <v/>
      </c>
      <c r="AA81" s="2666" t="str">
        <f t="shared" ca="1" si="43"/>
        <v/>
      </c>
      <c r="AB81" s="2669" t="str">
        <f t="shared" ca="1" si="43"/>
        <v/>
      </c>
      <c r="AC81" s="2665" t="str">
        <f t="shared" ca="1" si="43"/>
        <v/>
      </c>
      <c r="AD81" s="2665" t="str">
        <f t="shared" ca="1" si="43"/>
        <v/>
      </c>
      <c r="AE81" s="2666" t="str">
        <f t="shared" ca="1" si="43"/>
        <v/>
      </c>
      <c r="AF81" s="2669" t="str">
        <f t="shared" ca="1" si="43"/>
        <v/>
      </c>
      <c r="AG81" s="2665" t="str">
        <f t="shared" ca="1" si="43"/>
        <v/>
      </c>
      <c r="AH81" s="2665" t="str">
        <f t="shared" ca="1" si="43"/>
        <v/>
      </c>
      <c r="AI81" s="2666" t="str">
        <f t="shared" ca="1" si="43"/>
        <v/>
      </c>
      <c r="AJ81" s="2669" t="str">
        <f t="shared" ca="1" si="32"/>
        <v/>
      </c>
      <c r="AK81" s="2665" t="str">
        <f t="shared" ca="1" si="32"/>
        <v/>
      </c>
      <c r="AL81" s="2665" t="str">
        <f t="shared" ca="1" si="32"/>
        <v/>
      </c>
      <c r="AM81" s="2665" t="str">
        <f t="shared" ca="1" si="32"/>
        <v/>
      </c>
      <c r="AN81" s="2666" t="str">
        <f t="shared" ca="1" si="32"/>
        <v/>
      </c>
      <c r="AO81" s="2669" t="str">
        <f t="shared" ca="1" si="32"/>
        <v/>
      </c>
      <c r="AP81" s="2665" t="str">
        <f t="shared" ca="1" si="32"/>
        <v/>
      </c>
      <c r="AQ81" s="2665" t="str">
        <f t="shared" ca="1" si="32"/>
        <v/>
      </c>
      <c r="AR81" s="2666" t="str">
        <f t="shared" ca="1" si="32"/>
        <v/>
      </c>
      <c r="AS81" s="2669" t="str">
        <f t="shared" ca="1" si="32"/>
        <v/>
      </c>
      <c r="AT81" s="2665" t="str">
        <f t="shared" ca="1" si="32"/>
        <v/>
      </c>
      <c r="AU81" s="2665" t="str">
        <f t="shared" ca="1" si="32"/>
        <v/>
      </c>
      <c r="AV81" s="2666" t="str">
        <f t="shared" ca="1" si="32"/>
        <v/>
      </c>
      <c r="AW81" s="2669" t="str">
        <f t="shared" ca="1" si="32"/>
        <v/>
      </c>
      <c r="AX81" s="2665" t="str">
        <f t="shared" ca="1" si="32"/>
        <v/>
      </c>
      <c r="AY81" s="2665" t="str">
        <f t="shared" ca="1" si="32"/>
        <v/>
      </c>
      <c r="AZ81" s="2666" t="str">
        <f t="shared" ca="1" si="31"/>
        <v/>
      </c>
      <c r="BA81" s="2665" t="str">
        <f t="shared" ca="1" si="31"/>
        <v/>
      </c>
      <c r="BB81" s="2665" t="str">
        <f t="shared" ca="1" si="31"/>
        <v/>
      </c>
      <c r="BC81" s="2665" t="str">
        <f t="shared" ca="1" si="31"/>
        <v/>
      </c>
      <c r="BD81" s="2666" t="str">
        <f t="shared" ca="1" si="31"/>
        <v/>
      </c>
      <c r="BE81" s="2670"/>
      <c r="BF81" s="2769"/>
      <c r="BG81" s="2769"/>
      <c r="BH81" s="2769"/>
      <c r="BI81" s="2514">
        <f t="shared" si="41"/>
        <v>69764</v>
      </c>
      <c r="BJ81" s="2516">
        <f t="shared" si="42"/>
        <v>71</v>
      </c>
      <c r="BK81" s="2499">
        <f t="shared" si="36"/>
        <v>2091</v>
      </c>
      <c r="BN81" s="2367">
        <f t="shared" si="37"/>
        <v>71</v>
      </c>
      <c r="BO81" s="2500" t="str">
        <f t="shared" si="38"/>
        <v>1/0/2091</v>
      </c>
      <c r="BP81" s="2501">
        <f t="shared" ca="1" si="33"/>
        <v>0</v>
      </c>
      <c r="BQ81" s="2367">
        <v>52</v>
      </c>
      <c r="BR81" s="2502">
        <f t="shared" si="34"/>
        <v>1.1111111111111112E-2</v>
      </c>
      <c r="BS81" s="2503">
        <f t="shared" ca="1" si="39"/>
        <v>0</v>
      </c>
      <c r="BT81"/>
      <c r="CB81" s="2370"/>
    </row>
    <row r="82" spans="1:80" ht="13" customHeight="1" x14ac:dyDescent="0.35">
      <c r="A82" s="2943"/>
      <c r="B82" s="2660">
        <f t="shared" si="40"/>
        <v>2092</v>
      </c>
      <c r="C82" s="2661">
        <f t="shared" si="35"/>
        <v>72</v>
      </c>
      <c r="D82" s="2662" t="str">
        <f ca="1">IF(BS82=0,"",SUM(BS$10:BS82))</f>
        <v/>
      </c>
      <c r="E82" s="2663" t="str">
        <f t="shared" ca="1" si="44"/>
        <v/>
      </c>
      <c r="F82" s="2664" t="str">
        <f t="shared" ca="1" si="44"/>
        <v/>
      </c>
      <c r="G82" s="2665" t="str">
        <f t="shared" ca="1" si="44"/>
        <v/>
      </c>
      <c r="H82" s="2665" t="str">
        <f t="shared" ca="1" si="44"/>
        <v/>
      </c>
      <c r="I82" s="2666" t="str">
        <f t="shared" ca="1" si="44"/>
        <v/>
      </c>
      <c r="J82" s="2667" t="str">
        <f t="shared" ca="1" si="44"/>
        <v/>
      </c>
      <c r="K82" s="2665" t="str">
        <f t="shared" ca="1" si="44"/>
        <v/>
      </c>
      <c r="L82" s="2665" t="str">
        <f t="shared" ca="1" si="44"/>
        <v/>
      </c>
      <c r="M82" s="2666" t="str">
        <f t="shared" ca="1" si="44"/>
        <v/>
      </c>
      <c r="N82" s="2668" t="str">
        <f t="shared" ca="1" si="44"/>
        <v/>
      </c>
      <c r="O82" s="2665" t="str">
        <f t="shared" ca="1" si="44"/>
        <v/>
      </c>
      <c r="P82" s="2665" t="str">
        <f t="shared" ca="1" si="44"/>
        <v/>
      </c>
      <c r="Q82" s="2666" t="str">
        <f t="shared" ca="1" si="44"/>
        <v/>
      </c>
      <c r="R82" s="2669" t="str">
        <f t="shared" ca="1" si="44"/>
        <v/>
      </c>
      <c r="S82" s="2665" t="str">
        <f t="shared" ca="1" si="44"/>
        <v/>
      </c>
      <c r="T82" s="2665" t="str">
        <f t="shared" ca="1" si="44"/>
        <v/>
      </c>
      <c r="U82" s="2666" t="str">
        <f t="shared" ca="1" si="43"/>
        <v/>
      </c>
      <c r="V82" s="2669" t="str">
        <f t="shared" ca="1" si="43"/>
        <v/>
      </c>
      <c r="W82" s="2665" t="str">
        <f t="shared" ca="1" si="43"/>
        <v/>
      </c>
      <c r="X82" s="2665" t="str">
        <f t="shared" ca="1" si="43"/>
        <v/>
      </c>
      <c r="Y82" s="2665" t="str">
        <f t="shared" ca="1" si="43"/>
        <v/>
      </c>
      <c r="Z82" s="2665" t="str">
        <f t="shared" ca="1" si="43"/>
        <v/>
      </c>
      <c r="AA82" s="2666" t="str">
        <f t="shared" ca="1" si="43"/>
        <v/>
      </c>
      <c r="AB82" s="2669" t="str">
        <f t="shared" ca="1" si="43"/>
        <v/>
      </c>
      <c r="AC82" s="2665" t="str">
        <f t="shared" ca="1" si="43"/>
        <v/>
      </c>
      <c r="AD82" s="2665" t="str">
        <f t="shared" ca="1" si="43"/>
        <v/>
      </c>
      <c r="AE82" s="2666" t="str">
        <f t="shared" ca="1" si="43"/>
        <v/>
      </c>
      <c r="AF82" s="2669" t="str">
        <f t="shared" ca="1" si="43"/>
        <v/>
      </c>
      <c r="AG82" s="2665" t="str">
        <f t="shared" ca="1" si="43"/>
        <v/>
      </c>
      <c r="AH82" s="2665" t="str">
        <f t="shared" ca="1" si="43"/>
        <v/>
      </c>
      <c r="AI82" s="2666" t="str">
        <f t="shared" ca="1" si="43"/>
        <v/>
      </c>
      <c r="AJ82" s="2669" t="str">
        <f t="shared" ca="1" si="32"/>
        <v/>
      </c>
      <c r="AK82" s="2665" t="str">
        <f t="shared" ca="1" si="32"/>
        <v/>
      </c>
      <c r="AL82" s="2665" t="str">
        <f t="shared" ca="1" si="32"/>
        <v/>
      </c>
      <c r="AM82" s="2665" t="str">
        <f t="shared" ca="1" si="32"/>
        <v/>
      </c>
      <c r="AN82" s="2666" t="str">
        <f t="shared" ca="1" si="32"/>
        <v/>
      </c>
      <c r="AO82" s="2669" t="str">
        <f t="shared" ca="1" si="32"/>
        <v/>
      </c>
      <c r="AP82" s="2665" t="str">
        <f t="shared" ca="1" si="32"/>
        <v/>
      </c>
      <c r="AQ82" s="2665" t="str">
        <f t="shared" ca="1" si="32"/>
        <v/>
      </c>
      <c r="AR82" s="2666" t="str">
        <f t="shared" ca="1" si="32"/>
        <v/>
      </c>
      <c r="AS82" s="2669" t="str">
        <f t="shared" ca="1" si="32"/>
        <v/>
      </c>
      <c r="AT82" s="2665" t="str">
        <f t="shared" ca="1" si="32"/>
        <v/>
      </c>
      <c r="AU82" s="2665" t="str">
        <f t="shared" ca="1" si="32"/>
        <v/>
      </c>
      <c r="AV82" s="2666" t="str">
        <f t="shared" ca="1" si="32"/>
        <v/>
      </c>
      <c r="AW82" s="2669" t="str">
        <f t="shared" ca="1" si="32"/>
        <v/>
      </c>
      <c r="AX82" s="2665" t="str">
        <f t="shared" ca="1" si="32"/>
        <v/>
      </c>
      <c r="AY82" s="2665" t="str">
        <f t="shared" ref="AY82:BD97" ca="1" si="45">IF(DATE($BK82,AY$5,AY$6)&lt;=DATE(YEAR($BE$5),MONTH($BE$5),DAY($BE$5)),"X","")</f>
        <v/>
      </c>
      <c r="AZ82" s="2666" t="str">
        <f t="shared" ca="1" si="45"/>
        <v/>
      </c>
      <c r="BA82" s="2665" t="str">
        <f t="shared" ca="1" si="45"/>
        <v/>
      </c>
      <c r="BB82" s="2665" t="str">
        <f t="shared" ca="1" si="45"/>
        <v/>
      </c>
      <c r="BC82" s="2665" t="str">
        <f t="shared" ca="1" si="45"/>
        <v/>
      </c>
      <c r="BD82" s="2666" t="str">
        <f t="shared" ca="1" si="45"/>
        <v/>
      </c>
      <c r="BE82" s="2670"/>
      <c r="BF82" s="2769"/>
      <c r="BG82" s="2769"/>
      <c r="BH82" s="2769"/>
      <c r="BI82" s="2514">
        <f t="shared" si="41"/>
        <v>70129</v>
      </c>
      <c r="BJ82" s="2516">
        <f t="shared" si="42"/>
        <v>72</v>
      </c>
      <c r="BK82" s="2499">
        <f t="shared" si="36"/>
        <v>2092</v>
      </c>
      <c r="BN82" s="2367">
        <f t="shared" si="37"/>
        <v>72</v>
      </c>
      <c r="BO82" s="2500" t="str">
        <f t="shared" si="38"/>
        <v>1/0/2092</v>
      </c>
      <c r="BP82" s="2501">
        <f t="shared" ca="1" si="33"/>
        <v>0</v>
      </c>
      <c r="BQ82" s="2367">
        <v>52</v>
      </c>
      <c r="BR82" s="2502">
        <f t="shared" si="34"/>
        <v>1.1111111111111112E-2</v>
      </c>
      <c r="BS82" s="2503">
        <f t="shared" ca="1" si="39"/>
        <v>0</v>
      </c>
      <c r="BT82"/>
      <c r="CB82" s="2370"/>
    </row>
    <row r="83" spans="1:80" ht="13" customHeight="1" x14ac:dyDescent="0.35">
      <c r="A83" s="2943"/>
      <c r="B83" s="2660">
        <f t="shared" si="40"/>
        <v>2093</v>
      </c>
      <c r="C83" s="2661">
        <f t="shared" si="35"/>
        <v>73</v>
      </c>
      <c r="D83" s="2662" t="str">
        <f ca="1">IF(BS83=0,"",SUM(BS$10:BS83))</f>
        <v/>
      </c>
      <c r="E83" s="2663" t="str">
        <f t="shared" ca="1" si="44"/>
        <v/>
      </c>
      <c r="F83" s="2664" t="str">
        <f t="shared" ca="1" si="44"/>
        <v/>
      </c>
      <c r="G83" s="2665" t="str">
        <f t="shared" ca="1" si="44"/>
        <v/>
      </c>
      <c r="H83" s="2665" t="str">
        <f t="shared" ca="1" si="44"/>
        <v/>
      </c>
      <c r="I83" s="2666" t="str">
        <f t="shared" ca="1" si="44"/>
        <v/>
      </c>
      <c r="J83" s="2667" t="str">
        <f t="shared" ca="1" si="44"/>
        <v/>
      </c>
      <c r="K83" s="2665" t="str">
        <f t="shared" ca="1" si="44"/>
        <v/>
      </c>
      <c r="L83" s="2665" t="str">
        <f t="shared" ca="1" si="44"/>
        <v/>
      </c>
      <c r="M83" s="2666" t="str">
        <f t="shared" ca="1" si="44"/>
        <v/>
      </c>
      <c r="N83" s="2668" t="str">
        <f t="shared" ca="1" si="44"/>
        <v/>
      </c>
      <c r="O83" s="2665" t="str">
        <f t="shared" ca="1" si="44"/>
        <v/>
      </c>
      <c r="P83" s="2665" t="str">
        <f t="shared" ca="1" si="44"/>
        <v/>
      </c>
      <c r="Q83" s="2666" t="str">
        <f t="shared" ca="1" si="44"/>
        <v/>
      </c>
      <c r="R83" s="2669" t="str">
        <f t="shared" ca="1" si="44"/>
        <v/>
      </c>
      <c r="S83" s="2665" t="str">
        <f t="shared" ca="1" si="44"/>
        <v/>
      </c>
      <c r="T83" s="2665" t="str">
        <f t="shared" ca="1" si="44"/>
        <v/>
      </c>
      <c r="U83" s="2666" t="str">
        <f t="shared" ca="1" si="43"/>
        <v/>
      </c>
      <c r="V83" s="2669" t="str">
        <f t="shared" ca="1" si="43"/>
        <v/>
      </c>
      <c r="W83" s="2665" t="str">
        <f t="shared" ca="1" si="43"/>
        <v/>
      </c>
      <c r="X83" s="2665" t="str">
        <f t="shared" ca="1" si="43"/>
        <v/>
      </c>
      <c r="Y83" s="2665" t="str">
        <f t="shared" ca="1" si="43"/>
        <v/>
      </c>
      <c r="Z83" s="2665" t="str">
        <f t="shared" ca="1" si="43"/>
        <v/>
      </c>
      <c r="AA83" s="2666" t="str">
        <f t="shared" ca="1" si="43"/>
        <v/>
      </c>
      <c r="AB83" s="2669" t="str">
        <f t="shared" ca="1" si="43"/>
        <v/>
      </c>
      <c r="AC83" s="2665" t="str">
        <f t="shared" ca="1" si="43"/>
        <v/>
      </c>
      <c r="AD83" s="2665" t="str">
        <f t="shared" ca="1" si="43"/>
        <v/>
      </c>
      <c r="AE83" s="2666" t="str">
        <f t="shared" ca="1" si="43"/>
        <v/>
      </c>
      <c r="AF83" s="2669" t="str">
        <f t="shared" ca="1" si="43"/>
        <v/>
      </c>
      <c r="AG83" s="2665" t="str">
        <f t="shared" ca="1" si="43"/>
        <v/>
      </c>
      <c r="AH83" s="2665" t="str">
        <f t="shared" ca="1" si="43"/>
        <v/>
      </c>
      <c r="AI83" s="2666" t="str">
        <f t="shared" ca="1" si="43"/>
        <v/>
      </c>
      <c r="AJ83" s="2669" t="str">
        <f t="shared" ref="AJ83:AY98" ca="1" si="46">IF(DATE($BK83,AJ$5,AJ$6)&lt;=DATE(YEAR($BE$5),MONTH($BE$5),DAY($BE$5)),"X","")</f>
        <v/>
      </c>
      <c r="AK83" s="2665" t="str">
        <f t="shared" ca="1" si="46"/>
        <v/>
      </c>
      <c r="AL83" s="2665" t="str">
        <f t="shared" ca="1" si="46"/>
        <v/>
      </c>
      <c r="AM83" s="2665" t="str">
        <f t="shared" ca="1" si="46"/>
        <v/>
      </c>
      <c r="AN83" s="2666" t="str">
        <f t="shared" ca="1" si="46"/>
        <v/>
      </c>
      <c r="AO83" s="2669" t="str">
        <f t="shared" ca="1" si="46"/>
        <v/>
      </c>
      <c r="AP83" s="2665" t="str">
        <f t="shared" ca="1" si="46"/>
        <v/>
      </c>
      <c r="AQ83" s="2665" t="str">
        <f t="shared" ca="1" si="46"/>
        <v/>
      </c>
      <c r="AR83" s="2666" t="str">
        <f t="shared" ca="1" si="46"/>
        <v/>
      </c>
      <c r="AS83" s="2669" t="str">
        <f t="shared" ca="1" si="46"/>
        <v/>
      </c>
      <c r="AT83" s="2665" t="str">
        <f t="shared" ca="1" si="46"/>
        <v/>
      </c>
      <c r="AU83" s="2665" t="str">
        <f t="shared" ca="1" si="46"/>
        <v/>
      </c>
      <c r="AV83" s="2666" t="str">
        <f t="shared" ca="1" si="46"/>
        <v/>
      </c>
      <c r="AW83" s="2669" t="str">
        <f t="shared" ca="1" si="46"/>
        <v/>
      </c>
      <c r="AX83" s="2665" t="str">
        <f t="shared" ca="1" si="46"/>
        <v/>
      </c>
      <c r="AY83" s="2665" t="str">
        <f t="shared" ca="1" si="46"/>
        <v/>
      </c>
      <c r="AZ83" s="2666" t="str">
        <f t="shared" ca="1" si="45"/>
        <v/>
      </c>
      <c r="BA83" s="2665" t="str">
        <f t="shared" ca="1" si="45"/>
        <v/>
      </c>
      <c r="BB83" s="2665" t="str">
        <f t="shared" ca="1" si="45"/>
        <v/>
      </c>
      <c r="BC83" s="2665" t="str">
        <f t="shared" ca="1" si="45"/>
        <v/>
      </c>
      <c r="BD83" s="2666" t="str">
        <f t="shared" ca="1" si="45"/>
        <v/>
      </c>
      <c r="BE83" s="2670"/>
      <c r="BF83" s="2769"/>
      <c r="BG83" s="2769"/>
      <c r="BH83" s="2769"/>
      <c r="BI83" s="2514">
        <f t="shared" si="41"/>
        <v>70495</v>
      </c>
      <c r="BJ83" s="2516">
        <f t="shared" si="42"/>
        <v>73</v>
      </c>
      <c r="BK83" s="2499">
        <f t="shared" si="36"/>
        <v>2093</v>
      </c>
      <c r="BN83" s="2367">
        <f t="shared" si="37"/>
        <v>73</v>
      </c>
      <c r="BO83" s="2500" t="str">
        <f t="shared" si="38"/>
        <v>1/0/2093</v>
      </c>
      <c r="BP83" s="2501">
        <f t="shared" ca="1" si="33"/>
        <v>0</v>
      </c>
      <c r="BQ83" s="2367">
        <v>52</v>
      </c>
      <c r="BR83" s="2502">
        <f t="shared" si="34"/>
        <v>1.1111111111111112E-2</v>
      </c>
      <c r="BS83" s="2503">
        <f t="shared" ca="1" si="39"/>
        <v>0</v>
      </c>
      <c r="BT83"/>
      <c r="CB83" s="2370"/>
    </row>
    <row r="84" spans="1:80" ht="13" customHeight="1" x14ac:dyDescent="0.35">
      <c r="A84" s="2943"/>
      <c r="B84" s="2660">
        <f t="shared" si="40"/>
        <v>2094</v>
      </c>
      <c r="C84" s="2661">
        <f t="shared" si="35"/>
        <v>74</v>
      </c>
      <c r="D84" s="2662" t="str">
        <f ca="1">IF(BS84=0,"",SUM(BS$10:BS84))</f>
        <v/>
      </c>
      <c r="E84" s="2663" t="str">
        <f t="shared" ca="1" si="44"/>
        <v/>
      </c>
      <c r="F84" s="2664" t="str">
        <f t="shared" ca="1" si="44"/>
        <v/>
      </c>
      <c r="G84" s="2665" t="str">
        <f t="shared" ca="1" si="44"/>
        <v/>
      </c>
      <c r="H84" s="2665" t="str">
        <f t="shared" ca="1" si="44"/>
        <v/>
      </c>
      <c r="I84" s="2666" t="str">
        <f t="shared" ca="1" si="44"/>
        <v/>
      </c>
      <c r="J84" s="2667" t="str">
        <f t="shared" ca="1" si="44"/>
        <v/>
      </c>
      <c r="K84" s="2665" t="str">
        <f t="shared" ca="1" si="44"/>
        <v/>
      </c>
      <c r="L84" s="2665" t="str">
        <f t="shared" ca="1" si="44"/>
        <v/>
      </c>
      <c r="M84" s="2666" t="str">
        <f t="shared" ca="1" si="44"/>
        <v/>
      </c>
      <c r="N84" s="2668" t="str">
        <f t="shared" ca="1" si="44"/>
        <v/>
      </c>
      <c r="O84" s="2665" t="str">
        <f t="shared" ca="1" si="44"/>
        <v/>
      </c>
      <c r="P84" s="2665" t="str">
        <f t="shared" ca="1" si="44"/>
        <v/>
      </c>
      <c r="Q84" s="2666" t="str">
        <f t="shared" ca="1" si="44"/>
        <v/>
      </c>
      <c r="R84" s="2669" t="str">
        <f t="shared" ca="1" si="44"/>
        <v/>
      </c>
      <c r="S84" s="2665" t="str">
        <f t="shared" ca="1" si="44"/>
        <v/>
      </c>
      <c r="T84" s="2665" t="str">
        <f t="shared" ca="1" si="44"/>
        <v/>
      </c>
      <c r="U84" s="2666" t="str">
        <f t="shared" ca="1" si="43"/>
        <v/>
      </c>
      <c r="V84" s="2669" t="str">
        <f t="shared" ca="1" si="43"/>
        <v/>
      </c>
      <c r="W84" s="2665" t="str">
        <f t="shared" ca="1" si="43"/>
        <v/>
      </c>
      <c r="X84" s="2665" t="str">
        <f t="shared" ca="1" si="43"/>
        <v/>
      </c>
      <c r="Y84" s="2665" t="str">
        <f t="shared" ca="1" si="43"/>
        <v/>
      </c>
      <c r="Z84" s="2665" t="str">
        <f t="shared" ca="1" si="43"/>
        <v/>
      </c>
      <c r="AA84" s="2666" t="str">
        <f t="shared" ca="1" si="43"/>
        <v/>
      </c>
      <c r="AB84" s="2669" t="str">
        <f t="shared" ca="1" si="43"/>
        <v/>
      </c>
      <c r="AC84" s="2665" t="str">
        <f t="shared" ca="1" si="43"/>
        <v/>
      </c>
      <c r="AD84" s="2665" t="str">
        <f t="shared" ca="1" si="43"/>
        <v/>
      </c>
      <c r="AE84" s="2666" t="str">
        <f t="shared" ca="1" si="43"/>
        <v/>
      </c>
      <c r="AF84" s="2669" t="str">
        <f t="shared" ca="1" si="43"/>
        <v/>
      </c>
      <c r="AG84" s="2665" t="str">
        <f t="shared" ca="1" si="43"/>
        <v/>
      </c>
      <c r="AH84" s="2665" t="str">
        <f t="shared" ca="1" si="43"/>
        <v/>
      </c>
      <c r="AI84" s="2666" t="str">
        <f t="shared" ca="1" si="43"/>
        <v/>
      </c>
      <c r="AJ84" s="2669" t="str">
        <f t="shared" ca="1" si="46"/>
        <v/>
      </c>
      <c r="AK84" s="2665" t="str">
        <f t="shared" ca="1" si="46"/>
        <v/>
      </c>
      <c r="AL84" s="2665" t="str">
        <f t="shared" ca="1" si="46"/>
        <v/>
      </c>
      <c r="AM84" s="2665" t="str">
        <f t="shared" ca="1" si="46"/>
        <v/>
      </c>
      <c r="AN84" s="2666" t="str">
        <f t="shared" ca="1" si="46"/>
        <v/>
      </c>
      <c r="AO84" s="2669" t="str">
        <f t="shared" ca="1" si="46"/>
        <v/>
      </c>
      <c r="AP84" s="2665" t="str">
        <f t="shared" ca="1" si="46"/>
        <v/>
      </c>
      <c r="AQ84" s="2665" t="str">
        <f t="shared" ca="1" si="46"/>
        <v/>
      </c>
      <c r="AR84" s="2666" t="str">
        <f t="shared" ca="1" si="46"/>
        <v/>
      </c>
      <c r="AS84" s="2669" t="str">
        <f t="shared" ca="1" si="46"/>
        <v/>
      </c>
      <c r="AT84" s="2665" t="str">
        <f t="shared" ca="1" si="46"/>
        <v/>
      </c>
      <c r="AU84" s="2665" t="str">
        <f t="shared" ca="1" si="46"/>
        <v/>
      </c>
      <c r="AV84" s="2666" t="str">
        <f t="shared" ca="1" si="46"/>
        <v/>
      </c>
      <c r="AW84" s="2669" t="str">
        <f t="shared" ca="1" si="46"/>
        <v/>
      </c>
      <c r="AX84" s="2665" t="str">
        <f t="shared" ca="1" si="46"/>
        <v/>
      </c>
      <c r="AY84" s="2665" t="str">
        <f t="shared" ca="1" si="46"/>
        <v/>
      </c>
      <c r="AZ84" s="2666" t="str">
        <f t="shared" ca="1" si="45"/>
        <v/>
      </c>
      <c r="BA84" s="2665" t="str">
        <f t="shared" ca="1" si="45"/>
        <v/>
      </c>
      <c r="BB84" s="2665" t="str">
        <f t="shared" ca="1" si="45"/>
        <v/>
      </c>
      <c r="BC84" s="2665" t="str">
        <f t="shared" ca="1" si="45"/>
        <v/>
      </c>
      <c r="BD84" s="2666" t="str">
        <f t="shared" ca="1" si="45"/>
        <v/>
      </c>
      <c r="BE84" s="2670"/>
      <c r="BF84" s="2769"/>
      <c r="BG84" s="2769"/>
      <c r="BH84" s="2769"/>
      <c r="BI84" s="2514">
        <f t="shared" si="41"/>
        <v>70860</v>
      </c>
      <c r="BJ84" s="2516">
        <f t="shared" si="42"/>
        <v>74</v>
      </c>
      <c r="BK84" s="2499">
        <f t="shared" si="36"/>
        <v>2094</v>
      </c>
      <c r="BN84" s="2367">
        <f t="shared" si="37"/>
        <v>74</v>
      </c>
      <c r="BO84" s="2500" t="str">
        <f t="shared" si="38"/>
        <v>1/0/2094</v>
      </c>
      <c r="BP84" s="2501">
        <f t="shared" ca="1" si="33"/>
        <v>0</v>
      </c>
      <c r="BQ84" s="2367">
        <v>52</v>
      </c>
      <c r="BR84" s="2502">
        <f t="shared" si="34"/>
        <v>1.1111111111111112E-2</v>
      </c>
      <c r="BS84" s="2503">
        <f t="shared" ca="1" si="39"/>
        <v>0</v>
      </c>
      <c r="BT84"/>
      <c r="CB84" s="2370"/>
    </row>
    <row r="85" spans="1:80" ht="13" customHeight="1" x14ac:dyDescent="0.35">
      <c r="A85" s="2943"/>
      <c r="B85" s="2660">
        <f t="shared" si="40"/>
        <v>2095</v>
      </c>
      <c r="C85" s="2661">
        <f t="shared" si="35"/>
        <v>75</v>
      </c>
      <c r="D85" s="2662" t="str">
        <f ca="1">IF(BS85=0,"",SUM(BS$10:BS85))</f>
        <v/>
      </c>
      <c r="E85" s="2663" t="str">
        <f t="shared" ca="1" si="44"/>
        <v/>
      </c>
      <c r="F85" s="2664" t="str">
        <f t="shared" ca="1" si="44"/>
        <v/>
      </c>
      <c r="G85" s="2665" t="str">
        <f t="shared" ca="1" si="44"/>
        <v/>
      </c>
      <c r="H85" s="2665" t="str">
        <f t="shared" ca="1" si="44"/>
        <v/>
      </c>
      <c r="I85" s="2666" t="str">
        <f t="shared" ca="1" si="44"/>
        <v/>
      </c>
      <c r="J85" s="2667" t="str">
        <f t="shared" ca="1" si="44"/>
        <v/>
      </c>
      <c r="K85" s="2665" t="str">
        <f t="shared" ca="1" si="44"/>
        <v/>
      </c>
      <c r="L85" s="2665" t="str">
        <f t="shared" ca="1" si="44"/>
        <v/>
      </c>
      <c r="M85" s="2666" t="str">
        <f t="shared" ca="1" si="44"/>
        <v/>
      </c>
      <c r="N85" s="2668" t="str">
        <f t="shared" ca="1" si="44"/>
        <v/>
      </c>
      <c r="O85" s="2665" t="str">
        <f t="shared" ca="1" si="44"/>
        <v/>
      </c>
      <c r="P85" s="2665" t="str">
        <f t="shared" ca="1" si="44"/>
        <v/>
      </c>
      <c r="Q85" s="2666" t="str">
        <f t="shared" ca="1" si="44"/>
        <v/>
      </c>
      <c r="R85" s="2669" t="str">
        <f t="shared" ca="1" si="44"/>
        <v/>
      </c>
      <c r="S85" s="2665" t="str">
        <f t="shared" ca="1" si="44"/>
        <v/>
      </c>
      <c r="T85" s="2665" t="str">
        <f t="shared" ca="1" si="44"/>
        <v/>
      </c>
      <c r="U85" s="2666" t="str">
        <f t="shared" ca="1" si="43"/>
        <v/>
      </c>
      <c r="V85" s="2669" t="str">
        <f t="shared" ca="1" si="43"/>
        <v/>
      </c>
      <c r="W85" s="2665" t="str">
        <f t="shared" ca="1" si="43"/>
        <v/>
      </c>
      <c r="X85" s="2665" t="str">
        <f t="shared" ca="1" si="43"/>
        <v/>
      </c>
      <c r="Y85" s="2665" t="str">
        <f t="shared" ca="1" si="43"/>
        <v/>
      </c>
      <c r="Z85" s="2665" t="str">
        <f t="shared" ca="1" si="43"/>
        <v/>
      </c>
      <c r="AA85" s="2666" t="str">
        <f t="shared" ca="1" si="43"/>
        <v/>
      </c>
      <c r="AB85" s="2669" t="str">
        <f t="shared" ca="1" si="43"/>
        <v/>
      </c>
      <c r="AC85" s="2665" t="str">
        <f t="shared" ca="1" si="43"/>
        <v/>
      </c>
      <c r="AD85" s="2665" t="str">
        <f t="shared" ca="1" si="43"/>
        <v/>
      </c>
      <c r="AE85" s="2666" t="str">
        <f t="shared" ca="1" si="43"/>
        <v/>
      </c>
      <c r="AF85" s="2669" t="str">
        <f t="shared" ca="1" si="43"/>
        <v/>
      </c>
      <c r="AG85" s="2665" t="str">
        <f t="shared" ca="1" si="43"/>
        <v/>
      </c>
      <c r="AH85" s="2665" t="str">
        <f t="shared" ca="1" si="43"/>
        <v/>
      </c>
      <c r="AI85" s="2666" t="str">
        <f t="shared" ca="1" si="43"/>
        <v/>
      </c>
      <c r="AJ85" s="2669" t="str">
        <f t="shared" ca="1" si="46"/>
        <v/>
      </c>
      <c r="AK85" s="2665" t="str">
        <f t="shared" ca="1" si="46"/>
        <v/>
      </c>
      <c r="AL85" s="2665" t="str">
        <f t="shared" ca="1" si="46"/>
        <v/>
      </c>
      <c r="AM85" s="2665" t="str">
        <f t="shared" ca="1" si="46"/>
        <v/>
      </c>
      <c r="AN85" s="2666" t="str">
        <f t="shared" ca="1" si="46"/>
        <v/>
      </c>
      <c r="AO85" s="2669" t="str">
        <f t="shared" ca="1" si="46"/>
        <v/>
      </c>
      <c r="AP85" s="2665" t="str">
        <f t="shared" ca="1" si="46"/>
        <v/>
      </c>
      <c r="AQ85" s="2665" t="str">
        <f t="shared" ca="1" si="46"/>
        <v/>
      </c>
      <c r="AR85" s="2666" t="str">
        <f t="shared" ca="1" si="46"/>
        <v/>
      </c>
      <c r="AS85" s="2669" t="str">
        <f t="shared" ca="1" si="46"/>
        <v/>
      </c>
      <c r="AT85" s="2665" t="str">
        <f t="shared" ca="1" si="46"/>
        <v/>
      </c>
      <c r="AU85" s="2665" t="str">
        <f t="shared" ca="1" si="46"/>
        <v/>
      </c>
      <c r="AV85" s="2666" t="str">
        <f t="shared" ca="1" si="46"/>
        <v/>
      </c>
      <c r="AW85" s="2669" t="str">
        <f t="shared" ca="1" si="46"/>
        <v/>
      </c>
      <c r="AX85" s="2665" t="str">
        <f t="shared" ca="1" si="46"/>
        <v/>
      </c>
      <c r="AY85" s="2665" t="str">
        <f t="shared" ca="1" si="46"/>
        <v/>
      </c>
      <c r="AZ85" s="2666" t="str">
        <f t="shared" ca="1" si="45"/>
        <v/>
      </c>
      <c r="BA85" s="2665" t="str">
        <f t="shared" ca="1" si="45"/>
        <v/>
      </c>
      <c r="BB85" s="2665" t="str">
        <f t="shared" ca="1" si="45"/>
        <v/>
      </c>
      <c r="BC85" s="2665" t="str">
        <f t="shared" ca="1" si="45"/>
        <v/>
      </c>
      <c r="BD85" s="2666" t="str">
        <f t="shared" ca="1" si="45"/>
        <v/>
      </c>
      <c r="BE85" s="2670"/>
      <c r="BF85" s="2769"/>
      <c r="BG85" s="2769"/>
      <c r="BH85" s="2769"/>
      <c r="BI85" s="2514">
        <f t="shared" si="41"/>
        <v>71225</v>
      </c>
      <c r="BJ85" s="2516">
        <f t="shared" si="42"/>
        <v>75</v>
      </c>
      <c r="BK85" s="2499">
        <f t="shared" si="36"/>
        <v>2095</v>
      </c>
      <c r="BN85" s="2367">
        <f t="shared" si="37"/>
        <v>75</v>
      </c>
      <c r="BO85" s="2500" t="str">
        <f t="shared" si="38"/>
        <v>1/0/2095</v>
      </c>
      <c r="BP85" s="2501">
        <f t="shared" ca="1" si="33"/>
        <v>0</v>
      </c>
      <c r="BQ85" s="2367">
        <v>52</v>
      </c>
      <c r="BR85" s="2502">
        <f t="shared" si="34"/>
        <v>1.1111111111111112E-2</v>
      </c>
      <c r="BS85" s="2503">
        <f t="shared" ca="1" si="39"/>
        <v>0</v>
      </c>
      <c r="BT85"/>
      <c r="CB85" s="2370"/>
    </row>
    <row r="86" spans="1:80" ht="13" customHeight="1" x14ac:dyDescent="0.35">
      <c r="A86" s="2943"/>
      <c r="B86" s="2660">
        <f t="shared" si="40"/>
        <v>2096</v>
      </c>
      <c r="C86" s="2661">
        <f t="shared" si="35"/>
        <v>76</v>
      </c>
      <c r="D86" s="2662" t="str">
        <f ca="1">IF(BS86=0,"",SUM(BS$10:BS86))</f>
        <v/>
      </c>
      <c r="E86" s="2663" t="str">
        <f t="shared" ca="1" si="44"/>
        <v/>
      </c>
      <c r="F86" s="2664" t="str">
        <f t="shared" ca="1" si="44"/>
        <v/>
      </c>
      <c r="G86" s="2665" t="str">
        <f t="shared" ca="1" si="44"/>
        <v/>
      </c>
      <c r="H86" s="2665" t="str">
        <f t="shared" ca="1" si="44"/>
        <v/>
      </c>
      <c r="I86" s="2666" t="str">
        <f t="shared" ca="1" si="44"/>
        <v/>
      </c>
      <c r="J86" s="2667" t="str">
        <f t="shared" ca="1" si="44"/>
        <v/>
      </c>
      <c r="K86" s="2665" t="str">
        <f t="shared" ca="1" si="44"/>
        <v/>
      </c>
      <c r="L86" s="2665" t="str">
        <f t="shared" ca="1" si="44"/>
        <v/>
      </c>
      <c r="M86" s="2666" t="str">
        <f t="shared" ca="1" si="44"/>
        <v/>
      </c>
      <c r="N86" s="2668" t="str">
        <f t="shared" ca="1" si="44"/>
        <v/>
      </c>
      <c r="O86" s="2665" t="str">
        <f t="shared" ca="1" si="44"/>
        <v/>
      </c>
      <c r="P86" s="2665" t="str">
        <f t="shared" ca="1" si="44"/>
        <v/>
      </c>
      <c r="Q86" s="2666" t="str">
        <f t="shared" ca="1" si="44"/>
        <v/>
      </c>
      <c r="R86" s="2669" t="str">
        <f t="shared" ca="1" si="44"/>
        <v/>
      </c>
      <c r="S86" s="2665" t="str">
        <f t="shared" ca="1" si="44"/>
        <v/>
      </c>
      <c r="T86" s="2665" t="str">
        <f t="shared" ca="1" si="44"/>
        <v/>
      </c>
      <c r="U86" s="2666" t="str">
        <f t="shared" ca="1" si="43"/>
        <v/>
      </c>
      <c r="V86" s="2669" t="str">
        <f t="shared" ca="1" si="43"/>
        <v/>
      </c>
      <c r="W86" s="2665" t="str">
        <f t="shared" ca="1" si="43"/>
        <v/>
      </c>
      <c r="X86" s="2665" t="str">
        <f t="shared" ca="1" si="43"/>
        <v/>
      </c>
      <c r="Y86" s="2665" t="str">
        <f t="shared" ca="1" si="43"/>
        <v/>
      </c>
      <c r="Z86" s="2665" t="str">
        <f t="shared" ca="1" si="43"/>
        <v/>
      </c>
      <c r="AA86" s="2666" t="str">
        <f t="shared" ca="1" si="43"/>
        <v/>
      </c>
      <c r="AB86" s="2669" t="str">
        <f t="shared" ca="1" si="43"/>
        <v/>
      </c>
      <c r="AC86" s="2665" t="str">
        <f t="shared" ca="1" si="43"/>
        <v/>
      </c>
      <c r="AD86" s="2665" t="str">
        <f t="shared" ca="1" si="43"/>
        <v/>
      </c>
      <c r="AE86" s="2666" t="str">
        <f t="shared" ca="1" si="43"/>
        <v/>
      </c>
      <c r="AF86" s="2669" t="str">
        <f t="shared" ca="1" si="43"/>
        <v/>
      </c>
      <c r="AG86" s="2665" t="str">
        <f t="shared" ca="1" si="43"/>
        <v/>
      </c>
      <c r="AH86" s="2665" t="str">
        <f t="shared" ca="1" si="43"/>
        <v/>
      </c>
      <c r="AI86" s="2666" t="str">
        <f t="shared" ca="1" si="43"/>
        <v/>
      </c>
      <c r="AJ86" s="2669" t="str">
        <f t="shared" ca="1" si="46"/>
        <v/>
      </c>
      <c r="AK86" s="2665" t="str">
        <f t="shared" ca="1" si="46"/>
        <v/>
      </c>
      <c r="AL86" s="2665" t="str">
        <f t="shared" ca="1" si="46"/>
        <v/>
      </c>
      <c r="AM86" s="2665" t="str">
        <f t="shared" ca="1" si="46"/>
        <v/>
      </c>
      <c r="AN86" s="2666" t="str">
        <f t="shared" ca="1" si="46"/>
        <v/>
      </c>
      <c r="AO86" s="2669" t="str">
        <f t="shared" ca="1" si="46"/>
        <v/>
      </c>
      <c r="AP86" s="2665" t="str">
        <f t="shared" ca="1" si="46"/>
        <v/>
      </c>
      <c r="AQ86" s="2665" t="str">
        <f t="shared" ca="1" si="46"/>
        <v/>
      </c>
      <c r="AR86" s="2666" t="str">
        <f t="shared" ca="1" si="46"/>
        <v/>
      </c>
      <c r="AS86" s="2669" t="str">
        <f t="shared" ca="1" si="46"/>
        <v/>
      </c>
      <c r="AT86" s="2665" t="str">
        <f t="shared" ca="1" si="46"/>
        <v/>
      </c>
      <c r="AU86" s="2665" t="str">
        <f t="shared" ca="1" si="46"/>
        <v/>
      </c>
      <c r="AV86" s="2666" t="str">
        <f t="shared" ca="1" si="46"/>
        <v/>
      </c>
      <c r="AW86" s="2669" t="str">
        <f t="shared" ca="1" si="46"/>
        <v/>
      </c>
      <c r="AX86" s="2665" t="str">
        <f t="shared" ca="1" si="46"/>
        <v/>
      </c>
      <c r="AY86" s="2665" t="str">
        <f t="shared" ca="1" si="46"/>
        <v/>
      </c>
      <c r="AZ86" s="2666" t="str">
        <f t="shared" ca="1" si="45"/>
        <v/>
      </c>
      <c r="BA86" s="2665" t="str">
        <f t="shared" ca="1" si="45"/>
        <v/>
      </c>
      <c r="BB86" s="2665" t="str">
        <f t="shared" ca="1" si="45"/>
        <v/>
      </c>
      <c r="BC86" s="2665" t="str">
        <f t="shared" ca="1" si="45"/>
        <v/>
      </c>
      <c r="BD86" s="2666" t="str">
        <f t="shared" ca="1" si="45"/>
        <v/>
      </c>
      <c r="BE86" s="2670"/>
      <c r="BF86" s="2769"/>
      <c r="BG86" s="2769"/>
      <c r="BH86" s="2769"/>
      <c r="BI86" s="2514">
        <f t="shared" si="41"/>
        <v>71590</v>
      </c>
      <c r="BJ86" s="2516">
        <f t="shared" si="42"/>
        <v>76</v>
      </c>
      <c r="BK86" s="2499">
        <f t="shared" si="36"/>
        <v>2096</v>
      </c>
      <c r="BN86" s="2367">
        <f t="shared" si="37"/>
        <v>76</v>
      </c>
      <c r="BO86" s="2500" t="str">
        <f t="shared" si="38"/>
        <v>1/0/2096</v>
      </c>
      <c r="BP86" s="2501">
        <f t="shared" ca="1" si="33"/>
        <v>0</v>
      </c>
      <c r="BQ86" s="2367">
        <v>52</v>
      </c>
      <c r="BR86" s="2502">
        <f t="shared" si="34"/>
        <v>1.1111111111111112E-2</v>
      </c>
      <c r="BS86" s="2503">
        <f t="shared" ca="1" si="39"/>
        <v>0</v>
      </c>
      <c r="BT86"/>
      <c r="CB86" s="2370"/>
    </row>
    <row r="87" spans="1:80" ht="13" customHeight="1" x14ac:dyDescent="0.35">
      <c r="A87" s="2943"/>
      <c r="B87" s="2660">
        <f t="shared" si="40"/>
        <v>2097</v>
      </c>
      <c r="C87" s="2661">
        <f t="shared" si="35"/>
        <v>77</v>
      </c>
      <c r="D87" s="2662" t="str">
        <f ca="1">IF(BS87=0,"",SUM(BS$10:BS87))</f>
        <v/>
      </c>
      <c r="E87" s="2663" t="str">
        <f t="shared" ca="1" si="44"/>
        <v/>
      </c>
      <c r="F87" s="2664" t="str">
        <f t="shared" ca="1" si="44"/>
        <v/>
      </c>
      <c r="G87" s="2665" t="str">
        <f t="shared" ca="1" si="44"/>
        <v/>
      </c>
      <c r="H87" s="2665" t="str">
        <f t="shared" ca="1" si="44"/>
        <v/>
      </c>
      <c r="I87" s="2666" t="str">
        <f t="shared" ca="1" si="44"/>
        <v/>
      </c>
      <c r="J87" s="2667" t="str">
        <f t="shared" ca="1" si="44"/>
        <v/>
      </c>
      <c r="K87" s="2665" t="str">
        <f t="shared" ca="1" si="44"/>
        <v/>
      </c>
      <c r="L87" s="2665" t="str">
        <f t="shared" ca="1" si="44"/>
        <v/>
      </c>
      <c r="M87" s="2666" t="str">
        <f t="shared" ca="1" si="44"/>
        <v/>
      </c>
      <c r="N87" s="2668" t="str">
        <f t="shared" ca="1" si="44"/>
        <v/>
      </c>
      <c r="O87" s="2665" t="str">
        <f t="shared" ca="1" si="44"/>
        <v/>
      </c>
      <c r="P87" s="2665" t="str">
        <f t="shared" ca="1" si="44"/>
        <v/>
      </c>
      <c r="Q87" s="2666" t="str">
        <f t="shared" ca="1" si="44"/>
        <v/>
      </c>
      <c r="R87" s="2669" t="str">
        <f t="shared" ca="1" si="44"/>
        <v/>
      </c>
      <c r="S87" s="2665" t="str">
        <f t="shared" ca="1" si="44"/>
        <v/>
      </c>
      <c r="T87" s="2665" t="str">
        <f t="shared" ca="1" si="44"/>
        <v/>
      </c>
      <c r="U87" s="2666" t="str">
        <f t="shared" ca="1" si="43"/>
        <v/>
      </c>
      <c r="V87" s="2669" t="str">
        <f t="shared" ca="1" si="43"/>
        <v/>
      </c>
      <c r="W87" s="2665" t="str">
        <f t="shared" ca="1" si="43"/>
        <v/>
      </c>
      <c r="X87" s="2665" t="str">
        <f t="shared" ca="1" si="43"/>
        <v/>
      </c>
      <c r="Y87" s="2665" t="str">
        <f t="shared" ca="1" si="43"/>
        <v/>
      </c>
      <c r="Z87" s="2665" t="str">
        <f t="shared" ca="1" si="43"/>
        <v/>
      </c>
      <c r="AA87" s="2666" t="str">
        <f t="shared" ca="1" si="43"/>
        <v/>
      </c>
      <c r="AB87" s="2669" t="str">
        <f t="shared" ca="1" si="43"/>
        <v/>
      </c>
      <c r="AC87" s="2665" t="str">
        <f t="shared" ca="1" si="43"/>
        <v/>
      </c>
      <c r="AD87" s="2665" t="str">
        <f t="shared" ca="1" si="43"/>
        <v/>
      </c>
      <c r="AE87" s="2666" t="str">
        <f t="shared" ca="1" si="43"/>
        <v/>
      </c>
      <c r="AF87" s="2669" t="str">
        <f t="shared" ca="1" si="43"/>
        <v/>
      </c>
      <c r="AG87" s="2665" t="str">
        <f t="shared" ca="1" si="43"/>
        <v/>
      </c>
      <c r="AH87" s="2665" t="str">
        <f t="shared" ca="1" si="43"/>
        <v/>
      </c>
      <c r="AI87" s="2666" t="str">
        <f t="shared" ca="1" si="43"/>
        <v/>
      </c>
      <c r="AJ87" s="2669" t="str">
        <f t="shared" ca="1" si="46"/>
        <v/>
      </c>
      <c r="AK87" s="2665" t="str">
        <f t="shared" ca="1" si="46"/>
        <v/>
      </c>
      <c r="AL87" s="2665" t="str">
        <f t="shared" ca="1" si="46"/>
        <v/>
      </c>
      <c r="AM87" s="2665" t="str">
        <f t="shared" ca="1" si="46"/>
        <v/>
      </c>
      <c r="AN87" s="2666" t="str">
        <f t="shared" ca="1" si="46"/>
        <v/>
      </c>
      <c r="AO87" s="2669" t="str">
        <f t="shared" ca="1" si="46"/>
        <v/>
      </c>
      <c r="AP87" s="2665" t="str">
        <f t="shared" ca="1" si="46"/>
        <v/>
      </c>
      <c r="AQ87" s="2665" t="str">
        <f t="shared" ca="1" si="46"/>
        <v/>
      </c>
      <c r="AR87" s="2666" t="str">
        <f t="shared" ca="1" si="46"/>
        <v/>
      </c>
      <c r="AS87" s="2669" t="str">
        <f t="shared" ca="1" si="46"/>
        <v/>
      </c>
      <c r="AT87" s="2665" t="str">
        <f t="shared" ca="1" si="46"/>
        <v/>
      </c>
      <c r="AU87" s="2665" t="str">
        <f t="shared" ca="1" si="46"/>
        <v/>
      </c>
      <c r="AV87" s="2666" t="str">
        <f t="shared" ca="1" si="46"/>
        <v/>
      </c>
      <c r="AW87" s="2669" t="str">
        <f t="shared" ca="1" si="46"/>
        <v/>
      </c>
      <c r="AX87" s="2665" t="str">
        <f t="shared" ca="1" si="46"/>
        <v/>
      </c>
      <c r="AY87" s="2665" t="str">
        <f t="shared" ca="1" si="46"/>
        <v/>
      </c>
      <c r="AZ87" s="2666" t="str">
        <f t="shared" ca="1" si="45"/>
        <v/>
      </c>
      <c r="BA87" s="2665" t="str">
        <f t="shared" ca="1" si="45"/>
        <v/>
      </c>
      <c r="BB87" s="2665" t="str">
        <f t="shared" ca="1" si="45"/>
        <v/>
      </c>
      <c r="BC87" s="2665" t="str">
        <f t="shared" ca="1" si="45"/>
        <v/>
      </c>
      <c r="BD87" s="2666" t="str">
        <f t="shared" ca="1" si="45"/>
        <v/>
      </c>
      <c r="BE87" s="2670"/>
      <c r="BF87" s="2769"/>
      <c r="BG87" s="2769"/>
      <c r="BH87" s="2769"/>
      <c r="BI87" s="2514">
        <f t="shared" si="41"/>
        <v>71956</v>
      </c>
      <c r="BJ87" s="2516">
        <f t="shared" si="42"/>
        <v>77</v>
      </c>
      <c r="BK87" s="2499">
        <f t="shared" si="36"/>
        <v>2097</v>
      </c>
      <c r="BN87" s="2367">
        <f t="shared" si="37"/>
        <v>77</v>
      </c>
      <c r="BO87" s="2500" t="str">
        <f t="shared" si="38"/>
        <v>1/0/2097</v>
      </c>
      <c r="BP87" s="2501">
        <f t="shared" ca="1" si="33"/>
        <v>0</v>
      </c>
      <c r="BQ87" s="2367">
        <v>52</v>
      </c>
      <c r="BR87" s="2502">
        <f t="shared" si="34"/>
        <v>1.1111111111111112E-2</v>
      </c>
      <c r="BS87" s="2503">
        <f t="shared" ca="1" si="39"/>
        <v>0</v>
      </c>
      <c r="BT87"/>
      <c r="CB87" s="2370"/>
    </row>
    <row r="88" spans="1:80" ht="13" customHeight="1" x14ac:dyDescent="0.35">
      <c r="A88" s="2943"/>
      <c r="B88" s="2660">
        <f t="shared" si="40"/>
        <v>2098</v>
      </c>
      <c r="C88" s="2661">
        <f t="shared" si="35"/>
        <v>78</v>
      </c>
      <c r="D88" s="2662" t="str">
        <f ca="1">IF(BS88=0,"",SUM(BS$10:BS88))</f>
        <v/>
      </c>
      <c r="E88" s="2663" t="str">
        <f t="shared" ca="1" si="44"/>
        <v/>
      </c>
      <c r="F88" s="2664" t="str">
        <f t="shared" ca="1" si="44"/>
        <v/>
      </c>
      <c r="G88" s="2665" t="str">
        <f t="shared" ca="1" si="44"/>
        <v/>
      </c>
      <c r="H88" s="2665" t="str">
        <f t="shared" ca="1" si="44"/>
        <v/>
      </c>
      <c r="I88" s="2666" t="str">
        <f t="shared" ca="1" si="44"/>
        <v/>
      </c>
      <c r="J88" s="2667" t="str">
        <f t="shared" ca="1" si="44"/>
        <v/>
      </c>
      <c r="K88" s="2665" t="str">
        <f t="shared" ca="1" si="44"/>
        <v/>
      </c>
      <c r="L88" s="2665" t="str">
        <f t="shared" ca="1" si="44"/>
        <v/>
      </c>
      <c r="M88" s="2666" t="str">
        <f t="shared" ca="1" si="44"/>
        <v/>
      </c>
      <c r="N88" s="2668" t="str">
        <f t="shared" ca="1" si="44"/>
        <v/>
      </c>
      <c r="O88" s="2665" t="str">
        <f t="shared" ca="1" si="44"/>
        <v/>
      </c>
      <c r="P88" s="2665" t="str">
        <f t="shared" ca="1" si="44"/>
        <v/>
      </c>
      <c r="Q88" s="2666" t="str">
        <f t="shared" ca="1" si="44"/>
        <v/>
      </c>
      <c r="R88" s="2669" t="str">
        <f t="shared" ca="1" si="44"/>
        <v/>
      </c>
      <c r="S88" s="2665" t="str">
        <f t="shared" ca="1" si="44"/>
        <v/>
      </c>
      <c r="T88" s="2665" t="str">
        <f t="shared" ca="1" si="44"/>
        <v/>
      </c>
      <c r="U88" s="2666" t="str">
        <f t="shared" ca="1" si="43"/>
        <v/>
      </c>
      <c r="V88" s="2669" t="str">
        <f t="shared" ca="1" si="43"/>
        <v/>
      </c>
      <c r="W88" s="2665" t="str">
        <f t="shared" ca="1" si="43"/>
        <v/>
      </c>
      <c r="X88" s="2665" t="str">
        <f t="shared" ca="1" si="43"/>
        <v/>
      </c>
      <c r="Y88" s="2665" t="str">
        <f t="shared" ca="1" si="43"/>
        <v/>
      </c>
      <c r="Z88" s="2665" t="str">
        <f t="shared" ca="1" si="43"/>
        <v/>
      </c>
      <c r="AA88" s="2666" t="str">
        <f t="shared" ca="1" si="43"/>
        <v/>
      </c>
      <c r="AB88" s="2669" t="str">
        <f t="shared" ca="1" si="43"/>
        <v/>
      </c>
      <c r="AC88" s="2665" t="str">
        <f t="shared" ca="1" si="43"/>
        <v/>
      </c>
      <c r="AD88" s="2665" t="str">
        <f t="shared" ca="1" si="43"/>
        <v/>
      </c>
      <c r="AE88" s="2666" t="str">
        <f t="shared" ca="1" si="43"/>
        <v/>
      </c>
      <c r="AF88" s="2669" t="str">
        <f t="shared" ca="1" si="43"/>
        <v/>
      </c>
      <c r="AG88" s="2665" t="str">
        <f t="shared" ca="1" si="43"/>
        <v/>
      </c>
      <c r="AH88" s="2665" t="str">
        <f t="shared" ca="1" si="43"/>
        <v/>
      </c>
      <c r="AI88" s="2666" t="str">
        <f t="shared" ca="1" si="43"/>
        <v/>
      </c>
      <c r="AJ88" s="2669" t="str">
        <f t="shared" ca="1" si="46"/>
        <v/>
      </c>
      <c r="AK88" s="2665" t="str">
        <f t="shared" ca="1" si="46"/>
        <v/>
      </c>
      <c r="AL88" s="2665" t="str">
        <f t="shared" ca="1" si="46"/>
        <v/>
      </c>
      <c r="AM88" s="2665" t="str">
        <f t="shared" ca="1" si="46"/>
        <v/>
      </c>
      <c r="AN88" s="2666" t="str">
        <f t="shared" ca="1" si="46"/>
        <v/>
      </c>
      <c r="AO88" s="2669" t="str">
        <f t="shared" ca="1" si="46"/>
        <v/>
      </c>
      <c r="AP88" s="2665" t="str">
        <f t="shared" ca="1" si="46"/>
        <v/>
      </c>
      <c r="AQ88" s="2665" t="str">
        <f t="shared" ca="1" si="46"/>
        <v/>
      </c>
      <c r="AR88" s="2666" t="str">
        <f t="shared" ca="1" si="46"/>
        <v/>
      </c>
      <c r="AS88" s="2669" t="str">
        <f t="shared" ca="1" si="46"/>
        <v/>
      </c>
      <c r="AT88" s="2665" t="str">
        <f t="shared" ca="1" si="46"/>
        <v/>
      </c>
      <c r="AU88" s="2665" t="str">
        <f t="shared" ca="1" si="46"/>
        <v/>
      </c>
      <c r="AV88" s="2666" t="str">
        <f t="shared" ca="1" si="46"/>
        <v/>
      </c>
      <c r="AW88" s="2669" t="str">
        <f t="shared" ca="1" si="46"/>
        <v/>
      </c>
      <c r="AX88" s="2665" t="str">
        <f t="shared" ca="1" si="46"/>
        <v/>
      </c>
      <c r="AY88" s="2665" t="str">
        <f t="shared" ca="1" si="46"/>
        <v/>
      </c>
      <c r="AZ88" s="2666" t="str">
        <f t="shared" ca="1" si="45"/>
        <v/>
      </c>
      <c r="BA88" s="2665" t="str">
        <f t="shared" ca="1" si="45"/>
        <v/>
      </c>
      <c r="BB88" s="2665" t="str">
        <f t="shared" ca="1" si="45"/>
        <v/>
      </c>
      <c r="BC88" s="2665" t="str">
        <f t="shared" ca="1" si="45"/>
        <v/>
      </c>
      <c r="BD88" s="2666" t="str">
        <f t="shared" ca="1" si="45"/>
        <v/>
      </c>
      <c r="BE88" s="2670"/>
      <c r="BF88" s="2769"/>
      <c r="BG88" s="2769"/>
      <c r="BH88" s="2769"/>
      <c r="BI88" s="2514">
        <f t="shared" si="41"/>
        <v>72321</v>
      </c>
      <c r="BJ88" s="2516">
        <f t="shared" si="42"/>
        <v>78</v>
      </c>
      <c r="BK88" s="2499">
        <f t="shared" si="36"/>
        <v>2098</v>
      </c>
      <c r="BN88" s="2367">
        <f t="shared" si="37"/>
        <v>78</v>
      </c>
      <c r="BO88" s="2500" t="str">
        <f t="shared" si="38"/>
        <v>1/0/2098</v>
      </c>
      <c r="BP88" s="2501">
        <f t="shared" ca="1" si="33"/>
        <v>0</v>
      </c>
      <c r="BQ88" s="2367">
        <v>52</v>
      </c>
      <c r="BR88" s="2502">
        <f t="shared" si="34"/>
        <v>1.1111111111111112E-2</v>
      </c>
      <c r="BS88" s="2503">
        <f t="shared" ca="1" si="39"/>
        <v>0</v>
      </c>
      <c r="BT88"/>
      <c r="CB88" s="2370"/>
    </row>
    <row r="89" spans="1:80" ht="13" customHeight="1" thickBot="1" x14ac:dyDescent="0.4">
      <c r="A89" s="2944"/>
      <c r="B89" s="2671">
        <f t="shared" si="40"/>
        <v>2099</v>
      </c>
      <c r="C89" s="2672">
        <f t="shared" si="35"/>
        <v>79</v>
      </c>
      <c r="D89" s="2673" t="str">
        <f ca="1">IF(BS89=0,"",SUM(BS$10:BS89))</f>
        <v/>
      </c>
      <c r="E89" s="2674" t="str">
        <f t="shared" ca="1" si="44"/>
        <v/>
      </c>
      <c r="F89" s="2675" t="str">
        <f t="shared" ca="1" si="44"/>
        <v/>
      </c>
      <c r="G89" s="2676" t="str">
        <f t="shared" ca="1" si="44"/>
        <v/>
      </c>
      <c r="H89" s="2676" t="str">
        <f t="shared" ca="1" si="44"/>
        <v/>
      </c>
      <c r="I89" s="2677" t="str">
        <f t="shared" ca="1" si="44"/>
        <v/>
      </c>
      <c r="J89" s="2678" t="str">
        <f t="shared" ca="1" si="44"/>
        <v/>
      </c>
      <c r="K89" s="2676" t="str">
        <f t="shared" ca="1" si="44"/>
        <v/>
      </c>
      <c r="L89" s="2676" t="str">
        <f t="shared" ca="1" si="44"/>
        <v/>
      </c>
      <c r="M89" s="2677" t="str">
        <f t="shared" ca="1" si="44"/>
        <v/>
      </c>
      <c r="N89" s="2679" t="str">
        <f t="shared" ca="1" si="44"/>
        <v/>
      </c>
      <c r="O89" s="2676" t="str">
        <f t="shared" ca="1" si="44"/>
        <v/>
      </c>
      <c r="P89" s="2676" t="str">
        <f t="shared" ca="1" si="44"/>
        <v/>
      </c>
      <c r="Q89" s="2677" t="str">
        <f t="shared" ca="1" si="44"/>
        <v/>
      </c>
      <c r="R89" s="2680" t="str">
        <f t="shared" ca="1" si="44"/>
        <v/>
      </c>
      <c r="S89" s="2676" t="str">
        <f t="shared" ca="1" si="44"/>
        <v/>
      </c>
      <c r="T89" s="2676" t="str">
        <f t="shared" ca="1" si="44"/>
        <v/>
      </c>
      <c r="U89" s="2677" t="str">
        <f t="shared" ca="1" si="43"/>
        <v/>
      </c>
      <c r="V89" s="2680" t="str">
        <f t="shared" ca="1" si="43"/>
        <v/>
      </c>
      <c r="W89" s="2676" t="str">
        <f t="shared" ca="1" si="43"/>
        <v/>
      </c>
      <c r="X89" s="2676" t="str">
        <f t="shared" ca="1" si="43"/>
        <v/>
      </c>
      <c r="Y89" s="2676" t="str">
        <f t="shared" ca="1" si="43"/>
        <v/>
      </c>
      <c r="Z89" s="2676" t="str">
        <f t="shared" ca="1" si="43"/>
        <v/>
      </c>
      <c r="AA89" s="2677" t="str">
        <f t="shared" ca="1" si="43"/>
        <v/>
      </c>
      <c r="AB89" s="2680" t="str">
        <f t="shared" ca="1" si="43"/>
        <v/>
      </c>
      <c r="AC89" s="2676" t="str">
        <f t="shared" ca="1" si="43"/>
        <v/>
      </c>
      <c r="AD89" s="2676" t="str">
        <f t="shared" ca="1" si="43"/>
        <v/>
      </c>
      <c r="AE89" s="2677" t="str">
        <f t="shared" ca="1" si="43"/>
        <v/>
      </c>
      <c r="AF89" s="2680" t="str">
        <f t="shared" ca="1" si="43"/>
        <v/>
      </c>
      <c r="AG89" s="2676" t="str">
        <f t="shared" ca="1" si="43"/>
        <v/>
      </c>
      <c r="AH89" s="2676" t="str">
        <f t="shared" ca="1" si="43"/>
        <v/>
      </c>
      <c r="AI89" s="2677" t="str">
        <f t="shared" ca="1" si="43"/>
        <v/>
      </c>
      <c r="AJ89" s="2680" t="str">
        <f t="shared" ca="1" si="46"/>
        <v/>
      </c>
      <c r="AK89" s="2676" t="str">
        <f t="shared" ca="1" si="46"/>
        <v/>
      </c>
      <c r="AL89" s="2676" t="str">
        <f t="shared" ca="1" si="46"/>
        <v/>
      </c>
      <c r="AM89" s="2676" t="str">
        <f t="shared" ca="1" si="46"/>
        <v/>
      </c>
      <c r="AN89" s="2677" t="str">
        <f t="shared" ca="1" si="46"/>
        <v/>
      </c>
      <c r="AO89" s="2680" t="str">
        <f t="shared" ca="1" si="46"/>
        <v/>
      </c>
      <c r="AP89" s="2676" t="str">
        <f t="shared" ca="1" si="46"/>
        <v/>
      </c>
      <c r="AQ89" s="2676" t="str">
        <f t="shared" ca="1" si="46"/>
        <v/>
      </c>
      <c r="AR89" s="2677" t="str">
        <f t="shared" ca="1" si="46"/>
        <v/>
      </c>
      <c r="AS89" s="2680" t="str">
        <f t="shared" ca="1" si="46"/>
        <v/>
      </c>
      <c r="AT89" s="2676" t="str">
        <f t="shared" ca="1" si="46"/>
        <v/>
      </c>
      <c r="AU89" s="2676" t="str">
        <f t="shared" ca="1" si="46"/>
        <v/>
      </c>
      <c r="AV89" s="2677" t="str">
        <f t="shared" ca="1" si="46"/>
        <v/>
      </c>
      <c r="AW89" s="2680" t="str">
        <f t="shared" ca="1" si="46"/>
        <v/>
      </c>
      <c r="AX89" s="2676" t="str">
        <f t="shared" ca="1" si="46"/>
        <v/>
      </c>
      <c r="AY89" s="2676" t="str">
        <f t="shared" ca="1" si="46"/>
        <v/>
      </c>
      <c r="AZ89" s="2677" t="str">
        <f t="shared" ca="1" si="45"/>
        <v/>
      </c>
      <c r="BA89" s="2676" t="str">
        <f t="shared" ca="1" si="45"/>
        <v/>
      </c>
      <c r="BB89" s="2676" t="str">
        <f t="shared" ca="1" si="45"/>
        <v/>
      </c>
      <c r="BC89" s="2676" t="str">
        <f t="shared" ca="1" si="45"/>
        <v/>
      </c>
      <c r="BD89" s="2677" t="str">
        <f t="shared" ca="1" si="45"/>
        <v/>
      </c>
      <c r="BE89" s="2670"/>
      <c r="BF89" s="2770"/>
      <c r="BG89" s="2770"/>
      <c r="BH89" s="2770"/>
      <c r="BI89" s="2514">
        <f t="shared" si="41"/>
        <v>72686</v>
      </c>
      <c r="BJ89" s="2516">
        <f t="shared" si="42"/>
        <v>79</v>
      </c>
      <c r="BK89" s="2499">
        <f t="shared" si="36"/>
        <v>2099</v>
      </c>
      <c r="BN89" s="2367">
        <f t="shared" si="37"/>
        <v>79</v>
      </c>
      <c r="BO89" s="2500" t="str">
        <f t="shared" si="38"/>
        <v>1/0/2099</v>
      </c>
      <c r="BP89" s="2501">
        <f t="shared" ca="1" si="33"/>
        <v>0</v>
      </c>
      <c r="BQ89" s="2367">
        <v>52</v>
      </c>
      <c r="BR89" s="2502">
        <f t="shared" si="34"/>
        <v>1.1111111111111112E-2</v>
      </c>
      <c r="BS89" s="2503">
        <f t="shared" ca="1" si="39"/>
        <v>0</v>
      </c>
      <c r="BT89"/>
      <c r="CB89" s="2370"/>
    </row>
    <row r="90" spans="1:80" ht="13" customHeight="1" x14ac:dyDescent="0.35">
      <c r="A90" s="2940">
        <v>9</v>
      </c>
      <c r="B90" s="2681">
        <f t="shared" si="40"/>
        <v>2100</v>
      </c>
      <c r="C90" s="2682">
        <f t="shared" si="35"/>
        <v>80</v>
      </c>
      <c r="D90" s="2683" t="str">
        <f ca="1">IF(BS90=0,"",SUM(BS$10:BS90))</f>
        <v/>
      </c>
      <c r="E90" s="2684" t="str">
        <f t="shared" ca="1" si="44"/>
        <v/>
      </c>
      <c r="F90" s="2685" t="str">
        <f t="shared" ca="1" si="44"/>
        <v/>
      </c>
      <c r="G90" s="2686" t="str">
        <f t="shared" ca="1" si="44"/>
        <v/>
      </c>
      <c r="H90" s="2686" t="str">
        <f t="shared" ca="1" si="44"/>
        <v/>
      </c>
      <c r="I90" s="2687" t="str">
        <f t="shared" ca="1" si="44"/>
        <v/>
      </c>
      <c r="J90" s="2688" t="str">
        <f t="shared" ca="1" si="44"/>
        <v/>
      </c>
      <c r="K90" s="2686" t="str">
        <f t="shared" ca="1" si="44"/>
        <v/>
      </c>
      <c r="L90" s="2686" t="str">
        <f t="shared" ca="1" si="44"/>
        <v/>
      </c>
      <c r="M90" s="2687" t="str">
        <f t="shared" ca="1" si="44"/>
        <v/>
      </c>
      <c r="N90" s="2689" t="str">
        <f t="shared" ca="1" si="44"/>
        <v/>
      </c>
      <c r="O90" s="2686" t="str">
        <f t="shared" ca="1" si="44"/>
        <v/>
      </c>
      <c r="P90" s="2686" t="str">
        <f t="shared" ca="1" si="44"/>
        <v/>
      </c>
      <c r="Q90" s="2687" t="str">
        <f t="shared" ca="1" si="44"/>
        <v/>
      </c>
      <c r="R90" s="2690" t="str">
        <f t="shared" ca="1" si="44"/>
        <v/>
      </c>
      <c r="S90" s="2686" t="str">
        <f t="shared" ca="1" si="44"/>
        <v/>
      </c>
      <c r="T90" s="2686" t="str">
        <f t="shared" ca="1" si="44"/>
        <v/>
      </c>
      <c r="U90" s="2687" t="str">
        <f t="shared" ca="1" si="43"/>
        <v/>
      </c>
      <c r="V90" s="2690" t="str">
        <f t="shared" ca="1" si="43"/>
        <v/>
      </c>
      <c r="W90" s="2686" t="str">
        <f t="shared" ca="1" si="43"/>
        <v/>
      </c>
      <c r="X90" s="2686" t="str">
        <f t="shared" ca="1" si="43"/>
        <v/>
      </c>
      <c r="Y90" s="2686" t="str">
        <f t="shared" ca="1" si="43"/>
        <v/>
      </c>
      <c r="Z90" s="2686" t="str">
        <f t="shared" ca="1" si="43"/>
        <v/>
      </c>
      <c r="AA90" s="2687" t="str">
        <f t="shared" ca="1" si="43"/>
        <v/>
      </c>
      <c r="AB90" s="2690" t="str">
        <f t="shared" ca="1" si="43"/>
        <v/>
      </c>
      <c r="AC90" s="2686" t="str">
        <f t="shared" ca="1" si="43"/>
        <v/>
      </c>
      <c r="AD90" s="2686" t="str">
        <f t="shared" ca="1" si="43"/>
        <v/>
      </c>
      <c r="AE90" s="2687" t="str">
        <f t="shared" ca="1" si="43"/>
        <v/>
      </c>
      <c r="AF90" s="2690" t="str">
        <f t="shared" ca="1" si="43"/>
        <v/>
      </c>
      <c r="AG90" s="2686" t="str">
        <f t="shared" ca="1" si="43"/>
        <v/>
      </c>
      <c r="AH90" s="2686" t="str">
        <f t="shared" ca="1" si="43"/>
        <v/>
      </c>
      <c r="AI90" s="2687" t="str">
        <f t="shared" ca="1" si="43"/>
        <v/>
      </c>
      <c r="AJ90" s="2690" t="str">
        <f t="shared" ca="1" si="46"/>
        <v/>
      </c>
      <c r="AK90" s="2686" t="str">
        <f t="shared" ca="1" si="46"/>
        <v/>
      </c>
      <c r="AL90" s="2686" t="str">
        <f t="shared" ca="1" si="46"/>
        <v/>
      </c>
      <c r="AM90" s="2686" t="str">
        <f t="shared" ca="1" si="46"/>
        <v/>
      </c>
      <c r="AN90" s="2687" t="str">
        <f t="shared" ca="1" si="46"/>
        <v/>
      </c>
      <c r="AO90" s="2690" t="str">
        <f t="shared" ca="1" si="46"/>
        <v/>
      </c>
      <c r="AP90" s="2686" t="str">
        <f t="shared" ca="1" si="46"/>
        <v/>
      </c>
      <c r="AQ90" s="2686" t="str">
        <f t="shared" ca="1" si="46"/>
        <v/>
      </c>
      <c r="AR90" s="2687" t="str">
        <f t="shared" ca="1" si="46"/>
        <v/>
      </c>
      <c r="AS90" s="2690" t="str">
        <f t="shared" ca="1" si="46"/>
        <v/>
      </c>
      <c r="AT90" s="2686" t="str">
        <f t="shared" ca="1" si="46"/>
        <v/>
      </c>
      <c r="AU90" s="2686" t="str">
        <f t="shared" ca="1" si="46"/>
        <v/>
      </c>
      <c r="AV90" s="2687" t="str">
        <f t="shared" ca="1" si="46"/>
        <v/>
      </c>
      <c r="AW90" s="2690" t="str">
        <f t="shared" ca="1" si="46"/>
        <v/>
      </c>
      <c r="AX90" s="2686" t="str">
        <f t="shared" ca="1" si="46"/>
        <v/>
      </c>
      <c r="AY90" s="2686" t="str">
        <f t="shared" ca="1" si="46"/>
        <v/>
      </c>
      <c r="AZ90" s="2687" t="str">
        <f t="shared" ca="1" si="45"/>
        <v/>
      </c>
      <c r="BA90" s="2686" t="str">
        <f t="shared" ca="1" si="45"/>
        <v/>
      </c>
      <c r="BB90" s="2686" t="str">
        <f t="shared" ca="1" si="45"/>
        <v/>
      </c>
      <c r="BC90" s="2686" t="str">
        <f t="shared" ca="1" si="45"/>
        <v/>
      </c>
      <c r="BD90" s="2686" t="str">
        <f t="shared" ca="1" si="45"/>
        <v/>
      </c>
      <c r="BE90" s="2691"/>
      <c r="BF90" s="2771"/>
      <c r="BG90" s="2771"/>
      <c r="BH90" s="2771"/>
      <c r="BI90" s="2514">
        <f t="shared" si="41"/>
        <v>73051</v>
      </c>
      <c r="BJ90" s="2516">
        <f t="shared" si="42"/>
        <v>80</v>
      </c>
      <c r="BK90" s="2499">
        <f t="shared" si="36"/>
        <v>2100</v>
      </c>
      <c r="BN90" s="2367">
        <f t="shared" si="37"/>
        <v>80</v>
      </c>
      <c r="BO90" s="2500" t="str">
        <f t="shared" si="38"/>
        <v>1/0/2100</v>
      </c>
      <c r="BP90" s="2501">
        <f t="shared" ca="1" si="33"/>
        <v>0</v>
      </c>
      <c r="BQ90" s="2367">
        <v>52</v>
      </c>
      <c r="BR90" s="2502">
        <f t="shared" si="34"/>
        <v>1.1111111111111112E-2</v>
      </c>
      <c r="BS90" s="2503">
        <f t="shared" ca="1" si="39"/>
        <v>0</v>
      </c>
      <c r="BT90"/>
      <c r="CB90" s="2370"/>
    </row>
    <row r="91" spans="1:80" ht="13" customHeight="1" x14ac:dyDescent="0.35">
      <c r="A91" s="2940"/>
      <c r="B91" s="2692">
        <f t="shared" si="40"/>
        <v>2101</v>
      </c>
      <c r="C91" s="2693">
        <f t="shared" si="35"/>
        <v>81</v>
      </c>
      <c r="D91" s="2694" t="str">
        <f ca="1">IF(BS91=0,"",SUM(BS$10:BS91))</f>
        <v/>
      </c>
      <c r="E91" s="2695" t="str">
        <f t="shared" ca="1" si="44"/>
        <v/>
      </c>
      <c r="F91" s="2696" t="str">
        <f t="shared" ca="1" si="44"/>
        <v/>
      </c>
      <c r="G91" s="2697" t="str">
        <f t="shared" ca="1" si="44"/>
        <v/>
      </c>
      <c r="H91" s="2697" t="str">
        <f t="shared" ca="1" si="44"/>
        <v/>
      </c>
      <c r="I91" s="2698" t="str">
        <f t="shared" ca="1" si="44"/>
        <v/>
      </c>
      <c r="J91" s="2699" t="str">
        <f t="shared" ca="1" si="44"/>
        <v/>
      </c>
      <c r="K91" s="2697" t="str">
        <f t="shared" ca="1" si="44"/>
        <v/>
      </c>
      <c r="L91" s="2697" t="str">
        <f t="shared" ca="1" si="44"/>
        <v/>
      </c>
      <c r="M91" s="2698" t="str">
        <f t="shared" ca="1" si="44"/>
        <v/>
      </c>
      <c r="N91" s="2689" t="str">
        <f t="shared" ca="1" si="44"/>
        <v/>
      </c>
      <c r="O91" s="2697" t="str">
        <f t="shared" ca="1" si="44"/>
        <v/>
      </c>
      <c r="P91" s="2697" t="str">
        <f t="shared" ca="1" si="44"/>
        <v/>
      </c>
      <c r="Q91" s="2698" t="str">
        <f t="shared" ca="1" si="44"/>
        <v/>
      </c>
      <c r="R91" s="2700" t="str">
        <f t="shared" ca="1" si="44"/>
        <v/>
      </c>
      <c r="S91" s="2697" t="str">
        <f t="shared" ca="1" si="44"/>
        <v/>
      </c>
      <c r="T91" s="2697" t="str">
        <f t="shared" ca="1" si="44"/>
        <v/>
      </c>
      <c r="U91" s="2698" t="str">
        <f t="shared" ca="1" si="43"/>
        <v/>
      </c>
      <c r="V91" s="2700" t="str">
        <f t="shared" ca="1" si="43"/>
        <v/>
      </c>
      <c r="W91" s="2697" t="str">
        <f t="shared" ca="1" si="43"/>
        <v/>
      </c>
      <c r="X91" s="2697" t="str">
        <f t="shared" ca="1" si="43"/>
        <v/>
      </c>
      <c r="Y91" s="2697" t="str">
        <f t="shared" ca="1" si="43"/>
        <v/>
      </c>
      <c r="Z91" s="2697" t="str">
        <f t="shared" ca="1" si="43"/>
        <v/>
      </c>
      <c r="AA91" s="2698" t="str">
        <f t="shared" ca="1" si="43"/>
        <v/>
      </c>
      <c r="AB91" s="2700" t="str">
        <f t="shared" ca="1" si="43"/>
        <v/>
      </c>
      <c r="AC91" s="2697" t="str">
        <f t="shared" ca="1" si="43"/>
        <v/>
      </c>
      <c r="AD91" s="2697" t="str">
        <f t="shared" ca="1" si="43"/>
        <v/>
      </c>
      <c r="AE91" s="2698" t="str">
        <f t="shared" ca="1" si="43"/>
        <v/>
      </c>
      <c r="AF91" s="2700" t="str">
        <f t="shared" ca="1" si="43"/>
        <v/>
      </c>
      <c r="AG91" s="2697" t="str">
        <f t="shared" ca="1" si="43"/>
        <v/>
      </c>
      <c r="AH91" s="2697" t="str">
        <f t="shared" ca="1" si="43"/>
        <v/>
      </c>
      <c r="AI91" s="2698" t="str">
        <f t="shared" ca="1" si="43"/>
        <v/>
      </c>
      <c r="AJ91" s="2700" t="str">
        <f t="shared" ca="1" si="46"/>
        <v/>
      </c>
      <c r="AK91" s="2697" t="str">
        <f t="shared" ca="1" si="46"/>
        <v/>
      </c>
      <c r="AL91" s="2697" t="str">
        <f t="shared" ca="1" si="46"/>
        <v/>
      </c>
      <c r="AM91" s="2697" t="str">
        <f t="shared" ca="1" si="46"/>
        <v/>
      </c>
      <c r="AN91" s="2698" t="str">
        <f t="shared" ca="1" si="46"/>
        <v/>
      </c>
      <c r="AO91" s="2700" t="str">
        <f t="shared" ca="1" si="46"/>
        <v/>
      </c>
      <c r="AP91" s="2697" t="str">
        <f t="shared" ca="1" si="46"/>
        <v/>
      </c>
      <c r="AQ91" s="2697" t="str">
        <f t="shared" ca="1" si="46"/>
        <v/>
      </c>
      <c r="AR91" s="2698" t="str">
        <f t="shared" ca="1" si="46"/>
        <v/>
      </c>
      <c r="AS91" s="2700" t="str">
        <f t="shared" ca="1" si="46"/>
        <v/>
      </c>
      <c r="AT91" s="2697" t="str">
        <f t="shared" ca="1" si="46"/>
        <v/>
      </c>
      <c r="AU91" s="2697" t="str">
        <f t="shared" ca="1" si="46"/>
        <v/>
      </c>
      <c r="AV91" s="2698" t="str">
        <f t="shared" ca="1" si="46"/>
        <v/>
      </c>
      <c r="AW91" s="2700" t="str">
        <f t="shared" ca="1" si="46"/>
        <v/>
      </c>
      <c r="AX91" s="2697" t="str">
        <f t="shared" ca="1" si="46"/>
        <v/>
      </c>
      <c r="AY91" s="2697" t="str">
        <f t="shared" ca="1" si="46"/>
        <v/>
      </c>
      <c r="AZ91" s="2698" t="str">
        <f t="shared" ca="1" si="45"/>
        <v/>
      </c>
      <c r="BA91" s="2697" t="str">
        <f t="shared" ca="1" si="45"/>
        <v/>
      </c>
      <c r="BB91" s="2697" t="str">
        <f t="shared" ca="1" si="45"/>
        <v/>
      </c>
      <c r="BC91" s="2697" t="str">
        <f t="shared" ca="1" si="45"/>
        <v/>
      </c>
      <c r="BD91" s="2697" t="str">
        <f t="shared" ca="1" si="45"/>
        <v/>
      </c>
      <c r="BE91" s="2691"/>
      <c r="BF91" s="2772"/>
      <c r="BG91" s="2772"/>
      <c r="BH91" s="2772"/>
      <c r="BI91" s="2514">
        <f t="shared" si="41"/>
        <v>73416</v>
      </c>
      <c r="BJ91" s="2516">
        <f t="shared" si="42"/>
        <v>81</v>
      </c>
      <c r="BK91" s="2499">
        <f t="shared" si="36"/>
        <v>2101</v>
      </c>
      <c r="BN91" s="2367">
        <f t="shared" si="37"/>
        <v>81</v>
      </c>
      <c r="BO91" s="2500" t="str">
        <f t="shared" si="38"/>
        <v>1/0/2101</v>
      </c>
      <c r="BP91" s="2501">
        <f t="shared" ca="1" si="33"/>
        <v>0</v>
      </c>
      <c r="BQ91" s="2367">
        <v>52</v>
      </c>
      <c r="BR91" s="2502">
        <f t="shared" si="34"/>
        <v>1.1111111111111112E-2</v>
      </c>
      <c r="BS91" s="2503">
        <f t="shared" ca="1" si="39"/>
        <v>0</v>
      </c>
      <c r="BT91"/>
      <c r="CB91" s="2370"/>
    </row>
    <row r="92" spans="1:80" ht="13" customHeight="1" x14ac:dyDescent="0.35">
      <c r="A92" s="2940"/>
      <c r="B92" s="2692">
        <f t="shared" si="40"/>
        <v>2102</v>
      </c>
      <c r="C92" s="2693">
        <f t="shared" si="35"/>
        <v>82</v>
      </c>
      <c r="D92" s="2694" t="str">
        <f ca="1">IF(BS92=0,"",SUM(BS$10:BS92))</f>
        <v/>
      </c>
      <c r="E92" s="2695" t="str">
        <f t="shared" ca="1" si="44"/>
        <v/>
      </c>
      <c r="F92" s="2696" t="str">
        <f t="shared" ca="1" si="44"/>
        <v/>
      </c>
      <c r="G92" s="2697" t="str">
        <f t="shared" ca="1" si="44"/>
        <v/>
      </c>
      <c r="H92" s="2697" t="str">
        <f t="shared" ca="1" si="44"/>
        <v/>
      </c>
      <c r="I92" s="2698" t="str">
        <f t="shared" ca="1" si="44"/>
        <v/>
      </c>
      <c r="J92" s="2699" t="str">
        <f t="shared" ca="1" si="44"/>
        <v/>
      </c>
      <c r="K92" s="2697" t="str">
        <f t="shared" ca="1" si="44"/>
        <v/>
      </c>
      <c r="L92" s="2697" t="str">
        <f t="shared" ca="1" si="44"/>
        <v/>
      </c>
      <c r="M92" s="2698" t="str">
        <f t="shared" ca="1" si="44"/>
        <v/>
      </c>
      <c r="N92" s="2689" t="str">
        <f t="shared" ca="1" si="44"/>
        <v/>
      </c>
      <c r="O92" s="2697" t="str">
        <f t="shared" ca="1" si="44"/>
        <v/>
      </c>
      <c r="P92" s="2697" t="str">
        <f t="shared" ca="1" si="44"/>
        <v/>
      </c>
      <c r="Q92" s="2698" t="str">
        <f t="shared" ca="1" si="44"/>
        <v/>
      </c>
      <c r="R92" s="2700" t="str">
        <f t="shared" ca="1" si="44"/>
        <v/>
      </c>
      <c r="S92" s="2697" t="str">
        <f t="shared" ca="1" si="44"/>
        <v/>
      </c>
      <c r="T92" s="2697" t="str">
        <f t="shared" ca="1" si="44"/>
        <v/>
      </c>
      <c r="U92" s="2698" t="str">
        <f t="shared" ca="1" si="43"/>
        <v/>
      </c>
      <c r="V92" s="2700" t="str">
        <f t="shared" ca="1" si="43"/>
        <v/>
      </c>
      <c r="W92" s="2697" t="str">
        <f t="shared" ca="1" si="43"/>
        <v/>
      </c>
      <c r="X92" s="2697" t="str">
        <f t="shared" ca="1" si="43"/>
        <v/>
      </c>
      <c r="Y92" s="2697" t="str">
        <f t="shared" ca="1" si="43"/>
        <v/>
      </c>
      <c r="Z92" s="2697" t="str">
        <f t="shared" ca="1" si="43"/>
        <v/>
      </c>
      <c r="AA92" s="2698" t="str">
        <f t="shared" ca="1" si="43"/>
        <v/>
      </c>
      <c r="AB92" s="2700" t="str">
        <f t="shared" ca="1" si="43"/>
        <v/>
      </c>
      <c r="AC92" s="2697" t="str">
        <f t="shared" ca="1" si="43"/>
        <v/>
      </c>
      <c r="AD92" s="2697" t="str">
        <f t="shared" ca="1" si="43"/>
        <v/>
      </c>
      <c r="AE92" s="2698" t="str">
        <f t="shared" ca="1" si="43"/>
        <v/>
      </c>
      <c r="AF92" s="2700" t="str">
        <f t="shared" ca="1" si="43"/>
        <v/>
      </c>
      <c r="AG92" s="2697" t="str">
        <f t="shared" ca="1" si="43"/>
        <v/>
      </c>
      <c r="AH92" s="2697" t="str">
        <f t="shared" ca="1" si="43"/>
        <v/>
      </c>
      <c r="AI92" s="2698" t="str">
        <f t="shared" ca="1" si="43"/>
        <v/>
      </c>
      <c r="AJ92" s="2700" t="str">
        <f t="shared" ca="1" si="46"/>
        <v/>
      </c>
      <c r="AK92" s="2697" t="str">
        <f t="shared" ca="1" si="46"/>
        <v/>
      </c>
      <c r="AL92" s="2697" t="str">
        <f t="shared" ca="1" si="46"/>
        <v/>
      </c>
      <c r="AM92" s="2697" t="str">
        <f t="shared" ca="1" si="46"/>
        <v/>
      </c>
      <c r="AN92" s="2698" t="str">
        <f t="shared" ca="1" si="46"/>
        <v/>
      </c>
      <c r="AO92" s="2700" t="str">
        <f t="shared" ca="1" si="46"/>
        <v/>
      </c>
      <c r="AP92" s="2697" t="str">
        <f t="shared" ca="1" si="46"/>
        <v/>
      </c>
      <c r="AQ92" s="2697" t="str">
        <f t="shared" ca="1" si="46"/>
        <v/>
      </c>
      <c r="AR92" s="2698" t="str">
        <f t="shared" ca="1" si="46"/>
        <v/>
      </c>
      <c r="AS92" s="2700" t="str">
        <f t="shared" ca="1" si="46"/>
        <v/>
      </c>
      <c r="AT92" s="2697" t="str">
        <f t="shared" ca="1" si="46"/>
        <v/>
      </c>
      <c r="AU92" s="2697" t="str">
        <f t="shared" ca="1" si="46"/>
        <v/>
      </c>
      <c r="AV92" s="2698" t="str">
        <f t="shared" ca="1" si="46"/>
        <v/>
      </c>
      <c r="AW92" s="2700" t="str">
        <f t="shared" ca="1" si="46"/>
        <v/>
      </c>
      <c r="AX92" s="2697" t="str">
        <f t="shared" ca="1" si="46"/>
        <v/>
      </c>
      <c r="AY92" s="2697" t="str">
        <f t="shared" ca="1" si="46"/>
        <v/>
      </c>
      <c r="AZ92" s="2698" t="str">
        <f t="shared" ca="1" si="45"/>
        <v/>
      </c>
      <c r="BA92" s="2697" t="str">
        <f t="shared" ca="1" si="45"/>
        <v/>
      </c>
      <c r="BB92" s="2697" t="str">
        <f t="shared" ca="1" si="45"/>
        <v/>
      </c>
      <c r="BC92" s="2697" t="str">
        <f t="shared" ca="1" si="45"/>
        <v/>
      </c>
      <c r="BD92" s="2697" t="str">
        <f t="shared" ca="1" si="45"/>
        <v/>
      </c>
      <c r="BE92" s="2691"/>
      <c r="BF92" s="2772"/>
      <c r="BG92" s="2772"/>
      <c r="BH92" s="2772"/>
      <c r="BI92" s="2514">
        <f t="shared" si="41"/>
        <v>73781</v>
      </c>
      <c r="BJ92" s="2516">
        <f t="shared" si="42"/>
        <v>82</v>
      </c>
      <c r="BK92" s="2499">
        <f t="shared" si="36"/>
        <v>2102</v>
      </c>
      <c r="BN92" s="2367">
        <f t="shared" si="37"/>
        <v>82</v>
      </c>
      <c r="BO92" s="2500" t="str">
        <f t="shared" si="38"/>
        <v>1/0/2102</v>
      </c>
      <c r="BP92" s="2501">
        <f t="shared" ca="1" si="33"/>
        <v>0</v>
      </c>
      <c r="BQ92" s="2367">
        <v>52</v>
      </c>
      <c r="BR92" s="2502">
        <f t="shared" si="34"/>
        <v>1.1111111111111112E-2</v>
      </c>
      <c r="BS92" s="2503">
        <f t="shared" ca="1" si="39"/>
        <v>0</v>
      </c>
      <c r="BT92"/>
      <c r="CB92" s="2370"/>
    </row>
    <row r="93" spans="1:80" ht="13" customHeight="1" x14ac:dyDescent="0.35">
      <c r="A93" s="2940"/>
      <c r="B93" s="2692">
        <f t="shared" si="40"/>
        <v>2103</v>
      </c>
      <c r="C93" s="2693">
        <f t="shared" si="35"/>
        <v>83</v>
      </c>
      <c r="D93" s="2694" t="str">
        <f ca="1">IF(BS93=0,"",SUM(BS$10:BS93))</f>
        <v/>
      </c>
      <c r="E93" s="2695" t="str">
        <f t="shared" ca="1" si="44"/>
        <v/>
      </c>
      <c r="F93" s="2696" t="str">
        <f t="shared" ca="1" si="44"/>
        <v/>
      </c>
      <c r="G93" s="2697" t="str">
        <f t="shared" ca="1" si="44"/>
        <v/>
      </c>
      <c r="H93" s="2697" t="str">
        <f t="shared" ca="1" si="44"/>
        <v/>
      </c>
      <c r="I93" s="2698" t="str">
        <f t="shared" ca="1" si="44"/>
        <v/>
      </c>
      <c r="J93" s="2699" t="str">
        <f t="shared" ca="1" si="44"/>
        <v/>
      </c>
      <c r="K93" s="2697" t="str">
        <f t="shared" ca="1" si="44"/>
        <v/>
      </c>
      <c r="L93" s="2697" t="str">
        <f t="shared" ca="1" si="44"/>
        <v/>
      </c>
      <c r="M93" s="2698" t="str">
        <f t="shared" ca="1" si="44"/>
        <v/>
      </c>
      <c r="N93" s="2689" t="str">
        <f t="shared" ca="1" si="44"/>
        <v/>
      </c>
      <c r="O93" s="2697" t="str">
        <f t="shared" ca="1" si="44"/>
        <v/>
      </c>
      <c r="P93" s="2697" t="str">
        <f t="shared" ca="1" si="44"/>
        <v/>
      </c>
      <c r="Q93" s="2698" t="str">
        <f t="shared" ca="1" si="44"/>
        <v/>
      </c>
      <c r="R93" s="2700" t="str">
        <f t="shared" ca="1" si="44"/>
        <v/>
      </c>
      <c r="S93" s="2697" t="str">
        <f t="shared" ca="1" si="44"/>
        <v/>
      </c>
      <c r="T93" s="2697" t="str">
        <f t="shared" ca="1" si="44"/>
        <v/>
      </c>
      <c r="U93" s="2698" t="str">
        <f t="shared" ca="1" si="43"/>
        <v/>
      </c>
      <c r="V93" s="2700" t="str">
        <f t="shared" ca="1" si="43"/>
        <v/>
      </c>
      <c r="W93" s="2697" t="str">
        <f t="shared" ca="1" si="43"/>
        <v/>
      </c>
      <c r="X93" s="2697" t="str">
        <f t="shared" ca="1" si="43"/>
        <v/>
      </c>
      <c r="Y93" s="2697" t="str">
        <f t="shared" ca="1" si="43"/>
        <v/>
      </c>
      <c r="Z93" s="2697" t="str">
        <f t="shared" ca="1" si="43"/>
        <v/>
      </c>
      <c r="AA93" s="2698" t="str">
        <f t="shared" ca="1" si="43"/>
        <v/>
      </c>
      <c r="AB93" s="2700" t="str">
        <f t="shared" ca="1" si="43"/>
        <v/>
      </c>
      <c r="AC93" s="2697" t="str">
        <f t="shared" ca="1" si="43"/>
        <v/>
      </c>
      <c r="AD93" s="2697" t="str">
        <f t="shared" ca="1" si="43"/>
        <v/>
      </c>
      <c r="AE93" s="2698" t="str">
        <f t="shared" ca="1" si="43"/>
        <v/>
      </c>
      <c r="AF93" s="2700" t="str">
        <f t="shared" ca="1" si="43"/>
        <v/>
      </c>
      <c r="AG93" s="2697" t="str">
        <f t="shared" ca="1" si="43"/>
        <v/>
      </c>
      <c r="AH93" s="2697" t="str">
        <f t="shared" ca="1" si="43"/>
        <v/>
      </c>
      <c r="AI93" s="2698" t="str">
        <f t="shared" ca="1" si="43"/>
        <v/>
      </c>
      <c r="AJ93" s="2700" t="str">
        <f t="shared" ca="1" si="46"/>
        <v/>
      </c>
      <c r="AK93" s="2697" t="str">
        <f t="shared" ca="1" si="46"/>
        <v/>
      </c>
      <c r="AL93" s="2697" t="str">
        <f t="shared" ca="1" si="46"/>
        <v/>
      </c>
      <c r="AM93" s="2697" t="str">
        <f t="shared" ca="1" si="46"/>
        <v/>
      </c>
      <c r="AN93" s="2698" t="str">
        <f t="shared" ca="1" si="46"/>
        <v/>
      </c>
      <c r="AO93" s="2700" t="str">
        <f t="shared" ca="1" si="46"/>
        <v/>
      </c>
      <c r="AP93" s="2697" t="str">
        <f t="shared" ca="1" si="46"/>
        <v/>
      </c>
      <c r="AQ93" s="2697" t="str">
        <f t="shared" ca="1" si="46"/>
        <v/>
      </c>
      <c r="AR93" s="2698" t="str">
        <f t="shared" ca="1" si="46"/>
        <v/>
      </c>
      <c r="AS93" s="2700" t="str">
        <f t="shared" ca="1" si="46"/>
        <v/>
      </c>
      <c r="AT93" s="2697" t="str">
        <f t="shared" ca="1" si="46"/>
        <v/>
      </c>
      <c r="AU93" s="2697" t="str">
        <f t="shared" ca="1" si="46"/>
        <v/>
      </c>
      <c r="AV93" s="2698" t="str">
        <f t="shared" ca="1" si="46"/>
        <v/>
      </c>
      <c r="AW93" s="2700" t="str">
        <f t="shared" ca="1" si="46"/>
        <v/>
      </c>
      <c r="AX93" s="2697" t="str">
        <f t="shared" ca="1" si="46"/>
        <v/>
      </c>
      <c r="AY93" s="2697" t="str">
        <f t="shared" ca="1" si="46"/>
        <v/>
      </c>
      <c r="AZ93" s="2698" t="str">
        <f t="shared" ca="1" si="45"/>
        <v/>
      </c>
      <c r="BA93" s="2697" t="str">
        <f t="shared" ca="1" si="45"/>
        <v/>
      </c>
      <c r="BB93" s="2697" t="str">
        <f t="shared" ca="1" si="45"/>
        <v/>
      </c>
      <c r="BC93" s="2697" t="str">
        <f t="shared" ca="1" si="45"/>
        <v/>
      </c>
      <c r="BD93" s="2697" t="str">
        <f t="shared" ca="1" si="45"/>
        <v/>
      </c>
      <c r="BE93" s="2691"/>
      <c r="BF93" s="2772"/>
      <c r="BG93" s="2772"/>
      <c r="BH93" s="2772"/>
      <c r="BI93" s="2514">
        <f t="shared" si="41"/>
        <v>74146</v>
      </c>
      <c r="BJ93" s="2516">
        <f t="shared" si="42"/>
        <v>83</v>
      </c>
      <c r="BK93" s="2499">
        <f t="shared" si="36"/>
        <v>2103</v>
      </c>
      <c r="BN93" s="2367">
        <f t="shared" si="37"/>
        <v>83</v>
      </c>
      <c r="BO93" s="2500" t="str">
        <f t="shared" si="38"/>
        <v>1/0/2103</v>
      </c>
      <c r="BP93" s="2501">
        <f t="shared" ca="1" si="33"/>
        <v>0</v>
      </c>
      <c r="BQ93" s="2367">
        <v>52</v>
      </c>
      <c r="BR93" s="2502">
        <f t="shared" si="34"/>
        <v>1.1111111111111112E-2</v>
      </c>
      <c r="BS93" s="2503">
        <f t="shared" ca="1" si="39"/>
        <v>0</v>
      </c>
      <c r="BT93"/>
      <c r="CB93" s="2370"/>
    </row>
    <row r="94" spans="1:80" ht="13" customHeight="1" x14ac:dyDescent="0.35">
      <c r="A94" s="2940"/>
      <c r="B94" s="2692">
        <f t="shared" si="40"/>
        <v>2104</v>
      </c>
      <c r="C94" s="2693">
        <f t="shared" si="35"/>
        <v>84</v>
      </c>
      <c r="D94" s="2694" t="str">
        <f ca="1">IF(BS94=0,"",SUM(BS$10:BS94))</f>
        <v/>
      </c>
      <c r="E94" s="2695" t="str">
        <f t="shared" ca="1" si="44"/>
        <v/>
      </c>
      <c r="F94" s="2696" t="str">
        <f t="shared" ca="1" si="44"/>
        <v/>
      </c>
      <c r="G94" s="2697" t="str">
        <f t="shared" ca="1" si="44"/>
        <v/>
      </c>
      <c r="H94" s="2697" t="str">
        <f t="shared" ca="1" si="44"/>
        <v/>
      </c>
      <c r="I94" s="2698" t="str">
        <f t="shared" ca="1" si="44"/>
        <v/>
      </c>
      <c r="J94" s="2699" t="str">
        <f t="shared" ca="1" si="44"/>
        <v/>
      </c>
      <c r="K94" s="2697" t="str">
        <f t="shared" ca="1" si="44"/>
        <v/>
      </c>
      <c r="L94" s="2697" t="str">
        <f t="shared" ca="1" si="44"/>
        <v/>
      </c>
      <c r="M94" s="2698" t="str">
        <f t="shared" ca="1" si="44"/>
        <v/>
      </c>
      <c r="N94" s="2689" t="str">
        <f t="shared" ca="1" si="44"/>
        <v/>
      </c>
      <c r="O94" s="2697" t="str">
        <f t="shared" ca="1" si="44"/>
        <v/>
      </c>
      <c r="P94" s="2697" t="str">
        <f t="shared" ca="1" si="44"/>
        <v/>
      </c>
      <c r="Q94" s="2698" t="str">
        <f t="shared" ca="1" si="44"/>
        <v/>
      </c>
      <c r="R94" s="2700" t="str">
        <f t="shared" ca="1" si="44"/>
        <v/>
      </c>
      <c r="S94" s="2697" t="str">
        <f t="shared" ca="1" si="44"/>
        <v/>
      </c>
      <c r="T94" s="2697" t="str">
        <f t="shared" ca="1" si="44"/>
        <v/>
      </c>
      <c r="U94" s="2698" t="str">
        <f t="shared" ca="1" si="43"/>
        <v/>
      </c>
      <c r="V94" s="2700" t="str">
        <f t="shared" ca="1" si="43"/>
        <v/>
      </c>
      <c r="W94" s="2697" t="str">
        <f t="shared" ca="1" si="43"/>
        <v/>
      </c>
      <c r="X94" s="2697" t="str">
        <f t="shared" ca="1" si="43"/>
        <v/>
      </c>
      <c r="Y94" s="2697" t="str">
        <f t="shared" ca="1" si="43"/>
        <v/>
      </c>
      <c r="Z94" s="2697" t="str">
        <f t="shared" ca="1" si="43"/>
        <v/>
      </c>
      <c r="AA94" s="2698" t="str">
        <f t="shared" ca="1" si="43"/>
        <v/>
      </c>
      <c r="AB94" s="2700" t="str">
        <f t="shared" ca="1" si="43"/>
        <v/>
      </c>
      <c r="AC94" s="2697" t="str">
        <f t="shared" ca="1" si="43"/>
        <v/>
      </c>
      <c r="AD94" s="2697" t="str">
        <f t="shared" ca="1" si="43"/>
        <v/>
      </c>
      <c r="AE94" s="2698" t="str">
        <f t="shared" ca="1" si="43"/>
        <v/>
      </c>
      <c r="AF94" s="2700" t="str">
        <f t="shared" ca="1" si="43"/>
        <v/>
      </c>
      <c r="AG94" s="2697" t="str">
        <f t="shared" ca="1" si="43"/>
        <v/>
      </c>
      <c r="AH94" s="2697" t="str">
        <f t="shared" ca="1" si="43"/>
        <v/>
      </c>
      <c r="AI94" s="2698" t="str">
        <f t="shared" ca="1" si="43"/>
        <v/>
      </c>
      <c r="AJ94" s="2700" t="str">
        <f t="shared" ca="1" si="46"/>
        <v/>
      </c>
      <c r="AK94" s="2697" t="str">
        <f t="shared" ca="1" si="46"/>
        <v/>
      </c>
      <c r="AL94" s="2697" t="str">
        <f t="shared" ca="1" si="46"/>
        <v/>
      </c>
      <c r="AM94" s="2697" t="str">
        <f t="shared" ca="1" si="46"/>
        <v/>
      </c>
      <c r="AN94" s="2698" t="str">
        <f t="shared" ca="1" si="46"/>
        <v/>
      </c>
      <c r="AO94" s="2700" t="str">
        <f t="shared" ca="1" si="46"/>
        <v/>
      </c>
      <c r="AP94" s="2697" t="str">
        <f t="shared" ca="1" si="46"/>
        <v/>
      </c>
      <c r="AQ94" s="2697" t="str">
        <f t="shared" ca="1" si="46"/>
        <v/>
      </c>
      <c r="AR94" s="2698" t="str">
        <f t="shared" ca="1" si="46"/>
        <v/>
      </c>
      <c r="AS94" s="2700" t="str">
        <f t="shared" ca="1" si="46"/>
        <v/>
      </c>
      <c r="AT94" s="2697" t="str">
        <f t="shared" ca="1" si="46"/>
        <v/>
      </c>
      <c r="AU94" s="2697" t="str">
        <f t="shared" ca="1" si="46"/>
        <v/>
      </c>
      <c r="AV94" s="2698" t="str">
        <f t="shared" ca="1" si="46"/>
        <v/>
      </c>
      <c r="AW94" s="2700" t="str">
        <f t="shared" ca="1" si="46"/>
        <v/>
      </c>
      <c r="AX94" s="2697" t="str">
        <f t="shared" ca="1" si="46"/>
        <v/>
      </c>
      <c r="AY94" s="2697" t="str">
        <f t="shared" ca="1" si="46"/>
        <v/>
      </c>
      <c r="AZ94" s="2698" t="str">
        <f t="shared" ca="1" si="45"/>
        <v/>
      </c>
      <c r="BA94" s="2697" t="str">
        <f t="shared" ca="1" si="45"/>
        <v/>
      </c>
      <c r="BB94" s="2697" t="str">
        <f t="shared" ca="1" si="45"/>
        <v/>
      </c>
      <c r="BC94" s="2697" t="str">
        <f t="shared" ca="1" si="45"/>
        <v/>
      </c>
      <c r="BD94" s="2697" t="str">
        <f t="shared" ca="1" si="45"/>
        <v/>
      </c>
      <c r="BE94" s="2691"/>
      <c r="BF94" s="2772"/>
      <c r="BG94" s="2772"/>
      <c r="BH94" s="2772"/>
      <c r="BI94" s="2514">
        <f t="shared" si="41"/>
        <v>74511</v>
      </c>
      <c r="BJ94" s="2516">
        <f t="shared" si="42"/>
        <v>84</v>
      </c>
      <c r="BK94" s="2499">
        <f t="shared" si="36"/>
        <v>2104</v>
      </c>
      <c r="BN94" s="2367">
        <f t="shared" si="37"/>
        <v>84</v>
      </c>
      <c r="BO94" s="2500" t="str">
        <f t="shared" si="38"/>
        <v>1/0/2104</v>
      </c>
      <c r="BP94" s="2501">
        <f t="shared" ca="1" si="33"/>
        <v>0</v>
      </c>
      <c r="BQ94" s="2367">
        <v>52</v>
      </c>
      <c r="BR94" s="2502">
        <f t="shared" si="34"/>
        <v>1.1111111111111112E-2</v>
      </c>
      <c r="BS94" s="2503">
        <f t="shared" ca="1" si="39"/>
        <v>0</v>
      </c>
      <c r="BT94"/>
      <c r="CB94" s="2370"/>
    </row>
    <row r="95" spans="1:80" ht="13" customHeight="1" x14ac:dyDescent="0.35">
      <c r="A95" s="2940"/>
      <c r="B95" s="2692">
        <f t="shared" si="40"/>
        <v>2105</v>
      </c>
      <c r="C95" s="2693">
        <f t="shared" si="35"/>
        <v>85</v>
      </c>
      <c r="D95" s="2694" t="str">
        <f ca="1">IF(BS95=0,"",SUM(BS$10:BS95))</f>
        <v/>
      </c>
      <c r="E95" s="2695" t="str">
        <f t="shared" ca="1" si="44"/>
        <v/>
      </c>
      <c r="F95" s="2696" t="str">
        <f t="shared" ca="1" si="44"/>
        <v/>
      </c>
      <c r="G95" s="2697" t="str">
        <f t="shared" ca="1" si="44"/>
        <v/>
      </c>
      <c r="H95" s="2697" t="str">
        <f t="shared" ca="1" si="44"/>
        <v/>
      </c>
      <c r="I95" s="2698" t="str">
        <f t="shared" ca="1" si="44"/>
        <v/>
      </c>
      <c r="J95" s="2699" t="str">
        <f t="shared" ca="1" si="44"/>
        <v/>
      </c>
      <c r="K95" s="2697" t="str">
        <f t="shared" ca="1" si="44"/>
        <v/>
      </c>
      <c r="L95" s="2697" t="str">
        <f t="shared" ca="1" si="44"/>
        <v/>
      </c>
      <c r="M95" s="2698" t="str">
        <f t="shared" ca="1" si="44"/>
        <v/>
      </c>
      <c r="N95" s="2689" t="str">
        <f t="shared" ca="1" si="44"/>
        <v/>
      </c>
      <c r="O95" s="2697" t="str">
        <f t="shared" ca="1" si="44"/>
        <v/>
      </c>
      <c r="P95" s="2697" t="str">
        <f t="shared" ca="1" si="44"/>
        <v/>
      </c>
      <c r="Q95" s="2698" t="str">
        <f t="shared" ca="1" si="44"/>
        <v/>
      </c>
      <c r="R95" s="2700" t="str">
        <f t="shared" ca="1" si="44"/>
        <v/>
      </c>
      <c r="S95" s="2697" t="str">
        <f t="shared" ca="1" si="44"/>
        <v/>
      </c>
      <c r="T95" s="2697" t="str">
        <f t="shared" ref="T95:AI109" ca="1" si="47">IF(DATE($BK95,T$5,T$6)&lt;=DATE(YEAR($BE$5),MONTH($BE$5),DAY($BE$5)),"X","")</f>
        <v/>
      </c>
      <c r="U95" s="2698" t="str">
        <f t="shared" ca="1" si="47"/>
        <v/>
      </c>
      <c r="V95" s="2700" t="str">
        <f t="shared" ca="1" si="47"/>
        <v/>
      </c>
      <c r="W95" s="2697" t="str">
        <f t="shared" ca="1" si="47"/>
        <v/>
      </c>
      <c r="X95" s="2697" t="str">
        <f t="shared" ca="1" si="47"/>
        <v/>
      </c>
      <c r="Y95" s="2697" t="str">
        <f t="shared" ca="1" si="47"/>
        <v/>
      </c>
      <c r="Z95" s="2697" t="str">
        <f t="shared" ca="1" si="47"/>
        <v/>
      </c>
      <c r="AA95" s="2698" t="str">
        <f t="shared" ca="1" si="47"/>
        <v/>
      </c>
      <c r="AB95" s="2700" t="str">
        <f t="shared" ca="1" si="47"/>
        <v/>
      </c>
      <c r="AC95" s="2697" t="str">
        <f t="shared" ca="1" si="47"/>
        <v/>
      </c>
      <c r="AD95" s="2697" t="str">
        <f t="shared" ca="1" si="47"/>
        <v/>
      </c>
      <c r="AE95" s="2698" t="str">
        <f t="shared" ca="1" si="47"/>
        <v/>
      </c>
      <c r="AF95" s="2700" t="str">
        <f t="shared" ca="1" si="47"/>
        <v/>
      </c>
      <c r="AG95" s="2697" t="str">
        <f t="shared" ca="1" si="47"/>
        <v/>
      </c>
      <c r="AH95" s="2697" t="str">
        <f t="shared" ca="1" si="47"/>
        <v/>
      </c>
      <c r="AI95" s="2698" t="str">
        <f t="shared" ca="1" si="47"/>
        <v/>
      </c>
      <c r="AJ95" s="2700" t="str">
        <f t="shared" ca="1" si="46"/>
        <v/>
      </c>
      <c r="AK95" s="2697" t="str">
        <f t="shared" ca="1" si="46"/>
        <v/>
      </c>
      <c r="AL95" s="2697" t="str">
        <f t="shared" ca="1" si="46"/>
        <v/>
      </c>
      <c r="AM95" s="2697" t="str">
        <f t="shared" ca="1" si="46"/>
        <v/>
      </c>
      <c r="AN95" s="2698" t="str">
        <f t="shared" ca="1" si="46"/>
        <v/>
      </c>
      <c r="AO95" s="2700" t="str">
        <f t="shared" ca="1" si="46"/>
        <v/>
      </c>
      <c r="AP95" s="2697" t="str">
        <f t="shared" ca="1" si="46"/>
        <v/>
      </c>
      <c r="AQ95" s="2697" t="str">
        <f t="shared" ca="1" si="46"/>
        <v/>
      </c>
      <c r="AR95" s="2698" t="str">
        <f t="shared" ca="1" si="46"/>
        <v/>
      </c>
      <c r="AS95" s="2700" t="str">
        <f t="shared" ca="1" si="46"/>
        <v/>
      </c>
      <c r="AT95" s="2697" t="str">
        <f t="shared" ca="1" si="46"/>
        <v/>
      </c>
      <c r="AU95" s="2697" t="str">
        <f t="shared" ca="1" si="46"/>
        <v/>
      </c>
      <c r="AV95" s="2698" t="str">
        <f t="shared" ca="1" si="46"/>
        <v/>
      </c>
      <c r="AW95" s="2700" t="str">
        <f t="shared" ca="1" si="46"/>
        <v/>
      </c>
      <c r="AX95" s="2697" t="str">
        <f t="shared" ca="1" si="46"/>
        <v/>
      </c>
      <c r="AY95" s="2697" t="str">
        <f t="shared" ca="1" si="46"/>
        <v/>
      </c>
      <c r="AZ95" s="2698" t="str">
        <f t="shared" ca="1" si="45"/>
        <v/>
      </c>
      <c r="BA95" s="2697" t="str">
        <f t="shared" ca="1" si="45"/>
        <v/>
      </c>
      <c r="BB95" s="2697" t="str">
        <f t="shared" ca="1" si="45"/>
        <v/>
      </c>
      <c r="BC95" s="2697" t="str">
        <f t="shared" ca="1" si="45"/>
        <v/>
      </c>
      <c r="BD95" s="2697" t="str">
        <f t="shared" ca="1" si="45"/>
        <v/>
      </c>
      <c r="BE95" s="2691"/>
      <c r="BF95" s="2772"/>
      <c r="BG95" s="2772"/>
      <c r="BH95" s="2772"/>
      <c r="BI95" s="2514">
        <f t="shared" si="41"/>
        <v>74877</v>
      </c>
      <c r="BJ95" s="2516">
        <f t="shared" si="42"/>
        <v>85</v>
      </c>
      <c r="BK95" s="2499">
        <f t="shared" si="36"/>
        <v>2105</v>
      </c>
      <c r="BN95" s="2367">
        <f t="shared" si="37"/>
        <v>85</v>
      </c>
      <c r="BO95" s="2500" t="str">
        <f t="shared" si="38"/>
        <v>1/0/2105</v>
      </c>
      <c r="BP95" s="2501">
        <f t="shared" ca="1" si="33"/>
        <v>0</v>
      </c>
      <c r="BQ95" s="2367">
        <v>52</v>
      </c>
      <c r="BR95" s="2502">
        <f t="shared" si="34"/>
        <v>1.1111111111111112E-2</v>
      </c>
      <c r="BS95" s="2503">
        <f t="shared" ca="1" si="39"/>
        <v>0</v>
      </c>
      <c r="BT95"/>
      <c r="CB95" s="2370"/>
    </row>
    <row r="96" spans="1:80" ht="13" customHeight="1" x14ac:dyDescent="0.35">
      <c r="A96" s="2940"/>
      <c r="B96" s="2692">
        <f t="shared" si="40"/>
        <v>2106</v>
      </c>
      <c r="C96" s="2693">
        <f t="shared" si="35"/>
        <v>86</v>
      </c>
      <c r="D96" s="2694" t="str">
        <f ca="1">IF(BS96=0,"",SUM(BS$10:BS96))</f>
        <v/>
      </c>
      <c r="E96" s="2695" t="str">
        <f t="shared" ref="E96:T109" ca="1" si="48">IF(DATE($BK96,E$5,E$6)&lt;=DATE(YEAR($BE$5),MONTH($BE$5),DAY($BE$5)),"X","")</f>
        <v/>
      </c>
      <c r="F96" s="2696" t="str">
        <f t="shared" ca="1" si="48"/>
        <v/>
      </c>
      <c r="G96" s="2697" t="str">
        <f t="shared" ca="1" si="48"/>
        <v/>
      </c>
      <c r="H96" s="2697" t="str">
        <f t="shared" ca="1" si="48"/>
        <v/>
      </c>
      <c r="I96" s="2698" t="str">
        <f t="shared" ca="1" si="48"/>
        <v/>
      </c>
      <c r="J96" s="2699" t="str">
        <f t="shared" ca="1" si="48"/>
        <v/>
      </c>
      <c r="K96" s="2697" t="str">
        <f t="shared" ca="1" si="48"/>
        <v/>
      </c>
      <c r="L96" s="2697" t="str">
        <f t="shared" ca="1" si="48"/>
        <v/>
      </c>
      <c r="M96" s="2698" t="str">
        <f t="shared" ca="1" si="48"/>
        <v/>
      </c>
      <c r="N96" s="2689" t="str">
        <f t="shared" ca="1" si="48"/>
        <v/>
      </c>
      <c r="O96" s="2697" t="str">
        <f t="shared" ca="1" si="48"/>
        <v/>
      </c>
      <c r="P96" s="2697" t="str">
        <f t="shared" ca="1" si="48"/>
        <v/>
      </c>
      <c r="Q96" s="2698" t="str">
        <f t="shared" ca="1" si="48"/>
        <v/>
      </c>
      <c r="R96" s="2700" t="str">
        <f t="shared" ca="1" si="48"/>
        <v/>
      </c>
      <c r="S96" s="2697" t="str">
        <f t="shared" ca="1" si="48"/>
        <v/>
      </c>
      <c r="T96" s="2697" t="str">
        <f t="shared" ca="1" si="48"/>
        <v/>
      </c>
      <c r="U96" s="2698" t="str">
        <f t="shared" ca="1" si="47"/>
        <v/>
      </c>
      <c r="V96" s="2700" t="str">
        <f t="shared" ca="1" si="47"/>
        <v/>
      </c>
      <c r="W96" s="2697" t="str">
        <f t="shared" ca="1" si="47"/>
        <v/>
      </c>
      <c r="X96" s="2697" t="str">
        <f t="shared" ca="1" si="47"/>
        <v/>
      </c>
      <c r="Y96" s="2697" t="str">
        <f t="shared" ca="1" si="47"/>
        <v/>
      </c>
      <c r="Z96" s="2697" t="str">
        <f t="shared" ca="1" si="47"/>
        <v/>
      </c>
      <c r="AA96" s="2698" t="str">
        <f t="shared" ca="1" si="47"/>
        <v/>
      </c>
      <c r="AB96" s="2700" t="str">
        <f t="shared" ca="1" si="47"/>
        <v/>
      </c>
      <c r="AC96" s="2697" t="str">
        <f t="shared" ca="1" si="47"/>
        <v/>
      </c>
      <c r="AD96" s="2697" t="str">
        <f t="shared" ca="1" si="47"/>
        <v/>
      </c>
      <c r="AE96" s="2698" t="str">
        <f t="shared" ca="1" si="47"/>
        <v/>
      </c>
      <c r="AF96" s="2700" t="str">
        <f t="shared" ca="1" si="47"/>
        <v/>
      </c>
      <c r="AG96" s="2697" t="str">
        <f t="shared" ca="1" si="47"/>
        <v/>
      </c>
      <c r="AH96" s="2697" t="str">
        <f t="shared" ca="1" si="47"/>
        <v/>
      </c>
      <c r="AI96" s="2698" t="str">
        <f t="shared" ca="1" si="47"/>
        <v/>
      </c>
      <c r="AJ96" s="2700" t="str">
        <f t="shared" ca="1" si="46"/>
        <v/>
      </c>
      <c r="AK96" s="2697" t="str">
        <f t="shared" ca="1" si="46"/>
        <v/>
      </c>
      <c r="AL96" s="2697" t="str">
        <f t="shared" ca="1" si="46"/>
        <v/>
      </c>
      <c r="AM96" s="2697" t="str">
        <f t="shared" ca="1" si="46"/>
        <v/>
      </c>
      <c r="AN96" s="2698" t="str">
        <f t="shared" ca="1" si="46"/>
        <v/>
      </c>
      <c r="AO96" s="2700" t="str">
        <f t="shared" ca="1" si="46"/>
        <v/>
      </c>
      <c r="AP96" s="2697" t="str">
        <f t="shared" ca="1" si="46"/>
        <v/>
      </c>
      <c r="AQ96" s="2697" t="str">
        <f t="shared" ca="1" si="46"/>
        <v/>
      </c>
      <c r="AR96" s="2698" t="str">
        <f t="shared" ca="1" si="46"/>
        <v/>
      </c>
      <c r="AS96" s="2700" t="str">
        <f t="shared" ca="1" si="46"/>
        <v/>
      </c>
      <c r="AT96" s="2697" t="str">
        <f t="shared" ca="1" si="46"/>
        <v/>
      </c>
      <c r="AU96" s="2697" t="str">
        <f t="shared" ca="1" si="46"/>
        <v/>
      </c>
      <c r="AV96" s="2698" t="str">
        <f t="shared" ca="1" si="46"/>
        <v/>
      </c>
      <c r="AW96" s="2700" t="str">
        <f t="shared" ca="1" si="46"/>
        <v/>
      </c>
      <c r="AX96" s="2697" t="str">
        <f t="shared" ca="1" si="46"/>
        <v/>
      </c>
      <c r="AY96" s="2697" t="str">
        <f t="shared" ca="1" si="46"/>
        <v/>
      </c>
      <c r="AZ96" s="2698" t="str">
        <f t="shared" ca="1" si="45"/>
        <v/>
      </c>
      <c r="BA96" s="2697" t="str">
        <f t="shared" ca="1" si="45"/>
        <v/>
      </c>
      <c r="BB96" s="2697" t="str">
        <f t="shared" ca="1" si="45"/>
        <v/>
      </c>
      <c r="BC96" s="2697" t="str">
        <f t="shared" ca="1" si="45"/>
        <v/>
      </c>
      <c r="BD96" s="2697" t="str">
        <f t="shared" ca="1" si="45"/>
        <v/>
      </c>
      <c r="BE96" s="2691"/>
      <c r="BF96" s="2772"/>
      <c r="BG96" s="2772"/>
      <c r="BH96" s="2772"/>
      <c r="BI96" s="2514">
        <f t="shared" si="41"/>
        <v>75242</v>
      </c>
      <c r="BJ96" s="2516">
        <f t="shared" si="42"/>
        <v>86</v>
      </c>
      <c r="BK96" s="2499">
        <f t="shared" si="36"/>
        <v>2106</v>
      </c>
      <c r="BN96" s="2367">
        <f t="shared" si="37"/>
        <v>86</v>
      </c>
      <c r="BO96" s="2500" t="str">
        <f t="shared" si="38"/>
        <v>1/0/2106</v>
      </c>
      <c r="BP96" s="2501">
        <f t="shared" ca="1" si="33"/>
        <v>0</v>
      </c>
      <c r="BQ96" s="2367">
        <v>52</v>
      </c>
      <c r="BR96" s="2502">
        <f t="shared" si="34"/>
        <v>1.1111111111111112E-2</v>
      </c>
      <c r="BS96" s="2503">
        <f t="shared" ca="1" si="39"/>
        <v>0</v>
      </c>
      <c r="BT96"/>
      <c r="CB96" s="2370"/>
    </row>
    <row r="97" spans="1:80" ht="13" customHeight="1" x14ac:dyDescent="0.35">
      <c r="A97" s="2940"/>
      <c r="B97" s="2692">
        <f t="shared" si="40"/>
        <v>2107</v>
      </c>
      <c r="C97" s="2693">
        <f t="shared" si="35"/>
        <v>87</v>
      </c>
      <c r="D97" s="2694" t="str">
        <f ca="1">IF(BS97=0,"",SUM(BS$10:BS97))</f>
        <v/>
      </c>
      <c r="E97" s="2695" t="str">
        <f t="shared" ca="1" si="48"/>
        <v/>
      </c>
      <c r="F97" s="2696" t="str">
        <f t="shared" ca="1" si="48"/>
        <v/>
      </c>
      <c r="G97" s="2697" t="str">
        <f t="shared" ca="1" si="48"/>
        <v/>
      </c>
      <c r="H97" s="2697" t="str">
        <f t="shared" ca="1" si="48"/>
        <v/>
      </c>
      <c r="I97" s="2698" t="str">
        <f t="shared" ca="1" si="48"/>
        <v/>
      </c>
      <c r="J97" s="2699" t="str">
        <f t="shared" ca="1" si="48"/>
        <v/>
      </c>
      <c r="K97" s="2697" t="str">
        <f t="shared" ca="1" si="48"/>
        <v/>
      </c>
      <c r="L97" s="2697" t="str">
        <f t="shared" ca="1" si="48"/>
        <v/>
      </c>
      <c r="M97" s="2698" t="str">
        <f t="shared" ca="1" si="48"/>
        <v/>
      </c>
      <c r="N97" s="2689" t="str">
        <f t="shared" ca="1" si="48"/>
        <v/>
      </c>
      <c r="O97" s="2697" t="str">
        <f t="shared" ca="1" si="48"/>
        <v/>
      </c>
      <c r="P97" s="2697" t="str">
        <f t="shared" ca="1" si="48"/>
        <v/>
      </c>
      <c r="Q97" s="2698" t="str">
        <f t="shared" ca="1" si="48"/>
        <v/>
      </c>
      <c r="R97" s="2700" t="str">
        <f t="shared" ca="1" si="48"/>
        <v/>
      </c>
      <c r="S97" s="2697" t="str">
        <f t="shared" ca="1" si="48"/>
        <v/>
      </c>
      <c r="T97" s="2697" t="str">
        <f t="shared" ca="1" si="48"/>
        <v/>
      </c>
      <c r="U97" s="2698" t="str">
        <f t="shared" ca="1" si="47"/>
        <v/>
      </c>
      <c r="V97" s="2700" t="str">
        <f t="shared" ca="1" si="47"/>
        <v/>
      </c>
      <c r="W97" s="2697" t="str">
        <f t="shared" ca="1" si="47"/>
        <v/>
      </c>
      <c r="X97" s="2697" t="str">
        <f t="shared" ca="1" si="47"/>
        <v/>
      </c>
      <c r="Y97" s="2697" t="str">
        <f t="shared" ca="1" si="47"/>
        <v/>
      </c>
      <c r="Z97" s="2697" t="str">
        <f t="shared" ca="1" si="47"/>
        <v/>
      </c>
      <c r="AA97" s="2698" t="str">
        <f t="shared" ca="1" si="47"/>
        <v/>
      </c>
      <c r="AB97" s="2700" t="str">
        <f t="shared" ca="1" si="47"/>
        <v/>
      </c>
      <c r="AC97" s="2697" t="str">
        <f t="shared" ca="1" si="47"/>
        <v/>
      </c>
      <c r="AD97" s="2697" t="str">
        <f t="shared" ca="1" si="47"/>
        <v/>
      </c>
      <c r="AE97" s="2698" t="str">
        <f t="shared" ca="1" si="47"/>
        <v/>
      </c>
      <c r="AF97" s="2700" t="str">
        <f t="shared" ca="1" si="47"/>
        <v/>
      </c>
      <c r="AG97" s="2697" t="str">
        <f t="shared" ca="1" si="47"/>
        <v/>
      </c>
      <c r="AH97" s="2697" t="str">
        <f t="shared" ca="1" si="47"/>
        <v/>
      </c>
      <c r="AI97" s="2698" t="str">
        <f t="shared" ca="1" si="47"/>
        <v/>
      </c>
      <c r="AJ97" s="2700" t="str">
        <f t="shared" ca="1" si="46"/>
        <v/>
      </c>
      <c r="AK97" s="2697" t="str">
        <f t="shared" ca="1" si="46"/>
        <v/>
      </c>
      <c r="AL97" s="2697" t="str">
        <f t="shared" ca="1" si="46"/>
        <v/>
      </c>
      <c r="AM97" s="2697" t="str">
        <f t="shared" ca="1" si="46"/>
        <v/>
      </c>
      <c r="AN97" s="2698" t="str">
        <f t="shared" ca="1" si="46"/>
        <v/>
      </c>
      <c r="AO97" s="2700" t="str">
        <f t="shared" ca="1" si="46"/>
        <v/>
      </c>
      <c r="AP97" s="2697" t="str">
        <f t="shared" ca="1" si="46"/>
        <v/>
      </c>
      <c r="AQ97" s="2697" t="str">
        <f t="shared" ca="1" si="46"/>
        <v/>
      </c>
      <c r="AR97" s="2698" t="str">
        <f t="shared" ca="1" si="46"/>
        <v/>
      </c>
      <c r="AS97" s="2700" t="str">
        <f t="shared" ca="1" si="46"/>
        <v/>
      </c>
      <c r="AT97" s="2697" t="str">
        <f t="shared" ca="1" si="46"/>
        <v/>
      </c>
      <c r="AU97" s="2697" t="str">
        <f t="shared" ca="1" si="46"/>
        <v/>
      </c>
      <c r="AV97" s="2698" t="str">
        <f t="shared" ca="1" si="46"/>
        <v/>
      </c>
      <c r="AW97" s="2700" t="str">
        <f t="shared" ca="1" si="46"/>
        <v/>
      </c>
      <c r="AX97" s="2697" t="str">
        <f t="shared" ca="1" si="46"/>
        <v/>
      </c>
      <c r="AY97" s="2697" t="str">
        <f t="shared" ca="1" si="46"/>
        <v/>
      </c>
      <c r="AZ97" s="2698" t="str">
        <f t="shared" ca="1" si="45"/>
        <v/>
      </c>
      <c r="BA97" s="2697" t="str">
        <f t="shared" ca="1" si="45"/>
        <v/>
      </c>
      <c r="BB97" s="2697" t="str">
        <f t="shared" ca="1" si="45"/>
        <v/>
      </c>
      <c r="BC97" s="2697" t="str">
        <f t="shared" ca="1" si="45"/>
        <v/>
      </c>
      <c r="BD97" s="2697" t="str">
        <f t="shared" ca="1" si="45"/>
        <v/>
      </c>
      <c r="BE97" s="2691"/>
      <c r="BF97" s="2772"/>
      <c r="BG97" s="2772"/>
      <c r="BH97" s="2772"/>
      <c r="BI97" s="2514">
        <f t="shared" si="41"/>
        <v>75607</v>
      </c>
      <c r="BJ97" s="2516">
        <f t="shared" si="42"/>
        <v>87</v>
      </c>
      <c r="BK97" s="2499">
        <f t="shared" si="36"/>
        <v>2107</v>
      </c>
      <c r="BN97" s="2367">
        <f t="shared" si="37"/>
        <v>87</v>
      </c>
      <c r="BO97" s="2500" t="str">
        <f t="shared" si="38"/>
        <v>1/0/2107</v>
      </c>
      <c r="BP97" s="2501">
        <f t="shared" ca="1" si="33"/>
        <v>0</v>
      </c>
      <c r="BQ97" s="2367">
        <v>52</v>
      </c>
      <c r="BR97" s="2502">
        <f t="shared" si="34"/>
        <v>1.1111111111111112E-2</v>
      </c>
      <c r="BS97" s="2503">
        <f t="shared" ca="1" si="39"/>
        <v>0</v>
      </c>
      <c r="BT97"/>
      <c r="CB97" s="2370"/>
    </row>
    <row r="98" spans="1:80" ht="13" customHeight="1" x14ac:dyDescent="0.35">
      <c r="A98" s="2940"/>
      <c r="B98" s="2692">
        <f t="shared" si="40"/>
        <v>2108</v>
      </c>
      <c r="C98" s="2693">
        <f t="shared" si="35"/>
        <v>88</v>
      </c>
      <c r="D98" s="2694" t="str">
        <f ca="1">IF(BS98=0,"",SUM(BS$10:BS98))</f>
        <v/>
      </c>
      <c r="E98" s="2695" t="str">
        <f t="shared" ca="1" si="48"/>
        <v/>
      </c>
      <c r="F98" s="2696" t="str">
        <f t="shared" ca="1" si="48"/>
        <v/>
      </c>
      <c r="G98" s="2697" t="str">
        <f t="shared" ca="1" si="48"/>
        <v/>
      </c>
      <c r="H98" s="2697" t="str">
        <f t="shared" ca="1" si="48"/>
        <v/>
      </c>
      <c r="I98" s="2698" t="str">
        <f t="shared" ca="1" si="48"/>
        <v/>
      </c>
      <c r="J98" s="2699" t="str">
        <f t="shared" ca="1" si="48"/>
        <v/>
      </c>
      <c r="K98" s="2697" t="str">
        <f t="shared" ca="1" si="48"/>
        <v/>
      </c>
      <c r="L98" s="2697" t="str">
        <f t="shared" ca="1" si="48"/>
        <v/>
      </c>
      <c r="M98" s="2698" t="str">
        <f t="shared" ca="1" si="48"/>
        <v/>
      </c>
      <c r="N98" s="2689" t="str">
        <f t="shared" ca="1" si="48"/>
        <v/>
      </c>
      <c r="O98" s="2697" t="str">
        <f t="shared" ca="1" si="48"/>
        <v/>
      </c>
      <c r="P98" s="2697" t="str">
        <f t="shared" ca="1" si="48"/>
        <v/>
      </c>
      <c r="Q98" s="2698" t="str">
        <f t="shared" ca="1" si="48"/>
        <v/>
      </c>
      <c r="R98" s="2700" t="str">
        <f t="shared" ca="1" si="48"/>
        <v/>
      </c>
      <c r="S98" s="2697" t="str">
        <f t="shared" ca="1" si="48"/>
        <v/>
      </c>
      <c r="T98" s="2697" t="str">
        <f t="shared" ca="1" si="48"/>
        <v/>
      </c>
      <c r="U98" s="2698" t="str">
        <f t="shared" ca="1" si="47"/>
        <v/>
      </c>
      <c r="V98" s="2700" t="str">
        <f t="shared" ca="1" si="47"/>
        <v/>
      </c>
      <c r="W98" s="2697" t="str">
        <f t="shared" ca="1" si="47"/>
        <v/>
      </c>
      <c r="X98" s="2697" t="str">
        <f t="shared" ca="1" si="47"/>
        <v/>
      </c>
      <c r="Y98" s="2697" t="str">
        <f t="shared" ca="1" si="47"/>
        <v/>
      </c>
      <c r="Z98" s="2697" t="str">
        <f t="shared" ca="1" si="47"/>
        <v/>
      </c>
      <c r="AA98" s="2698" t="str">
        <f t="shared" ca="1" si="47"/>
        <v/>
      </c>
      <c r="AB98" s="2700" t="str">
        <f t="shared" ca="1" si="47"/>
        <v/>
      </c>
      <c r="AC98" s="2697" t="str">
        <f t="shared" ca="1" si="47"/>
        <v/>
      </c>
      <c r="AD98" s="2697" t="str">
        <f t="shared" ca="1" si="47"/>
        <v/>
      </c>
      <c r="AE98" s="2698" t="str">
        <f t="shared" ca="1" si="47"/>
        <v/>
      </c>
      <c r="AF98" s="2700" t="str">
        <f t="shared" ca="1" si="47"/>
        <v/>
      </c>
      <c r="AG98" s="2697" t="str">
        <f t="shared" ca="1" si="47"/>
        <v/>
      </c>
      <c r="AH98" s="2697" t="str">
        <f t="shared" ca="1" si="47"/>
        <v/>
      </c>
      <c r="AI98" s="2698" t="str">
        <f t="shared" ca="1" si="47"/>
        <v/>
      </c>
      <c r="AJ98" s="2700" t="str">
        <f t="shared" ca="1" si="46"/>
        <v/>
      </c>
      <c r="AK98" s="2697" t="str">
        <f t="shared" ca="1" si="46"/>
        <v/>
      </c>
      <c r="AL98" s="2697" t="str">
        <f t="shared" ca="1" si="46"/>
        <v/>
      </c>
      <c r="AM98" s="2697" t="str">
        <f t="shared" ca="1" si="46"/>
        <v/>
      </c>
      <c r="AN98" s="2698" t="str">
        <f t="shared" ca="1" si="46"/>
        <v/>
      </c>
      <c r="AO98" s="2700" t="str">
        <f t="shared" ca="1" si="46"/>
        <v/>
      </c>
      <c r="AP98" s="2697" t="str">
        <f t="shared" ca="1" si="46"/>
        <v/>
      </c>
      <c r="AQ98" s="2697" t="str">
        <f t="shared" ca="1" si="46"/>
        <v/>
      </c>
      <c r="AR98" s="2698" t="str">
        <f t="shared" ca="1" si="46"/>
        <v/>
      </c>
      <c r="AS98" s="2700" t="str">
        <f t="shared" ca="1" si="46"/>
        <v/>
      </c>
      <c r="AT98" s="2697" t="str">
        <f t="shared" ca="1" si="46"/>
        <v/>
      </c>
      <c r="AU98" s="2697" t="str">
        <f t="shared" ca="1" si="46"/>
        <v/>
      </c>
      <c r="AV98" s="2698" t="str">
        <f t="shared" ca="1" si="46"/>
        <v/>
      </c>
      <c r="AW98" s="2700" t="str">
        <f t="shared" ca="1" si="46"/>
        <v/>
      </c>
      <c r="AX98" s="2697" t="str">
        <f t="shared" ca="1" si="46"/>
        <v/>
      </c>
      <c r="AY98" s="2697" t="str">
        <f t="shared" ref="AY98:BD109" ca="1" si="49">IF(DATE($BK98,AY$5,AY$6)&lt;=DATE(YEAR($BE$5),MONTH($BE$5),DAY($BE$5)),"X","")</f>
        <v/>
      </c>
      <c r="AZ98" s="2698" t="str">
        <f t="shared" ca="1" si="49"/>
        <v/>
      </c>
      <c r="BA98" s="2697" t="str">
        <f t="shared" ca="1" si="49"/>
        <v/>
      </c>
      <c r="BB98" s="2697" t="str">
        <f t="shared" ca="1" si="49"/>
        <v/>
      </c>
      <c r="BC98" s="2697" t="str">
        <f t="shared" ca="1" si="49"/>
        <v/>
      </c>
      <c r="BD98" s="2697" t="str">
        <f t="shared" ca="1" si="49"/>
        <v/>
      </c>
      <c r="BE98" s="2691"/>
      <c r="BF98" s="2772"/>
      <c r="BG98" s="2772"/>
      <c r="BH98" s="2772"/>
      <c r="BI98" s="2514">
        <f t="shared" si="41"/>
        <v>75972</v>
      </c>
      <c r="BJ98" s="2516">
        <f t="shared" si="42"/>
        <v>88</v>
      </c>
      <c r="BK98" s="2499">
        <f t="shared" si="36"/>
        <v>2108</v>
      </c>
      <c r="BN98" s="2367">
        <f t="shared" si="37"/>
        <v>88</v>
      </c>
      <c r="BO98" s="2500" t="str">
        <f t="shared" si="38"/>
        <v>1/0/2108</v>
      </c>
      <c r="BP98" s="2501">
        <f t="shared" ca="1" si="33"/>
        <v>0</v>
      </c>
      <c r="BQ98" s="2367">
        <v>52</v>
      </c>
      <c r="BR98" s="2502">
        <f t="shared" si="34"/>
        <v>1.1111111111111112E-2</v>
      </c>
      <c r="BS98" s="2503">
        <f t="shared" ca="1" si="39"/>
        <v>0</v>
      </c>
      <c r="BT98"/>
      <c r="CB98" s="2370"/>
    </row>
    <row r="99" spans="1:80" ht="13" customHeight="1" thickBot="1" x14ac:dyDescent="0.4">
      <c r="A99" s="2941"/>
      <c r="B99" s="2692">
        <f t="shared" si="40"/>
        <v>2109</v>
      </c>
      <c r="C99" s="2693">
        <f t="shared" si="35"/>
        <v>89</v>
      </c>
      <c r="D99" s="2694" t="str">
        <f ca="1">IF(BS99=0,"",SUM(BS$10:BS99))</f>
        <v/>
      </c>
      <c r="E99" s="2695" t="str">
        <f t="shared" ca="1" si="48"/>
        <v/>
      </c>
      <c r="F99" s="2696" t="str">
        <f t="shared" ca="1" si="48"/>
        <v/>
      </c>
      <c r="G99" s="2697" t="str">
        <f t="shared" ca="1" si="48"/>
        <v/>
      </c>
      <c r="H99" s="2697" t="str">
        <f t="shared" ca="1" si="48"/>
        <v/>
      </c>
      <c r="I99" s="2698" t="str">
        <f t="shared" ca="1" si="48"/>
        <v/>
      </c>
      <c r="J99" s="2699" t="str">
        <f t="shared" ca="1" si="48"/>
        <v/>
      </c>
      <c r="K99" s="2697" t="str">
        <f t="shared" ca="1" si="48"/>
        <v/>
      </c>
      <c r="L99" s="2697" t="str">
        <f t="shared" ca="1" si="48"/>
        <v/>
      </c>
      <c r="M99" s="2698" t="str">
        <f t="shared" ca="1" si="48"/>
        <v/>
      </c>
      <c r="N99" s="2689" t="str">
        <f t="shared" ca="1" si="48"/>
        <v/>
      </c>
      <c r="O99" s="2697" t="str">
        <f t="shared" ca="1" si="48"/>
        <v/>
      </c>
      <c r="P99" s="2697" t="str">
        <f t="shared" ca="1" si="48"/>
        <v/>
      </c>
      <c r="Q99" s="2698" t="str">
        <f t="shared" ca="1" si="48"/>
        <v/>
      </c>
      <c r="R99" s="2700" t="str">
        <f t="shared" ca="1" si="48"/>
        <v/>
      </c>
      <c r="S99" s="2697" t="str">
        <f t="shared" ca="1" si="48"/>
        <v/>
      </c>
      <c r="T99" s="2697" t="str">
        <f t="shared" ca="1" si="48"/>
        <v/>
      </c>
      <c r="U99" s="2698" t="str">
        <f t="shared" ca="1" si="47"/>
        <v/>
      </c>
      <c r="V99" s="2700" t="str">
        <f t="shared" ca="1" si="47"/>
        <v/>
      </c>
      <c r="W99" s="2697" t="str">
        <f t="shared" ca="1" si="47"/>
        <v/>
      </c>
      <c r="X99" s="2697" t="str">
        <f t="shared" ca="1" si="47"/>
        <v/>
      </c>
      <c r="Y99" s="2697" t="str">
        <f t="shared" ca="1" si="47"/>
        <v/>
      </c>
      <c r="Z99" s="2697" t="str">
        <f t="shared" ca="1" si="47"/>
        <v/>
      </c>
      <c r="AA99" s="2698" t="str">
        <f t="shared" ca="1" si="47"/>
        <v/>
      </c>
      <c r="AB99" s="2700" t="str">
        <f t="shared" ca="1" si="47"/>
        <v/>
      </c>
      <c r="AC99" s="2697" t="str">
        <f t="shared" ca="1" si="47"/>
        <v/>
      </c>
      <c r="AD99" s="2697" t="str">
        <f t="shared" ca="1" si="47"/>
        <v/>
      </c>
      <c r="AE99" s="2698" t="str">
        <f t="shared" ca="1" si="47"/>
        <v/>
      </c>
      <c r="AF99" s="2700" t="str">
        <f t="shared" ca="1" si="47"/>
        <v/>
      </c>
      <c r="AG99" s="2697" t="str">
        <f t="shared" ca="1" si="47"/>
        <v/>
      </c>
      <c r="AH99" s="2697" t="str">
        <f t="shared" ca="1" si="47"/>
        <v/>
      </c>
      <c r="AI99" s="2698" t="str">
        <f t="shared" ca="1" si="47"/>
        <v/>
      </c>
      <c r="AJ99" s="2700" t="str">
        <f t="shared" ref="AJ99:AY109" ca="1" si="50">IF(DATE($BK99,AJ$5,AJ$6)&lt;=DATE(YEAR($BE$5),MONTH($BE$5),DAY($BE$5)),"X","")</f>
        <v/>
      </c>
      <c r="AK99" s="2697" t="str">
        <f t="shared" ca="1" si="50"/>
        <v/>
      </c>
      <c r="AL99" s="2697" t="str">
        <f t="shared" ca="1" si="50"/>
        <v/>
      </c>
      <c r="AM99" s="2697" t="str">
        <f t="shared" ca="1" si="50"/>
        <v/>
      </c>
      <c r="AN99" s="2698" t="str">
        <f t="shared" ca="1" si="50"/>
        <v/>
      </c>
      <c r="AO99" s="2700" t="str">
        <f t="shared" ca="1" si="50"/>
        <v/>
      </c>
      <c r="AP99" s="2697" t="str">
        <f t="shared" ca="1" si="50"/>
        <v/>
      </c>
      <c r="AQ99" s="2697" t="str">
        <f t="shared" ca="1" si="50"/>
        <v/>
      </c>
      <c r="AR99" s="2698" t="str">
        <f t="shared" ca="1" si="50"/>
        <v/>
      </c>
      <c r="AS99" s="2700" t="str">
        <f t="shared" ca="1" si="50"/>
        <v/>
      </c>
      <c r="AT99" s="2697" t="str">
        <f t="shared" ca="1" si="50"/>
        <v/>
      </c>
      <c r="AU99" s="2697" t="str">
        <f t="shared" ca="1" si="50"/>
        <v/>
      </c>
      <c r="AV99" s="2698" t="str">
        <f t="shared" ca="1" si="50"/>
        <v/>
      </c>
      <c r="AW99" s="2700" t="str">
        <f t="shared" ca="1" si="50"/>
        <v/>
      </c>
      <c r="AX99" s="2697" t="str">
        <f t="shared" ca="1" si="50"/>
        <v/>
      </c>
      <c r="AY99" s="2697" t="str">
        <f t="shared" ca="1" si="50"/>
        <v/>
      </c>
      <c r="AZ99" s="2698" t="str">
        <f t="shared" ca="1" si="49"/>
        <v/>
      </c>
      <c r="BA99" s="2697" t="str">
        <f t="shared" ca="1" si="49"/>
        <v/>
      </c>
      <c r="BB99" s="2697" t="str">
        <f t="shared" ca="1" si="49"/>
        <v/>
      </c>
      <c r="BC99" s="2697" t="str">
        <f t="shared" ca="1" si="49"/>
        <v/>
      </c>
      <c r="BD99" s="2697" t="str">
        <f t="shared" ca="1" si="49"/>
        <v/>
      </c>
      <c r="BE99" s="2691"/>
      <c r="BF99" s="2772"/>
      <c r="BG99" s="2772"/>
      <c r="BH99" s="2772"/>
      <c r="BI99" s="2514">
        <f t="shared" si="41"/>
        <v>76338</v>
      </c>
      <c r="BJ99" s="2516">
        <f t="shared" si="42"/>
        <v>89</v>
      </c>
      <c r="BK99" s="2499">
        <f t="shared" si="36"/>
        <v>2109</v>
      </c>
      <c r="BN99" s="2367">
        <f t="shared" si="37"/>
        <v>89</v>
      </c>
      <c r="BO99" s="2500" t="str">
        <f>MONTH($C$2)&amp;"/"&amp;DAY($C$2)&amp;"/"&amp;B99</f>
        <v>1/0/2109</v>
      </c>
      <c r="BP99" s="2501">
        <f t="shared" ca="1" si="33"/>
        <v>0</v>
      </c>
      <c r="BQ99" s="2367">
        <v>52</v>
      </c>
      <c r="BR99" s="2502">
        <f t="shared" si="34"/>
        <v>1.1111111111111112E-2</v>
      </c>
      <c r="BS99" s="2503">
        <f t="shared" ca="1" si="39"/>
        <v>0</v>
      </c>
      <c r="BT99"/>
      <c r="CB99" s="2370"/>
    </row>
    <row r="100" spans="1:80" ht="12.75" customHeight="1" thickTop="1" x14ac:dyDescent="0.35">
      <c r="A100" s="2939">
        <v>10</v>
      </c>
      <c r="B100" s="2649">
        <f t="shared" si="40"/>
        <v>2110</v>
      </c>
      <c r="C100" s="2650">
        <f t="shared" si="35"/>
        <v>90</v>
      </c>
      <c r="D100" s="2651"/>
      <c r="E100" s="2652" t="str">
        <f t="shared" ca="1" si="48"/>
        <v/>
      </c>
      <c r="F100" s="2653" t="str">
        <f t="shared" ca="1" si="48"/>
        <v/>
      </c>
      <c r="G100" s="2654" t="str">
        <f t="shared" ca="1" si="48"/>
        <v/>
      </c>
      <c r="H100" s="2654" t="str">
        <f t="shared" ca="1" si="48"/>
        <v/>
      </c>
      <c r="I100" s="2655" t="str">
        <f t="shared" ca="1" si="48"/>
        <v/>
      </c>
      <c r="J100" s="2656" t="str">
        <f t="shared" ca="1" si="48"/>
        <v/>
      </c>
      <c r="K100" s="2654" t="str">
        <f t="shared" ca="1" si="48"/>
        <v/>
      </c>
      <c r="L100" s="2654" t="str">
        <f t="shared" ca="1" si="48"/>
        <v/>
      </c>
      <c r="M100" s="2655" t="str">
        <f t="shared" ca="1" si="48"/>
        <v/>
      </c>
      <c r="N100" s="2657" t="str">
        <f t="shared" ca="1" si="48"/>
        <v/>
      </c>
      <c r="O100" s="2654" t="str">
        <f t="shared" ca="1" si="48"/>
        <v/>
      </c>
      <c r="P100" s="2654" t="str">
        <f t="shared" ca="1" si="48"/>
        <v/>
      </c>
      <c r="Q100" s="2655" t="str">
        <f t="shared" ca="1" si="48"/>
        <v/>
      </c>
      <c r="R100" s="2658" t="str">
        <f t="shared" ca="1" si="48"/>
        <v/>
      </c>
      <c r="S100" s="2654" t="str">
        <f t="shared" ca="1" si="48"/>
        <v/>
      </c>
      <c r="T100" s="2654" t="str">
        <f t="shared" ca="1" si="48"/>
        <v/>
      </c>
      <c r="U100" s="2655" t="str">
        <f t="shared" ca="1" si="47"/>
        <v/>
      </c>
      <c r="V100" s="2658" t="str">
        <f t="shared" ca="1" si="47"/>
        <v/>
      </c>
      <c r="W100" s="2654" t="str">
        <f t="shared" ca="1" si="47"/>
        <v/>
      </c>
      <c r="X100" s="2654" t="str">
        <f t="shared" ca="1" si="47"/>
        <v/>
      </c>
      <c r="Y100" s="2654" t="str">
        <f t="shared" ca="1" si="47"/>
        <v/>
      </c>
      <c r="Z100" s="2654" t="str">
        <f t="shared" ca="1" si="47"/>
        <v/>
      </c>
      <c r="AA100" s="2655" t="str">
        <f t="shared" ca="1" si="47"/>
        <v/>
      </c>
      <c r="AB100" s="2658" t="str">
        <f t="shared" ca="1" si="47"/>
        <v/>
      </c>
      <c r="AC100" s="2654" t="str">
        <f t="shared" ca="1" si="47"/>
        <v/>
      </c>
      <c r="AD100" s="2654" t="str">
        <f t="shared" ca="1" si="47"/>
        <v/>
      </c>
      <c r="AE100" s="2655" t="str">
        <f t="shared" ca="1" si="47"/>
        <v/>
      </c>
      <c r="AF100" s="2658" t="str">
        <f t="shared" ca="1" si="47"/>
        <v/>
      </c>
      <c r="AG100" s="2654" t="str">
        <f t="shared" ca="1" si="47"/>
        <v/>
      </c>
      <c r="AH100" s="2654" t="str">
        <f t="shared" ca="1" si="47"/>
        <v/>
      </c>
      <c r="AI100" s="2655" t="str">
        <f t="shared" ca="1" si="47"/>
        <v/>
      </c>
      <c r="AJ100" s="2658" t="str">
        <f t="shared" ca="1" si="50"/>
        <v/>
      </c>
      <c r="AK100" s="2654" t="str">
        <f t="shared" ca="1" si="50"/>
        <v/>
      </c>
      <c r="AL100" s="2654" t="str">
        <f t="shared" ca="1" si="50"/>
        <v/>
      </c>
      <c r="AM100" s="2654" t="str">
        <f t="shared" ca="1" si="50"/>
        <v/>
      </c>
      <c r="AN100" s="2655" t="str">
        <f t="shared" ca="1" si="50"/>
        <v/>
      </c>
      <c r="AO100" s="2658" t="str">
        <f t="shared" ca="1" si="50"/>
        <v/>
      </c>
      <c r="AP100" s="2654" t="str">
        <f t="shared" ca="1" si="50"/>
        <v/>
      </c>
      <c r="AQ100" s="2654" t="str">
        <f t="shared" ca="1" si="50"/>
        <v/>
      </c>
      <c r="AR100" s="2655" t="str">
        <f t="shared" ca="1" si="50"/>
        <v/>
      </c>
      <c r="AS100" s="2658" t="str">
        <f t="shared" ca="1" si="50"/>
        <v/>
      </c>
      <c r="AT100" s="2654" t="str">
        <f t="shared" ca="1" si="50"/>
        <v/>
      </c>
      <c r="AU100" s="2654" t="str">
        <f t="shared" ca="1" si="50"/>
        <v/>
      </c>
      <c r="AV100" s="2655" t="str">
        <f t="shared" ca="1" si="50"/>
        <v/>
      </c>
      <c r="AW100" s="2658" t="str">
        <f t="shared" ca="1" si="50"/>
        <v/>
      </c>
      <c r="AX100" s="2654" t="str">
        <f t="shared" ca="1" si="50"/>
        <v/>
      </c>
      <c r="AY100" s="2654" t="str">
        <f t="shared" ca="1" si="50"/>
        <v/>
      </c>
      <c r="AZ100" s="2655" t="str">
        <f t="shared" ca="1" si="49"/>
        <v/>
      </c>
      <c r="BA100" s="2654" t="str">
        <f t="shared" ca="1" si="49"/>
        <v/>
      </c>
      <c r="BB100" s="2654" t="str">
        <f t="shared" ca="1" si="49"/>
        <v/>
      </c>
      <c r="BC100" s="2654" t="str">
        <f t="shared" ca="1" si="49"/>
        <v/>
      </c>
      <c r="BD100" s="2655" t="str">
        <f t="shared" ca="1" si="49"/>
        <v/>
      </c>
      <c r="BE100" s="2670"/>
      <c r="BF100" s="2768"/>
      <c r="BG100" s="2768"/>
      <c r="BH100" s="2768"/>
      <c r="BI100" s="2514">
        <f t="shared" si="41"/>
        <v>76703</v>
      </c>
      <c r="BJ100" s="2516">
        <f t="shared" si="42"/>
        <v>90</v>
      </c>
      <c r="BK100" s="2499">
        <f t="shared" si="36"/>
        <v>2110</v>
      </c>
      <c r="BP100" s="2701">
        <f ca="1">SUM(BP10:BP99)</f>
        <v>192</v>
      </c>
      <c r="BQ100" s="2702">
        <f>SUM(BQ10:BQ99)</f>
        <v>4680</v>
      </c>
      <c r="BR100" s="2703">
        <f>SUM(BR10:BR99)</f>
        <v>0.99999999999999845</v>
      </c>
      <c r="BS100" s="2703">
        <f ca="1">SUM(BS10:BS99)</f>
        <v>4.1025641025641026E-2</v>
      </c>
      <c r="BT100" s="1553" t="s">
        <v>764</v>
      </c>
      <c r="BU100" s="2704">
        <f ca="1">BS100</f>
        <v>4.1025641025641026E-2</v>
      </c>
      <c r="BV100" s="2705">
        <f ca="1">100%-BU100</f>
        <v>0.95897435897435901</v>
      </c>
      <c r="CB100" s="2370"/>
    </row>
    <row r="101" spans="1:80" ht="12.75" customHeight="1" thickBot="1" x14ac:dyDescent="0.4">
      <c r="A101" s="2940"/>
      <c r="B101" s="2660">
        <f t="shared" si="40"/>
        <v>2111</v>
      </c>
      <c r="C101" s="2661">
        <f t="shared" si="35"/>
        <v>91</v>
      </c>
      <c r="D101" s="2662"/>
      <c r="E101" s="2663" t="str">
        <f t="shared" ca="1" si="48"/>
        <v/>
      </c>
      <c r="F101" s="2664" t="str">
        <f t="shared" ca="1" si="48"/>
        <v/>
      </c>
      <c r="G101" s="2665" t="str">
        <f t="shared" ca="1" si="48"/>
        <v/>
      </c>
      <c r="H101" s="2665" t="str">
        <f t="shared" ca="1" si="48"/>
        <v/>
      </c>
      <c r="I101" s="2666" t="str">
        <f t="shared" ca="1" si="48"/>
        <v/>
      </c>
      <c r="J101" s="2667" t="str">
        <f t="shared" ca="1" si="48"/>
        <v/>
      </c>
      <c r="K101" s="2665" t="str">
        <f t="shared" ca="1" si="48"/>
        <v/>
      </c>
      <c r="L101" s="2665" t="str">
        <f t="shared" ca="1" si="48"/>
        <v/>
      </c>
      <c r="M101" s="2666" t="str">
        <f t="shared" ca="1" si="48"/>
        <v/>
      </c>
      <c r="N101" s="2668" t="str">
        <f t="shared" ca="1" si="48"/>
        <v/>
      </c>
      <c r="O101" s="2665" t="str">
        <f t="shared" ca="1" si="48"/>
        <v/>
      </c>
      <c r="P101" s="2665" t="str">
        <f t="shared" ca="1" si="48"/>
        <v/>
      </c>
      <c r="Q101" s="2666" t="str">
        <f t="shared" ca="1" si="48"/>
        <v/>
      </c>
      <c r="R101" s="2669" t="str">
        <f t="shared" ca="1" si="48"/>
        <v/>
      </c>
      <c r="S101" s="2665" t="str">
        <f t="shared" ca="1" si="48"/>
        <v/>
      </c>
      <c r="T101" s="2665" t="str">
        <f t="shared" ca="1" si="48"/>
        <v/>
      </c>
      <c r="U101" s="2666" t="str">
        <f t="shared" ca="1" si="47"/>
        <v/>
      </c>
      <c r="V101" s="2669" t="str">
        <f t="shared" ca="1" si="47"/>
        <v/>
      </c>
      <c r="W101" s="2665" t="str">
        <f t="shared" ca="1" si="47"/>
        <v/>
      </c>
      <c r="X101" s="2665" t="str">
        <f t="shared" ca="1" si="47"/>
        <v/>
      </c>
      <c r="Y101" s="2665" t="str">
        <f t="shared" ca="1" si="47"/>
        <v/>
      </c>
      <c r="Z101" s="2665" t="str">
        <f t="shared" ca="1" si="47"/>
        <v/>
      </c>
      <c r="AA101" s="2666" t="str">
        <f t="shared" ca="1" si="47"/>
        <v/>
      </c>
      <c r="AB101" s="2669" t="str">
        <f t="shared" ca="1" si="47"/>
        <v/>
      </c>
      <c r="AC101" s="2665" t="str">
        <f t="shared" ca="1" si="47"/>
        <v/>
      </c>
      <c r="AD101" s="2665" t="str">
        <f t="shared" ca="1" si="47"/>
        <v/>
      </c>
      <c r="AE101" s="2666" t="str">
        <f t="shared" ca="1" si="47"/>
        <v/>
      </c>
      <c r="AF101" s="2669" t="str">
        <f t="shared" ca="1" si="47"/>
        <v/>
      </c>
      <c r="AG101" s="2665" t="str">
        <f t="shared" ca="1" si="47"/>
        <v/>
      </c>
      <c r="AH101" s="2665" t="str">
        <f t="shared" ca="1" si="47"/>
        <v/>
      </c>
      <c r="AI101" s="2666" t="str">
        <f t="shared" ca="1" si="47"/>
        <v/>
      </c>
      <c r="AJ101" s="2669" t="str">
        <f t="shared" ca="1" si="50"/>
        <v/>
      </c>
      <c r="AK101" s="2665" t="str">
        <f t="shared" ca="1" si="50"/>
        <v/>
      </c>
      <c r="AL101" s="2665" t="str">
        <f t="shared" ca="1" si="50"/>
        <v/>
      </c>
      <c r="AM101" s="2665" t="str">
        <f t="shared" ca="1" si="50"/>
        <v/>
      </c>
      <c r="AN101" s="2666" t="str">
        <f t="shared" ca="1" si="50"/>
        <v/>
      </c>
      <c r="AO101" s="2669" t="str">
        <f t="shared" ca="1" si="50"/>
        <v/>
      </c>
      <c r="AP101" s="2665" t="str">
        <f t="shared" ca="1" si="50"/>
        <v/>
      </c>
      <c r="AQ101" s="2665" t="str">
        <f t="shared" ca="1" si="50"/>
        <v/>
      </c>
      <c r="AR101" s="2666" t="str">
        <f t="shared" ca="1" si="50"/>
        <v/>
      </c>
      <c r="AS101" s="2669" t="str">
        <f t="shared" ca="1" si="50"/>
        <v/>
      </c>
      <c r="AT101" s="2665" t="str">
        <f t="shared" ca="1" si="50"/>
        <v/>
      </c>
      <c r="AU101" s="2665" t="str">
        <f t="shared" ca="1" si="50"/>
        <v/>
      </c>
      <c r="AV101" s="2666" t="str">
        <f t="shared" ca="1" si="50"/>
        <v/>
      </c>
      <c r="AW101" s="2669" t="str">
        <f t="shared" ca="1" si="50"/>
        <v/>
      </c>
      <c r="AX101" s="2665" t="str">
        <f t="shared" ca="1" si="50"/>
        <v/>
      </c>
      <c r="AY101" s="2665" t="str">
        <f t="shared" ca="1" si="50"/>
        <v/>
      </c>
      <c r="AZ101" s="2666" t="str">
        <f t="shared" ca="1" si="49"/>
        <v/>
      </c>
      <c r="BA101" s="2665" t="str">
        <f t="shared" ca="1" si="49"/>
        <v/>
      </c>
      <c r="BB101" s="2665" t="str">
        <f t="shared" ca="1" si="49"/>
        <v/>
      </c>
      <c r="BC101" s="2665" t="str">
        <f t="shared" ca="1" si="49"/>
        <v/>
      </c>
      <c r="BD101" s="2666" t="str">
        <f t="shared" ca="1" si="49"/>
        <v/>
      </c>
      <c r="BE101" s="2670"/>
      <c r="BF101" s="2769"/>
      <c r="BG101" s="2769"/>
      <c r="BH101" s="2769"/>
      <c r="BI101" s="2514">
        <f t="shared" si="41"/>
        <v>77068</v>
      </c>
      <c r="BJ101" s="2516">
        <f t="shared" si="42"/>
        <v>91</v>
      </c>
      <c r="BK101" s="2499">
        <f t="shared" si="36"/>
        <v>2111</v>
      </c>
      <c r="BP101" s="102"/>
      <c r="BQ101" s="40"/>
      <c r="BR101" s="2706"/>
      <c r="BS101" s="2707">
        <f ca="1">BR100-BS100</f>
        <v>0.95897435897435745</v>
      </c>
      <c r="BT101" s="103" t="str">
        <f ca="1">"Pct Life Left to Live "&amp;TEXT(BS101,"0%")</f>
        <v>Pct Life Left to Live 96%</v>
      </c>
      <c r="BU101" s="2704">
        <f ca="1">BS101</f>
        <v>0.95897435897435745</v>
      </c>
      <c r="BV101" s="2705">
        <f ca="1">100%-BU101</f>
        <v>4.1025641025642545E-2</v>
      </c>
      <c r="CB101" s="2370"/>
    </row>
    <row r="102" spans="1:80" ht="12.75" customHeight="1" x14ac:dyDescent="0.35">
      <c r="A102" s="2940"/>
      <c r="B102" s="2660">
        <f t="shared" si="40"/>
        <v>2112</v>
      </c>
      <c r="C102" s="2661">
        <f t="shared" si="35"/>
        <v>92</v>
      </c>
      <c r="D102" s="2662" t="str">
        <f>IF(BS102=0,"",SUM(BS$10:BS102))</f>
        <v/>
      </c>
      <c r="E102" s="2663" t="str">
        <f t="shared" ca="1" si="48"/>
        <v/>
      </c>
      <c r="F102" s="2664" t="str">
        <f t="shared" ca="1" si="48"/>
        <v/>
      </c>
      <c r="G102" s="2665" t="str">
        <f t="shared" ca="1" si="48"/>
        <v/>
      </c>
      <c r="H102" s="2665" t="str">
        <f t="shared" ca="1" si="48"/>
        <v/>
      </c>
      <c r="I102" s="2666" t="str">
        <f t="shared" ca="1" si="48"/>
        <v/>
      </c>
      <c r="J102" s="2667" t="str">
        <f t="shared" ca="1" si="48"/>
        <v/>
      </c>
      <c r="K102" s="2665" t="str">
        <f t="shared" ca="1" si="48"/>
        <v/>
      </c>
      <c r="L102" s="2665" t="str">
        <f t="shared" ca="1" si="48"/>
        <v/>
      </c>
      <c r="M102" s="2666" t="str">
        <f t="shared" ca="1" si="48"/>
        <v/>
      </c>
      <c r="N102" s="2668" t="str">
        <f t="shared" ca="1" si="48"/>
        <v/>
      </c>
      <c r="O102" s="2665" t="str">
        <f t="shared" ca="1" si="48"/>
        <v/>
      </c>
      <c r="P102" s="2665" t="str">
        <f t="shared" ca="1" si="48"/>
        <v/>
      </c>
      <c r="Q102" s="2666" t="str">
        <f t="shared" ca="1" si="48"/>
        <v/>
      </c>
      <c r="R102" s="2669" t="str">
        <f t="shared" ca="1" si="48"/>
        <v/>
      </c>
      <c r="S102" s="2665" t="str">
        <f t="shared" ca="1" si="48"/>
        <v/>
      </c>
      <c r="T102" s="2665" t="str">
        <f t="shared" ca="1" si="48"/>
        <v/>
      </c>
      <c r="U102" s="2666" t="str">
        <f t="shared" ca="1" si="47"/>
        <v/>
      </c>
      <c r="V102" s="2669" t="str">
        <f t="shared" ca="1" si="47"/>
        <v/>
      </c>
      <c r="W102" s="2665" t="str">
        <f t="shared" ca="1" si="47"/>
        <v/>
      </c>
      <c r="X102" s="2665" t="str">
        <f t="shared" ca="1" si="47"/>
        <v/>
      </c>
      <c r="Y102" s="2665" t="str">
        <f t="shared" ca="1" si="47"/>
        <v/>
      </c>
      <c r="Z102" s="2665" t="str">
        <f t="shared" ca="1" si="47"/>
        <v/>
      </c>
      <c r="AA102" s="2666" t="str">
        <f t="shared" ca="1" si="47"/>
        <v/>
      </c>
      <c r="AB102" s="2669" t="str">
        <f t="shared" ca="1" si="47"/>
        <v/>
      </c>
      <c r="AC102" s="2665" t="str">
        <f t="shared" ca="1" si="47"/>
        <v/>
      </c>
      <c r="AD102" s="2665" t="str">
        <f t="shared" ca="1" si="47"/>
        <v/>
      </c>
      <c r="AE102" s="2666" t="str">
        <f t="shared" ca="1" si="47"/>
        <v/>
      </c>
      <c r="AF102" s="2669" t="str">
        <f t="shared" ca="1" si="47"/>
        <v/>
      </c>
      <c r="AG102" s="2665" t="str">
        <f t="shared" ca="1" si="47"/>
        <v/>
      </c>
      <c r="AH102" s="2665" t="str">
        <f t="shared" ca="1" si="47"/>
        <v/>
      </c>
      <c r="AI102" s="2666" t="str">
        <f t="shared" ca="1" si="47"/>
        <v/>
      </c>
      <c r="AJ102" s="2669" t="str">
        <f t="shared" ca="1" si="50"/>
        <v/>
      </c>
      <c r="AK102" s="2665" t="str">
        <f t="shared" ca="1" si="50"/>
        <v/>
      </c>
      <c r="AL102" s="2665" t="str">
        <f t="shared" ca="1" si="50"/>
        <v/>
      </c>
      <c r="AM102" s="2665" t="str">
        <f t="shared" ca="1" si="50"/>
        <v/>
      </c>
      <c r="AN102" s="2666" t="str">
        <f t="shared" ca="1" si="50"/>
        <v/>
      </c>
      <c r="AO102" s="2669" t="str">
        <f t="shared" ca="1" si="50"/>
        <v/>
      </c>
      <c r="AP102" s="2665" t="str">
        <f t="shared" ca="1" si="50"/>
        <v/>
      </c>
      <c r="AQ102" s="2665" t="str">
        <f t="shared" ca="1" si="50"/>
        <v/>
      </c>
      <c r="AR102" s="2666" t="str">
        <f t="shared" ca="1" si="50"/>
        <v/>
      </c>
      <c r="AS102" s="2669" t="str">
        <f t="shared" ca="1" si="50"/>
        <v/>
      </c>
      <c r="AT102" s="2665" t="str">
        <f t="shared" ca="1" si="50"/>
        <v/>
      </c>
      <c r="AU102" s="2665" t="str">
        <f t="shared" ca="1" si="50"/>
        <v/>
      </c>
      <c r="AV102" s="2666" t="str">
        <f t="shared" ca="1" si="50"/>
        <v/>
      </c>
      <c r="AW102" s="2669" t="str">
        <f t="shared" ca="1" si="50"/>
        <v/>
      </c>
      <c r="AX102" s="2665" t="str">
        <f t="shared" ca="1" si="50"/>
        <v/>
      </c>
      <c r="AY102" s="2665" t="str">
        <f t="shared" ca="1" si="50"/>
        <v/>
      </c>
      <c r="AZ102" s="2666" t="str">
        <f t="shared" ca="1" si="49"/>
        <v/>
      </c>
      <c r="BA102" s="2665" t="str">
        <f t="shared" ca="1" si="49"/>
        <v/>
      </c>
      <c r="BB102" s="2665" t="str">
        <f t="shared" ca="1" si="49"/>
        <v/>
      </c>
      <c r="BC102" s="2665" t="str">
        <f t="shared" ca="1" si="49"/>
        <v/>
      </c>
      <c r="BD102" s="2666" t="str">
        <f t="shared" ca="1" si="49"/>
        <v/>
      </c>
      <c r="BE102" s="2670"/>
      <c r="BF102" s="2769"/>
      <c r="BG102" s="2769"/>
      <c r="BH102" s="2769"/>
      <c r="BI102" s="2514">
        <f t="shared" si="41"/>
        <v>77433</v>
      </c>
      <c r="BJ102" s="2516">
        <f t="shared" si="42"/>
        <v>92</v>
      </c>
      <c r="BK102" s="2499">
        <f t="shared" si="36"/>
        <v>2112</v>
      </c>
      <c r="BP102"/>
      <c r="BQ102"/>
      <c r="BR102" s="2708"/>
      <c r="BS102"/>
      <c r="BT102"/>
      <c r="CB102" s="2370"/>
    </row>
    <row r="103" spans="1:80" ht="12.75" customHeight="1" x14ac:dyDescent="0.35">
      <c r="A103" s="2940"/>
      <c r="B103" s="2660">
        <f t="shared" si="40"/>
        <v>2113</v>
      </c>
      <c r="C103" s="2661">
        <f t="shared" si="35"/>
        <v>93</v>
      </c>
      <c r="D103" s="2662" t="str">
        <f>IF(BZ103=0,"",SUM(BZ$10:BZ103))</f>
        <v/>
      </c>
      <c r="E103" s="2663" t="str">
        <f t="shared" ca="1" si="48"/>
        <v/>
      </c>
      <c r="F103" s="2664" t="str">
        <f t="shared" ca="1" si="48"/>
        <v/>
      </c>
      <c r="G103" s="2665" t="str">
        <f t="shared" ca="1" si="48"/>
        <v/>
      </c>
      <c r="H103" s="2665" t="str">
        <f t="shared" ca="1" si="48"/>
        <v/>
      </c>
      <c r="I103" s="2666" t="str">
        <f t="shared" ca="1" si="48"/>
        <v/>
      </c>
      <c r="J103" s="2667" t="str">
        <f t="shared" ca="1" si="48"/>
        <v/>
      </c>
      <c r="K103" s="2665" t="str">
        <f t="shared" ca="1" si="48"/>
        <v/>
      </c>
      <c r="L103" s="2665" t="str">
        <f t="shared" ca="1" si="48"/>
        <v/>
      </c>
      <c r="M103" s="2666" t="str">
        <f t="shared" ca="1" si="48"/>
        <v/>
      </c>
      <c r="N103" s="2668" t="str">
        <f t="shared" ca="1" si="48"/>
        <v/>
      </c>
      <c r="O103" s="2665" t="str">
        <f t="shared" ca="1" si="48"/>
        <v/>
      </c>
      <c r="P103" s="2665" t="str">
        <f t="shared" ca="1" si="48"/>
        <v/>
      </c>
      <c r="Q103" s="2666" t="str">
        <f t="shared" ca="1" si="48"/>
        <v/>
      </c>
      <c r="R103" s="2669" t="str">
        <f t="shared" ca="1" si="48"/>
        <v/>
      </c>
      <c r="S103" s="2665" t="str">
        <f t="shared" ca="1" si="48"/>
        <v/>
      </c>
      <c r="T103" s="2665" t="str">
        <f t="shared" ca="1" si="48"/>
        <v/>
      </c>
      <c r="U103" s="2666" t="str">
        <f t="shared" ca="1" si="47"/>
        <v/>
      </c>
      <c r="V103" s="2669" t="str">
        <f t="shared" ca="1" si="47"/>
        <v/>
      </c>
      <c r="W103" s="2665" t="str">
        <f t="shared" ca="1" si="47"/>
        <v/>
      </c>
      <c r="X103" s="2665" t="str">
        <f t="shared" ca="1" si="47"/>
        <v/>
      </c>
      <c r="Y103" s="2665" t="str">
        <f t="shared" ca="1" si="47"/>
        <v/>
      </c>
      <c r="Z103" s="2665" t="str">
        <f t="shared" ca="1" si="47"/>
        <v/>
      </c>
      <c r="AA103" s="2666" t="str">
        <f t="shared" ca="1" si="47"/>
        <v/>
      </c>
      <c r="AB103" s="2669" t="str">
        <f t="shared" ca="1" si="47"/>
        <v/>
      </c>
      <c r="AC103" s="2665" t="str">
        <f t="shared" ca="1" si="47"/>
        <v/>
      </c>
      <c r="AD103" s="2665" t="str">
        <f t="shared" ca="1" si="47"/>
        <v/>
      </c>
      <c r="AE103" s="2666" t="str">
        <f t="shared" ca="1" si="47"/>
        <v/>
      </c>
      <c r="AF103" s="2669" t="str">
        <f t="shared" ca="1" si="47"/>
        <v/>
      </c>
      <c r="AG103" s="2665" t="str">
        <f t="shared" ca="1" si="47"/>
        <v/>
      </c>
      <c r="AH103" s="2665" t="str">
        <f t="shared" ca="1" si="47"/>
        <v/>
      </c>
      <c r="AI103" s="2666" t="str">
        <f t="shared" ca="1" si="47"/>
        <v/>
      </c>
      <c r="AJ103" s="2669" t="str">
        <f t="shared" ca="1" si="50"/>
        <v/>
      </c>
      <c r="AK103" s="2665" t="str">
        <f t="shared" ca="1" si="50"/>
        <v/>
      </c>
      <c r="AL103" s="2665" t="str">
        <f t="shared" ca="1" si="50"/>
        <v/>
      </c>
      <c r="AM103" s="2665" t="str">
        <f t="shared" ca="1" si="50"/>
        <v/>
      </c>
      <c r="AN103" s="2666" t="str">
        <f t="shared" ca="1" si="50"/>
        <v/>
      </c>
      <c r="AO103" s="2669" t="str">
        <f t="shared" ca="1" si="50"/>
        <v/>
      </c>
      <c r="AP103" s="2665" t="str">
        <f t="shared" ca="1" si="50"/>
        <v/>
      </c>
      <c r="AQ103" s="2665" t="str">
        <f t="shared" ca="1" si="50"/>
        <v/>
      </c>
      <c r="AR103" s="2666" t="str">
        <f t="shared" ca="1" si="50"/>
        <v/>
      </c>
      <c r="AS103" s="2669" t="str">
        <f t="shared" ca="1" si="50"/>
        <v/>
      </c>
      <c r="AT103" s="2665" t="str">
        <f t="shared" ca="1" si="50"/>
        <v/>
      </c>
      <c r="AU103" s="2665" t="str">
        <f t="shared" ca="1" si="50"/>
        <v/>
      </c>
      <c r="AV103" s="2666" t="str">
        <f t="shared" ca="1" si="50"/>
        <v/>
      </c>
      <c r="AW103" s="2669" t="str">
        <f t="shared" ca="1" si="50"/>
        <v/>
      </c>
      <c r="AX103" s="2665" t="str">
        <f t="shared" ca="1" si="50"/>
        <v/>
      </c>
      <c r="AY103" s="2665" t="str">
        <f t="shared" ca="1" si="50"/>
        <v/>
      </c>
      <c r="AZ103" s="2666" t="str">
        <f t="shared" ca="1" si="49"/>
        <v/>
      </c>
      <c r="BA103" s="2665" t="str">
        <f t="shared" ca="1" si="49"/>
        <v/>
      </c>
      <c r="BB103" s="2665" t="str">
        <f t="shared" ca="1" si="49"/>
        <v/>
      </c>
      <c r="BC103" s="2665" t="str">
        <f t="shared" ca="1" si="49"/>
        <v/>
      </c>
      <c r="BD103" s="2666" t="str">
        <f t="shared" ca="1" si="49"/>
        <v/>
      </c>
      <c r="BE103" s="2670"/>
      <c r="BF103" s="2769"/>
      <c r="BG103" s="2769"/>
      <c r="BH103" s="2769"/>
      <c r="BI103" s="2514">
        <f t="shared" si="41"/>
        <v>77799</v>
      </c>
      <c r="BJ103" s="2516">
        <f t="shared" si="42"/>
        <v>93</v>
      </c>
      <c r="BK103" s="2499">
        <f t="shared" si="36"/>
        <v>2113</v>
      </c>
      <c r="BP103" s="2709">
        <f ca="1">TODAY()</f>
        <v>45172</v>
      </c>
      <c r="CB103" s="2370"/>
    </row>
    <row r="104" spans="1:80" ht="12.75" customHeight="1" x14ac:dyDescent="0.35">
      <c r="A104" s="2940"/>
      <c r="B104" s="2660">
        <f t="shared" si="40"/>
        <v>2114</v>
      </c>
      <c r="C104" s="2661">
        <f t="shared" si="35"/>
        <v>94</v>
      </c>
      <c r="D104" s="2662" t="str">
        <f>IF(BZ104=0,"",SUM(BZ$10:BZ104))</f>
        <v/>
      </c>
      <c r="E104" s="2663" t="str">
        <f t="shared" ca="1" si="48"/>
        <v/>
      </c>
      <c r="F104" s="2664" t="str">
        <f t="shared" ca="1" si="48"/>
        <v/>
      </c>
      <c r="G104" s="2665" t="str">
        <f t="shared" ca="1" si="48"/>
        <v/>
      </c>
      <c r="H104" s="2665" t="str">
        <f t="shared" ca="1" si="48"/>
        <v/>
      </c>
      <c r="I104" s="2666" t="str">
        <f t="shared" ca="1" si="48"/>
        <v/>
      </c>
      <c r="J104" s="2667" t="str">
        <f t="shared" ca="1" si="48"/>
        <v/>
      </c>
      <c r="K104" s="2665" t="str">
        <f t="shared" ca="1" si="48"/>
        <v/>
      </c>
      <c r="L104" s="2665" t="str">
        <f t="shared" ca="1" si="48"/>
        <v/>
      </c>
      <c r="M104" s="2666" t="str">
        <f t="shared" ca="1" si="48"/>
        <v/>
      </c>
      <c r="N104" s="2668" t="str">
        <f t="shared" ca="1" si="48"/>
        <v/>
      </c>
      <c r="O104" s="2665" t="str">
        <f t="shared" ca="1" si="48"/>
        <v/>
      </c>
      <c r="P104" s="2665" t="str">
        <f t="shared" ca="1" si="48"/>
        <v/>
      </c>
      <c r="Q104" s="2666" t="str">
        <f t="shared" ca="1" si="48"/>
        <v/>
      </c>
      <c r="R104" s="2669" t="str">
        <f t="shared" ca="1" si="48"/>
        <v/>
      </c>
      <c r="S104" s="2665" t="str">
        <f t="shared" ca="1" si="48"/>
        <v/>
      </c>
      <c r="T104" s="2665" t="str">
        <f t="shared" ca="1" si="48"/>
        <v/>
      </c>
      <c r="U104" s="2666" t="str">
        <f t="shared" ca="1" si="47"/>
        <v/>
      </c>
      <c r="V104" s="2669" t="str">
        <f t="shared" ca="1" si="47"/>
        <v/>
      </c>
      <c r="W104" s="2665" t="str">
        <f t="shared" ca="1" si="47"/>
        <v/>
      </c>
      <c r="X104" s="2665" t="str">
        <f t="shared" ca="1" si="47"/>
        <v/>
      </c>
      <c r="Y104" s="2665" t="str">
        <f t="shared" ca="1" si="47"/>
        <v/>
      </c>
      <c r="Z104" s="2665" t="str">
        <f t="shared" ca="1" si="47"/>
        <v/>
      </c>
      <c r="AA104" s="2666" t="str">
        <f t="shared" ca="1" si="47"/>
        <v/>
      </c>
      <c r="AB104" s="2669" t="str">
        <f t="shared" ca="1" si="47"/>
        <v/>
      </c>
      <c r="AC104" s="2665" t="str">
        <f t="shared" ca="1" si="47"/>
        <v/>
      </c>
      <c r="AD104" s="2665" t="str">
        <f t="shared" ca="1" si="47"/>
        <v/>
      </c>
      <c r="AE104" s="2666" t="str">
        <f t="shared" ca="1" si="47"/>
        <v/>
      </c>
      <c r="AF104" s="2669" t="str">
        <f t="shared" ca="1" si="47"/>
        <v/>
      </c>
      <c r="AG104" s="2665" t="str">
        <f t="shared" ca="1" si="47"/>
        <v/>
      </c>
      <c r="AH104" s="2665" t="str">
        <f t="shared" ca="1" si="47"/>
        <v/>
      </c>
      <c r="AI104" s="2666" t="str">
        <f t="shared" ca="1" si="47"/>
        <v/>
      </c>
      <c r="AJ104" s="2669" t="str">
        <f t="shared" ca="1" si="50"/>
        <v/>
      </c>
      <c r="AK104" s="2665" t="str">
        <f t="shared" ca="1" si="50"/>
        <v/>
      </c>
      <c r="AL104" s="2665" t="str">
        <f t="shared" ca="1" si="50"/>
        <v/>
      </c>
      <c r="AM104" s="2665" t="str">
        <f t="shared" ca="1" si="50"/>
        <v/>
      </c>
      <c r="AN104" s="2666" t="str">
        <f t="shared" ca="1" si="50"/>
        <v/>
      </c>
      <c r="AO104" s="2669" t="str">
        <f t="shared" ca="1" si="50"/>
        <v/>
      </c>
      <c r="AP104" s="2665" t="str">
        <f t="shared" ca="1" si="50"/>
        <v/>
      </c>
      <c r="AQ104" s="2665" t="str">
        <f t="shared" ca="1" si="50"/>
        <v/>
      </c>
      <c r="AR104" s="2666" t="str">
        <f t="shared" ca="1" si="50"/>
        <v/>
      </c>
      <c r="AS104" s="2669" t="str">
        <f t="shared" ca="1" si="50"/>
        <v/>
      </c>
      <c r="AT104" s="2665" t="str">
        <f t="shared" ca="1" si="50"/>
        <v/>
      </c>
      <c r="AU104" s="2665" t="str">
        <f t="shared" ca="1" si="50"/>
        <v/>
      </c>
      <c r="AV104" s="2666" t="str">
        <f t="shared" ca="1" si="50"/>
        <v/>
      </c>
      <c r="AW104" s="2669" t="str">
        <f t="shared" ca="1" si="50"/>
        <v/>
      </c>
      <c r="AX104" s="2665" t="str">
        <f t="shared" ca="1" si="50"/>
        <v/>
      </c>
      <c r="AY104" s="2665" t="str">
        <f t="shared" ca="1" si="50"/>
        <v/>
      </c>
      <c r="AZ104" s="2666" t="str">
        <f t="shared" ca="1" si="49"/>
        <v/>
      </c>
      <c r="BA104" s="2665" t="str">
        <f t="shared" ca="1" si="49"/>
        <v/>
      </c>
      <c r="BB104" s="2665" t="str">
        <f t="shared" ca="1" si="49"/>
        <v/>
      </c>
      <c r="BC104" s="2665" t="str">
        <f t="shared" ca="1" si="49"/>
        <v/>
      </c>
      <c r="BD104" s="2666" t="str">
        <f t="shared" ca="1" si="49"/>
        <v/>
      </c>
      <c r="BE104" s="2670"/>
      <c r="BF104" s="2769"/>
      <c r="BG104" s="2769"/>
      <c r="BH104" s="2769"/>
      <c r="BI104" s="2514">
        <f t="shared" si="41"/>
        <v>78164</v>
      </c>
      <c r="BJ104" s="2516">
        <f t="shared" si="42"/>
        <v>94</v>
      </c>
      <c r="BK104" s="2499">
        <f t="shared" si="36"/>
        <v>2114</v>
      </c>
      <c r="BP104" s="2710" t="s">
        <v>4</v>
      </c>
      <c r="BY104" s="440"/>
      <c r="CB104" s="2370"/>
    </row>
    <row r="105" spans="1:80" ht="12.75" customHeight="1" x14ac:dyDescent="0.35">
      <c r="A105" s="2940"/>
      <c r="B105" s="2660">
        <f t="shared" si="40"/>
        <v>2115</v>
      </c>
      <c r="C105" s="2661">
        <f t="shared" si="35"/>
        <v>95</v>
      </c>
      <c r="D105" s="2662" t="str">
        <f>IF(BZ105=0,"",SUM(BZ$10:BZ105))</f>
        <v/>
      </c>
      <c r="E105" s="2663" t="str">
        <f t="shared" ca="1" si="48"/>
        <v/>
      </c>
      <c r="F105" s="2664" t="str">
        <f t="shared" ca="1" si="48"/>
        <v/>
      </c>
      <c r="G105" s="2665" t="str">
        <f t="shared" ca="1" si="48"/>
        <v/>
      </c>
      <c r="H105" s="2665" t="str">
        <f t="shared" ca="1" si="48"/>
        <v/>
      </c>
      <c r="I105" s="2666" t="str">
        <f t="shared" ca="1" si="48"/>
        <v/>
      </c>
      <c r="J105" s="2667" t="str">
        <f t="shared" ca="1" si="48"/>
        <v/>
      </c>
      <c r="K105" s="2665" t="str">
        <f t="shared" ca="1" si="48"/>
        <v/>
      </c>
      <c r="L105" s="2665" t="str">
        <f t="shared" ca="1" si="48"/>
        <v/>
      </c>
      <c r="M105" s="2666" t="str">
        <f t="shared" ca="1" si="48"/>
        <v/>
      </c>
      <c r="N105" s="2668" t="str">
        <f t="shared" ca="1" si="48"/>
        <v/>
      </c>
      <c r="O105" s="2665" t="str">
        <f t="shared" ca="1" si="48"/>
        <v/>
      </c>
      <c r="P105" s="2665" t="str">
        <f t="shared" ca="1" si="48"/>
        <v/>
      </c>
      <c r="Q105" s="2666" t="str">
        <f t="shared" ca="1" si="48"/>
        <v/>
      </c>
      <c r="R105" s="2669" t="str">
        <f t="shared" ca="1" si="48"/>
        <v/>
      </c>
      <c r="S105" s="2665" t="str">
        <f t="shared" ca="1" si="48"/>
        <v/>
      </c>
      <c r="T105" s="2665" t="str">
        <f t="shared" ca="1" si="48"/>
        <v/>
      </c>
      <c r="U105" s="2666" t="str">
        <f t="shared" ca="1" si="47"/>
        <v/>
      </c>
      <c r="V105" s="2669" t="str">
        <f t="shared" ca="1" si="47"/>
        <v/>
      </c>
      <c r="W105" s="2665" t="str">
        <f t="shared" ca="1" si="47"/>
        <v/>
      </c>
      <c r="X105" s="2665" t="str">
        <f t="shared" ca="1" si="47"/>
        <v/>
      </c>
      <c r="Y105" s="2665" t="str">
        <f t="shared" ca="1" si="47"/>
        <v/>
      </c>
      <c r="Z105" s="2665" t="str">
        <f t="shared" ca="1" si="47"/>
        <v/>
      </c>
      <c r="AA105" s="2666" t="str">
        <f t="shared" ca="1" si="47"/>
        <v/>
      </c>
      <c r="AB105" s="2669" t="str">
        <f t="shared" ca="1" si="47"/>
        <v/>
      </c>
      <c r="AC105" s="2665" t="str">
        <f t="shared" ca="1" si="47"/>
        <v/>
      </c>
      <c r="AD105" s="2665" t="str">
        <f t="shared" ca="1" si="47"/>
        <v/>
      </c>
      <c r="AE105" s="2666" t="str">
        <f t="shared" ca="1" si="47"/>
        <v/>
      </c>
      <c r="AF105" s="2669" t="str">
        <f t="shared" ca="1" si="47"/>
        <v/>
      </c>
      <c r="AG105" s="2665" t="str">
        <f t="shared" ca="1" si="47"/>
        <v/>
      </c>
      <c r="AH105" s="2665" t="str">
        <f t="shared" ca="1" si="47"/>
        <v/>
      </c>
      <c r="AI105" s="2666" t="str">
        <f t="shared" ca="1" si="47"/>
        <v/>
      </c>
      <c r="AJ105" s="2669" t="str">
        <f t="shared" ca="1" si="50"/>
        <v/>
      </c>
      <c r="AK105" s="2665" t="str">
        <f t="shared" ca="1" si="50"/>
        <v/>
      </c>
      <c r="AL105" s="2665" t="str">
        <f t="shared" ca="1" si="50"/>
        <v/>
      </c>
      <c r="AM105" s="2665" t="str">
        <f t="shared" ca="1" si="50"/>
        <v/>
      </c>
      <c r="AN105" s="2666" t="str">
        <f t="shared" ca="1" si="50"/>
        <v/>
      </c>
      <c r="AO105" s="2669" t="str">
        <f t="shared" ca="1" si="50"/>
        <v/>
      </c>
      <c r="AP105" s="2665" t="str">
        <f t="shared" ca="1" si="50"/>
        <v/>
      </c>
      <c r="AQ105" s="2665" t="str">
        <f t="shared" ca="1" si="50"/>
        <v/>
      </c>
      <c r="AR105" s="2666" t="str">
        <f t="shared" ca="1" si="50"/>
        <v/>
      </c>
      <c r="AS105" s="2669" t="str">
        <f t="shared" ca="1" si="50"/>
        <v/>
      </c>
      <c r="AT105" s="2665" t="str">
        <f t="shared" ca="1" si="50"/>
        <v/>
      </c>
      <c r="AU105" s="2665" t="str">
        <f t="shared" ca="1" si="50"/>
        <v/>
      </c>
      <c r="AV105" s="2666" t="str">
        <f t="shared" ca="1" si="50"/>
        <v/>
      </c>
      <c r="AW105" s="2669" t="str">
        <f t="shared" ca="1" si="50"/>
        <v/>
      </c>
      <c r="AX105" s="2665" t="str">
        <f t="shared" ca="1" si="50"/>
        <v/>
      </c>
      <c r="AY105" s="2665" t="str">
        <f t="shared" ca="1" si="50"/>
        <v/>
      </c>
      <c r="AZ105" s="2666" t="str">
        <f t="shared" ca="1" si="49"/>
        <v/>
      </c>
      <c r="BA105" s="2665" t="str">
        <f t="shared" ca="1" si="49"/>
        <v/>
      </c>
      <c r="BB105" s="2665" t="str">
        <f t="shared" ca="1" si="49"/>
        <v/>
      </c>
      <c r="BC105" s="2665" t="str">
        <f t="shared" ca="1" si="49"/>
        <v/>
      </c>
      <c r="BD105" s="2666" t="str">
        <f t="shared" ca="1" si="49"/>
        <v/>
      </c>
      <c r="BE105" s="2670"/>
      <c r="BF105" s="2769"/>
      <c r="BG105" s="2769"/>
      <c r="BH105" s="2769"/>
      <c r="BI105" s="2514">
        <f t="shared" si="41"/>
        <v>78529</v>
      </c>
      <c r="BJ105" s="2516">
        <f t="shared" si="42"/>
        <v>95</v>
      </c>
      <c r="BK105" s="2499">
        <f t="shared" si="36"/>
        <v>2115</v>
      </c>
      <c r="BP105" s="2710" t="str">
        <f ca="1">"Days Left "&amp;TEXT((ROUNDDOWN((DATEDIF(BP103,A3,"d")),0)),"#,##0")</f>
        <v>Days Left 29,735</v>
      </c>
      <c r="CB105" s="2370"/>
    </row>
    <row r="106" spans="1:80" ht="12.75" customHeight="1" x14ac:dyDescent="0.35">
      <c r="A106" s="2940"/>
      <c r="B106" s="2660">
        <f t="shared" si="40"/>
        <v>2116</v>
      </c>
      <c r="C106" s="2661">
        <f t="shared" si="35"/>
        <v>96</v>
      </c>
      <c r="D106" s="2662" t="str">
        <f>IF(BZ106=0,"",SUM(BZ$10:BZ106))</f>
        <v/>
      </c>
      <c r="E106" s="2663" t="str">
        <f t="shared" ca="1" si="48"/>
        <v/>
      </c>
      <c r="F106" s="2664" t="str">
        <f t="shared" ca="1" si="48"/>
        <v/>
      </c>
      <c r="G106" s="2665" t="str">
        <f t="shared" ca="1" si="48"/>
        <v/>
      </c>
      <c r="H106" s="2665" t="str">
        <f t="shared" ca="1" si="48"/>
        <v/>
      </c>
      <c r="I106" s="2666" t="str">
        <f t="shared" ca="1" si="48"/>
        <v/>
      </c>
      <c r="J106" s="2667" t="str">
        <f t="shared" ca="1" si="48"/>
        <v/>
      </c>
      <c r="K106" s="2665" t="str">
        <f t="shared" ca="1" si="48"/>
        <v/>
      </c>
      <c r="L106" s="2665" t="str">
        <f t="shared" ca="1" si="48"/>
        <v/>
      </c>
      <c r="M106" s="2666" t="str">
        <f t="shared" ca="1" si="48"/>
        <v/>
      </c>
      <c r="N106" s="2668" t="str">
        <f t="shared" ca="1" si="48"/>
        <v/>
      </c>
      <c r="O106" s="2665" t="str">
        <f t="shared" ca="1" si="48"/>
        <v/>
      </c>
      <c r="P106" s="2665" t="str">
        <f t="shared" ca="1" si="48"/>
        <v/>
      </c>
      <c r="Q106" s="2666" t="str">
        <f t="shared" ca="1" si="48"/>
        <v/>
      </c>
      <c r="R106" s="2669" t="str">
        <f t="shared" ca="1" si="48"/>
        <v/>
      </c>
      <c r="S106" s="2665" t="str">
        <f t="shared" ca="1" si="48"/>
        <v/>
      </c>
      <c r="T106" s="2665" t="str">
        <f t="shared" ca="1" si="48"/>
        <v/>
      </c>
      <c r="U106" s="2666" t="str">
        <f t="shared" ca="1" si="47"/>
        <v/>
      </c>
      <c r="V106" s="2669" t="str">
        <f t="shared" ca="1" si="47"/>
        <v/>
      </c>
      <c r="W106" s="2665" t="str">
        <f t="shared" ca="1" si="47"/>
        <v/>
      </c>
      <c r="X106" s="2665" t="str">
        <f t="shared" ca="1" si="47"/>
        <v/>
      </c>
      <c r="Y106" s="2665" t="str">
        <f t="shared" ca="1" si="47"/>
        <v/>
      </c>
      <c r="Z106" s="2665" t="str">
        <f t="shared" ca="1" si="47"/>
        <v/>
      </c>
      <c r="AA106" s="2666" t="str">
        <f t="shared" ca="1" si="47"/>
        <v/>
      </c>
      <c r="AB106" s="2669" t="str">
        <f t="shared" ca="1" si="47"/>
        <v/>
      </c>
      <c r="AC106" s="2665" t="str">
        <f t="shared" ca="1" si="47"/>
        <v/>
      </c>
      <c r="AD106" s="2665" t="str">
        <f t="shared" ca="1" si="47"/>
        <v/>
      </c>
      <c r="AE106" s="2666" t="str">
        <f t="shared" ca="1" si="47"/>
        <v/>
      </c>
      <c r="AF106" s="2669" t="str">
        <f t="shared" ca="1" si="47"/>
        <v/>
      </c>
      <c r="AG106" s="2665" t="str">
        <f t="shared" ca="1" si="47"/>
        <v/>
      </c>
      <c r="AH106" s="2665" t="str">
        <f t="shared" ca="1" si="47"/>
        <v/>
      </c>
      <c r="AI106" s="2666" t="str">
        <f t="shared" ca="1" si="47"/>
        <v/>
      </c>
      <c r="AJ106" s="2669" t="str">
        <f t="shared" ca="1" si="50"/>
        <v/>
      </c>
      <c r="AK106" s="2665" t="str">
        <f t="shared" ca="1" si="50"/>
        <v/>
      </c>
      <c r="AL106" s="2665" t="str">
        <f t="shared" ca="1" si="50"/>
        <v/>
      </c>
      <c r="AM106" s="2665" t="str">
        <f t="shared" ca="1" si="50"/>
        <v/>
      </c>
      <c r="AN106" s="2666" t="str">
        <f t="shared" ca="1" si="50"/>
        <v/>
      </c>
      <c r="AO106" s="2669" t="str">
        <f t="shared" ca="1" si="50"/>
        <v/>
      </c>
      <c r="AP106" s="2665" t="str">
        <f t="shared" ca="1" si="50"/>
        <v/>
      </c>
      <c r="AQ106" s="2665" t="str">
        <f t="shared" ca="1" si="50"/>
        <v/>
      </c>
      <c r="AR106" s="2666" t="str">
        <f t="shared" ca="1" si="50"/>
        <v/>
      </c>
      <c r="AS106" s="2669" t="str">
        <f t="shared" ca="1" si="50"/>
        <v/>
      </c>
      <c r="AT106" s="2665" t="str">
        <f t="shared" ca="1" si="50"/>
        <v/>
      </c>
      <c r="AU106" s="2665" t="str">
        <f t="shared" ca="1" si="50"/>
        <v/>
      </c>
      <c r="AV106" s="2666" t="str">
        <f t="shared" ca="1" si="50"/>
        <v/>
      </c>
      <c r="AW106" s="2669" t="str">
        <f t="shared" ca="1" si="50"/>
        <v/>
      </c>
      <c r="AX106" s="2665" t="str">
        <f t="shared" ca="1" si="50"/>
        <v/>
      </c>
      <c r="AY106" s="2665" t="str">
        <f t="shared" ca="1" si="50"/>
        <v/>
      </c>
      <c r="AZ106" s="2666" t="str">
        <f t="shared" ca="1" si="49"/>
        <v/>
      </c>
      <c r="BA106" s="2665" t="str">
        <f t="shared" ca="1" si="49"/>
        <v/>
      </c>
      <c r="BB106" s="2665" t="str">
        <f t="shared" ca="1" si="49"/>
        <v/>
      </c>
      <c r="BC106" s="2665" t="str">
        <f t="shared" ca="1" si="49"/>
        <v/>
      </c>
      <c r="BD106" s="2666" t="str">
        <f t="shared" ca="1" si="49"/>
        <v/>
      </c>
      <c r="BE106" s="2670"/>
      <c r="BF106" s="2769"/>
      <c r="BG106" s="2769"/>
      <c r="BH106" s="2769"/>
      <c r="BI106" s="2514">
        <f t="shared" si="41"/>
        <v>78894</v>
      </c>
      <c r="BJ106" s="2516">
        <f t="shared" si="42"/>
        <v>96</v>
      </c>
      <c r="BK106" s="2499">
        <f t="shared" si="36"/>
        <v>2116</v>
      </c>
      <c r="BP106" s="2710" t="str">
        <f ca="1">"Weeks "&amp;TEXT(ROUNDDOWN((DATEDIF(BP103,A3,"d")/7),0),"#,##0")</f>
        <v>Weeks 4,247</v>
      </c>
      <c r="CB106" s="2370"/>
    </row>
    <row r="107" spans="1:80" ht="12.75" customHeight="1" x14ac:dyDescent="0.35">
      <c r="A107" s="2940"/>
      <c r="B107" s="2660">
        <f t="shared" si="40"/>
        <v>2117</v>
      </c>
      <c r="C107" s="2661">
        <f t="shared" si="35"/>
        <v>97</v>
      </c>
      <c r="D107" s="2662" t="str">
        <f>IF(BZ107=0,"",SUM(BZ$10:BZ107))</f>
        <v/>
      </c>
      <c r="E107" s="2663" t="str">
        <f t="shared" ca="1" si="48"/>
        <v/>
      </c>
      <c r="F107" s="2664" t="str">
        <f t="shared" ca="1" si="48"/>
        <v/>
      </c>
      <c r="G107" s="2665" t="str">
        <f t="shared" ca="1" si="48"/>
        <v/>
      </c>
      <c r="H107" s="2665" t="str">
        <f t="shared" ca="1" si="48"/>
        <v/>
      </c>
      <c r="I107" s="2666" t="str">
        <f t="shared" ca="1" si="48"/>
        <v/>
      </c>
      <c r="J107" s="2667" t="str">
        <f t="shared" ca="1" si="48"/>
        <v/>
      </c>
      <c r="K107" s="2665" t="str">
        <f t="shared" ca="1" si="48"/>
        <v/>
      </c>
      <c r="L107" s="2665" t="str">
        <f t="shared" ca="1" si="48"/>
        <v/>
      </c>
      <c r="M107" s="2666" t="str">
        <f t="shared" ca="1" si="48"/>
        <v/>
      </c>
      <c r="N107" s="2668" t="str">
        <f t="shared" ca="1" si="48"/>
        <v/>
      </c>
      <c r="O107" s="2665" t="str">
        <f t="shared" ca="1" si="48"/>
        <v/>
      </c>
      <c r="P107" s="2665" t="str">
        <f t="shared" ca="1" si="48"/>
        <v/>
      </c>
      <c r="Q107" s="2666" t="str">
        <f t="shared" ca="1" si="48"/>
        <v/>
      </c>
      <c r="R107" s="2669" t="str">
        <f t="shared" ca="1" si="48"/>
        <v/>
      </c>
      <c r="S107" s="2665" t="str">
        <f t="shared" ca="1" si="48"/>
        <v/>
      </c>
      <c r="T107" s="2665" t="str">
        <f t="shared" ca="1" si="48"/>
        <v/>
      </c>
      <c r="U107" s="2666" t="str">
        <f t="shared" ca="1" si="47"/>
        <v/>
      </c>
      <c r="V107" s="2669" t="str">
        <f t="shared" ca="1" si="47"/>
        <v/>
      </c>
      <c r="W107" s="2665" t="str">
        <f t="shared" ca="1" si="47"/>
        <v/>
      </c>
      <c r="X107" s="2665" t="str">
        <f t="shared" ca="1" si="47"/>
        <v/>
      </c>
      <c r="Y107" s="2665" t="str">
        <f t="shared" ca="1" si="47"/>
        <v/>
      </c>
      <c r="Z107" s="2665" t="str">
        <f t="shared" ca="1" si="47"/>
        <v/>
      </c>
      <c r="AA107" s="2666" t="str">
        <f t="shared" ca="1" si="47"/>
        <v/>
      </c>
      <c r="AB107" s="2669" t="str">
        <f t="shared" ca="1" si="47"/>
        <v/>
      </c>
      <c r="AC107" s="2665" t="str">
        <f t="shared" ca="1" si="47"/>
        <v/>
      </c>
      <c r="AD107" s="2665" t="str">
        <f t="shared" ca="1" si="47"/>
        <v/>
      </c>
      <c r="AE107" s="2666" t="str">
        <f t="shared" ca="1" si="47"/>
        <v/>
      </c>
      <c r="AF107" s="2669" t="str">
        <f t="shared" ca="1" si="47"/>
        <v/>
      </c>
      <c r="AG107" s="2665" t="str">
        <f t="shared" ca="1" si="47"/>
        <v/>
      </c>
      <c r="AH107" s="2665" t="str">
        <f t="shared" ca="1" si="47"/>
        <v/>
      </c>
      <c r="AI107" s="2666" t="str">
        <f t="shared" ca="1" si="47"/>
        <v/>
      </c>
      <c r="AJ107" s="2669" t="str">
        <f t="shared" ca="1" si="50"/>
        <v/>
      </c>
      <c r="AK107" s="2665" t="str">
        <f t="shared" ca="1" si="50"/>
        <v/>
      </c>
      <c r="AL107" s="2665" t="str">
        <f t="shared" ca="1" si="50"/>
        <v/>
      </c>
      <c r="AM107" s="2665" t="str">
        <f t="shared" ca="1" si="50"/>
        <v/>
      </c>
      <c r="AN107" s="2666" t="str">
        <f t="shared" ca="1" si="50"/>
        <v/>
      </c>
      <c r="AO107" s="2669" t="str">
        <f t="shared" ca="1" si="50"/>
        <v/>
      </c>
      <c r="AP107" s="2665" t="str">
        <f t="shared" ca="1" si="50"/>
        <v/>
      </c>
      <c r="AQ107" s="2665" t="str">
        <f t="shared" ca="1" si="50"/>
        <v/>
      </c>
      <c r="AR107" s="2666" t="str">
        <f t="shared" ca="1" si="50"/>
        <v/>
      </c>
      <c r="AS107" s="2669" t="str">
        <f t="shared" ca="1" si="50"/>
        <v/>
      </c>
      <c r="AT107" s="2665" t="str">
        <f t="shared" ca="1" si="50"/>
        <v/>
      </c>
      <c r="AU107" s="2665" t="str">
        <f t="shared" ca="1" si="50"/>
        <v/>
      </c>
      <c r="AV107" s="2666" t="str">
        <f t="shared" ca="1" si="50"/>
        <v/>
      </c>
      <c r="AW107" s="2669" t="str">
        <f t="shared" ca="1" si="50"/>
        <v/>
      </c>
      <c r="AX107" s="2665" t="str">
        <f t="shared" ca="1" si="50"/>
        <v/>
      </c>
      <c r="AY107" s="2665" t="str">
        <f t="shared" ca="1" si="50"/>
        <v/>
      </c>
      <c r="AZ107" s="2666" t="str">
        <f t="shared" ca="1" si="49"/>
        <v/>
      </c>
      <c r="BA107" s="2665" t="str">
        <f t="shared" ca="1" si="49"/>
        <v/>
      </c>
      <c r="BB107" s="2665" t="str">
        <f t="shared" ca="1" si="49"/>
        <v/>
      </c>
      <c r="BC107" s="2665" t="str">
        <f t="shared" ca="1" si="49"/>
        <v/>
      </c>
      <c r="BD107" s="2666" t="str">
        <f t="shared" ca="1" si="49"/>
        <v/>
      </c>
      <c r="BE107" s="2670"/>
      <c r="BF107" s="2769"/>
      <c r="BG107" s="2769"/>
      <c r="BH107" s="2769"/>
      <c r="BI107" s="2514">
        <f t="shared" si="41"/>
        <v>79260</v>
      </c>
      <c r="BJ107" s="2516">
        <f t="shared" si="42"/>
        <v>97</v>
      </c>
      <c r="BK107" s="2499">
        <f t="shared" si="36"/>
        <v>2117</v>
      </c>
      <c r="BP107" s="2710" t="str">
        <f ca="1">"Months Left "&amp;(DATEDIF(BP103,A3,"m"))</f>
        <v>Months Left 976</v>
      </c>
      <c r="CB107" s="2370"/>
    </row>
    <row r="108" spans="1:80" ht="12.75" customHeight="1" x14ac:dyDescent="0.35">
      <c r="A108" s="2940"/>
      <c r="B108" s="2660">
        <f t="shared" si="40"/>
        <v>2118</v>
      </c>
      <c r="C108" s="2661">
        <f t="shared" si="35"/>
        <v>98</v>
      </c>
      <c r="D108" s="2662" t="str">
        <f>IF(BZ108=0,"",SUM(BZ$10:BZ108))</f>
        <v/>
      </c>
      <c r="E108" s="2663" t="str">
        <f t="shared" ca="1" si="48"/>
        <v/>
      </c>
      <c r="F108" s="2664" t="str">
        <f t="shared" ca="1" si="48"/>
        <v/>
      </c>
      <c r="G108" s="2665" t="str">
        <f t="shared" ca="1" si="48"/>
        <v/>
      </c>
      <c r="H108" s="2665" t="str">
        <f t="shared" ca="1" si="48"/>
        <v/>
      </c>
      <c r="I108" s="2666" t="str">
        <f t="shared" ca="1" si="48"/>
        <v/>
      </c>
      <c r="J108" s="2667" t="str">
        <f t="shared" ca="1" si="48"/>
        <v/>
      </c>
      <c r="K108" s="2665" t="str">
        <f t="shared" ca="1" si="48"/>
        <v/>
      </c>
      <c r="L108" s="2665" t="str">
        <f t="shared" ca="1" si="48"/>
        <v/>
      </c>
      <c r="M108" s="2666" t="str">
        <f t="shared" ca="1" si="48"/>
        <v/>
      </c>
      <c r="N108" s="2668" t="str">
        <f t="shared" ca="1" si="48"/>
        <v/>
      </c>
      <c r="O108" s="2665" t="str">
        <f t="shared" ca="1" si="48"/>
        <v/>
      </c>
      <c r="P108" s="2665" t="str">
        <f t="shared" ca="1" si="48"/>
        <v/>
      </c>
      <c r="Q108" s="2666" t="str">
        <f t="shared" ca="1" si="48"/>
        <v/>
      </c>
      <c r="R108" s="2669" t="str">
        <f t="shared" ca="1" si="48"/>
        <v/>
      </c>
      <c r="S108" s="2665" t="str">
        <f t="shared" ca="1" si="48"/>
        <v/>
      </c>
      <c r="T108" s="2665" t="str">
        <f t="shared" ca="1" si="48"/>
        <v/>
      </c>
      <c r="U108" s="2666" t="str">
        <f t="shared" ca="1" si="47"/>
        <v/>
      </c>
      <c r="V108" s="2669" t="str">
        <f t="shared" ca="1" si="47"/>
        <v/>
      </c>
      <c r="W108" s="2665" t="str">
        <f t="shared" ca="1" si="47"/>
        <v/>
      </c>
      <c r="X108" s="2665" t="str">
        <f t="shared" ca="1" si="47"/>
        <v/>
      </c>
      <c r="Y108" s="2665" t="str">
        <f t="shared" ca="1" si="47"/>
        <v/>
      </c>
      <c r="Z108" s="2665" t="str">
        <f t="shared" ca="1" si="47"/>
        <v/>
      </c>
      <c r="AA108" s="2666" t="str">
        <f t="shared" ca="1" si="47"/>
        <v/>
      </c>
      <c r="AB108" s="2669" t="str">
        <f t="shared" ca="1" si="47"/>
        <v/>
      </c>
      <c r="AC108" s="2665" t="str">
        <f t="shared" ca="1" si="47"/>
        <v/>
      </c>
      <c r="AD108" s="2665" t="str">
        <f t="shared" ca="1" si="47"/>
        <v/>
      </c>
      <c r="AE108" s="2666" t="str">
        <f t="shared" ca="1" si="47"/>
        <v/>
      </c>
      <c r="AF108" s="2669" t="str">
        <f t="shared" ca="1" si="47"/>
        <v/>
      </c>
      <c r="AG108" s="2665" t="str">
        <f t="shared" ca="1" si="47"/>
        <v/>
      </c>
      <c r="AH108" s="2665" t="str">
        <f t="shared" ca="1" si="47"/>
        <v/>
      </c>
      <c r="AI108" s="2666" t="str">
        <f t="shared" ca="1" si="47"/>
        <v/>
      </c>
      <c r="AJ108" s="2669" t="str">
        <f t="shared" ca="1" si="50"/>
        <v/>
      </c>
      <c r="AK108" s="2665" t="str">
        <f t="shared" ca="1" si="50"/>
        <v/>
      </c>
      <c r="AL108" s="2665" t="str">
        <f t="shared" ca="1" si="50"/>
        <v/>
      </c>
      <c r="AM108" s="2665" t="str">
        <f t="shared" ca="1" si="50"/>
        <v/>
      </c>
      <c r="AN108" s="2666" t="str">
        <f t="shared" ca="1" si="50"/>
        <v/>
      </c>
      <c r="AO108" s="2669" t="str">
        <f t="shared" ca="1" si="50"/>
        <v/>
      </c>
      <c r="AP108" s="2665" t="str">
        <f t="shared" ca="1" si="50"/>
        <v/>
      </c>
      <c r="AQ108" s="2665" t="str">
        <f t="shared" ca="1" si="50"/>
        <v/>
      </c>
      <c r="AR108" s="2666" t="str">
        <f t="shared" ca="1" si="50"/>
        <v/>
      </c>
      <c r="AS108" s="2669" t="str">
        <f t="shared" ca="1" si="50"/>
        <v/>
      </c>
      <c r="AT108" s="2665" t="str">
        <f t="shared" ca="1" si="50"/>
        <v/>
      </c>
      <c r="AU108" s="2665" t="str">
        <f t="shared" ca="1" si="50"/>
        <v/>
      </c>
      <c r="AV108" s="2666" t="str">
        <f t="shared" ca="1" si="50"/>
        <v/>
      </c>
      <c r="AW108" s="2669" t="str">
        <f t="shared" ca="1" si="50"/>
        <v/>
      </c>
      <c r="AX108" s="2665" t="str">
        <f t="shared" ca="1" si="50"/>
        <v/>
      </c>
      <c r="AY108" s="2665" t="str">
        <f t="shared" ca="1" si="50"/>
        <v/>
      </c>
      <c r="AZ108" s="2666" t="str">
        <f t="shared" ca="1" si="49"/>
        <v/>
      </c>
      <c r="BA108" s="2665" t="str">
        <f t="shared" ca="1" si="49"/>
        <v/>
      </c>
      <c r="BB108" s="2665" t="str">
        <f t="shared" ca="1" si="49"/>
        <v/>
      </c>
      <c r="BC108" s="2665" t="str">
        <f t="shared" ca="1" si="49"/>
        <v/>
      </c>
      <c r="BD108" s="2666" t="str">
        <f t="shared" ca="1" si="49"/>
        <v/>
      </c>
      <c r="BE108" s="2670"/>
      <c r="BF108" s="2769"/>
      <c r="BG108" s="2769"/>
      <c r="BH108" s="2769"/>
      <c r="BI108" s="2514">
        <f t="shared" si="41"/>
        <v>79625</v>
      </c>
      <c r="BJ108" s="2516">
        <f t="shared" si="42"/>
        <v>98</v>
      </c>
      <c r="BK108" s="2499">
        <f t="shared" si="36"/>
        <v>2118</v>
      </c>
      <c r="BP108" s="2710" t="str">
        <f ca="1">"Years "&amp;(DATEDIF(BP103,A3,"y"))</f>
        <v>Years 81</v>
      </c>
      <c r="CB108" s="2370"/>
    </row>
    <row r="109" spans="1:80" ht="12.75" customHeight="1" thickBot="1" x14ac:dyDescent="0.4">
      <c r="A109" s="2941"/>
      <c r="B109" s="2671">
        <f t="shared" si="40"/>
        <v>2119</v>
      </c>
      <c r="C109" s="2672">
        <f t="shared" si="35"/>
        <v>99</v>
      </c>
      <c r="D109" s="2673" t="str">
        <f>IF(BZ109=0,"",SUM(BZ$10:BZ109))</f>
        <v/>
      </c>
      <c r="E109" s="2674" t="str">
        <f t="shared" ca="1" si="48"/>
        <v/>
      </c>
      <c r="F109" s="2675" t="str">
        <f t="shared" ca="1" si="48"/>
        <v/>
      </c>
      <c r="G109" s="2676" t="str">
        <f t="shared" ca="1" si="48"/>
        <v/>
      </c>
      <c r="H109" s="2676" t="str">
        <f t="shared" ca="1" si="48"/>
        <v/>
      </c>
      <c r="I109" s="2677" t="str">
        <f t="shared" ca="1" si="48"/>
        <v/>
      </c>
      <c r="J109" s="2678" t="str">
        <f t="shared" ca="1" si="48"/>
        <v/>
      </c>
      <c r="K109" s="2676" t="str">
        <f t="shared" ca="1" si="48"/>
        <v/>
      </c>
      <c r="L109" s="2676" t="str">
        <f t="shared" ca="1" si="48"/>
        <v/>
      </c>
      <c r="M109" s="2677" t="str">
        <f t="shared" ca="1" si="48"/>
        <v/>
      </c>
      <c r="N109" s="2679" t="str">
        <f t="shared" ca="1" si="48"/>
        <v/>
      </c>
      <c r="O109" s="2676" t="str">
        <f t="shared" ca="1" si="48"/>
        <v/>
      </c>
      <c r="P109" s="2676" t="str">
        <f t="shared" ca="1" si="48"/>
        <v/>
      </c>
      <c r="Q109" s="2677" t="str">
        <f t="shared" ca="1" si="48"/>
        <v/>
      </c>
      <c r="R109" s="2680" t="str">
        <f t="shared" ca="1" si="48"/>
        <v/>
      </c>
      <c r="S109" s="2676" t="str">
        <f t="shared" ca="1" si="48"/>
        <v/>
      </c>
      <c r="T109" s="2676" t="str">
        <f t="shared" ca="1" si="48"/>
        <v/>
      </c>
      <c r="U109" s="2677" t="str">
        <f t="shared" ca="1" si="47"/>
        <v/>
      </c>
      <c r="V109" s="2680" t="str">
        <f t="shared" ca="1" si="47"/>
        <v/>
      </c>
      <c r="W109" s="2676" t="str">
        <f t="shared" ca="1" si="47"/>
        <v/>
      </c>
      <c r="X109" s="2676" t="str">
        <f t="shared" ca="1" si="47"/>
        <v/>
      </c>
      <c r="Y109" s="2676" t="str">
        <f t="shared" ca="1" si="47"/>
        <v/>
      </c>
      <c r="Z109" s="2676" t="str">
        <f t="shared" ca="1" si="47"/>
        <v/>
      </c>
      <c r="AA109" s="2677" t="str">
        <f t="shared" ca="1" si="47"/>
        <v/>
      </c>
      <c r="AB109" s="2680" t="str">
        <f t="shared" ca="1" si="47"/>
        <v/>
      </c>
      <c r="AC109" s="2676" t="str">
        <f t="shared" ca="1" si="47"/>
        <v/>
      </c>
      <c r="AD109" s="2676" t="str">
        <f t="shared" ca="1" si="47"/>
        <v/>
      </c>
      <c r="AE109" s="2677" t="str">
        <f t="shared" ca="1" si="47"/>
        <v/>
      </c>
      <c r="AF109" s="2680" t="str">
        <f t="shared" ca="1" si="47"/>
        <v/>
      </c>
      <c r="AG109" s="2676" t="str">
        <f t="shared" ca="1" si="47"/>
        <v/>
      </c>
      <c r="AH109" s="2676" t="str">
        <f t="shared" ca="1" si="47"/>
        <v/>
      </c>
      <c r="AI109" s="2677" t="str">
        <f t="shared" ca="1" si="47"/>
        <v/>
      </c>
      <c r="AJ109" s="2680" t="str">
        <f t="shared" ca="1" si="50"/>
        <v/>
      </c>
      <c r="AK109" s="2676" t="str">
        <f t="shared" ca="1" si="50"/>
        <v/>
      </c>
      <c r="AL109" s="2676" t="str">
        <f t="shared" ca="1" si="50"/>
        <v/>
      </c>
      <c r="AM109" s="2676" t="str">
        <f t="shared" ca="1" si="50"/>
        <v/>
      </c>
      <c r="AN109" s="2677" t="str">
        <f t="shared" ca="1" si="50"/>
        <v/>
      </c>
      <c r="AO109" s="2680" t="str">
        <f t="shared" ca="1" si="50"/>
        <v/>
      </c>
      <c r="AP109" s="2676" t="str">
        <f t="shared" ca="1" si="50"/>
        <v/>
      </c>
      <c r="AQ109" s="2676" t="str">
        <f t="shared" ca="1" si="50"/>
        <v/>
      </c>
      <c r="AR109" s="2677" t="str">
        <f t="shared" ca="1" si="50"/>
        <v/>
      </c>
      <c r="AS109" s="2680" t="str">
        <f t="shared" ca="1" si="50"/>
        <v/>
      </c>
      <c r="AT109" s="2676" t="str">
        <f t="shared" ca="1" si="50"/>
        <v/>
      </c>
      <c r="AU109" s="2676" t="str">
        <f t="shared" ca="1" si="50"/>
        <v/>
      </c>
      <c r="AV109" s="2677" t="str">
        <f t="shared" ca="1" si="50"/>
        <v/>
      </c>
      <c r="AW109" s="2680" t="str">
        <f t="shared" ca="1" si="50"/>
        <v/>
      </c>
      <c r="AX109" s="2676" t="str">
        <f t="shared" ca="1" si="50"/>
        <v/>
      </c>
      <c r="AY109" s="2676" t="str">
        <f t="shared" ca="1" si="50"/>
        <v/>
      </c>
      <c r="AZ109" s="2677" t="str">
        <f t="shared" ca="1" si="49"/>
        <v/>
      </c>
      <c r="BA109" s="2676" t="str">
        <f t="shared" ca="1" si="49"/>
        <v/>
      </c>
      <c r="BB109" s="2676" t="str">
        <f t="shared" ca="1" si="49"/>
        <v/>
      </c>
      <c r="BC109" s="2676" t="str">
        <f t="shared" ca="1" si="49"/>
        <v/>
      </c>
      <c r="BD109" s="2677" t="str">
        <f t="shared" ca="1" si="49"/>
        <v/>
      </c>
      <c r="BE109" s="2711"/>
      <c r="BF109" s="2770"/>
      <c r="BG109" s="2770"/>
      <c r="BH109" s="2770"/>
      <c r="BI109" s="2514">
        <f t="shared" si="41"/>
        <v>79990</v>
      </c>
      <c r="BJ109" s="2516">
        <f t="shared" si="42"/>
        <v>99</v>
      </c>
      <c r="BK109" s="2499">
        <f t="shared" si="36"/>
        <v>2119</v>
      </c>
      <c r="CB109" s="2370"/>
    </row>
    <row r="110" spans="1:80" ht="12.75" customHeight="1" thickTop="1" x14ac:dyDescent="0.35">
      <c r="CB110" s="2370"/>
    </row>
    <row r="111" spans="1:80" ht="12" customHeight="1" x14ac:dyDescent="0.35">
      <c r="CB111" s="2370"/>
    </row>
    <row r="112" spans="1:80" ht="12" customHeight="1" x14ac:dyDescent="0.35">
      <c r="CB112" s="2370"/>
    </row>
    <row r="113" spans="80:80" ht="12" customHeight="1" x14ac:dyDescent="0.35">
      <c r="CB113" s="2370"/>
    </row>
    <row r="114" spans="80:80" ht="12" customHeight="1" x14ac:dyDescent="0.35">
      <c r="CB114" s="2370"/>
    </row>
    <row r="115" spans="80:80" ht="12" customHeight="1" x14ac:dyDescent="0.35">
      <c r="CB115" s="2370"/>
    </row>
    <row r="116" spans="80:80" ht="12" customHeight="1" x14ac:dyDescent="0.35">
      <c r="CB116" s="2370"/>
    </row>
    <row r="117" spans="80:80" ht="12" customHeight="1" x14ac:dyDescent="0.35">
      <c r="CB117" s="2370"/>
    </row>
    <row r="118" spans="80:80" ht="12" customHeight="1" x14ac:dyDescent="0.35">
      <c r="CB118" s="2370"/>
    </row>
    <row r="119" spans="80:80" ht="12" customHeight="1" x14ac:dyDescent="0.35">
      <c r="CB119" s="2370"/>
    </row>
    <row r="120" spans="80:80" ht="12" customHeight="1" x14ac:dyDescent="0.35">
      <c r="CB120" s="2370"/>
    </row>
    <row r="121" spans="80:80" ht="12" customHeight="1" x14ac:dyDescent="0.35">
      <c r="CB121" s="2370"/>
    </row>
    <row r="122" spans="80:80" ht="12" customHeight="1" x14ac:dyDescent="0.35">
      <c r="CB122" s="2370"/>
    </row>
    <row r="123" spans="80:80" ht="12" customHeight="1" x14ac:dyDescent="0.35">
      <c r="CB123" s="2370"/>
    </row>
    <row r="124" spans="80:80" ht="12" customHeight="1" x14ac:dyDescent="0.35">
      <c r="CB124" s="2370"/>
    </row>
    <row r="125" spans="80:80" ht="12" customHeight="1" x14ac:dyDescent="0.35">
      <c r="CB125" s="2370"/>
    </row>
    <row r="126" spans="80:80" ht="12" customHeight="1" x14ac:dyDescent="0.35">
      <c r="CB126" s="2370"/>
    </row>
    <row r="127" spans="80:80" ht="12" customHeight="1" x14ac:dyDescent="0.35">
      <c r="CB127" s="2370"/>
    </row>
    <row r="128" spans="80:80" ht="12" customHeight="1" x14ac:dyDescent="0.35">
      <c r="CB128" s="2370"/>
    </row>
    <row r="129" spans="80:80" ht="12" customHeight="1" x14ac:dyDescent="0.35">
      <c r="CB129" s="2370"/>
    </row>
    <row r="130" spans="80:80" ht="12" customHeight="1" x14ac:dyDescent="0.35">
      <c r="CB130" s="2370"/>
    </row>
    <row r="131" spans="80:80" ht="12" customHeight="1" x14ac:dyDescent="0.35">
      <c r="CB131" s="2370"/>
    </row>
    <row r="132" spans="80:80" ht="12" customHeight="1" x14ac:dyDescent="0.35">
      <c r="CB132" s="2370"/>
    </row>
    <row r="133" spans="80:80" ht="12" customHeight="1" x14ac:dyDescent="0.35">
      <c r="CB133" s="2370"/>
    </row>
    <row r="134" spans="80:80" ht="12" customHeight="1" x14ac:dyDescent="0.35">
      <c r="CB134" s="2370"/>
    </row>
    <row r="135" spans="80:80" ht="12" customHeight="1" x14ac:dyDescent="0.35">
      <c r="CB135" s="2370"/>
    </row>
    <row r="136" spans="80:80" ht="12" customHeight="1" x14ac:dyDescent="0.35">
      <c r="CB136" s="2370"/>
    </row>
    <row r="137" spans="80:80" ht="12" customHeight="1" x14ac:dyDescent="0.35">
      <c r="CB137" s="2370"/>
    </row>
    <row r="138" spans="80:80" ht="12" customHeight="1" x14ac:dyDescent="0.35">
      <c r="CB138" s="2370"/>
    </row>
    <row r="139" spans="80:80" ht="12" customHeight="1" x14ac:dyDescent="0.35">
      <c r="CB139" s="2370"/>
    </row>
    <row r="140" spans="80:80" ht="12" customHeight="1" x14ac:dyDescent="0.35">
      <c r="CB140" s="2370"/>
    </row>
  </sheetData>
  <mergeCells count="46">
    <mergeCell ref="BE16:BE21"/>
    <mergeCell ref="BE24:BE27"/>
    <mergeCell ref="BE28:BE31"/>
    <mergeCell ref="BE22:BE23"/>
    <mergeCell ref="BE10:BE15"/>
    <mergeCell ref="A100:A109"/>
    <mergeCell ref="AW9:AZ9"/>
    <mergeCell ref="BA9:BD9"/>
    <mergeCell ref="A10:A19"/>
    <mergeCell ref="A20:A29"/>
    <mergeCell ref="A30:A39"/>
    <mergeCell ref="A40:A49"/>
    <mergeCell ref="A50:A59"/>
    <mergeCell ref="A60:A69"/>
    <mergeCell ref="A70:A79"/>
    <mergeCell ref="A80:A89"/>
    <mergeCell ref="A90:A99"/>
    <mergeCell ref="AS9:AV9"/>
    <mergeCell ref="B8:B9"/>
    <mergeCell ref="C8:C9"/>
    <mergeCell ref="D8:D9"/>
    <mergeCell ref="BG8:BG9"/>
    <mergeCell ref="BH8:BH9"/>
    <mergeCell ref="BP8:BS8"/>
    <mergeCell ref="E9:I9"/>
    <mergeCell ref="J9:M9"/>
    <mergeCell ref="N9:Q9"/>
    <mergeCell ref="R9:U9"/>
    <mergeCell ref="V9:AA9"/>
    <mergeCell ref="AB9:AE9"/>
    <mergeCell ref="AF9:AI9"/>
    <mergeCell ref="BF8:BF9"/>
    <mergeCell ref="AJ9:AN9"/>
    <mergeCell ref="AO9:AR9"/>
    <mergeCell ref="E3:K3"/>
    <mergeCell ref="L3:N3"/>
    <mergeCell ref="A4:D7"/>
    <mergeCell ref="E4:K4"/>
    <mergeCell ref="L4:N4"/>
    <mergeCell ref="E7:BD7"/>
    <mergeCell ref="A3:D3"/>
    <mergeCell ref="A1:D1"/>
    <mergeCell ref="E1:N1"/>
    <mergeCell ref="E2:K2"/>
    <mergeCell ref="L2:N2"/>
    <mergeCell ref="A2:D2"/>
  </mergeCells>
  <conditionalFormatting sqref="E10:BD109">
    <cfRule type="cellIs" dxfId="1719" priority="1" operator="equal">
      <formula>"X"</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A912B-1608-4341-9DB4-ADF0B579A4B7}">
  <sheetPr codeName="Sheet3"/>
  <dimension ref="A1:GG176"/>
  <sheetViews>
    <sheetView tabSelected="1" zoomScale="80" zoomScaleNormal="80" workbookViewId="0">
      <selection activeCell="J33" sqref="J33:P35"/>
    </sheetView>
  </sheetViews>
  <sheetFormatPr defaultColWidth="9" defaultRowHeight="14.5" x14ac:dyDescent="0.35"/>
  <cols>
    <col min="1" max="1" width="3.83203125" style="2374" customWidth="1"/>
    <col min="2" max="2" width="25.5" style="2377" customWidth="1"/>
    <col min="3" max="3" width="2.58203125" style="2455" customWidth="1"/>
    <col min="4" max="4" width="12" style="2377" bestFit="1" customWidth="1"/>
    <col min="5" max="5" width="11" style="2377" bestFit="1" customWidth="1"/>
    <col min="6" max="6" width="9.58203125" style="2377" bestFit="1" customWidth="1"/>
    <col min="7" max="7" width="11.75" style="2377" bestFit="1" customWidth="1"/>
    <col min="8" max="8" width="26.5" style="2377" customWidth="1"/>
    <col min="9" max="9" width="2.5" style="2377" customWidth="1"/>
    <col min="10" max="10" width="28.83203125" style="2377" customWidth="1"/>
    <col min="11" max="11" width="2.5" style="2377" customWidth="1"/>
    <col min="12" max="12" width="9.25" style="2377" customWidth="1"/>
    <col min="13" max="13" width="9" style="2377" bestFit="1" customWidth="1"/>
    <col min="14" max="14" width="10.08203125" style="2377" bestFit="1" customWidth="1"/>
    <col min="15" max="15" width="10.5" style="2377" bestFit="1" customWidth="1"/>
    <col min="16" max="16" width="26" style="2377" customWidth="1"/>
    <col min="17" max="17" width="9" style="2377"/>
    <col min="18" max="18" width="29.83203125" style="2377" bestFit="1" customWidth="1"/>
    <col min="19" max="19" width="9.33203125" style="2377" customWidth="1"/>
    <col min="20" max="20" width="9" style="2377"/>
    <col min="21" max="21" width="8.4140625" style="2377" bestFit="1" customWidth="1"/>
    <col min="22" max="22" width="9" style="2377"/>
    <col min="23" max="23" width="17" style="2377" customWidth="1"/>
    <col min="24" max="24" width="9" style="2377"/>
    <col min="25" max="25" width="11.5" style="2377" bestFit="1" customWidth="1"/>
    <col min="26" max="26" width="8.5" style="2377" bestFit="1" customWidth="1"/>
    <col min="27" max="16384" width="9" style="2377"/>
  </cols>
  <sheetData>
    <row r="1" spans="1:25" ht="15" thickBot="1" x14ac:dyDescent="0.4">
      <c r="B1" s="2375" t="s">
        <v>861</v>
      </c>
      <c r="C1" s="2376"/>
      <c r="R1" s="2712" t="s">
        <v>882</v>
      </c>
      <c r="U1" s="2747" t="s">
        <v>740</v>
      </c>
      <c r="W1" s="2712" t="s">
        <v>883</v>
      </c>
    </row>
    <row r="2" spans="1:25" ht="15.5" x14ac:dyDescent="0.35">
      <c r="B2" s="2960">
        <f ca="1">TODAY()</f>
        <v>45172</v>
      </c>
      <c r="C2" s="2960"/>
      <c r="D2" s="2960"/>
      <c r="E2" s="2960"/>
      <c r="F2" s="2961"/>
      <c r="G2" s="2961"/>
      <c r="H2" s="2961"/>
      <c r="J2" s="2960">
        <f ca="1">B2+1</f>
        <v>45173</v>
      </c>
      <c r="K2" s="2960"/>
      <c r="L2" s="2960"/>
      <c r="M2" s="2960"/>
      <c r="N2" s="2961"/>
      <c r="O2" s="2961"/>
      <c r="P2" s="2961"/>
      <c r="R2" s="2390" t="s">
        <v>77</v>
      </c>
      <c r="S2" s="2378" t="s">
        <v>10</v>
      </c>
      <c r="U2" s="2713"/>
      <c r="W2" s="2390" t="s">
        <v>77</v>
      </c>
      <c r="Y2" s="2856">
        <f ca="1">NOW()</f>
        <v>45172.635116550926</v>
      </c>
    </row>
    <row r="3" spans="1:25" ht="15.5" x14ac:dyDescent="0.35">
      <c r="B3" s="2379" t="s">
        <v>777</v>
      </c>
      <c r="C3" s="2380"/>
      <c r="D3" s="2380" t="s">
        <v>778</v>
      </c>
      <c r="E3" s="2380" t="s">
        <v>779</v>
      </c>
      <c r="F3" s="2380" t="s">
        <v>75</v>
      </c>
      <c r="G3" s="2381" t="s">
        <v>780</v>
      </c>
      <c r="H3" s="2382"/>
      <c r="J3" s="2383" t="s">
        <v>781</v>
      </c>
      <c r="K3" s="2383"/>
      <c r="L3" s="2380" t="s">
        <v>778</v>
      </c>
      <c r="M3" s="2380" t="s">
        <v>779</v>
      </c>
      <c r="N3" s="2380" t="s">
        <v>75</v>
      </c>
      <c r="O3" s="2381" t="s">
        <v>780</v>
      </c>
      <c r="P3" s="2382" t="s">
        <v>58</v>
      </c>
      <c r="Q3" s="2747"/>
      <c r="R3" s="2384" t="s">
        <v>887</v>
      </c>
      <c r="S3" s="2385">
        <v>4.1666666666666664E-2</v>
      </c>
      <c r="T3" s="2377">
        <v>1</v>
      </c>
      <c r="U3" s="2747" t="s">
        <v>827</v>
      </c>
      <c r="W3" s="2384" t="s">
        <v>782</v>
      </c>
    </row>
    <row r="4" spans="1:25" ht="15.5" x14ac:dyDescent="0.35">
      <c r="A4" s="2374">
        <v>1</v>
      </c>
      <c r="B4" s="2386" t="s">
        <v>76</v>
      </c>
      <c r="C4" s="2387"/>
      <c r="D4" s="2388"/>
      <c r="E4" s="2389"/>
      <c r="F4" s="2364" t="str">
        <f>IF(D4="","",IF(E4="","",MOD(E4-D4,1)))</f>
        <v/>
      </c>
      <c r="G4" s="2364"/>
      <c r="H4" s="2364"/>
      <c r="I4" s="2374"/>
      <c r="J4" s="2386" t="s">
        <v>76</v>
      </c>
      <c r="K4" s="2387"/>
      <c r="L4" s="2388"/>
      <c r="M4" s="2389"/>
      <c r="N4" s="2364" t="str">
        <f>IF(L4="","",IF(M4="","",MOD(M4-L4,1)))</f>
        <v/>
      </c>
      <c r="O4" s="2364"/>
      <c r="P4" s="2364"/>
      <c r="R4" s="2390" t="s">
        <v>79</v>
      </c>
      <c r="S4" s="2385">
        <f>S3+TIME(0,15,0)</f>
        <v>5.2083333333333329E-2</v>
      </c>
      <c r="T4" s="2377">
        <f>T3+1</f>
        <v>2</v>
      </c>
      <c r="U4" s="2747" t="s">
        <v>828</v>
      </c>
      <c r="W4" s="2390" t="s">
        <v>79</v>
      </c>
    </row>
    <row r="5" spans="1:25" ht="15.75" customHeight="1" x14ac:dyDescent="0.35">
      <c r="A5" s="2374">
        <v>2</v>
      </c>
      <c r="B5" s="2386" t="s">
        <v>816</v>
      </c>
      <c r="C5" s="2391"/>
      <c r="D5" s="2392"/>
      <c r="E5" s="2392"/>
      <c r="F5" s="2393" t="s">
        <v>817</v>
      </c>
      <c r="G5" s="2394"/>
      <c r="H5" s="2395"/>
      <c r="I5" s="2374"/>
      <c r="J5" s="2386" t="s">
        <v>816</v>
      </c>
      <c r="K5" s="2391"/>
      <c r="L5" s="2392"/>
      <c r="M5" s="2392"/>
      <c r="N5" s="2393" t="s">
        <v>817</v>
      </c>
      <c r="O5" s="2394"/>
      <c r="P5" s="2395"/>
      <c r="R5" s="2384" t="s">
        <v>753</v>
      </c>
      <c r="S5" s="2385">
        <f t="shared" ref="S5:S19" si="0">S4+TIME(0,15,0)</f>
        <v>6.2499999999999993E-2</v>
      </c>
      <c r="T5" s="2377">
        <f t="shared" ref="T5:T68" si="1">T4+1</f>
        <v>3</v>
      </c>
      <c r="W5" s="2384" t="s">
        <v>753</v>
      </c>
      <c r="Y5" s="2856">
        <f ca="1">(S8- Y2)</f>
        <v>-45172.541366550926</v>
      </c>
    </row>
    <row r="6" spans="1:25" ht="15.5" x14ac:dyDescent="0.35">
      <c r="A6" s="2374">
        <v>3</v>
      </c>
      <c r="B6" s="2366" t="s">
        <v>77</v>
      </c>
      <c r="C6" s="2396"/>
      <c r="D6" s="2397" t="str">
        <f>IF(E4="","",E4)</f>
        <v/>
      </c>
      <c r="E6" s="2397"/>
      <c r="F6" s="2398"/>
      <c r="G6" s="2399">
        <v>0.125</v>
      </c>
      <c r="H6" s="2400"/>
      <c r="I6" s="2374"/>
      <c r="J6" s="2366" t="s">
        <v>77</v>
      </c>
      <c r="K6" s="2396"/>
      <c r="L6" s="2397" t="str">
        <f>IF(M4="","",M4)</f>
        <v/>
      </c>
      <c r="M6" s="2397"/>
      <c r="N6" s="2398"/>
      <c r="O6" s="2399">
        <v>0.125</v>
      </c>
      <c r="P6" s="2400"/>
      <c r="R6" s="2390" t="s">
        <v>81</v>
      </c>
      <c r="S6" s="2385">
        <f t="shared" si="0"/>
        <v>7.2916666666666657E-2</v>
      </c>
      <c r="T6" s="2377">
        <f t="shared" si="1"/>
        <v>4</v>
      </c>
      <c r="U6" s="2377" t="s">
        <v>860</v>
      </c>
      <c r="W6" s="2390" t="s">
        <v>81</v>
      </c>
    </row>
    <row r="7" spans="1:25" ht="15.5" x14ac:dyDescent="0.35">
      <c r="A7" s="2374">
        <v>4</v>
      </c>
      <c r="B7" s="2401" t="s">
        <v>78</v>
      </c>
      <c r="C7" s="2402"/>
      <c r="D7" s="2403" t="str">
        <f>IF(D6="","",D6+TIME(0,15,0))</f>
        <v/>
      </c>
      <c r="E7" s="2403" t="str">
        <f>IF(D7="","",D7+TIME(0,15,0))</f>
        <v/>
      </c>
      <c r="F7" s="2404" t="str">
        <f t="shared" ref="F7:F16" si="2">IF(D7="","",IF(E7="","",MOD(E7-D7,1)))</f>
        <v/>
      </c>
      <c r="G7" s="2399" t="str">
        <f t="shared" ref="G7:G16" si="3">IF(D7="","",CONCATENATE(TEXT(D7,"h:mm")&amp;"-"&amp;TEXT(E7,"h:mm")))</f>
        <v/>
      </c>
      <c r="H7" s="2405"/>
      <c r="I7" s="2406"/>
      <c r="J7" s="2401" t="s">
        <v>78</v>
      </c>
      <c r="K7" s="2402"/>
      <c r="L7" s="2403" t="str">
        <f>IF(L6="","",L6+TIME(0,15,0))</f>
        <v/>
      </c>
      <c r="M7" s="2403" t="str">
        <f>IF(L7="","",L7+TIME(0,15,0))</f>
        <v/>
      </c>
      <c r="N7" s="2404" t="str">
        <f t="shared" ref="N7:N16" si="4">IF(L7="","",IF(M7="","",MOD(M7-L7,1)))</f>
        <v/>
      </c>
      <c r="O7" s="2399" t="str">
        <f t="shared" ref="O7:O16" si="5">IF(L7="","",CONCATENATE(TEXT(L7,"h:mm")&amp;"-"&amp;TEXT(M7,"h:mm")))</f>
        <v/>
      </c>
      <c r="P7" s="2405"/>
      <c r="R7" s="2384" t="s">
        <v>83</v>
      </c>
      <c r="S7" s="2385">
        <f t="shared" si="0"/>
        <v>8.3333333333333329E-2</v>
      </c>
      <c r="T7" s="2377">
        <f t="shared" si="1"/>
        <v>5</v>
      </c>
      <c r="U7" s="2377" t="s">
        <v>858</v>
      </c>
      <c r="W7" s="2384" t="s">
        <v>880</v>
      </c>
    </row>
    <row r="8" spans="1:25" ht="15.5" x14ac:dyDescent="0.35">
      <c r="A8" s="2374">
        <v>5</v>
      </c>
      <c r="B8" s="2401" t="s">
        <v>889</v>
      </c>
      <c r="C8" s="2402"/>
      <c r="D8" s="2403" t="str">
        <f t="shared" ref="D8:D15" si="6">IF(B7="","",E7)</f>
        <v/>
      </c>
      <c r="E8" s="2403" t="str">
        <f>IF(D8="","",D8+TIME(0,15,0))</f>
        <v/>
      </c>
      <c r="F8" s="2404" t="str">
        <f t="shared" si="2"/>
        <v/>
      </c>
      <c r="G8" s="2399" t="str">
        <f t="shared" si="3"/>
        <v/>
      </c>
      <c r="H8" s="2405"/>
      <c r="I8" s="2406"/>
      <c r="J8" s="2401" t="s">
        <v>889</v>
      </c>
      <c r="K8" s="2402"/>
      <c r="L8" s="2403" t="str">
        <f t="shared" ref="L8:L15" si="7">IF(J7="","",M7)</f>
        <v/>
      </c>
      <c r="M8" s="2403" t="str">
        <f>IF(L8="","",L8+TIME(0,15,0))</f>
        <v/>
      </c>
      <c r="N8" s="2404" t="str">
        <f t="shared" si="4"/>
        <v/>
      </c>
      <c r="O8" s="2399" t="str">
        <f t="shared" si="5"/>
        <v/>
      </c>
      <c r="P8" s="2405"/>
      <c r="R8" s="2390" t="s">
        <v>880</v>
      </c>
      <c r="S8" s="2385">
        <f>S7+TIME(0,15,0)</f>
        <v>9.375E-2</v>
      </c>
      <c r="T8" s="2377">
        <f>T7+1</f>
        <v>6</v>
      </c>
      <c r="U8" s="2377" t="s">
        <v>859</v>
      </c>
      <c r="W8" s="2390" t="s">
        <v>82</v>
      </c>
    </row>
    <row r="9" spans="1:25" ht="15.5" x14ac:dyDescent="0.35">
      <c r="A9" s="2374">
        <v>6</v>
      </c>
      <c r="B9" s="2401" t="s">
        <v>880</v>
      </c>
      <c r="C9" s="2402"/>
      <c r="D9" s="2403" t="str">
        <f t="shared" si="6"/>
        <v/>
      </c>
      <c r="E9" s="2403" t="str">
        <f>IF(D9="","",D9+TIME(0,30,0))</f>
        <v/>
      </c>
      <c r="F9" s="2404" t="str">
        <f t="shared" si="2"/>
        <v/>
      </c>
      <c r="G9" s="2399" t="str">
        <f t="shared" si="3"/>
        <v/>
      </c>
      <c r="H9" s="2416">
        <f>SUM(F7:F9)</f>
        <v>0</v>
      </c>
      <c r="I9" s="2406"/>
      <c r="J9" s="2401" t="s">
        <v>880</v>
      </c>
      <c r="K9" s="2402"/>
      <c r="L9" s="2403" t="str">
        <f t="shared" si="7"/>
        <v/>
      </c>
      <c r="M9" s="2403" t="str">
        <f>IF(L9="","",L9+TIME(0,30,0))</f>
        <v/>
      </c>
      <c r="N9" s="2404" t="str">
        <f t="shared" si="4"/>
        <v/>
      </c>
      <c r="O9" s="2399" t="str">
        <f t="shared" si="5"/>
        <v/>
      </c>
      <c r="P9" s="2416">
        <f>SUM(N7:N9)</f>
        <v>0</v>
      </c>
      <c r="R9" s="2384" t="s">
        <v>80</v>
      </c>
      <c r="S9" s="2385">
        <f t="shared" si="0"/>
        <v>0.10416666666666667</v>
      </c>
      <c r="T9" s="2377">
        <f t="shared" si="1"/>
        <v>7</v>
      </c>
      <c r="W9" s="2384" t="s">
        <v>84</v>
      </c>
    </row>
    <row r="10" spans="1:25" ht="15.75" customHeight="1" x14ac:dyDescent="0.35">
      <c r="A10" s="2374">
        <v>7</v>
      </c>
      <c r="B10" s="2407" t="s">
        <v>81</v>
      </c>
      <c r="C10" s="2408"/>
      <c r="D10" s="2409" t="str">
        <f t="shared" si="6"/>
        <v/>
      </c>
      <c r="E10" s="2409" t="str">
        <f>IF(D10="","",D10+TIME(0,30,0))</f>
        <v/>
      </c>
      <c r="F10" s="2410" t="str">
        <f t="shared" si="2"/>
        <v/>
      </c>
      <c r="G10" s="2411" t="str">
        <f t="shared" si="3"/>
        <v/>
      </c>
      <c r="H10" s="2412"/>
      <c r="I10" s="2406"/>
      <c r="J10" s="2407" t="s">
        <v>81</v>
      </c>
      <c r="K10" s="2408"/>
      <c r="L10" s="2409" t="str">
        <f t="shared" si="7"/>
        <v/>
      </c>
      <c r="M10" s="2409" t="str">
        <f>IF(L10="","",L10+TIME(0,30,0))</f>
        <v/>
      </c>
      <c r="N10" s="2410" t="str">
        <f t="shared" si="4"/>
        <v/>
      </c>
      <c r="O10" s="2411" t="str">
        <f t="shared" si="5"/>
        <v/>
      </c>
      <c r="P10" s="2412"/>
      <c r="R10" s="2390" t="s">
        <v>82</v>
      </c>
      <c r="S10" s="2385">
        <f t="shared" si="0"/>
        <v>0.11458333333333334</v>
      </c>
      <c r="T10" s="2377">
        <f t="shared" si="1"/>
        <v>8</v>
      </c>
      <c r="W10" s="2390" t="s">
        <v>785</v>
      </c>
    </row>
    <row r="11" spans="1:25" ht="15.5" x14ac:dyDescent="0.35">
      <c r="A11" s="2374">
        <v>8</v>
      </c>
      <c r="B11" s="2407" t="s">
        <v>83</v>
      </c>
      <c r="C11" s="2408"/>
      <c r="D11" s="2409" t="str">
        <f t="shared" si="6"/>
        <v/>
      </c>
      <c r="E11" s="2409" t="str">
        <f>IF(D11="","",D11+TIME(0,30,0))</f>
        <v/>
      </c>
      <c r="F11" s="2410" t="str">
        <f t="shared" si="2"/>
        <v/>
      </c>
      <c r="G11" s="2411" t="str">
        <f t="shared" si="3"/>
        <v/>
      </c>
      <c r="H11" s="2413"/>
      <c r="I11" s="2406"/>
      <c r="J11" s="2407" t="s">
        <v>83</v>
      </c>
      <c r="K11" s="2408"/>
      <c r="L11" s="2409" t="str">
        <f t="shared" si="7"/>
        <v/>
      </c>
      <c r="M11" s="2409" t="str">
        <f>IF(L11="","",L11+TIME(0,30,0))</f>
        <v/>
      </c>
      <c r="N11" s="2410" t="str">
        <f t="shared" si="4"/>
        <v/>
      </c>
      <c r="O11" s="2411" t="str">
        <f t="shared" si="5"/>
        <v/>
      </c>
      <c r="P11" s="2413"/>
      <c r="R11" s="2384" t="s">
        <v>84</v>
      </c>
      <c r="S11" s="2385">
        <f t="shared" si="0"/>
        <v>0.125</v>
      </c>
      <c r="T11" s="2377">
        <f t="shared" si="1"/>
        <v>9</v>
      </c>
      <c r="W11" s="2384" t="s">
        <v>742</v>
      </c>
    </row>
    <row r="12" spans="1:25" ht="15.5" x14ac:dyDescent="0.35">
      <c r="A12" s="2374">
        <v>9</v>
      </c>
      <c r="B12" s="2407" t="s">
        <v>80</v>
      </c>
      <c r="C12" s="2408"/>
      <c r="D12" s="2409" t="str">
        <f t="shared" si="6"/>
        <v/>
      </c>
      <c r="E12" s="2409" t="str">
        <f>IF(E11="","",E11+TIME(1,0,0))</f>
        <v/>
      </c>
      <c r="F12" s="2410" t="str">
        <f t="shared" si="2"/>
        <v/>
      </c>
      <c r="G12" s="2411" t="str">
        <f t="shared" si="3"/>
        <v/>
      </c>
      <c r="H12" s="2414">
        <f>SUM(F10:F12)</f>
        <v>0</v>
      </c>
      <c r="I12" s="2406"/>
      <c r="J12" s="2407" t="s">
        <v>80</v>
      </c>
      <c r="K12" s="2408"/>
      <c r="L12" s="2409" t="str">
        <f t="shared" si="7"/>
        <v/>
      </c>
      <c r="M12" s="2409" t="str">
        <f>IF(M11="","",M11+TIME(1,0,0))</f>
        <v/>
      </c>
      <c r="N12" s="2410" t="str">
        <f t="shared" si="4"/>
        <v/>
      </c>
      <c r="O12" s="2411" t="str">
        <f t="shared" si="5"/>
        <v/>
      </c>
      <c r="P12" s="2414">
        <f>SUM(N10:N12)</f>
        <v>0</v>
      </c>
      <c r="R12" s="2390" t="s">
        <v>783</v>
      </c>
      <c r="S12" s="2385">
        <f t="shared" si="0"/>
        <v>0.13541666666666666</v>
      </c>
      <c r="T12" s="2377">
        <f t="shared" si="1"/>
        <v>10</v>
      </c>
      <c r="W12" s="2851" t="s">
        <v>793</v>
      </c>
    </row>
    <row r="13" spans="1:25" ht="15.75" customHeight="1" x14ac:dyDescent="0.35">
      <c r="A13" s="2374">
        <v>10</v>
      </c>
      <c r="B13" s="2401" t="s">
        <v>753</v>
      </c>
      <c r="C13" s="2402"/>
      <c r="D13" s="2403" t="str">
        <f t="shared" si="6"/>
        <v/>
      </c>
      <c r="E13" s="2403" t="str">
        <f>IF(D13="","",D13+TIME(0,30,0))</f>
        <v/>
      </c>
      <c r="F13" s="2415" t="str">
        <f t="shared" si="2"/>
        <v/>
      </c>
      <c r="G13" s="2399" t="str">
        <f t="shared" si="3"/>
        <v/>
      </c>
      <c r="H13" s="2416"/>
      <c r="I13" s="2406"/>
      <c r="J13" s="2401" t="s">
        <v>753</v>
      </c>
      <c r="K13" s="2402"/>
      <c r="L13" s="2403" t="str">
        <f t="shared" si="7"/>
        <v/>
      </c>
      <c r="M13" s="2403" t="str">
        <f>IF(L13="","",L13+TIME(0,30,0))</f>
        <v/>
      </c>
      <c r="N13" s="2415" t="str">
        <f t="shared" si="4"/>
        <v/>
      </c>
      <c r="O13" s="2399" t="str">
        <f t="shared" si="5"/>
        <v/>
      </c>
      <c r="P13" s="2416"/>
      <c r="R13" s="2384" t="s">
        <v>743</v>
      </c>
      <c r="S13" s="2385">
        <f t="shared" si="0"/>
        <v>0.14583333333333331</v>
      </c>
      <c r="T13" s="2377">
        <f t="shared" si="1"/>
        <v>11</v>
      </c>
    </row>
    <row r="14" spans="1:25" ht="15.5" x14ac:dyDescent="0.35">
      <c r="A14" s="2374">
        <v>11</v>
      </c>
      <c r="B14" s="2401" t="s">
        <v>79</v>
      </c>
      <c r="C14" s="2402"/>
      <c r="D14" s="2403" t="str">
        <f t="shared" si="6"/>
        <v/>
      </c>
      <c r="E14" s="2403" t="str">
        <f>IF(D14="","",D14+TIME(0,15,0))</f>
        <v/>
      </c>
      <c r="F14" s="2415" t="str">
        <f t="shared" si="2"/>
        <v/>
      </c>
      <c r="G14" s="2399" t="str">
        <f t="shared" si="3"/>
        <v/>
      </c>
      <c r="H14" s="2416"/>
      <c r="I14" s="2406"/>
      <c r="J14" s="2401" t="s">
        <v>79</v>
      </c>
      <c r="K14" s="2402"/>
      <c r="L14" s="2403" t="str">
        <f t="shared" si="7"/>
        <v/>
      </c>
      <c r="M14" s="2403" t="str">
        <f>IF(L14="","",L14+TIME(0,15,0))</f>
        <v/>
      </c>
      <c r="N14" s="2415" t="str">
        <f t="shared" si="4"/>
        <v/>
      </c>
      <c r="O14" s="2399" t="str">
        <f t="shared" si="5"/>
        <v/>
      </c>
      <c r="P14" s="2416"/>
      <c r="R14" s="2390" t="s">
        <v>820</v>
      </c>
      <c r="S14" s="2385">
        <f t="shared" si="0"/>
        <v>0.15624999999999997</v>
      </c>
      <c r="T14" s="2377">
        <f t="shared" si="1"/>
        <v>12</v>
      </c>
    </row>
    <row r="15" spans="1:25" ht="15.5" x14ac:dyDescent="0.35">
      <c r="A15" s="2374">
        <v>12</v>
      </c>
      <c r="B15" s="2401" t="s">
        <v>82</v>
      </c>
      <c r="C15" s="2402"/>
      <c r="D15" s="2403" t="str">
        <f t="shared" si="6"/>
        <v/>
      </c>
      <c r="E15" s="2403" t="str">
        <f>IF(D15="","",D15+TIME(0,15,0))</f>
        <v/>
      </c>
      <c r="F15" s="2404" t="str">
        <f t="shared" si="2"/>
        <v/>
      </c>
      <c r="G15" s="2399" t="str">
        <f t="shared" si="3"/>
        <v/>
      </c>
      <c r="H15" s="2416">
        <f>SUM(F13:F15)</f>
        <v>0</v>
      </c>
      <c r="I15" s="2406"/>
      <c r="J15" s="2401" t="s">
        <v>82</v>
      </c>
      <c r="K15" s="2402"/>
      <c r="L15" s="2403" t="str">
        <f t="shared" si="7"/>
        <v/>
      </c>
      <c r="M15" s="2403" t="str">
        <f>IF(L15="","",L15+TIME(0,15,0))</f>
        <v/>
      </c>
      <c r="N15" s="2404" t="str">
        <f t="shared" si="4"/>
        <v/>
      </c>
      <c r="O15" s="2399" t="str">
        <f t="shared" si="5"/>
        <v/>
      </c>
      <c r="P15" s="2416">
        <f>SUM(N13:N15)</f>
        <v>0</v>
      </c>
      <c r="R15" s="2384" t="s">
        <v>784</v>
      </c>
      <c r="S15" s="2385">
        <f t="shared" si="0"/>
        <v>0.16666666666666663</v>
      </c>
      <c r="T15" s="2377">
        <f t="shared" si="1"/>
        <v>13</v>
      </c>
    </row>
    <row r="16" spans="1:25" ht="15.75" customHeight="1" x14ac:dyDescent="0.35">
      <c r="A16" s="2374">
        <v>14</v>
      </c>
      <c r="B16" s="2417" t="s">
        <v>820</v>
      </c>
      <c r="C16" s="2418"/>
      <c r="D16" s="2388" t="str">
        <f>IF(B15="","",E15)</f>
        <v/>
      </c>
      <c r="E16" s="2388" t="str">
        <f>IF(D16="","",D16+TIME(0,45,0))</f>
        <v/>
      </c>
      <c r="F16" s="2419" t="str">
        <f t="shared" si="2"/>
        <v/>
      </c>
      <c r="G16" s="2420" t="str">
        <f t="shared" si="3"/>
        <v/>
      </c>
      <c r="H16" s="2421"/>
      <c r="I16" s="2406"/>
      <c r="J16" s="2417" t="s">
        <v>820</v>
      </c>
      <c r="K16" s="2418"/>
      <c r="L16" s="2388" t="str">
        <f>IF(J15="","",M15)</f>
        <v/>
      </c>
      <c r="M16" s="2388" t="str">
        <f>IF(L16="","",L16+TIME(0,45,0))</f>
        <v/>
      </c>
      <c r="N16" s="2419" t="str">
        <f t="shared" si="4"/>
        <v/>
      </c>
      <c r="O16" s="2420" t="str">
        <f t="shared" si="5"/>
        <v/>
      </c>
      <c r="P16" s="2421"/>
      <c r="R16" s="2390" t="s">
        <v>785</v>
      </c>
      <c r="S16" s="2385">
        <f t="shared" si="0"/>
        <v>0.17708333333333329</v>
      </c>
      <c r="T16" s="2377">
        <f t="shared" si="1"/>
        <v>14</v>
      </c>
    </row>
    <row r="17" spans="1:20" ht="15.5" x14ac:dyDescent="0.35">
      <c r="A17" s="2374">
        <v>15</v>
      </c>
      <c r="B17" s="2735" t="s">
        <v>85</v>
      </c>
      <c r="C17" s="2736"/>
      <c r="D17" s="2737"/>
      <c r="E17" s="2737"/>
      <c r="F17" s="2738">
        <f>SUM(F7:F15)</f>
        <v>0</v>
      </c>
      <c r="G17" s="2739" t="str">
        <f>E15</f>
        <v/>
      </c>
      <c r="H17" s="2739" t="str">
        <f>G17</f>
        <v/>
      </c>
      <c r="I17" s="2374"/>
      <c r="J17" s="2735" t="s">
        <v>85</v>
      </c>
      <c r="K17" s="2736"/>
      <c r="L17" s="2737"/>
      <c r="M17" s="2737"/>
      <c r="N17" s="2738">
        <f>SUM(N7:N15)</f>
        <v>0</v>
      </c>
      <c r="O17" s="2739" t="str">
        <f>M15</f>
        <v/>
      </c>
      <c r="P17" s="2739" t="str">
        <f>O17</f>
        <v/>
      </c>
      <c r="R17" s="2384" t="s">
        <v>786</v>
      </c>
      <c r="S17" s="2385">
        <f>S16+TIME(0,15,0)</f>
        <v>0.18749999999999994</v>
      </c>
      <c r="T17" s="2377">
        <f t="shared" si="1"/>
        <v>15</v>
      </c>
    </row>
    <row r="18" spans="1:20" ht="15.75" customHeight="1" x14ac:dyDescent="0.35">
      <c r="A18" s="2374">
        <v>16</v>
      </c>
      <c r="B18" s="2423" t="s">
        <v>881</v>
      </c>
      <c r="C18" s="2424"/>
      <c r="D18" s="2425"/>
      <c r="E18" s="2425"/>
      <c r="F18" s="2426" t="str">
        <f>IF(D18="","",IF(E18="","",MOD(E18-D18,1)))</f>
        <v/>
      </c>
      <c r="G18" s="2427"/>
      <c r="H18" s="2428"/>
      <c r="I18" s="2374"/>
      <c r="J18" s="2423" t="s">
        <v>881</v>
      </c>
      <c r="K18" s="2424"/>
      <c r="L18" s="2425"/>
      <c r="M18" s="2425"/>
      <c r="N18" s="2426" t="str">
        <f>IF(L18="","",IF(M18="","",MOD(M18-L18,1)))</f>
        <v/>
      </c>
      <c r="O18" s="2427"/>
      <c r="P18" s="2428"/>
      <c r="R18" s="2390" t="s">
        <v>744</v>
      </c>
      <c r="S18" s="2385">
        <f t="shared" si="0"/>
        <v>0.1979166666666666</v>
      </c>
      <c r="T18" s="2377">
        <f t="shared" si="1"/>
        <v>16</v>
      </c>
    </row>
    <row r="19" spans="1:20" ht="15.75" customHeight="1" x14ac:dyDescent="0.35">
      <c r="A19" s="2374">
        <v>17</v>
      </c>
      <c r="B19" s="2423" t="s">
        <v>787</v>
      </c>
      <c r="C19" s="2424"/>
      <c r="D19" s="2425"/>
      <c r="E19" s="2425"/>
      <c r="F19" s="2426" t="str">
        <f>IF(D19="","",IF(E19="","",MOD(E19-D19,1)))</f>
        <v/>
      </c>
      <c r="G19" s="2429"/>
      <c r="H19" s="2430"/>
      <c r="I19" s="2374"/>
      <c r="J19" s="2423" t="s">
        <v>787</v>
      </c>
      <c r="K19" s="2424"/>
      <c r="L19" s="2425"/>
      <c r="M19" s="2425"/>
      <c r="N19" s="2426" t="str">
        <f>IF(L19="","",IF(M19="","",MOD(M19-L19,1)))</f>
        <v/>
      </c>
      <c r="O19" s="2429"/>
      <c r="P19" s="2430"/>
      <c r="R19" s="2384" t="s">
        <v>788</v>
      </c>
      <c r="S19" s="2385">
        <f t="shared" si="0"/>
        <v>0.20833333333333326</v>
      </c>
      <c r="T19" s="2377">
        <f t="shared" si="1"/>
        <v>17</v>
      </c>
    </row>
    <row r="20" spans="1:20" ht="15.5" x14ac:dyDescent="0.35">
      <c r="A20" s="2374">
        <v>18</v>
      </c>
      <c r="B20" s="2423" t="s">
        <v>789</v>
      </c>
      <c r="C20" s="2424"/>
      <c r="D20" s="2425"/>
      <c r="E20" s="2425"/>
      <c r="F20" s="2426" t="str">
        <f>IF(D20="","",IF(E20="","",MOD(E20-D20,1)))</f>
        <v/>
      </c>
      <c r="G20" s="2429"/>
      <c r="H20" s="2431"/>
      <c r="I20" s="2374"/>
      <c r="J20" s="2423" t="s">
        <v>789</v>
      </c>
      <c r="K20" s="2424"/>
      <c r="L20" s="2425"/>
      <c r="M20" s="2425"/>
      <c r="N20" s="2426" t="str">
        <f>IF(L20="","",IF(M20="","",MOD(M20-L20,1)))</f>
        <v/>
      </c>
      <c r="O20" s="2429"/>
      <c r="P20" s="2431"/>
      <c r="R20" s="2390" t="s">
        <v>790</v>
      </c>
      <c r="S20" s="2385">
        <f>S19+TIME(0,15,0)</f>
        <v>0.21874999999999992</v>
      </c>
      <c r="T20" s="2377">
        <f t="shared" si="1"/>
        <v>18</v>
      </c>
    </row>
    <row r="21" spans="1:20" ht="15.5" x14ac:dyDescent="0.35">
      <c r="A21" s="2374">
        <v>19</v>
      </c>
      <c r="B21" s="2432" t="s">
        <v>758</v>
      </c>
      <c r="C21" s="2422"/>
      <c r="D21" s="2433"/>
      <c r="E21" s="2433"/>
      <c r="F21" s="2434" t="str">
        <f>IF(D21="","",IF(E21="","",MOD(E21-D21,1)))</f>
        <v/>
      </c>
      <c r="G21" s="2435">
        <f>SUM(F18:F21)</f>
        <v>0</v>
      </c>
      <c r="H21" s="2436"/>
      <c r="I21" s="2374"/>
      <c r="J21" s="2432" t="s">
        <v>758</v>
      </c>
      <c r="K21" s="2422"/>
      <c r="L21" s="2433"/>
      <c r="M21" s="2433"/>
      <c r="N21" s="2434" t="str">
        <f>IF(L21="","",IF(M21="","",MOD(M21-L21,1)))</f>
        <v/>
      </c>
      <c r="O21" s="2435">
        <f>SUM(N18:N21)</f>
        <v>0</v>
      </c>
      <c r="P21" s="2436"/>
      <c r="R21" s="2384" t="s">
        <v>791</v>
      </c>
      <c r="S21" s="2385">
        <f t="shared" ref="S21:S87" si="8">S20+TIME(0,15,0)</f>
        <v>0.22916666666666657</v>
      </c>
      <c r="T21" s="2377">
        <f t="shared" si="1"/>
        <v>19</v>
      </c>
    </row>
    <row r="22" spans="1:20" ht="15.5" x14ac:dyDescent="0.35">
      <c r="A22" s="2374">
        <v>20</v>
      </c>
      <c r="B22" s="2729" t="s">
        <v>819</v>
      </c>
      <c r="C22" s="2730"/>
      <c r="D22" s="2731"/>
      <c r="E22" s="2731"/>
      <c r="F22" s="2732"/>
      <c r="G22" s="2733"/>
      <c r="H22" s="2734"/>
      <c r="I22" s="2374"/>
      <c r="J22" s="2729" t="s">
        <v>819</v>
      </c>
      <c r="K22" s="2730"/>
      <c r="L22" s="2731"/>
      <c r="M22" s="2731"/>
      <c r="N22" s="2732"/>
      <c r="O22" s="2733"/>
      <c r="P22" s="2734"/>
      <c r="R22" s="2390" t="s">
        <v>792</v>
      </c>
      <c r="S22" s="2385">
        <f t="shared" si="8"/>
        <v>0.23958333333333323</v>
      </c>
      <c r="T22" s="2377">
        <f t="shared" si="1"/>
        <v>20</v>
      </c>
    </row>
    <row r="23" spans="1:20" ht="15.5" x14ac:dyDescent="0.35">
      <c r="A23" s="2374">
        <v>21</v>
      </c>
      <c r="B23" s="2714" t="s">
        <v>78</v>
      </c>
      <c r="C23" s="2715"/>
      <c r="D23" s="2716" t="str">
        <f>IF(E16="","",E16+TIME(0,0,0))</f>
        <v/>
      </c>
      <c r="E23" s="2716" t="str">
        <f>IF(D23="","",D23+TIME(0,15,0))</f>
        <v/>
      </c>
      <c r="F23" s="2717" t="str">
        <f t="shared" ref="F23:F24" si="9">IF(D23="","",IF(E23="","",MOD(E23-D23,1)))</f>
        <v/>
      </c>
      <c r="G23" s="2718" t="str">
        <f t="shared" ref="G23:G24" si="10">IF(D23="","",CONCATENATE(TEXT(D23,"h:mm")&amp;"-"&amp;TEXT(E23,"h:mm")))</f>
        <v/>
      </c>
      <c r="H23" s="2719"/>
      <c r="I23" s="2374"/>
      <c r="J23" s="2714" t="s">
        <v>78</v>
      </c>
      <c r="K23" s="2715"/>
      <c r="L23" s="2716" t="str">
        <f>IF(M16="","",M16+TIME(0,0,0))</f>
        <v/>
      </c>
      <c r="M23" s="2716" t="str">
        <f>IF(L23="","",L23+TIME(0,15,0))</f>
        <v/>
      </c>
      <c r="N23" s="2717" t="str">
        <f t="shared" ref="N23:N24" si="11">IF(L23="","",IF(M23="","",MOD(M23-L23,1)))</f>
        <v/>
      </c>
      <c r="O23" s="2718" t="str">
        <f t="shared" ref="O23:O24" si="12">IF(L23="","",CONCATENATE(TEXT(L23,"h:mm")&amp;"-"&amp;TEXT(M23,"h:mm")))</f>
        <v/>
      </c>
      <c r="P23" s="2719"/>
      <c r="R23" s="2384" t="s">
        <v>742</v>
      </c>
      <c r="S23" s="2385">
        <f t="shared" si="8"/>
        <v>0.24999999999999989</v>
      </c>
      <c r="T23" s="2377">
        <f t="shared" si="1"/>
        <v>21</v>
      </c>
    </row>
    <row r="24" spans="1:20" ht="15.5" x14ac:dyDescent="0.35">
      <c r="A24" s="2374">
        <v>22</v>
      </c>
      <c r="B24" s="2847" t="s">
        <v>878</v>
      </c>
      <c r="C24" s="2848"/>
      <c r="D24" s="2716"/>
      <c r="E24" s="2716"/>
      <c r="F24" s="2717" t="str">
        <f t="shared" si="9"/>
        <v/>
      </c>
      <c r="G24" s="2849" t="str">
        <f t="shared" si="10"/>
        <v/>
      </c>
      <c r="H24" s="2850"/>
      <c r="I24" s="2374"/>
      <c r="J24" s="2847" t="s">
        <v>878</v>
      </c>
      <c r="K24" s="2848"/>
      <c r="L24" s="2716"/>
      <c r="M24" s="2716"/>
      <c r="N24" s="2717" t="str">
        <f t="shared" si="11"/>
        <v/>
      </c>
      <c r="O24" s="2849" t="str">
        <f t="shared" si="12"/>
        <v/>
      </c>
      <c r="P24" s="2850"/>
      <c r="R24" s="2390" t="s">
        <v>793</v>
      </c>
      <c r="S24" s="2385">
        <f t="shared" si="8"/>
        <v>0.26041666666666657</v>
      </c>
      <c r="T24" s="2377">
        <f t="shared" si="1"/>
        <v>22</v>
      </c>
    </row>
    <row r="25" spans="1:20" ht="15.5" x14ac:dyDescent="0.35">
      <c r="A25" s="2374">
        <v>23</v>
      </c>
      <c r="B25" s="2720" t="s">
        <v>879</v>
      </c>
      <c r="C25" s="2721"/>
      <c r="D25" s="2409"/>
      <c r="E25" s="2409"/>
      <c r="F25" s="2410" t="str">
        <f>IF(D25="","",IF(E25="","",MOD(E25-D25,1)))</f>
        <v/>
      </c>
      <c r="G25" s="2411" t="str">
        <f>IF(D25="","",CONCATENATE(TEXT(D25,"h:mm")&amp;"-"&amp;TEXT(E25,"h:mm")))</f>
        <v/>
      </c>
      <c r="H25" s="2414"/>
      <c r="I25" s="2374"/>
      <c r="J25" s="2720" t="s">
        <v>879</v>
      </c>
      <c r="K25" s="2721"/>
      <c r="L25" s="2409"/>
      <c r="M25" s="2409"/>
      <c r="N25" s="2410" t="str">
        <f>IF(L25="","",IF(M25="","",MOD(M25-L25,1)))</f>
        <v/>
      </c>
      <c r="O25" s="2411" t="str">
        <f>IF(L25="","",CONCATENATE(TEXT(L25,"h:mm")&amp;"-"&amp;TEXT(M25,"h:mm")))</f>
        <v/>
      </c>
      <c r="P25" s="2414"/>
      <c r="R25" s="2384" t="s">
        <v>856</v>
      </c>
      <c r="S25" s="2385">
        <f t="shared" si="8"/>
        <v>0.27083333333333326</v>
      </c>
      <c r="T25" s="2377">
        <f t="shared" si="1"/>
        <v>23</v>
      </c>
    </row>
    <row r="26" spans="1:20" ht="15.5" x14ac:dyDescent="0.35">
      <c r="A26" s="2374">
        <v>24</v>
      </c>
      <c r="B26" s="2720"/>
      <c r="C26" s="2721"/>
      <c r="D26" s="2857"/>
      <c r="E26" s="2409"/>
      <c r="F26" s="2410" t="str">
        <f t="shared" ref="F26:F31" si="13">IF(D26="","",IF(E26="","",MOD(E26-D26,1)))</f>
        <v/>
      </c>
      <c r="G26" s="2411" t="str">
        <f t="shared" ref="G26:G28" si="14">IF(D26="","",CONCATENATE(TEXT(D26,"h:mm")&amp;"-"&amp;TEXT(E26,"h:mm")))</f>
        <v/>
      </c>
      <c r="H26" s="2414"/>
      <c r="I26" s="2374"/>
      <c r="J26" s="2720"/>
      <c r="K26" s="2721"/>
      <c r="L26" s="2857"/>
      <c r="M26" s="2409"/>
      <c r="N26" s="2410" t="str">
        <f t="shared" ref="N26:N31" si="15">IF(L26="","",IF(M26="","",MOD(M26-L26,1)))</f>
        <v/>
      </c>
      <c r="O26" s="2411" t="str">
        <f t="shared" ref="O26:O28" si="16">IF(L26="","",CONCATENATE(TEXT(L26,"h:mm")&amp;"-"&amp;TEXT(M26,"h:mm")))</f>
        <v/>
      </c>
      <c r="P26" s="2414"/>
      <c r="R26" s="2390" t="s">
        <v>889</v>
      </c>
      <c r="S26" s="2385">
        <f t="shared" si="8"/>
        <v>0.28124999999999994</v>
      </c>
      <c r="T26" s="2377">
        <f t="shared" si="1"/>
        <v>24</v>
      </c>
    </row>
    <row r="27" spans="1:20" ht="15.5" x14ac:dyDescent="0.35">
      <c r="A27" s="2374">
        <v>25</v>
      </c>
      <c r="B27" s="2720"/>
      <c r="C27" s="2721"/>
      <c r="D27" s="2409" t="str">
        <f>IF(B27="","",E26)</f>
        <v/>
      </c>
      <c r="E27" s="2722" t="str">
        <f>IF(D27="","",D27+TIME(0,15,0))</f>
        <v/>
      </c>
      <c r="F27" s="2410" t="str">
        <f t="shared" si="13"/>
        <v/>
      </c>
      <c r="G27" s="2411" t="str">
        <f t="shared" si="14"/>
        <v/>
      </c>
      <c r="H27" s="2414"/>
      <c r="I27" s="2374"/>
      <c r="J27" s="2720"/>
      <c r="K27" s="2721"/>
      <c r="L27" s="2409" t="str">
        <f>IF(J27="","",M26)</f>
        <v/>
      </c>
      <c r="M27" s="2722" t="str">
        <f>IF(L27="","",L27+TIME(0,15,0))</f>
        <v/>
      </c>
      <c r="N27" s="2410" t="str">
        <f t="shared" si="15"/>
        <v/>
      </c>
      <c r="O27" s="2411" t="str">
        <f t="shared" si="16"/>
        <v/>
      </c>
      <c r="P27" s="2414"/>
      <c r="R27" s="2384"/>
      <c r="S27" s="2385">
        <f t="shared" si="8"/>
        <v>0.29166666666666663</v>
      </c>
      <c r="T27" s="2377">
        <f t="shared" si="1"/>
        <v>25</v>
      </c>
    </row>
    <row r="28" spans="1:20" ht="15.5" x14ac:dyDescent="0.35">
      <c r="A28" s="2374">
        <v>26</v>
      </c>
      <c r="B28" s="2720"/>
      <c r="C28" s="2721"/>
      <c r="D28" s="2409" t="str">
        <f>IF(B28="","",E27)</f>
        <v/>
      </c>
      <c r="E28" s="2722" t="str">
        <f>IF(D28="","",D28+TIME(0,15,0))</f>
        <v/>
      </c>
      <c r="F28" s="2410" t="str">
        <f t="shared" si="13"/>
        <v/>
      </c>
      <c r="G28" s="2411" t="str">
        <f t="shared" si="14"/>
        <v/>
      </c>
      <c r="H28" s="2414">
        <f>SUM(F24:F28)</f>
        <v>0</v>
      </c>
      <c r="I28" s="2374"/>
      <c r="J28" s="2720"/>
      <c r="K28" s="2721"/>
      <c r="L28" s="2409" t="str">
        <f>IF(J28="","",M27)</f>
        <v/>
      </c>
      <c r="M28" s="2722" t="str">
        <f>IF(L28="","",L28+TIME(0,15,0))</f>
        <v/>
      </c>
      <c r="N28" s="2410" t="str">
        <f t="shared" si="15"/>
        <v/>
      </c>
      <c r="O28" s="2411" t="str">
        <f t="shared" si="16"/>
        <v/>
      </c>
      <c r="P28" s="2414">
        <f>SUM(N24:N28)</f>
        <v>0</v>
      </c>
      <c r="R28" s="2390"/>
      <c r="S28" s="2385">
        <f t="shared" si="8"/>
        <v>0.30208333333333331</v>
      </c>
      <c r="T28" s="2377">
        <f t="shared" si="1"/>
        <v>26</v>
      </c>
    </row>
    <row r="29" spans="1:20" ht="15.5" x14ac:dyDescent="0.35">
      <c r="A29" s="2374">
        <v>27</v>
      </c>
      <c r="B29" s="2423" t="s">
        <v>787</v>
      </c>
      <c r="C29" s="2424"/>
      <c r="D29" s="2723"/>
      <c r="E29" s="2724"/>
      <c r="F29" s="2725" t="str">
        <f t="shared" si="13"/>
        <v/>
      </c>
      <c r="G29" s="2726"/>
      <c r="H29" s="2727"/>
      <c r="I29" s="2374"/>
      <c r="J29" s="2423" t="s">
        <v>787</v>
      </c>
      <c r="K29" s="2424"/>
      <c r="L29" s="2723"/>
      <c r="M29" s="2724"/>
      <c r="N29" s="2725" t="str">
        <f t="shared" si="15"/>
        <v/>
      </c>
      <c r="O29" s="2726"/>
      <c r="P29" s="2727"/>
      <c r="R29" s="2384"/>
      <c r="S29" s="2385">
        <f t="shared" si="8"/>
        <v>0.3125</v>
      </c>
      <c r="T29" s="2377">
        <f t="shared" si="1"/>
        <v>27</v>
      </c>
    </row>
    <row r="30" spans="1:20" ht="15.5" x14ac:dyDescent="0.35">
      <c r="A30" s="2374">
        <v>28</v>
      </c>
      <c r="B30" s="2423" t="s">
        <v>789</v>
      </c>
      <c r="C30" s="2424"/>
      <c r="D30" s="2723"/>
      <c r="E30" s="2724"/>
      <c r="F30" s="2725" t="str">
        <f t="shared" si="13"/>
        <v/>
      </c>
      <c r="G30" s="2726"/>
      <c r="H30" s="2727"/>
      <c r="I30" s="2374"/>
      <c r="J30" s="2423" t="s">
        <v>789</v>
      </c>
      <c r="K30" s="2424"/>
      <c r="L30" s="2723"/>
      <c r="M30" s="2724"/>
      <c r="N30" s="2725" t="str">
        <f t="shared" si="15"/>
        <v/>
      </c>
      <c r="O30" s="2726"/>
      <c r="P30" s="2727"/>
      <c r="R30" s="2390"/>
      <c r="S30" s="2385">
        <f t="shared" si="8"/>
        <v>0.32291666666666669</v>
      </c>
      <c r="T30" s="2377">
        <f t="shared" si="1"/>
        <v>28</v>
      </c>
    </row>
    <row r="31" spans="1:20" ht="15.5" x14ac:dyDescent="0.35">
      <c r="A31" s="2374">
        <v>29</v>
      </c>
      <c r="B31" s="2432" t="s">
        <v>758</v>
      </c>
      <c r="C31" s="2422"/>
      <c r="D31" s="2433"/>
      <c r="E31" s="2433"/>
      <c r="F31" s="2434" t="str">
        <f t="shared" si="13"/>
        <v/>
      </c>
      <c r="G31" s="2800">
        <f>IF(SUM(F28:F31)=0,TIME(0,0,0),SUM(F28:F31))</f>
        <v>0</v>
      </c>
      <c r="H31" s="2728"/>
      <c r="I31" s="2374"/>
      <c r="J31" s="2432" t="s">
        <v>758</v>
      </c>
      <c r="K31" s="2422"/>
      <c r="L31" s="2433"/>
      <c r="M31" s="2433"/>
      <c r="N31" s="2434" t="str">
        <f t="shared" si="15"/>
        <v/>
      </c>
      <c r="O31" s="2800">
        <f>IF(SUM(N28:N31)=0,TIME(0,0,0),SUM(N28:N31))</f>
        <v>0</v>
      </c>
      <c r="P31" s="2728"/>
      <c r="R31" s="2384"/>
      <c r="S31" s="2385">
        <f t="shared" si="8"/>
        <v>0.33333333333333337</v>
      </c>
      <c r="T31" s="2377">
        <f t="shared" si="1"/>
        <v>29</v>
      </c>
    </row>
    <row r="32" spans="1:20" ht="15.5" x14ac:dyDescent="0.35">
      <c r="A32" s="2374">
        <v>30</v>
      </c>
      <c r="B32" s="2740" t="s">
        <v>818</v>
      </c>
      <c r="C32" s="2741"/>
      <c r="D32" s="2742"/>
      <c r="E32" s="2743"/>
      <c r="F32" s="2744"/>
      <c r="G32" s="2745" t="str">
        <f>E27</f>
        <v/>
      </c>
      <c r="H32" s="2739" t="str">
        <f>E28</f>
        <v/>
      </c>
      <c r="I32" s="2374"/>
      <c r="J32" s="2740" t="s">
        <v>818</v>
      </c>
      <c r="K32" s="2741"/>
      <c r="L32" s="2742"/>
      <c r="M32" s="2743"/>
      <c r="N32" s="2744"/>
      <c r="O32" s="2745" t="str">
        <f>M27</f>
        <v/>
      </c>
      <c r="P32" s="2739" t="str">
        <f>M28</f>
        <v/>
      </c>
      <c r="R32" s="2390"/>
      <c r="S32" s="2385">
        <f t="shared" si="8"/>
        <v>0.34375000000000006</v>
      </c>
      <c r="T32" s="2377">
        <f t="shared" si="1"/>
        <v>30</v>
      </c>
    </row>
    <row r="33" spans="1:26" ht="15.75" customHeight="1" x14ac:dyDescent="0.35">
      <c r="B33" s="2962" t="s">
        <v>895</v>
      </c>
      <c r="C33" s="2963"/>
      <c r="D33" s="2963"/>
      <c r="E33" s="2963"/>
      <c r="F33" s="2963"/>
      <c r="G33" s="2963"/>
      <c r="H33" s="2964"/>
      <c r="J33" s="2962" t="s">
        <v>896</v>
      </c>
      <c r="K33" s="2963"/>
      <c r="L33" s="2963"/>
      <c r="M33" s="2963"/>
      <c r="N33" s="2963"/>
      <c r="O33" s="2963"/>
      <c r="P33" s="2964"/>
      <c r="R33" s="2384"/>
      <c r="S33" s="2385">
        <f t="shared" si="8"/>
        <v>0.35416666666666674</v>
      </c>
      <c r="T33" s="2377">
        <f t="shared" si="1"/>
        <v>31</v>
      </c>
    </row>
    <row r="34" spans="1:26" ht="15.5" x14ac:dyDescent="0.35">
      <c r="A34" s="2439"/>
      <c r="B34" s="2965"/>
      <c r="C34" s="2966"/>
      <c r="D34" s="2966"/>
      <c r="E34" s="2966"/>
      <c r="F34" s="2966"/>
      <c r="G34" s="2966"/>
      <c r="H34" s="2977"/>
      <c r="J34" s="2965"/>
      <c r="K34" s="2966"/>
      <c r="L34" s="2966"/>
      <c r="M34" s="2966"/>
      <c r="N34" s="2966"/>
      <c r="O34" s="2966"/>
      <c r="P34" s="2977"/>
      <c r="R34" s="2390"/>
      <c r="S34" s="2385">
        <f t="shared" si="8"/>
        <v>0.36458333333333343</v>
      </c>
      <c r="T34" s="2377">
        <f t="shared" si="1"/>
        <v>32</v>
      </c>
    </row>
    <row r="35" spans="1:26" ht="15.5" x14ac:dyDescent="0.35">
      <c r="A35" s="2439"/>
      <c r="B35" s="2968"/>
      <c r="C35" s="2969"/>
      <c r="D35" s="2969"/>
      <c r="E35" s="2969"/>
      <c r="F35" s="2969"/>
      <c r="G35" s="2969"/>
      <c r="H35" s="2970"/>
      <c r="J35" s="2968"/>
      <c r="K35" s="2969"/>
      <c r="L35" s="2969"/>
      <c r="M35" s="2969"/>
      <c r="N35" s="2969"/>
      <c r="O35" s="2969"/>
      <c r="P35" s="2970"/>
      <c r="R35" s="2384"/>
      <c r="S35" s="2385">
        <f t="shared" si="8"/>
        <v>0.37500000000000011</v>
      </c>
      <c r="T35" s="2377">
        <f t="shared" si="1"/>
        <v>33</v>
      </c>
      <c r="Y35" s="2437"/>
    </row>
    <row r="36" spans="1:26" ht="15.5" x14ac:dyDescent="0.35">
      <c r="A36" s="2439"/>
      <c r="B36" s="2440"/>
      <c r="C36" s="2441"/>
      <c r="D36" s="2859"/>
      <c r="E36" s="2858"/>
      <c r="F36" s="2440"/>
      <c r="G36" s="2440"/>
      <c r="H36" s="2440"/>
      <c r="J36" s="2442"/>
      <c r="K36" s="2442"/>
      <c r="L36" s="2443"/>
      <c r="M36" s="2443"/>
      <c r="N36" s="2443"/>
      <c r="O36" s="2444"/>
      <c r="P36" s="2445"/>
      <c r="R36" s="2390"/>
      <c r="S36" s="2385">
        <f t="shared" si="8"/>
        <v>0.3854166666666668</v>
      </c>
      <c r="T36" s="2377">
        <f t="shared" si="1"/>
        <v>34</v>
      </c>
      <c r="Z36" s="2438"/>
    </row>
    <row r="37" spans="1:26" ht="15.5" x14ac:dyDescent="0.35">
      <c r="A37" s="2439"/>
      <c r="B37" s="2960">
        <f ca="1">J2+1</f>
        <v>45174</v>
      </c>
      <c r="C37" s="2960"/>
      <c r="D37" s="2960"/>
      <c r="E37" s="2960"/>
      <c r="F37" s="2961"/>
      <c r="G37" s="2961"/>
      <c r="H37" s="2961"/>
      <c r="J37" s="2960">
        <f ca="1">B37+1</f>
        <v>45175</v>
      </c>
      <c r="K37" s="2960"/>
      <c r="L37" s="2960"/>
      <c r="M37" s="2960"/>
      <c r="N37" s="2961"/>
      <c r="O37" s="2961"/>
      <c r="P37" s="2961"/>
      <c r="R37" s="2384"/>
      <c r="S37" s="2385">
        <f t="shared" si="8"/>
        <v>0.39583333333333348</v>
      </c>
      <c r="T37" s="2377">
        <f t="shared" si="1"/>
        <v>35</v>
      </c>
    </row>
    <row r="38" spans="1:26" ht="15.5" x14ac:dyDescent="0.35">
      <c r="A38" s="2439"/>
      <c r="B38" s="2446" t="s">
        <v>794</v>
      </c>
      <c r="C38" s="2447"/>
      <c r="D38" s="2447" t="s">
        <v>778</v>
      </c>
      <c r="E38" s="2447" t="s">
        <v>779</v>
      </c>
      <c r="F38" s="2447" t="s">
        <v>75</v>
      </c>
      <c r="G38" s="2448" t="s">
        <v>780</v>
      </c>
      <c r="H38" s="2449"/>
      <c r="J38" s="2379" t="s">
        <v>795</v>
      </c>
      <c r="K38" s="2379"/>
      <c r="L38" s="2380" t="s">
        <v>778</v>
      </c>
      <c r="M38" s="2380" t="s">
        <v>779</v>
      </c>
      <c r="N38" s="2380" t="s">
        <v>75</v>
      </c>
      <c r="O38" s="2381" t="s">
        <v>780</v>
      </c>
      <c r="P38" s="2449"/>
      <c r="R38" s="2390"/>
      <c r="S38" s="2385">
        <f t="shared" si="8"/>
        <v>0.40625000000000017</v>
      </c>
      <c r="T38" s="2377">
        <f t="shared" si="1"/>
        <v>36</v>
      </c>
    </row>
    <row r="39" spans="1:26" ht="15.5" x14ac:dyDescent="0.35">
      <c r="A39" s="2374">
        <v>1</v>
      </c>
      <c r="B39" s="2386" t="s">
        <v>76</v>
      </c>
      <c r="C39" s="2387"/>
      <c r="D39" s="2388"/>
      <c r="E39" s="2389"/>
      <c r="F39" s="2364" t="str">
        <f>IF(D39="","",IF(E39="","",MOD(E39-D39,1)))</f>
        <v/>
      </c>
      <c r="G39" s="2364"/>
      <c r="H39" s="2364"/>
      <c r="I39" s="2374"/>
      <c r="J39" s="2386" t="s">
        <v>76</v>
      </c>
      <c r="K39" s="2387"/>
      <c r="L39" s="2388"/>
      <c r="M39" s="2389"/>
      <c r="N39" s="2364" t="str">
        <f>IF(L39="","",IF(M39="","",MOD(M39-L39,1)))</f>
        <v/>
      </c>
      <c r="O39" s="2364"/>
      <c r="P39" s="2364"/>
      <c r="R39" s="2384"/>
      <c r="S39" s="2385">
        <f t="shared" si="8"/>
        <v>0.41666666666666685</v>
      </c>
      <c r="T39" s="2377">
        <f t="shared" si="1"/>
        <v>37</v>
      </c>
    </row>
    <row r="40" spans="1:26" ht="15.5" x14ac:dyDescent="0.35">
      <c r="A40" s="2374">
        <v>2</v>
      </c>
      <c r="B40" s="2386" t="s">
        <v>816</v>
      </c>
      <c r="C40" s="2391"/>
      <c r="D40" s="2392"/>
      <c r="E40" s="2392"/>
      <c r="F40" s="2393" t="s">
        <v>817</v>
      </c>
      <c r="G40" s="2394"/>
      <c r="H40" s="2395"/>
      <c r="I40" s="2374"/>
      <c r="J40" s="2386" t="s">
        <v>816</v>
      </c>
      <c r="K40" s="2391"/>
      <c r="L40" s="2392"/>
      <c r="M40" s="2392"/>
      <c r="N40" s="2393" t="s">
        <v>817</v>
      </c>
      <c r="O40" s="2394"/>
      <c r="P40" s="2395"/>
      <c r="R40" s="2390"/>
      <c r="S40" s="2385">
        <f t="shared" si="8"/>
        <v>0.42708333333333354</v>
      </c>
      <c r="T40" s="2377">
        <f t="shared" si="1"/>
        <v>38</v>
      </c>
    </row>
    <row r="41" spans="1:26" ht="15.5" x14ac:dyDescent="0.35">
      <c r="A41" s="2374">
        <v>3</v>
      </c>
      <c r="B41" s="2366" t="s">
        <v>77</v>
      </c>
      <c r="C41" s="2396"/>
      <c r="D41" s="2397" t="str">
        <f>IF(E39="","",E39)</f>
        <v/>
      </c>
      <c r="E41" s="2397"/>
      <c r="F41" s="2398"/>
      <c r="G41" s="2399">
        <v>0.125</v>
      </c>
      <c r="H41" s="2400"/>
      <c r="I41" s="2374"/>
      <c r="J41" s="2366" t="s">
        <v>77</v>
      </c>
      <c r="K41" s="2396"/>
      <c r="L41" s="2397" t="str">
        <f>IF(M39="","",M39)</f>
        <v/>
      </c>
      <c r="M41" s="2397"/>
      <c r="N41" s="2398"/>
      <c r="O41" s="2399">
        <v>0.125</v>
      </c>
      <c r="P41" s="2400"/>
      <c r="R41" s="2384"/>
      <c r="S41" s="2385">
        <f t="shared" si="8"/>
        <v>0.43750000000000022</v>
      </c>
      <c r="T41" s="2377">
        <f t="shared" si="1"/>
        <v>39</v>
      </c>
    </row>
    <row r="42" spans="1:26" ht="15.5" x14ac:dyDescent="0.35">
      <c r="A42" s="2374">
        <v>4</v>
      </c>
      <c r="B42" s="2401" t="s">
        <v>78</v>
      </c>
      <c r="C42" s="2402"/>
      <c r="D42" s="2403" t="str">
        <f>IF(D41="","",D41+TIME(0,15,0))</f>
        <v/>
      </c>
      <c r="E42" s="2403" t="str">
        <f>IF(D42="","",D42+TIME(0,15,0))</f>
        <v/>
      </c>
      <c r="F42" s="2404" t="str">
        <f t="shared" ref="F42:F51" si="17">IF(D42="","",IF(E42="","",MOD(E42-D42,1)))</f>
        <v/>
      </c>
      <c r="G42" s="2399" t="str">
        <f t="shared" ref="G42:G51" si="18">IF(D42="","",CONCATENATE(TEXT(D42,"h:mm")&amp;"-"&amp;TEXT(E42,"h:mm")))</f>
        <v/>
      </c>
      <c r="H42" s="2405"/>
      <c r="I42" s="2406"/>
      <c r="J42" s="2401" t="s">
        <v>78</v>
      </c>
      <c r="K42" s="2402"/>
      <c r="L42" s="2403" t="str">
        <f>IF(L41="","",L41+TIME(0,15,0))</f>
        <v/>
      </c>
      <c r="M42" s="2403" t="str">
        <f>IF(L42="","",L42+TIME(0,15,0))</f>
        <v/>
      </c>
      <c r="N42" s="2404" t="str">
        <f t="shared" ref="N42:N51" si="19">IF(L42="","",IF(M42="","",MOD(M42-L42,1)))</f>
        <v/>
      </c>
      <c r="O42" s="2399" t="str">
        <f t="shared" ref="O42:O51" si="20">IF(L42="","",CONCATENATE(TEXT(L42,"h:mm")&amp;"-"&amp;TEXT(M42,"h:mm")))</f>
        <v/>
      </c>
      <c r="P42" s="2405"/>
      <c r="R42" s="2390"/>
      <c r="S42" s="2385">
        <f t="shared" si="8"/>
        <v>0.44791666666666691</v>
      </c>
      <c r="T42" s="2377">
        <f t="shared" si="1"/>
        <v>40</v>
      </c>
    </row>
    <row r="43" spans="1:26" ht="15.5" x14ac:dyDescent="0.35">
      <c r="A43" s="2374">
        <v>5</v>
      </c>
      <c r="B43" s="2401" t="s">
        <v>889</v>
      </c>
      <c r="C43" s="2402"/>
      <c r="D43" s="2403" t="str">
        <f t="shared" ref="D43:D50" si="21">IF(B42="","",E42)</f>
        <v/>
      </c>
      <c r="E43" s="2403" t="str">
        <f>IF(D43="","",D43+TIME(0,15,0))</f>
        <v/>
      </c>
      <c r="F43" s="2404" t="str">
        <f t="shared" si="17"/>
        <v/>
      </c>
      <c r="G43" s="2399" t="str">
        <f t="shared" si="18"/>
        <v/>
      </c>
      <c r="H43" s="2405"/>
      <c r="I43" s="2406"/>
      <c r="J43" s="2401" t="s">
        <v>889</v>
      </c>
      <c r="K43" s="2402"/>
      <c r="L43" s="2403" t="str">
        <f t="shared" ref="L43:L50" si="22">IF(J42="","",M42)</f>
        <v/>
      </c>
      <c r="M43" s="2403" t="str">
        <f>IF(L43="","",L43+TIME(0,15,0))</f>
        <v/>
      </c>
      <c r="N43" s="2404" t="str">
        <f t="shared" si="19"/>
        <v/>
      </c>
      <c r="O43" s="2399" t="str">
        <f t="shared" si="20"/>
        <v/>
      </c>
      <c r="P43" s="2405"/>
      <c r="R43" s="2384"/>
      <c r="S43" s="2385">
        <f>S42+TIME(0,15,0)</f>
        <v>0.45833333333333359</v>
      </c>
      <c r="T43" s="2377">
        <f>T42+1</f>
        <v>41</v>
      </c>
    </row>
    <row r="44" spans="1:26" ht="15.5" x14ac:dyDescent="0.35">
      <c r="A44" s="2374">
        <v>6</v>
      </c>
      <c r="B44" s="2401" t="s">
        <v>880</v>
      </c>
      <c r="C44" s="2402"/>
      <c r="D44" s="2403" t="str">
        <f t="shared" si="21"/>
        <v/>
      </c>
      <c r="E44" s="2403" t="str">
        <f>IF(D44="","",D44+TIME(0,30,0))</f>
        <v/>
      </c>
      <c r="F44" s="2404" t="str">
        <f t="shared" si="17"/>
        <v/>
      </c>
      <c r="G44" s="2399" t="str">
        <f t="shared" si="18"/>
        <v/>
      </c>
      <c r="H44" s="2416">
        <f>SUM(F42:F44)</f>
        <v>0</v>
      </c>
      <c r="I44" s="2406"/>
      <c r="J44" s="2401" t="s">
        <v>880</v>
      </c>
      <c r="K44" s="2402"/>
      <c r="L44" s="2403" t="str">
        <f t="shared" si="22"/>
        <v/>
      </c>
      <c r="M44" s="2403" t="str">
        <f>IF(L44="","",L44+TIME(0,30,0))</f>
        <v/>
      </c>
      <c r="N44" s="2404" t="str">
        <f t="shared" si="19"/>
        <v/>
      </c>
      <c r="O44" s="2399" t="str">
        <f t="shared" si="20"/>
        <v/>
      </c>
      <c r="P44" s="2416">
        <f>SUM(N42:N44)</f>
        <v>0</v>
      </c>
      <c r="R44" s="2390"/>
      <c r="S44" s="2385">
        <f t="shared" si="8"/>
        <v>0.46875000000000028</v>
      </c>
      <c r="T44" s="2377">
        <f t="shared" si="1"/>
        <v>42</v>
      </c>
    </row>
    <row r="45" spans="1:26" ht="15.5" x14ac:dyDescent="0.35">
      <c r="A45" s="2374">
        <v>7</v>
      </c>
      <c r="B45" s="2407" t="s">
        <v>81</v>
      </c>
      <c r="C45" s="2408"/>
      <c r="D45" s="2409" t="str">
        <f t="shared" si="21"/>
        <v/>
      </c>
      <c r="E45" s="2409" t="str">
        <f>IF(D45="","",D45+TIME(0,30,0))</f>
        <v/>
      </c>
      <c r="F45" s="2410" t="str">
        <f t="shared" si="17"/>
        <v/>
      </c>
      <c r="G45" s="2411" t="str">
        <f t="shared" si="18"/>
        <v/>
      </c>
      <c r="H45" s="2412"/>
      <c r="I45" s="2406"/>
      <c r="J45" s="2407" t="s">
        <v>81</v>
      </c>
      <c r="K45" s="2408"/>
      <c r="L45" s="2409" t="str">
        <f t="shared" si="22"/>
        <v/>
      </c>
      <c r="M45" s="2409" t="str">
        <f>IF(L45="","",L45+TIME(0,30,0))</f>
        <v/>
      </c>
      <c r="N45" s="2410" t="str">
        <f t="shared" si="19"/>
        <v/>
      </c>
      <c r="O45" s="2411" t="str">
        <f t="shared" si="20"/>
        <v/>
      </c>
      <c r="P45" s="2412"/>
      <c r="R45" s="2384"/>
      <c r="S45" s="2385">
        <f t="shared" si="8"/>
        <v>0.47916666666666696</v>
      </c>
      <c r="T45" s="2377">
        <f t="shared" si="1"/>
        <v>43</v>
      </c>
    </row>
    <row r="46" spans="1:26" ht="15.5" x14ac:dyDescent="0.35">
      <c r="A46" s="2374">
        <v>8</v>
      </c>
      <c r="B46" s="2407" t="s">
        <v>83</v>
      </c>
      <c r="C46" s="2408"/>
      <c r="D46" s="2409" t="str">
        <f t="shared" si="21"/>
        <v/>
      </c>
      <c r="E46" s="2409" t="str">
        <f>IF(D46="","",D46+TIME(0,30,0))</f>
        <v/>
      </c>
      <c r="F46" s="2410" t="str">
        <f t="shared" si="17"/>
        <v/>
      </c>
      <c r="G46" s="2411" t="str">
        <f t="shared" si="18"/>
        <v/>
      </c>
      <c r="H46" s="2413"/>
      <c r="I46" s="2406"/>
      <c r="J46" s="2407" t="s">
        <v>83</v>
      </c>
      <c r="K46" s="2408"/>
      <c r="L46" s="2409" t="str">
        <f t="shared" si="22"/>
        <v/>
      </c>
      <c r="M46" s="2409" t="str">
        <f>IF(L46="","",L46+TIME(0,30,0))</f>
        <v/>
      </c>
      <c r="N46" s="2410" t="str">
        <f t="shared" si="19"/>
        <v/>
      </c>
      <c r="O46" s="2411" t="str">
        <f t="shared" si="20"/>
        <v/>
      </c>
      <c r="P46" s="2413"/>
      <c r="R46" s="2390"/>
      <c r="S46" s="2385">
        <f t="shared" si="8"/>
        <v>0.48958333333333365</v>
      </c>
      <c r="T46" s="2377">
        <f t="shared" si="1"/>
        <v>44</v>
      </c>
    </row>
    <row r="47" spans="1:26" ht="16" thickBot="1" x14ac:dyDescent="0.4">
      <c r="A47" s="2374">
        <v>9</v>
      </c>
      <c r="B47" s="2407" t="s">
        <v>80</v>
      </c>
      <c r="C47" s="2408"/>
      <c r="D47" s="2409" t="str">
        <f t="shared" si="21"/>
        <v/>
      </c>
      <c r="E47" s="2409" t="str">
        <f>IF(E46="","",E46+TIME(1,0,0))</f>
        <v/>
      </c>
      <c r="F47" s="2410" t="str">
        <f t="shared" si="17"/>
        <v/>
      </c>
      <c r="G47" s="2411" t="str">
        <f t="shared" si="18"/>
        <v/>
      </c>
      <c r="H47" s="2414">
        <f>SUM(F45:F47)</f>
        <v>0</v>
      </c>
      <c r="I47" s="2406"/>
      <c r="J47" s="2407" t="s">
        <v>80</v>
      </c>
      <c r="K47" s="2408"/>
      <c r="L47" s="2409" t="str">
        <f t="shared" si="22"/>
        <v/>
      </c>
      <c r="M47" s="2409" t="str">
        <f>IF(M46="","",M46+TIME(1,0,0))</f>
        <v/>
      </c>
      <c r="N47" s="2410" t="str">
        <f t="shared" si="19"/>
        <v/>
      </c>
      <c r="O47" s="2411" t="str">
        <f t="shared" si="20"/>
        <v/>
      </c>
      <c r="P47" s="2414">
        <f>SUM(N45:N47)</f>
        <v>0</v>
      </c>
      <c r="R47" s="2855"/>
      <c r="S47" s="2385">
        <f t="shared" si="8"/>
        <v>0.50000000000000033</v>
      </c>
      <c r="T47" s="2377">
        <f t="shared" si="1"/>
        <v>45</v>
      </c>
    </row>
    <row r="48" spans="1:26" ht="15.5" x14ac:dyDescent="0.35">
      <c r="A48" s="2374">
        <v>10</v>
      </c>
      <c r="B48" s="2401" t="s">
        <v>753</v>
      </c>
      <c r="C48" s="2402"/>
      <c r="D48" s="2403" t="str">
        <f t="shared" si="21"/>
        <v/>
      </c>
      <c r="E48" s="2403" t="str">
        <f>IF(D48="","",D48+TIME(0,30,0))</f>
        <v/>
      </c>
      <c r="F48" s="2415" t="str">
        <f t="shared" si="17"/>
        <v/>
      </c>
      <c r="G48" s="2399" t="str">
        <f t="shared" si="18"/>
        <v/>
      </c>
      <c r="H48" s="2416"/>
      <c r="I48" s="2406"/>
      <c r="J48" s="2401" t="s">
        <v>753</v>
      </c>
      <c r="K48" s="2402"/>
      <c r="L48" s="2403" t="str">
        <f t="shared" si="22"/>
        <v/>
      </c>
      <c r="M48" s="2403" t="str">
        <f>IF(L48="","",L48+TIME(0,30,0))</f>
        <v/>
      </c>
      <c r="N48" s="2415" t="str">
        <f t="shared" si="19"/>
        <v/>
      </c>
      <c r="O48" s="2399" t="str">
        <f t="shared" si="20"/>
        <v/>
      </c>
      <c r="P48" s="2416"/>
      <c r="R48" s="2854"/>
      <c r="S48" s="2385">
        <f t="shared" si="8"/>
        <v>0.51041666666666696</v>
      </c>
      <c r="T48" s="2377">
        <f t="shared" si="1"/>
        <v>46</v>
      </c>
    </row>
    <row r="49" spans="1:24" ht="15.5" x14ac:dyDescent="0.35">
      <c r="A49" s="2374">
        <v>11</v>
      </c>
      <c r="B49" s="2401" t="s">
        <v>79</v>
      </c>
      <c r="C49" s="2402"/>
      <c r="D49" s="2403" t="str">
        <f t="shared" si="21"/>
        <v/>
      </c>
      <c r="E49" s="2403" t="str">
        <f>IF(D49="","",D49+TIME(0,15,0))</f>
        <v/>
      </c>
      <c r="F49" s="2415" t="str">
        <f t="shared" si="17"/>
        <v/>
      </c>
      <c r="G49" s="2399" t="str">
        <f t="shared" si="18"/>
        <v/>
      </c>
      <c r="H49" s="2416"/>
      <c r="I49" s="2406"/>
      <c r="J49" s="2401" t="s">
        <v>79</v>
      </c>
      <c r="K49" s="2402"/>
      <c r="L49" s="2403" t="str">
        <f t="shared" si="22"/>
        <v/>
      </c>
      <c r="M49" s="2403" t="str">
        <f>IF(L49="","",L49+TIME(0,15,0))</f>
        <v/>
      </c>
      <c r="N49" s="2415" t="str">
        <f t="shared" si="19"/>
        <v/>
      </c>
      <c r="O49" s="2399" t="str">
        <f t="shared" si="20"/>
        <v/>
      </c>
      <c r="P49" s="2416"/>
      <c r="R49" s="2854"/>
      <c r="S49" s="2385">
        <f t="shared" si="8"/>
        <v>0.52083333333333359</v>
      </c>
      <c r="T49" s="2377">
        <f t="shared" si="1"/>
        <v>47</v>
      </c>
      <c r="U49" s="2450"/>
    </row>
    <row r="50" spans="1:24" ht="15.75" customHeight="1" x14ac:dyDescent="0.35">
      <c r="A50" s="2374">
        <v>12</v>
      </c>
      <c r="B50" s="2401" t="s">
        <v>82</v>
      </c>
      <c r="C50" s="2402"/>
      <c r="D50" s="2403" t="str">
        <f t="shared" si="21"/>
        <v/>
      </c>
      <c r="E50" s="2403" t="str">
        <f>IF(D50="","",D50+TIME(0,15,0))</f>
        <v/>
      </c>
      <c r="F50" s="2404" t="str">
        <f t="shared" si="17"/>
        <v/>
      </c>
      <c r="G50" s="2399" t="str">
        <f t="shared" si="18"/>
        <v/>
      </c>
      <c r="H50" s="2416">
        <f>SUM(F48:F50)</f>
        <v>0</v>
      </c>
      <c r="I50" s="2406"/>
      <c r="J50" s="2401" t="s">
        <v>82</v>
      </c>
      <c r="K50" s="2402"/>
      <c r="L50" s="2403" t="str">
        <f t="shared" si="22"/>
        <v/>
      </c>
      <c r="M50" s="2403" t="str">
        <f>IF(L50="","",L50+TIME(0,15,0))</f>
        <v/>
      </c>
      <c r="N50" s="2404" t="str">
        <f t="shared" si="19"/>
        <v/>
      </c>
      <c r="O50" s="2399" t="str">
        <f t="shared" si="20"/>
        <v/>
      </c>
      <c r="P50" s="2416">
        <f>SUM(N48:N50)</f>
        <v>0</v>
      </c>
      <c r="S50" s="2385">
        <f t="shared" si="8"/>
        <v>0.53125000000000022</v>
      </c>
      <c r="T50" s="2377">
        <f t="shared" si="1"/>
        <v>48</v>
      </c>
      <c r="X50" s="2437"/>
    </row>
    <row r="51" spans="1:24" ht="15.75" customHeight="1" x14ac:dyDescent="0.35">
      <c r="A51" s="2374">
        <v>14</v>
      </c>
      <c r="B51" s="2417" t="s">
        <v>820</v>
      </c>
      <c r="C51" s="2418"/>
      <c r="D51" s="2388" t="str">
        <f>IF(B50="","",E50)</f>
        <v/>
      </c>
      <c r="E51" s="2388" t="str">
        <f>IF(D51="","",D51+TIME(0,45,0))</f>
        <v/>
      </c>
      <c r="F51" s="2419" t="str">
        <f t="shared" si="17"/>
        <v/>
      </c>
      <c r="G51" s="2420" t="str">
        <f t="shared" si="18"/>
        <v/>
      </c>
      <c r="H51" s="2421"/>
      <c r="I51" s="2406"/>
      <c r="J51" s="2417" t="s">
        <v>820</v>
      </c>
      <c r="K51" s="2418"/>
      <c r="L51" s="2388" t="str">
        <f>IF(J50="","",M50)</f>
        <v/>
      </c>
      <c r="M51" s="2388" t="str">
        <f>IF(L51="","",L51+TIME(0,45,0))</f>
        <v/>
      </c>
      <c r="N51" s="2419" t="str">
        <f t="shared" si="19"/>
        <v/>
      </c>
      <c r="O51" s="2420" t="str">
        <f t="shared" si="20"/>
        <v/>
      </c>
      <c r="P51" s="2421"/>
      <c r="S51" s="2385">
        <f t="shared" si="8"/>
        <v>0.54166666666666685</v>
      </c>
      <c r="T51" s="2377">
        <f t="shared" si="1"/>
        <v>49</v>
      </c>
      <c r="U51" s="2437"/>
    </row>
    <row r="52" spans="1:24" ht="15.5" x14ac:dyDescent="0.35">
      <c r="A52" s="2374">
        <v>15</v>
      </c>
      <c r="B52" s="2735" t="s">
        <v>85</v>
      </c>
      <c r="C52" s="2736"/>
      <c r="D52" s="2737"/>
      <c r="E52" s="2737"/>
      <c r="F52" s="2738">
        <f>SUM(F42:F50)</f>
        <v>0</v>
      </c>
      <c r="G52" s="2739" t="str">
        <f>E50</f>
        <v/>
      </c>
      <c r="H52" s="2739" t="str">
        <f>G52</f>
        <v/>
      </c>
      <c r="I52" s="2406"/>
      <c r="J52" s="2735" t="s">
        <v>85</v>
      </c>
      <c r="K52" s="2736"/>
      <c r="L52" s="2737"/>
      <c r="M52" s="2737"/>
      <c r="N52" s="2738">
        <f>SUM(N42:N50)</f>
        <v>0</v>
      </c>
      <c r="O52" s="2739" t="str">
        <f>M50</f>
        <v/>
      </c>
      <c r="P52" s="2739" t="str">
        <f>O52</f>
        <v/>
      </c>
      <c r="S52" s="2385">
        <f t="shared" si="8"/>
        <v>0.55208333333333348</v>
      </c>
      <c r="T52" s="2377">
        <f t="shared" si="1"/>
        <v>50</v>
      </c>
    </row>
    <row r="53" spans="1:24" ht="18.5" x14ac:dyDescent="0.35">
      <c r="A53" s="2374">
        <v>16</v>
      </c>
      <c r="B53" s="2423" t="s">
        <v>881</v>
      </c>
      <c r="C53" s="2424"/>
      <c r="D53" s="2425"/>
      <c r="E53" s="2425"/>
      <c r="F53" s="2426" t="str">
        <f>IF(D53="","",IF(E53="","",MOD(E53-D53,1)))</f>
        <v/>
      </c>
      <c r="G53" s="2427"/>
      <c r="H53" s="2428"/>
      <c r="I53" s="2406"/>
      <c r="J53" s="2423" t="s">
        <v>881</v>
      </c>
      <c r="K53" s="2424"/>
      <c r="L53" s="2425"/>
      <c r="M53" s="2425"/>
      <c r="N53" s="2426" t="str">
        <f>IF(L53="","",IF(M53="","",MOD(M53-L53,1)))</f>
        <v/>
      </c>
      <c r="O53" s="2427"/>
      <c r="P53" s="2428"/>
      <c r="S53" s="2385">
        <f t="shared" si="8"/>
        <v>0.56250000000000011</v>
      </c>
      <c r="T53" s="2377">
        <f t="shared" si="1"/>
        <v>51</v>
      </c>
    </row>
    <row r="54" spans="1:24" ht="15.5" x14ac:dyDescent="0.35">
      <c r="A54" s="2374">
        <v>17</v>
      </c>
      <c r="B54" s="2423" t="s">
        <v>787</v>
      </c>
      <c r="C54" s="2424"/>
      <c r="D54" s="2425"/>
      <c r="E54" s="2425"/>
      <c r="F54" s="2426" t="str">
        <f>IF(D54="","",IF(E54="","",MOD(E54-D54,1)))</f>
        <v/>
      </c>
      <c r="G54" s="2429"/>
      <c r="H54" s="2430"/>
      <c r="I54" s="2406"/>
      <c r="J54" s="2423" t="s">
        <v>787</v>
      </c>
      <c r="K54" s="2424"/>
      <c r="L54" s="2425"/>
      <c r="M54" s="2425"/>
      <c r="N54" s="2426" t="str">
        <f>IF(L54="","",IF(M54="","",MOD(M54-L54,1)))</f>
        <v/>
      </c>
      <c r="O54" s="2429"/>
      <c r="P54" s="2430"/>
      <c r="S54" s="2385">
        <f t="shared" si="8"/>
        <v>0.57291666666666674</v>
      </c>
      <c r="T54" s="2377">
        <f t="shared" si="1"/>
        <v>52</v>
      </c>
    </row>
    <row r="55" spans="1:24" ht="15.75" customHeight="1" x14ac:dyDescent="0.35">
      <c r="A55" s="2374">
        <v>18</v>
      </c>
      <c r="B55" s="2423" t="s">
        <v>789</v>
      </c>
      <c r="C55" s="2424"/>
      <c r="D55" s="2425"/>
      <c r="E55" s="2425"/>
      <c r="F55" s="2426" t="str">
        <f>IF(D55="","",IF(E55="","",MOD(E55-D55,1)))</f>
        <v/>
      </c>
      <c r="G55" s="2429"/>
      <c r="H55" s="2431"/>
      <c r="I55" s="2406"/>
      <c r="J55" s="2423" t="s">
        <v>789</v>
      </c>
      <c r="K55" s="2424"/>
      <c r="L55" s="2425"/>
      <c r="M55" s="2425"/>
      <c r="N55" s="2426" t="str">
        <f>IF(L55="","",IF(M55="","",MOD(M55-L55,1)))</f>
        <v/>
      </c>
      <c r="O55" s="2429"/>
      <c r="P55" s="2431"/>
      <c r="S55" s="2385">
        <f t="shared" si="8"/>
        <v>0.58333333333333337</v>
      </c>
      <c r="T55" s="2377">
        <f t="shared" si="1"/>
        <v>53</v>
      </c>
    </row>
    <row r="56" spans="1:24" ht="15.5" x14ac:dyDescent="0.35">
      <c r="A56" s="2374">
        <v>19</v>
      </c>
      <c r="B56" s="2432" t="s">
        <v>758</v>
      </c>
      <c r="C56" s="2422"/>
      <c r="D56" s="2433"/>
      <c r="E56" s="2433"/>
      <c r="F56" s="2434" t="str">
        <f>IF(D56="","",IF(E56="","",MOD(E56-D56,1)))</f>
        <v/>
      </c>
      <c r="G56" s="2435">
        <f>SUM(F53:F56)</f>
        <v>0</v>
      </c>
      <c r="H56" s="2436"/>
      <c r="I56" s="2406"/>
      <c r="J56" s="2432" t="s">
        <v>758</v>
      </c>
      <c r="K56" s="2422"/>
      <c r="L56" s="2433"/>
      <c r="M56" s="2433"/>
      <c r="N56" s="2434" t="str">
        <f>IF(L56="","",IF(M56="","",MOD(M56-L56,1)))</f>
        <v/>
      </c>
      <c r="O56" s="2435">
        <f>SUM(N53:N56)</f>
        <v>0</v>
      </c>
      <c r="P56" s="2436"/>
      <c r="S56" s="2385">
        <f t="shared" si="8"/>
        <v>0.59375</v>
      </c>
      <c r="T56" s="2377">
        <f t="shared" si="1"/>
        <v>54</v>
      </c>
    </row>
    <row r="57" spans="1:24" ht="15.5" x14ac:dyDescent="0.35">
      <c r="A57" s="2374">
        <v>20</v>
      </c>
      <c r="B57" s="2729" t="s">
        <v>819</v>
      </c>
      <c r="C57" s="2730"/>
      <c r="D57" s="2731"/>
      <c r="E57" s="2731"/>
      <c r="F57" s="2732"/>
      <c r="G57" s="2733"/>
      <c r="H57" s="2734"/>
      <c r="I57" s="2406"/>
      <c r="J57" s="2729" t="s">
        <v>819</v>
      </c>
      <c r="K57" s="2730"/>
      <c r="L57" s="2731"/>
      <c r="M57" s="2731"/>
      <c r="N57" s="2732"/>
      <c r="O57" s="2733"/>
      <c r="P57" s="2734"/>
      <c r="S57" s="2385">
        <f t="shared" si="8"/>
        <v>0.60416666666666663</v>
      </c>
      <c r="T57" s="2377">
        <f t="shared" si="1"/>
        <v>55</v>
      </c>
    </row>
    <row r="58" spans="1:24" ht="15.5" x14ac:dyDescent="0.35">
      <c r="A58" s="2374">
        <v>21</v>
      </c>
      <c r="B58" s="2714" t="s">
        <v>78</v>
      </c>
      <c r="C58" s="2715"/>
      <c r="D58" s="2716" t="str">
        <f>IF(E51="","",E51+TIME(0,0,0))</f>
        <v/>
      </c>
      <c r="E58" s="2716" t="str">
        <f>IF(D58="","",D58+TIME(0,15,0))</f>
        <v/>
      </c>
      <c r="F58" s="2717" t="str">
        <f t="shared" ref="F58:F59" si="23">IF(D58="","",IF(E58="","",MOD(E58-D58,1)))</f>
        <v/>
      </c>
      <c r="G58" s="2718" t="str">
        <f t="shared" ref="G58:G59" si="24">IF(D58="","",CONCATENATE(TEXT(D58,"h:mm")&amp;"-"&amp;TEXT(E58,"h:mm")))</f>
        <v/>
      </c>
      <c r="H58" s="2719"/>
      <c r="I58" s="2406"/>
      <c r="J58" s="2714" t="s">
        <v>78</v>
      </c>
      <c r="K58" s="2715"/>
      <c r="L58" s="2716" t="str">
        <f>IF(M51="","",M51+TIME(0,0,0))</f>
        <v/>
      </c>
      <c r="M58" s="2716" t="str">
        <f>IF(L58="","",L58+TIME(0,15,0))</f>
        <v/>
      </c>
      <c r="N58" s="2717" t="str">
        <f t="shared" ref="N58:N59" si="25">IF(L58="","",IF(M58="","",MOD(M58-L58,1)))</f>
        <v/>
      </c>
      <c r="O58" s="2718" t="str">
        <f t="shared" ref="O58:O59" si="26">IF(L58="","",CONCATENATE(TEXT(L58,"h:mm")&amp;"-"&amp;TEXT(M58,"h:mm")))</f>
        <v/>
      </c>
      <c r="P58" s="2719"/>
      <c r="S58" s="2385">
        <f t="shared" si="8"/>
        <v>0.61458333333333326</v>
      </c>
      <c r="T58" s="2377">
        <f t="shared" si="1"/>
        <v>56</v>
      </c>
    </row>
    <row r="59" spans="1:24" ht="15.5" x14ac:dyDescent="0.35">
      <c r="A59" s="2374">
        <v>22</v>
      </c>
      <c r="B59" s="2847" t="s">
        <v>878</v>
      </c>
      <c r="C59" s="2848"/>
      <c r="D59" s="2716"/>
      <c r="E59" s="2716"/>
      <c r="F59" s="2717" t="str">
        <f t="shared" si="23"/>
        <v/>
      </c>
      <c r="G59" s="2849" t="str">
        <f t="shared" si="24"/>
        <v/>
      </c>
      <c r="H59" s="2850"/>
      <c r="I59" s="2406"/>
      <c r="J59" s="2847" t="s">
        <v>878</v>
      </c>
      <c r="K59" s="2848"/>
      <c r="L59" s="2716"/>
      <c r="M59" s="2716"/>
      <c r="N59" s="2717" t="str">
        <f t="shared" si="25"/>
        <v/>
      </c>
      <c r="O59" s="2849" t="str">
        <f t="shared" si="26"/>
        <v/>
      </c>
      <c r="P59" s="2850"/>
      <c r="S59" s="2385">
        <f t="shared" si="8"/>
        <v>0.62499999999999989</v>
      </c>
      <c r="T59" s="2377">
        <f t="shared" si="1"/>
        <v>57</v>
      </c>
    </row>
    <row r="60" spans="1:24" ht="15.5" x14ac:dyDescent="0.35">
      <c r="A60" s="2374">
        <v>23</v>
      </c>
      <c r="B60" s="2720" t="s">
        <v>879</v>
      </c>
      <c r="C60" s="2721"/>
      <c r="D60" s="2409"/>
      <c r="E60" s="2409"/>
      <c r="F60" s="2410" t="str">
        <f>IF(D60="","",IF(E60="","",MOD(E60-D60,1)))</f>
        <v/>
      </c>
      <c r="G60" s="2411" t="str">
        <f>IF(D60="","",CONCATENATE(TEXT(D60,"h:mm")&amp;"-"&amp;TEXT(E60,"h:mm")))</f>
        <v/>
      </c>
      <c r="H60" s="2414"/>
      <c r="I60" s="2406"/>
      <c r="J60" s="2720" t="s">
        <v>879</v>
      </c>
      <c r="K60" s="2721"/>
      <c r="L60" s="2409"/>
      <c r="M60" s="2409"/>
      <c r="N60" s="2410" t="str">
        <f>IF(L60="","",IF(M60="","",MOD(M60-L60,1)))</f>
        <v/>
      </c>
      <c r="O60" s="2411" t="str">
        <f>IF(L60="","",CONCATENATE(TEXT(L60,"h:mm")&amp;"-"&amp;TEXT(M60,"h:mm")))</f>
        <v/>
      </c>
      <c r="P60" s="2414"/>
      <c r="S60" s="2385">
        <f t="shared" si="8"/>
        <v>0.63541666666666652</v>
      </c>
      <c r="T60" s="2377">
        <f t="shared" si="1"/>
        <v>58</v>
      </c>
    </row>
    <row r="61" spans="1:24" ht="12" customHeight="1" x14ac:dyDescent="0.35">
      <c r="A61" s="2374">
        <v>24</v>
      </c>
      <c r="B61" s="2720"/>
      <c r="C61" s="2721"/>
      <c r="D61" s="2857"/>
      <c r="E61" s="2409"/>
      <c r="F61" s="2410" t="str">
        <f t="shared" ref="F61:F66" si="27">IF(D61="","",IF(E61="","",MOD(E61-D61,1)))</f>
        <v/>
      </c>
      <c r="G61" s="2411" t="str">
        <f t="shared" ref="G61:G63" si="28">IF(D61="","",CONCATENATE(TEXT(D61,"h:mm")&amp;"-"&amp;TEXT(E61,"h:mm")))</f>
        <v/>
      </c>
      <c r="H61" s="2414"/>
      <c r="I61" s="2406"/>
      <c r="J61" s="2720"/>
      <c r="K61" s="2721"/>
      <c r="L61" s="2857"/>
      <c r="M61" s="2409"/>
      <c r="N61" s="2410" t="str">
        <f t="shared" ref="N61:N66" si="29">IF(L61="","",IF(M61="","",MOD(M61-L61,1)))</f>
        <v/>
      </c>
      <c r="O61" s="2411" t="str">
        <f t="shared" ref="O61:O63" si="30">IF(L61="","",CONCATENATE(TEXT(L61,"h:mm")&amp;"-"&amp;TEXT(M61,"h:mm")))</f>
        <v/>
      </c>
      <c r="P61" s="2414"/>
      <c r="S61" s="2385">
        <f t="shared" si="8"/>
        <v>0.64583333333333315</v>
      </c>
      <c r="T61" s="2377">
        <f t="shared" si="1"/>
        <v>59</v>
      </c>
    </row>
    <row r="62" spans="1:24" ht="15.5" x14ac:dyDescent="0.35">
      <c r="A62" s="2374">
        <v>25</v>
      </c>
      <c r="B62" s="2720"/>
      <c r="C62" s="2721"/>
      <c r="D62" s="2409" t="str">
        <f>IF(B62="","",E61)</f>
        <v/>
      </c>
      <c r="E62" s="2722" t="str">
        <f>IF(D62="","",D62+TIME(0,15,0))</f>
        <v/>
      </c>
      <c r="F62" s="2410" t="str">
        <f t="shared" si="27"/>
        <v/>
      </c>
      <c r="G62" s="2411" t="str">
        <f t="shared" si="28"/>
        <v/>
      </c>
      <c r="H62" s="2414"/>
      <c r="I62" s="2406"/>
      <c r="J62" s="2720"/>
      <c r="K62" s="2721"/>
      <c r="L62" s="2409" t="str">
        <f>IF(J62="","",M61)</f>
        <v/>
      </c>
      <c r="M62" s="2722" t="str">
        <f>IF(L62="","",L62+TIME(0,15,0))</f>
        <v/>
      </c>
      <c r="N62" s="2410" t="str">
        <f t="shared" si="29"/>
        <v/>
      </c>
      <c r="O62" s="2411" t="str">
        <f t="shared" si="30"/>
        <v/>
      </c>
      <c r="P62" s="2414"/>
      <c r="S62" s="2385">
        <f t="shared" si="8"/>
        <v>0.65624999999999978</v>
      </c>
      <c r="T62" s="2377">
        <f t="shared" si="1"/>
        <v>60</v>
      </c>
    </row>
    <row r="63" spans="1:24" ht="15.5" x14ac:dyDescent="0.35">
      <c r="A63" s="2374">
        <v>26</v>
      </c>
      <c r="B63" s="2720"/>
      <c r="C63" s="2721"/>
      <c r="D63" s="2409" t="str">
        <f>IF(B63="","",E62)</f>
        <v/>
      </c>
      <c r="E63" s="2722" t="str">
        <f>IF(D63="","",D63+TIME(0,15,0))</f>
        <v/>
      </c>
      <c r="F63" s="2410" t="str">
        <f t="shared" si="27"/>
        <v/>
      </c>
      <c r="G63" s="2411" t="str">
        <f t="shared" si="28"/>
        <v/>
      </c>
      <c r="H63" s="2414">
        <f>SUM(F59:F63)</f>
        <v>0</v>
      </c>
      <c r="I63" s="2406"/>
      <c r="J63" s="2720"/>
      <c r="K63" s="2721"/>
      <c r="L63" s="2409" t="str">
        <f>IF(J63="","",M62)</f>
        <v/>
      </c>
      <c r="M63" s="2722" t="str">
        <f>IF(L63="","",L63+TIME(0,15,0))</f>
        <v/>
      </c>
      <c r="N63" s="2410" t="str">
        <f t="shared" si="29"/>
        <v/>
      </c>
      <c r="O63" s="2411" t="str">
        <f t="shared" si="30"/>
        <v/>
      </c>
      <c r="P63" s="2414">
        <f>SUM(N59:N63)</f>
        <v>0</v>
      </c>
      <c r="S63" s="2385">
        <f t="shared" si="8"/>
        <v>0.66666666666666641</v>
      </c>
      <c r="T63" s="2377">
        <f t="shared" si="1"/>
        <v>61</v>
      </c>
    </row>
    <row r="64" spans="1:24" ht="15.5" x14ac:dyDescent="0.35">
      <c r="A64" s="2374">
        <v>27</v>
      </c>
      <c r="B64" s="2423" t="s">
        <v>787</v>
      </c>
      <c r="C64" s="2424"/>
      <c r="D64" s="2723"/>
      <c r="E64" s="2724"/>
      <c r="F64" s="2725" t="str">
        <f t="shared" si="27"/>
        <v/>
      </c>
      <c r="G64" s="2726"/>
      <c r="H64" s="2727"/>
      <c r="I64" s="2406"/>
      <c r="J64" s="2423" t="s">
        <v>787</v>
      </c>
      <c r="K64" s="2424"/>
      <c r="L64" s="2723"/>
      <c r="M64" s="2724"/>
      <c r="N64" s="2725" t="str">
        <f t="shared" si="29"/>
        <v/>
      </c>
      <c r="O64" s="2726"/>
      <c r="P64" s="2727"/>
      <c r="S64" s="2385">
        <f t="shared" si="8"/>
        <v>0.67708333333333304</v>
      </c>
      <c r="T64" s="2377">
        <f t="shared" si="1"/>
        <v>62</v>
      </c>
    </row>
    <row r="65" spans="1:189" ht="15.5" x14ac:dyDescent="0.35">
      <c r="A65" s="2374">
        <v>28</v>
      </c>
      <c r="B65" s="2423" t="s">
        <v>789</v>
      </c>
      <c r="C65" s="2424"/>
      <c r="D65" s="2723"/>
      <c r="E65" s="2724"/>
      <c r="F65" s="2725" t="str">
        <f t="shared" si="27"/>
        <v/>
      </c>
      <c r="G65" s="2726"/>
      <c r="H65" s="2727"/>
      <c r="I65" s="2406"/>
      <c r="J65" s="2423" t="s">
        <v>789</v>
      </c>
      <c r="K65" s="2424"/>
      <c r="L65" s="2723"/>
      <c r="M65" s="2724"/>
      <c r="N65" s="2725" t="str">
        <f t="shared" si="29"/>
        <v/>
      </c>
      <c r="O65" s="2726"/>
      <c r="P65" s="2727"/>
      <c r="S65" s="2385">
        <f t="shared" si="8"/>
        <v>0.68749999999999967</v>
      </c>
      <c r="T65" s="2377">
        <f t="shared" si="1"/>
        <v>63</v>
      </c>
    </row>
    <row r="66" spans="1:189" ht="15.5" x14ac:dyDescent="0.35">
      <c r="A66" s="2374">
        <v>29</v>
      </c>
      <c r="B66" s="2432" t="s">
        <v>758</v>
      </c>
      <c r="C66" s="2422"/>
      <c r="D66" s="2433"/>
      <c r="E66" s="2433"/>
      <c r="F66" s="2434" t="str">
        <f t="shared" si="27"/>
        <v/>
      </c>
      <c r="G66" s="2800">
        <f>IF(SUM(F63:F66)=0,TIME(0,0,0),SUM(F63:F66))</f>
        <v>0</v>
      </c>
      <c r="H66" s="2728"/>
      <c r="I66" s="2406"/>
      <c r="J66" s="2432" t="s">
        <v>758</v>
      </c>
      <c r="K66" s="2422"/>
      <c r="L66" s="2433"/>
      <c r="M66" s="2433"/>
      <c r="N66" s="2434" t="str">
        <f t="shared" si="29"/>
        <v/>
      </c>
      <c r="O66" s="2800">
        <f>IF(SUM(N63:N66)=0,TIME(0,0,0),SUM(N63:N66))</f>
        <v>0</v>
      </c>
      <c r="P66" s="2728"/>
      <c r="S66" s="2385">
        <f t="shared" si="8"/>
        <v>0.6979166666666663</v>
      </c>
      <c r="T66" s="2377">
        <f t="shared" si="1"/>
        <v>64</v>
      </c>
    </row>
    <row r="67" spans="1:189" ht="15.5" x14ac:dyDescent="0.35">
      <c r="A67" s="2374">
        <v>30</v>
      </c>
      <c r="B67" s="2740" t="s">
        <v>818</v>
      </c>
      <c r="C67" s="2741"/>
      <c r="D67" s="2742"/>
      <c r="E67" s="2743"/>
      <c r="F67" s="2744"/>
      <c r="G67" s="2745" t="str">
        <f>E62</f>
        <v/>
      </c>
      <c r="H67" s="2739" t="str">
        <f>E63</f>
        <v/>
      </c>
      <c r="I67" s="2406"/>
      <c r="J67" s="2740" t="s">
        <v>818</v>
      </c>
      <c r="K67" s="2741"/>
      <c r="L67" s="2742"/>
      <c r="M67" s="2743"/>
      <c r="N67" s="2744"/>
      <c r="O67" s="2745" t="str">
        <f>M62</f>
        <v/>
      </c>
      <c r="P67" s="2739" t="str">
        <f>M63</f>
        <v/>
      </c>
      <c r="S67" s="2385">
        <f t="shared" si="8"/>
        <v>0.70833333333333293</v>
      </c>
      <c r="T67" s="2377">
        <f t="shared" si="1"/>
        <v>65</v>
      </c>
    </row>
    <row r="68" spans="1:189" ht="15.5" x14ac:dyDescent="0.35">
      <c r="B68" s="2962" t="s">
        <v>536</v>
      </c>
      <c r="C68" s="2963"/>
      <c r="D68" s="2963"/>
      <c r="E68" s="2963"/>
      <c r="F68" s="2963"/>
      <c r="G68" s="2963"/>
      <c r="H68" s="2964"/>
      <c r="I68" s="2406"/>
      <c r="J68" s="2959" t="s">
        <v>536</v>
      </c>
      <c r="K68" s="2959"/>
      <c r="L68" s="2959"/>
      <c r="M68" s="2959"/>
      <c r="N68" s="2959"/>
      <c r="O68" s="2959"/>
      <c r="P68" s="2959"/>
      <c r="S68" s="2385">
        <f t="shared" si="8"/>
        <v>0.71874999999999956</v>
      </c>
      <c r="T68" s="2377">
        <f t="shared" si="1"/>
        <v>66</v>
      </c>
    </row>
    <row r="69" spans="1:189" ht="15.5" x14ac:dyDescent="0.35">
      <c r="B69" s="2965"/>
      <c r="C69" s="2966"/>
      <c r="D69" s="2966"/>
      <c r="E69" s="2966"/>
      <c r="F69" s="2966"/>
      <c r="G69" s="2966"/>
      <c r="H69" s="2967"/>
      <c r="I69" s="2406"/>
      <c r="J69" s="2959"/>
      <c r="K69" s="2959"/>
      <c r="L69" s="2959"/>
      <c r="M69" s="2959"/>
      <c r="N69" s="2959"/>
      <c r="O69" s="2959"/>
      <c r="P69" s="2959"/>
      <c r="S69" s="2385">
        <f t="shared" si="8"/>
        <v>0.72916666666666619</v>
      </c>
      <c r="T69" s="2377">
        <f t="shared" ref="T69:T99" si="31">T68+1</f>
        <v>67</v>
      </c>
      <c r="GG69" s="2377">
        <f>MY44</f>
        <v>0</v>
      </c>
    </row>
    <row r="70" spans="1:189" ht="15.75" customHeight="1" x14ac:dyDescent="0.35">
      <c r="A70" s="2406"/>
      <c r="B70" s="2968"/>
      <c r="C70" s="2969"/>
      <c r="D70" s="2969"/>
      <c r="E70" s="2969"/>
      <c r="F70" s="2969"/>
      <c r="G70" s="2969"/>
      <c r="H70" s="2970"/>
      <c r="I70" s="2406"/>
      <c r="J70" s="2959"/>
      <c r="K70" s="2959"/>
      <c r="L70" s="2959"/>
      <c r="M70" s="2959"/>
      <c r="N70" s="2959"/>
      <c r="O70" s="2959"/>
      <c r="P70" s="2959"/>
      <c r="S70" s="2385">
        <f t="shared" si="8"/>
        <v>0.73958333333333282</v>
      </c>
      <c r="T70" s="2377">
        <f t="shared" si="31"/>
        <v>68</v>
      </c>
    </row>
    <row r="71" spans="1:189" ht="15.5" x14ac:dyDescent="0.35">
      <c r="B71" s="2440"/>
      <c r="C71" s="2441"/>
      <c r="D71" s="2440"/>
      <c r="E71" s="2440"/>
      <c r="F71" s="2440"/>
      <c r="G71" s="2440"/>
      <c r="H71" s="2440"/>
      <c r="I71" s="2406"/>
      <c r="J71" s="2453"/>
      <c r="K71" s="2453"/>
      <c r="L71" s="2453"/>
      <c r="M71" s="2453"/>
      <c r="N71" s="2454"/>
      <c r="O71" s="2454"/>
      <c r="P71" s="2454"/>
      <c r="S71" s="2385">
        <f t="shared" si="8"/>
        <v>0.74999999999999944</v>
      </c>
      <c r="T71" s="2377">
        <f t="shared" si="31"/>
        <v>69</v>
      </c>
    </row>
    <row r="72" spans="1:189" ht="15.5" x14ac:dyDescent="0.35">
      <c r="B72" s="2971">
        <f ca="1">J37+1</f>
        <v>45176</v>
      </c>
      <c r="C72" s="2972"/>
      <c r="D72" s="2972"/>
      <c r="E72" s="2972"/>
      <c r="F72" s="2972"/>
      <c r="G72" s="2972"/>
      <c r="H72" s="2973"/>
      <c r="I72" s="2406"/>
      <c r="J72" s="2974">
        <f ca="1">B72+1</f>
        <v>45177</v>
      </c>
      <c r="K72" s="2975"/>
      <c r="L72" s="2975"/>
      <c r="M72" s="2975"/>
      <c r="N72" s="2975"/>
      <c r="O72" s="2975"/>
      <c r="P72" s="2976"/>
      <c r="R72" s="2451"/>
      <c r="S72" s="2385">
        <f t="shared" si="8"/>
        <v>0.76041666666666607</v>
      </c>
      <c r="T72" s="2377">
        <f t="shared" si="31"/>
        <v>70</v>
      </c>
    </row>
    <row r="73" spans="1:189" ht="15.75" customHeight="1" x14ac:dyDescent="0.35">
      <c r="B73" s="2379" t="s">
        <v>796</v>
      </c>
      <c r="C73" s="2380"/>
      <c r="D73" s="2380" t="s">
        <v>778</v>
      </c>
      <c r="E73" s="2380" t="s">
        <v>779</v>
      </c>
      <c r="F73" s="2380" t="s">
        <v>75</v>
      </c>
      <c r="G73" s="2381" t="s">
        <v>780</v>
      </c>
      <c r="H73" s="2382"/>
      <c r="I73" s="2406"/>
      <c r="J73" s="2379" t="s">
        <v>797</v>
      </c>
      <c r="K73" s="2379"/>
      <c r="L73" s="2380" t="s">
        <v>778</v>
      </c>
      <c r="M73" s="2380" t="s">
        <v>779</v>
      </c>
      <c r="N73" s="2380" t="s">
        <v>75</v>
      </c>
      <c r="O73" s="2381" t="s">
        <v>780</v>
      </c>
      <c r="P73" s="2382"/>
      <c r="S73" s="2385">
        <f t="shared" si="8"/>
        <v>0.7708333333333327</v>
      </c>
      <c r="T73" s="2377">
        <f t="shared" si="31"/>
        <v>71</v>
      </c>
    </row>
    <row r="74" spans="1:189" ht="15.75" customHeight="1" x14ac:dyDescent="0.35">
      <c r="A74" s="2374">
        <v>1</v>
      </c>
      <c r="B74" s="2386" t="s">
        <v>76</v>
      </c>
      <c r="C74" s="2387"/>
      <c r="D74" s="2388"/>
      <c r="E74" s="2389"/>
      <c r="F74" s="2364" t="str">
        <f>IF(D74="","",IF(E74="","",MOD(E74-D74,1)))</f>
        <v/>
      </c>
      <c r="G74" s="2364"/>
      <c r="H74" s="2364"/>
      <c r="I74" s="2406"/>
      <c r="J74" s="2386" t="s">
        <v>76</v>
      </c>
      <c r="K74" s="2387"/>
      <c r="L74" s="2388"/>
      <c r="M74" s="2389"/>
      <c r="N74" s="2364" t="str">
        <f>IF(L74="","",IF(M74="","",MOD(M74-L74,1)))</f>
        <v/>
      </c>
      <c r="O74" s="2364"/>
      <c r="P74" s="2364"/>
      <c r="S74" s="2385">
        <f t="shared" si="8"/>
        <v>0.78124999999999933</v>
      </c>
      <c r="T74" s="2377">
        <f t="shared" si="31"/>
        <v>72</v>
      </c>
    </row>
    <row r="75" spans="1:189" ht="15.75" customHeight="1" x14ac:dyDescent="0.35">
      <c r="A75" s="2374">
        <v>2</v>
      </c>
      <c r="B75" s="2386" t="s">
        <v>816</v>
      </c>
      <c r="C75" s="2391"/>
      <c r="D75" s="2392"/>
      <c r="E75" s="2392"/>
      <c r="F75" s="2393" t="s">
        <v>817</v>
      </c>
      <c r="G75" s="2394"/>
      <c r="H75" s="2395"/>
      <c r="I75" s="2406"/>
      <c r="J75" s="2386" t="s">
        <v>816</v>
      </c>
      <c r="K75" s="2391"/>
      <c r="L75" s="2392"/>
      <c r="M75" s="2392"/>
      <c r="N75" s="2393" t="s">
        <v>817</v>
      </c>
      <c r="O75" s="2394"/>
      <c r="P75" s="2395"/>
      <c r="S75" s="2385">
        <f t="shared" si="8"/>
        <v>0.79166666666666596</v>
      </c>
      <c r="T75" s="2377">
        <f t="shared" si="31"/>
        <v>73</v>
      </c>
    </row>
    <row r="76" spans="1:189" ht="15.5" x14ac:dyDescent="0.35">
      <c r="A76" s="2374">
        <v>3</v>
      </c>
      <c r="B76" s="2366" t="s">
        <v>77</v>
      </c>
      <c r="C76" s="2396"/>
      <c r="D76" s="2397" t="str">
        <f>IF(E74="","",E74)</f>
        <v/>
      </c>
      <c r="E76" s="2397"/>
      <c r="F76" s="2398"/>
      <c r="G76" s="2399">
        <v>0.125</v>
      </c>
      <c r="H76" s="2400"/>
      <c r="I76" s="2406"/>
      <c r="J76" s="2366" t="s">
        <v>77</v>
      </c>
      <c r="K76" s="2396"/>
      <c r="L76" s="2397" t="str">
        <f>IF(M74="","",M74)</f>
        <v/>
      </c>
      <c r="M76" s="2397"/>
      <c r="N76" s="2398"/>
      <c r="O76" s="2399">
        <v>0.125</v>
      </c>
      <c r="P76" s="2400"/>
      <c r="S76" s="2385">
        <f t="shared" si="8"/>
        <v>0.80208333333333259</v>
      </c>
      <c r="T76" s="2377">
        <f t="shared" si="31"/>
        <v>74</v>
      </c>
    </row>
    <row r="77" spans="1:189" ht="15.5" x14ac:dyDescent="0.35">
      <c r="A77" s="2374">
        <v>4</v>
      </c>
      <c r="B77" s="2401" t="s">
        <v>78</v>
      </c>
      <c r="C77" s="2402"/>
      <c r="D77" s="2403" t="str">
        <f>IF(D76="","",D76+TIME(0,15,0))</f>
        <v/>
      </c>
      <c r="E77" s="2403" t="str">
        <f>IF(D77="","",D77+TIME(0,15,0))</f>
        <v/>
      </c>
      <c r="F77" s="2404" t="str">
        <f t="shared" ref="F77:F86" si="32">IF(D77="","",IF(E77="","",MOD(E77-D77,1)))</f>
        <v/>
      </c>
      <c r="G77" s="2399" t="str">
        <f t="shared" ref="G77:G86" si="33">IF(D77="","",CONCATENATE(TEXT(D77,"h:mm")&amp;"-"&amp;TEXT(E77,"h:mm")))</f>
        <v/>
      </c>
      <c r="H77" s="2405"/>
      <c r="I77" s="2406"/>
      <c r="J77" s="2401" t="s">
        <v>78</v>
      </c>
      <c r="K77" s="2402"/>
      <c r="L77" s="2403" t="str">
        <f>IF(L76="","",L76+TIME(0,15,0))</f>
        <v/>
      </c>
      <c r="M77" s="2403" t="str">
        <f>IF(L77="","",L77+TIME(0,15,0))</f>
        <v/>
      </c>
      <c r="N77" s="2404" t="str">
        <f t="shared" ref="N77:N86" si="34">IF(L77="","",IF(M77="","",MOD(M77-L77,1)))</f>
        <v/>
      </c>
      <c r="O77" s="2399" t="str">
        <f t="shared" ref="O77:O86" si="35">IF(L77="","",CONCATENATE(TEXT(L77,"h:mm")&amp;"-"&amp;TEXT(M77,"h:mm")))</f>
        <v/>
      </c>
      <c r="P77" s="2405"/>
      <c r="R77" s="2452"/>
      <c r="S77" s="2385">
        <f>S76+TIME(0,15,0)</f>
        <v>0.81249999999999922</v>
      </c>
      <c r="T77" s="2377">
        <f>T76+1</f>
        <v>75</v>
      </c>
    </row>
    <row r="78" spans="1:189" ht="15.5" x14ac:dyDescent="0.35">
      <c r="A78" s="2374">
        <v>5</v>
      </c>
      <c r="B78" s="2401" t="s">
        <v>889</v>
      </c>
      <c r="C78" s="2402"/>
      <c r="D78" s="2403" t="str">
        <f t="shared" ref="D78:D85" si="36">IF(B77="","",E77)</f>
        <v/>
      </c>
      <c r="E78" s="2403" t="str">
        <f>IF(D78="","",D78+TIME(0,15,0))</f>
        <v/>
      </c>
      <c r="F78" s="2404" t="str">
        <f t="shared" si="32"/>
        <v/>
      </c>
      <c r="G78" s="2399" t="str">
        <f t="shared" si="33"/>
        <v/>
      </c>
      <c r="H78" s="2405"/>
      <c r="I78" s="2406"/>
      <c r="J78" s="2401" t="s">
        <v>889</v>
      </c>
      <c r="K78" s="2402"/>
      <c r="L78" s="2403" t="str">
        <f t="shared" ref="L78:L85" si="37">IF(J77="","",M77)</f>
        <v/>
      </c>
      <c r="M78" s="2403" t="str">
        <f>IF(L78="","",L78+TIME(0,15,0))</f>
        <v/>
      </c>
      <c r="N78" s="2404" t="str">
        <f t="shared" si="34"/>
        <v/>
      </c>
      <c r="O78" s="2399" t="str">
        <f t="shared" si="35"/>
        <v/>
      </c>
      <c r="P78" s="2405"/>
      <c r="R78" s="2452"/>
      <c r="S78" s="2385"/>
    </row>
    <row r="79" spans="1:189" ht="15.5" x14ac:dyDescent="0.35">
      <c r="A79" s="2374">
        <v>6</v>
      </c>
      <c r="B79" s="2401" t="s">
        <v>880</v>
      </c>
      <c r="C79" s="2402"/>
      <c r="D79" s="2403" t="str">
        <f t="shared" si="36"/>
        <v/>
      </c>
      <c r="E79" s="2403" t="str">
        <f>IF(D79="","",D79+TIME(0,30,0))</f>
        <v/>
      </c>
      <c r="F79" s="2404" t="str">
        <f t="shared" si="32"/>
        <v/>
      </c>
      <c r="G79" s="2399" t="str">
        <f t="shared" si="33"/>
        <v/>
      </c>
      <c r="H79" s="2416">
        <f>SUM(F77:F79)</f>
        <v>0</v>
      </c>
      <c r="I79" s="2406"/>
      <c r="J79" s="2401" t="s">
        <v>880</v>
      </c>
      <c r="K79" s="2402"/>
      <c r="L79" s="2403" t="str">
        <f t="shared" si="37"/>
        <v/>
      </c>
      <c r="M79" s="2403" t="str">
        <f>IF(L79="","",L79+TIME(0,30,0))</f>
        <v/>
      </c>
      <c r="N79" s="2404" t="str">
        <f t="shared" si="34"/>
        <v/>
      </c>
      <c r="O79" s="2399" t="str">
        <f t="shared" si="35"/>
        <v/>
      </c>
      <c r="P79" s="2416">
        <f>SUM(N77:N79)</f>
        <v>0</v>
      </c>
      <c r="R79" s="2452"/>
      <c r="S79" s="2385">
        <f>S77+TIME(0,15,0)</f>
        <v>0.82291666666666585</v>
      </c>
      <c r="T79" s="2377">
        <f>T77+1</f>
        <v>76</v>
      </c>
    </row>
    <row r="80" spans="1:189" ht="15.75" customHeight="1" x14ac:dyDescent="0.35">
      <c r="A80" s="2374">
        <v>7</v>
      </c>
      <c r="B80" s="2407" t="s">
        <v>81</v>
      </c>
      <c r="C80" s="2408"/>
      <c r="D80" s="2409" t="str">
        <f t="shared" si="36"/>
        <v/>
      </c>
      <c r="E80" s="2409" t="str">
        <f>IF(D80="","",D80+TIME(0,30,0))</f>
        <v/>
      </c>
      <c r="F80" s="2410" t="str">
        <f t="shared" si="32"/>
        <v/>
      </c>
      <c r="G80" s="2411" t="str">
        <f t="shared" si="33"/>
        <v/>
      </c>
      <c r="H80" s="2412"/>
      <c r="I80" s="2406"/>
      <c r="J80" s="2407" t="s">
        <v>81</v>
      </c>
      <c r="K80" s="2408"/>
      <c r="L80" s="2409" t="str">
        <f t="shared" si="37"/>
        <v/>
      </c>
      <c r="M80" s="2409" t="str">
        <f>IF(L80="","",L80+TIME(0,30,0))</f>
        <v/>
      </c>
      <c r="N80" s="2410" t="str">
        <f t="shared" si="34"/>
        <v/>
      </c>
      <c r="O80" s="2411" t="str">
        <f t="shared" si="35"/>
        <v/>
      </c>
      <c r="P80" s="2412"/>
      <c r="R80" s="2452"/>
      <c r="S80" s="2385">
        <f t="shared" si="8"/>
        <v>0.83333333333333248</v>
      </c>
      <c r="T80" s="2377">
        <f t="shared" si="31"/>
        <v>77</v>
      </c>
    </row>
    <row r="81" spans="1:20" ht="15.75" customHeight="1" x14ac:dyDescent="0.35">
      <c r="A81" s="2374">
        <v>8</v>
      </c>
      <c r="B81" s="2407" t="s">
        <v>83</v>
      </c>
      <c r="C81" s="2408"/>
      <c r="D81" s="2409" t="str">
        <f t="shared" si="36"/>
        <v/>
      </c>
      <c r="E81" s="2409" t="str">
        <f>IF(D81="","",D81+TIME(0,30,0))</f>
        <v/>
      </c>
      <c r="F81" s="2410" t="str">
        <f t="shared" si="32"/>
        <v/>
      </c>
      <c r="G81" s="2411" t="str">
        <f t="shared" si="33"/>
        <v/>
      </c>
      <c r="H81" s="2413"/>
      <c r="I81" s="2406"/>
      <c r="J81" s="2407" t="s">
        <v>83</v>
      </c>
      <c r="K81" s="2408"/>
      <c r="L81" s="2409" t="str">
        <f t="shared" si="37"/>
        <v/>
      </c>
      <c r="M81" s="2409" t="str">
        <f>IF(L81="","",L81+TIME(0,30,0))</f>
        <v/>
      </c>
      <c r="N81" s="2410" t="str">
        <f t="shared" si="34"/>
        <v/>
      </c>
      <c r="O81" s="2411" t="str">
        <f t="shared" si="35"/>
        <v/>
      </c>
      <c r="P81" s="2413"/>
      <c r="R81" s="2452"/>
      <c r="S81" s="2385">
        <f t="shared" si="8"/>
        <v>0.84374999999999911</v>
      </c>
      <c r="T81" s="2377">
        <f t="shared" si="31"/>
        <v>78</v>
      </c>
    </row>
    <row r="82" spans="1:20" ht="15.5" x14ac:dyDescent="0.35">
      <c r="A82" s="2374">
        <v>9</v>
      </c>
      <c r="B82" s="2407" t="s">
        <v>80</v>
      </c>
      <c r="C82" s="2408"/>
      <c r="D82" s="2409" t="str">
        <f t="shared" si="36"/>
        <v/>
      </c>
      <c r="E82" s="2409" t="str">
        <f>IF(E81="","",E81+TIME(1,0,0))</f>
        <v/>
      </c>
      <c r="F82" s="2410" t="str">
        <f t="shared" si="32"/>
        <v/>
      </c>
      <c r="G82" s="2411" t="str">
        <f t="shared" si="33"/>
        <v/>
      </c>
      <c r="H82" s="2414">
        <f>SUM(F80:F82)</f>
        <v>0</v>
      </c>
      <c r="I82" s="2406"/>
      <c r="J82" s="2407" t="s">
        <v>80</v>
      </c>
      <c r="K82" s="2408"/>
      <c r="L82" s="2409" t="str">
        <f t="shared" si="37"/>
        <v/>
      </c>
      <c r="M82" s="2409" t="str">
        <f>IF(M81="","",M81+TIME(1,0,0))</f>
        <v/>
      </c>
      <c r="N82" s="2410" t="str">
        <f t="shared" si="34"/>
        <v/>
      </c>
      <c r="O82" s="2411" t="str">
        <f t="shared" si="35"/>
        <v/>
      </c>
      <c r="P82" s="2414">
        <f>SUM(N80:N82)</f>
        <v>0</v>
      </c>
      <c r="R82" s="2452"/>
      <c r="S82" s="2385">
        <f t="shared" si="8"/>
        <v>0.85416666666666574</v>
      </c>
      <c r="T82" s="2377">
        <f t="shared" si="31"/>
        <v>79</v>
      </c>
    </row>
    <row r="83" spans="1:20" ht="15.75" customHeight="1" x14ac:dyDescent="0.35">
      <c r="A83" s="2374">
        <v>10</v>
      </c>
      <c r="B83" s="2401" t="s">
        <v>753</v>
      </c>
      <c r="C83" s="2402"/>
      <c r="D83" s="2403" t="str">
        <f t="shared" si="36"/>
        <v/>
      </c>
      <c r="E83" s="2403" t="str">
        <f>IF(D83="","",D83+TIME(0,30,0))</f>
        <v/>
      </c>
      <c r="F83" s="2415" t="str">
        <f t="shared" si="32"/>
        <v/>
      </c>
      <c r="G83" s="2399" t="str">
        <f t="shared" si="33"/>
        <v/>
      </c>
      <c r="H83" s="2416"/>
      <c r="I83" s="2406"/>
      <c r="J83" s="2401" t="s">
        <v>753</v>
      </c>
      <c r="K83" s="2402"/>
      <c r="L83" s="2403" t="str">
        <f t="shared" si="37"/>
        <v/>
      </c>
      <c r="M83" s="2403" t="str">
        <f>IF(L83="","",L83+TIME(0,30,0))</f>
        <v/>
      </c>
      <c r="N83" s="2415" t="str">
        <f t="shared" si="34"/>
        <v/>
      </c>
      <c r="O83" s="2399" t="str">
        <f t="shared" si="35"/>
        <v/>
      </c>
      <c r="P83" s="2416"/>
      <c r="R83" s="2452"/>
      <c r="S83" s="2385">
        <f t="shared" si="8"/>
        <v>0.86458333333333237</v>
      </c>
      <c r="T83" s="2377">
        <f t="shared" si="31"/>
        <v>80</v>
      </c>
    </row>
    <row r="84" spans="1:20" ht="15.75" customHeight="1" x14ac:dyDescent="0.35">
      <c r="A84" s="2374">
        <v>11</v>
      </c>
      <c r="B84" s="2401" t="s">
        <v>79</v>
      </c>
      <c r="C84" s="2402"/>
      <c r="D84" s="2403" t="str">
        <f t="shared" si="36"/>
        <v/>
      </c>
      <c r="E84" s="2403" t="str">
        <f>IF(D84="","",D84+TIME(0,15,0))</f>
        <v/>
      </c>
      <c r="F84" s="2415" t="str">
        <f t="shared" si="32"/>
        <v/>
      </c>
      <c r="G84" s="2399" t="str">
        <f t="shared" si="33"/>
        <v/>
      </c>
      <c r="H84" s="2416"/>
      <c r="I84" s="2406"/>
      <c r="J84" s="2401" t="s">
        <v>79</v>
      </c>
      <c r="K84" s="2402"/>
      <c r="L84" s="2403" t="str">
        <f t="shared" si="37"/>
        <v/>
      </c>
      <c r="M84" s="2403" t="str">
        <f>IF(L84="","",L84+TIME(0,15,0))</f>
        <v/>
      </c>
      <c r="N84" s="2415" t="str">
        <f t="shared" si="34"/>
        <v/>
      </c>
      <c r="O84" s="2399" t="str">
        <f t="shared" si="35"/>
        <v/>
      </c>
      <c r="P84" s="2416"/>
      <c r="R84" s="2452"/>
      <c r="S84" s="2385">
        <f t="shared" si="8"/>
        <v>0.874999999999999</v>
      </c>
      <c r="T84" s="2377">
        <f t="shared" si="31"/>
        <v>81</v>
      </c>
    </row>
    <row r="85" spans="1:20" ht="15.75" customHeight="1" x14ac:dyDescent="0.35">
      <c r="A85" s="2374">
        <v>12</v>
      </c>
      <c r="B85" s="2401" t="s">
        <v>82</v>
      </c>
      <c r="C85" s="2402"/>
      <c r="D85" s="2403" t="str">
        <f t="shared" si="36"/>
        <v/>
      </c>
      <c r="E85" s="2403" t="str">
        <f>IF(D85="","",D85+TIME(0,15,0))</f>
        <v/>
      </c>
      <c r="F85" s="2404" t="str">
        <f t="shared" si="32"/>
        <v/>
      </c>
      <c r="G85" s="2399" t="str">
        <f t="shared" si="33"/>
        <v/>
      </c>
      <c r="H85" s="2416">
        <f>SUM(F83:F85)</f>
        <v>0</v>
      </c>
      <c r="I85" s="2406"/>
      <c r="J85" s="2401" t="s">
        <v>82</v>
      </c>
      <c r="K85" s="2402"/>
      <c r="L85" s="2403" t="str">
        <f t="shared" si="37"/>
        <v/>
      </c>
      <c r="M85" s="2403" t="str">
        <f>IF(L85="","",L85+TIME(0,15,0))</f>
        <v/>
      </c>
      <c r="N85" s="2404" t="str">
        <f t="shared" si="34"/>
        <v/>
      </c>
      <c r="O85" s="2399" t="str">
        <f t="shared" si="35"/>
        <v/>
      </c>
      <c r="P85" s="2416">
        <f>SUM(N83:N85)</f>
        <v>0</v>
      </c>
      <c r="R85" s="2452"/>
      <c r="S85" s="2385">
        <f t="shared" si="8"/>
        <v>0.88541666666666563</v>
      </c>
      <c r="T85" s="2377">
        <f t="shared" si="31"/>
        <v>82</v>
      </c>
    </row>
    <row r="86" spans="1:20" ht="15.75" customHeight="1" x14ac:dyDescent="0.35">
      <c r="A86" s="2374">
        <v>14</v>
      </c>
      <c r="B86" s="2417" t="s">
        <v>820</v>
      </c>
      <c r="C86" s="2418"/>
      <c r="D86" s="2388" t="str">
        <f>IF(B85="","",E85)</f>
        <v/>
      </c>
      <c r="E86" s="2388" t="str">
        <f>IF(D86="","",D86+TIME(0,45,0))</f>
        <v/>
      </c>
      <c r="F86" s="2419" t="str">
        <f t="shared" si="32"/>
        <v/>
      </c>
      <c r="G86" s="2420" t="str">
        <f t="shared" si="33"/>
        <v/>
      </c>
      <c r="H86" s="2421"/>
      <c r="I86" s="2406"/>
      <c r="J86" s="2417" t="s">
        <v>820</v>
      </c>
      <c r="K86" s="2418"/>
      <c r="L86" s="2388" t="str">
        <f>IF(J85="","",M85)</f>
        <v/>
      </c>
      <c r="M86" s="2388" t="str">
        <f>IF(L86="","",L86+TIME(0,45,0))</f>
        <v/>
      </c>
      <c r="N86" s="2419" t="str">
        <f t="shared" si="34"/>
        <v/>
      </c>
      <c r="O86" s="2420" t="str">
        <f t="shared" si="35"/>
        <v/>
      </c>
      <c r="P86" s="2421"/>
      <c r="R86" s="2452"/>
      <c r="S86" s="2385">
        <f t="shared" si="8"/>
        <v>0.89583333333333226</v>
      </c>
      <c r="T86" s="2377">
        <f t="shared" si="31"/>
        <v>83</v>
      </c>
    </row>
    <row r="87" spans="1:20" ht="15.75" customHeight="1" x14ac:dyDescent="0.35">
      <c r="A87" s="2374">
        <v>15</v>
      </c>
      <c r="B87" s="2735" t="s">
        <v>85</v>
      </c>
      <c r="C87" s="2736"/>
      <c r="D87" s="2737"/>
      <c r="E87" s="2737"/>
      <c r="F87" s="2738">
        <f>SUM(F77:F85)</f>
        <v>0</v>
      </c>
      <c r="G87" s="2739" t="str">
        <f>E85</f>
        <v/>
      </c>
      <c r="H87" s="2739" t="str">
        <f>G87</f>
        <v/>
      </c>
      <c r="I87" s="2406"/>
      <c r="J87" s="2735" t="s">
        <v>85</v>
      </c>
      <c r="K87" s="2736"/>
      <c r="L87" s="2737"/>
      <c r="M87" s="2737"/>
      <c r="N87" s="2738">
        <f>SUM(N77:N85)</f>
        <v>0</v>
      </c>
      <c r="O87" s="2739" t="str">
        <f>M85</f>
        <v/>
      </c>
      <c r="P87" s="2739" t="str">
        <f>O87</f>
        <v/>
      </c>
      <c r="R87" s="2452"/>
      <c r="S87" s="2385">
        <f t="shared" si="8"/>
        <v>0.90624999999999889</v>
      </c>
      <c r="T87" s="2377">
        <f t="shared" si="31"/>
        <v>84</v>
      </c>
    </row>
    <row r="88" spans="1:20" ht="15.75" customHeight="1" x14ac:dyDescent="0.35">
      <c r="A88" s="2374">
        <v>16</v>
      </c>
      <c r="B88" s="2423" t="s">
        <v>881</v>
      </c>
      <c r="C88" s="2424"/>
      <c r="D88" s="2425"/>
      <c r="E88" s="2425"/>
      <c r="F88" s="2426" t="str">
        <f>IF(D88="","",IF(E88="","",MOD(E88-D88,1)))</f>
        <v/>
      </c>
      <c r="G88" s="2427"/>
      <c r="H88" s="2428"/>
      <c r="I88" s="2406"/>
      <c r="J88" s="2423" t="s">
        <v>881</v>
      </c>
      <c r="K88" s="2424"/>
      <c r="L88" s="2425"/>
      <c r="M88" s="2425"/>
      <c r="N88" s="2426" t="str">
        <f>IF(L88="","",IF(M88="","",MOD(M88-L88,1)))</f>
        <v/>
      </c>
      <c r="O88" s="2427"/>
      <c r="P88" s="2428"/>
      <c r="R88" s="2452"/>
      <c r="S88" s="2385">
        <f t="shared" ref="S88:S99" si="38">S87+TIME(0,15,0)</f>
        <v>0.91666666666666552</v>
      </c>
      <c r="T88" s="2377">
        <f t="shared" si="31"/>
        <v>85</v>
      </c>
    </row>
    <row r="89" spans="1:20" ht="15.75" customHeight="1" x14ac:dyDescent="0.35">
      <c r="A89" s="2374">
        <v>17</v>
      </c>
      <c r="B89" s="2423" t="s">
        <v>787</v>
      </c>
      <c r="C89" s="2424"/>
      <c r="D89" s="2425"/>
      <c r="E89" s="2425"/>
      <c r="F89" s="2426" t="str">
        <f>IF(D89="","",IF(E89="","",MOD(E89-D89,1)))</f>
        <v/>
      </c>
      <c r="G89" s="2429"/>
      <c r="H89" s="2430"/>
      <c r="I89" s="2406"/>
      <c r="J89" s="2423" t="s">
        <v>787</v>
      </c>
      <c r="K89" s="2424"/>
      <c r="L89" s="2425"/>
      <c r="M89" s="2425"/>
      <c r="N89" s="2426" t="str">
        <f>IF(L89="","",IF(M89="","",MOD(M89-L89,1)))</f>
        <v/>
      </c>
      <c r="O89" s="2429"/>
      <c r="P89" s="2430"/>
      <c r="S89" s="2385">
        <f t="shared" si="38"/>
        <v>0.92708333333333215</v>
      </c>
      <c r="T89" s="2377">
        <f t="shared" si="31"/>
        <v>86</v>
      </c>
    </row>
    <row r="90" spans="1:20" ht="15.75" customHeight="1" x14ac:dyDescent="0.35">
      <c r="A90" s="2374">
        <v>18</v>
      </c>
      <c r="B90" s="2423" t="s">
        <v>789</v>
      </c>
      <c r="C90" s="2424"/>
      <c r="D90" s="2425"/>
      <c r="E90" s="2425"/>
      <c r="F90" s="2426" t="str">
        <f>IF(D90="","",IF(E90="","",MOD(E90-D90,1)))</f>
        <v/>
      </c>
      <c r="G90" s="2429"/>
      <c r="H90" s="2431"/>
      <c r="I90" s="2406"/>
      <c r="J90" s="2423" t="s">
        <v>789</v>
      </c>
      <c r="K90" s="2424"/>
      <c r="L90" s="2425"/>
      <c r="M90" s="2425"/>
      <c r="N90" s="2426" t="str">
        <f>IF(L90="","",IF(M90="","",MOD(M90-L90,1)))</f>
        <v/>
      </c>
      <c r="O90" s="2429"/>
      <c r="P90" s="2431"/>
      <c r="S90" s="2385">
        <f t="shared" si="38"/>
        <v>0.93749999999999878</v>
      </c>
      <c r="T90" s="2377">
        <f t="shared" si="31"/>
        <v>87</v>
      </c>
    </row>
    <row r="91" spans="1:20" ht="15.5" x14ac:dyDescent="0.35">
      <c r="A91" s="2374">
        <v>19</v>
      </c>
      <c r="B91" s="2432" t="s">
        <v>758</v>
      </c>
      <c r="C91" s="2422"/>
      <c r="D91" s="2433"/>
      <c r="E91" s="2433"/>
      <c r="F91" s="2434" t="str">
        <f>IF(D91="","",IF(E91="","",MOD(E91-D91,1)))</f>
        <v/>
      </c>
      <c r="G91" s="2435">
        <f>SUM(F88:F91)</f>
        <v>0</v>
      </c>
      <c r="H91" s="2436"/>
      <c r="I91" s="2406"/>
      <c r="J91" s="2432" t="s">
        <v>758</v>
      </c>
      <c r="K91" s="2422"/>
      <c r="L91" s="2433"/>
      <c r="M91" s="2433"/>
      <c r="N91" s="2434" t="str">
        <f>IF(L91="","",IF(M91="","",MOD(M91-L91,1)))</f>
        <v/>
      </c>
      <c r="O91" s="2435">
        <f>SUM(N88:N91)</f>
        <v>0</v>
      </c>
      <c r="P91" s="2436"/>
      <c r="S91" s="2385">
        <f t="shared" si="38"/>
        <v>0.94791666666666541</v>
      </c>
      <c r="T91" s="2377">
        <f t="shared" si="31"/>
        <v>88</v>
      </c>
    </row>
    <row r="92" spans="1:20" ht="15.5" x14ac:dyDescent="0.35">
      <c r="A92" s="2374">
        <v>20</v>
      </c>
      <c r="B92" s="2729" t="s">
        <v>819</v>
      </c>
      <c r="C92" s="2730"/>
      <c r="D92" s="2731"/>
      <c r="E92" s="2731"/>
      <c r="F92" s="2732"/>
      <c r="G92" s="2733"/>
      <c r="H92" s="2734"/>
      <c r="I92" s="2406"/>
      <c r="J92" s="2729" t="s">
        <v>819</v>
      </c>
      <c r="K92" s="2730"/>
      <c r="L92" s="2731"/>
      <c r="M92" s="2731"/>
      <c r="N92" s="2732"/>
      <c r="O92" s="2733"/>
      <c r="P92" s="2734"/>
      <c r="S92" s="2385">
        <f t="shared" si="38"/>
        <v>0.95833333333333204</v>
      </c>
      <c r="T92" s="2377">
        <f t="shared" si="31"/>
        <v>89</v>
      </c>
    </row>
    <row r="93" spans="1:20" ht="15.5" x14ac:dyDescent="0.35">
      <c r="A93" s="2374">
        <v>21</v>
      </c>
      <c r="B93" s="2714" t="s">
        <v>78</v>
      </c>
      <c r="C93" s="2715"/>
      <c r="D93" s="2716" t="str">
        <f>IF(E86="","",E86+TIME(0,0,0))</f>
        <v/>
      </c>
      <c r="E93" s="2716" t="str">
        <f>IF(D93="","",D93+TIME(0,15,0))</f>
        <v/>
      </c>
      <c r="F93" s="2717" t="str">
        <f t="shared" ref="F93:F94" si="39">IF(D93="","",IF(E93="","",MOD(E93-D93,1)))</f>
        <v/>
      </c>
      <c r="G93" s="2718" t="str">
        <f t="shared" ref="G93:G94" si="40">IF(D93="","",CONCATENATE(TEXT(D93,"h:mm")&amp;"-"&amp;TEXT(E93,"h:mm")))</f>
        <v/>
      </c>
      <c r="H93" s="2719"/>
      <c r="I93" s="2406"/>
      <c r="J93" s="2714" t="s">
        <v>78</v>
      </c>
      <c r="K93" s="2715"/>
      <c r="L93" s="2716" t="str">
        <f>IF(M86="","",M86+TIME(0,0,0))</f>
        <v/>
      </c>
      <c r="M93" s="2716" t="str">
        <f>IF(L93="","",L93+TIME(0,15,0))</f>
        <v/>
      </c>
      <c r="N93" s="2717" t="str">
        <f t="shared" ref="N93:N94" si="41">IF(L93="","",IF(M93="","",MOD(M93-L93,1)))</f>
        <v/>
      </c>
      <c r="O93" s="2718" t="str">
        <f t="shared" ref="O93:O94" si="42">IF(L93="","",CONCATENATE(TEXT(L93,"h:mm")&amp;"-"&amp;TEXT(M93,"h:mm")))</f>
        <v/>
      </c>
      <c r="P93" s="2719"/>
      <c r="S93" s="2385">
        <f t="shared" si="38"/>
        <v>0.96874999999999867</v>
      </c>
      <c r="T93" s="2377">
        <f t="shared" si="31"/>
        <v>90</v>
      </c>
    </row>
    <row r="94" spans="1:20" ht="15.5" x14ac:dyDescent="0.35">
      <c r="A94" s="2374">
        <v>22</v>
      </c>
      <c r="B94" s="2847" t="s">
        <v>878</v>
      </c>
      <c r="C94" s="2848"/>
      <c r="D94" s="2716"/>
      <c r="E94" s="2716"/>
      <c r="F94" s="2717" t="str">
        <f t="shared" si="39"/>
        <v/>
      </c>
      <c r="G94" s="2849" t="str">
        <f t="shared" si="40"/>
        <v/>
      </c>
      <c r="H94" s="2850"/>
      <c r="I94" s="2406"/>
      <c r="J94" s="2847" t="s">
        <v>878</v>
      </c>
      <c r="K94" s="2848"/>
      <c r="L94" s="2716"/>
      <c r="M94" s="2716"/>
      <c r="N94" s="2717" t="str">
        <f t="shared" si="41"/>
        <v/>
      </c>
      <c r="O94" s="2849" t="str">
        <f t="shared" si="42"/>
        <v/>
      </c>
      <c r="P94" s="2850"/>
      <c r="S94" s="2385">
        <f t="shared" si="38"/>
        <v>0.9791666666666653</v>
      </c>
      <c r="T94" s="2377">
        <f t="shared" si="31"/>
        <v>91</v>
      </c>
    </row>
    <row r="95" spans="1:20" ht="15.5" x14ac:dyDescent="0.35">
      <c r="A95" s="2374">
        <v>23</v>
      </c>
      <c r="B95" s="2720" t="s">
        <v>879</v>
      </c>
      <c r="C95" s="2721"/>
      <c r="D95" s="2409"/>
      <c r="E95" s="2409"/>
      <c r="F95" s="2410" t="str">
        <f>IF(D95="","",IF(E95="","",MOD(E95-D95,1)))</f>
        <v/>
      </c>
      <c r="G95" s="2411" t="str">
        <f>IF(D95="","",CONCATENATE(TEXT(D95,"h:mm")&amp;"-"&amp;TEXT(E95,"h:mm")))</f>
        <v/>
      </c>
      <c r="H95" s="2414"/>
      <c r="I95" s="2406"/>
      <c r="J95" s="2720" t="s">
        <v>879</v>
      </c>
      <c r="K95" s="2721"/>
      <c r="L95" s="2409"/>
      <c r="M95" s="2409"/>
      <c r="N95" s="2410" t="str">
        <f>IF(L95="","",IF(M95="","",MOD(M95-L95,1)))</f>
        <v/>
      </c>
      <c r="O95" s="2411" t="str">
        <f>IF(L95="","",CONCATENATE(TEXT(L95,"h:mm")&amp;"-"&amp;TEXT(M95,"h:mm")))</f>
        <v/>
      </c>
      <c r="P95" s="2414"/>
      <c r="S95" s="2385">
        <f t="shared" si="38"/>
        <v>0.98958333333333193</v>
      </c>
      <c r="T95" s="2377">
        <f t="shared" si="31"/>
        <v>92</v>
      </c>
    </row>
    <row r="96" spans="1:20" ht="15.5" x14ac:dyDescent="0.35">
      <c r="A96" s="2374">
        <v>24</v>
      </c>
      <c r="B96" s="2720"/>
      <c r="C96" s="2721"/>
      <c r="D96" s="2857"/>
      <c r="E96" s="2409"/>
      <c r="F96" s="2410" t="str">
        <f t="shared" ref="F96:F101" si="43">IF(D96="","",IF(E96="","",MOD(E96-D96,1)))</f>
        <v/>
      </c>
      <c r="G96" s="2411" t="str">
        <f t="shared" ref="G96:G98" si="44">IF(D96="","",CONCATENATE(TEXT(D96,"h:mm")&amp;"-"&amp;TEXT(E96,"h:mm")))</f>
        <v/>
      </c>
      <c r="H96" s="2414"/>
      <c r="I96" s="2406"/>
      <c r="J96" s="2720"/>
      <c r="K96" s="2721"/>
      <c r="L96" s="2857"/>
      <c r="M96" s="2409"/>
      <c r="N96" s="2410" t="str">
        <f t="shared" ref="N96:N101" si="45">IF(L96="","",IF(M96="","",MOD(M96-L96,1)))</f>
        <v/>
      </c>
      <c r="O96" s="2411" t="str">
        <f t="shared" ref="O96:O98" si="46">IF(L96="","",CONCATENATE(TEXT(L96,"h:mm")&amp;"-"&amp;TEXT(M96,"h:mm")))</f>
        <v/>
      </c>
      <c r="P96" s="2414"/>
      <c r="S96" s="2385">
        <f t="shared" si="38"/>
        <v>0.99999999999999856</v>
      </c>
      <c r="T96" s="2377">
        <f t="shared" si="31"/>
        <v>93</v>
      </c>
    </row>
    <row r="97" spans="1:20" ht="15.5" x14ac:dyDescent="0.35">
      <c r="A97" s="2374">
        <v>25</v>
      </c>
      <c r="B97" s="2720"/>
      <c r="C97" s="2721"/>
      <c r="D97" s="2409" t="str">
        <f>IF(B97="","",E96)</f>
        <v/>
      </c>
      <c r="E97" s="2722" t="str">
        <f>IF(D97="","",D97+TIME(0,15,0))</f>
        <v/>
      </c>
      <c r="F97" s="2410" t="str">
        <f t="shared" si="43"/>
        <v/>
      </c>
      <c r="G97" s="2411" t="str">
        <f t="shared" si="44"/>
        <v/>
      </c>
      <c r="H97" s="2414"/>
      <c r="I97" s="2406"/>
      <c r="J97" s="2720"/>
      <c r="K97" s="2721"/>
      <c r="L97" s="2409" t="str">
        <f>IF(J97="","",M96)</f>
        <v/>
      </c>
      <c r="M97" s="2722" t="str">
        <f>IF(L97="","",L97+TIME(0,15,0))</f>
        <v/>
      </c>
      <c r="N97" s="2410" t="str">
        <f t="shared" si="45"/>
        <v/>
      </c>
      <c r="O97" s="2411" t="str">
        <f t="shared" si="46"/>
        <v/>
      </c>
      <c r="P97" s="2414"/>
      <c r="S97" s="2385">
        <f t="shared" si="38"/>
        <v>1.0104166666666652</v>
      </c>
      <c r="T97" s="2377">
        <f t="shared" si="31"/>
        <v>94</v>
      </c>
    </row>
    <row r="98" spans="1:20" ht="15.5" x14ac:dyDescent="0.35">
      <c r="A98" s="2374">
        <v>26</v>
      </c>
      <c r="B98" s="2720"/>
      <c r="C98" s="2721"/>
      <c r="D98" s="2409" t="str">
        <f>IF(B98="","",E97)</f>
        <v/>
      </c>
      <c r="E98" s="2722" t="str">
        <f>IF(D98="","",D98+TIME(0,15,0))</f>
        <v/>
      </c>
      <c r="F98" s="2410" t="str">
        <f t="shared" si="43"/>
        <v/>
      </c>
      <c r="G98" s="2411" t="str">
        <f t="shared" si="44"/>
        <v/>
      </c>
      <c r="H98" s="2414">
        <f>SUM(F94:F98)</f>
        <v>0</v>
      </c>
      <c r="I98" s="2406"/>
      <c r="J98" s="2720"/>
      <c r="K98" s="2721"/>
      <c r="L98" s="2409" t="str">
        <f>IF(J98="","",M97)</f>
        <v/>
      </c>
      <c r="M98" s="2722" t="str">
        <f>IF(L98="","",L98+TIME(0,15,0))</f>
        <v/>
      </c>
      <c r="N98" s="2410" t="str">
        <f t="shared" si="45"/>
        <v/>
      </c>
      <c r="O98" s="2411" t="str">
        <f t="shared" si="46"/>
        <v/>
      </c>
      <c r="P98" s="2414">
        <f>SUM(N94:N98)</f>
        <v>0</v>
      </c>
      <c r="S98" s="2385">
        <f t="shared" si="38"/>
        <v>1.0208333333333319</v>
      </c>
      <c r="T98" s="2377">
        <f t="shared" si="31"/>
        <v>95</v>
      </c>
    </row>
    <row r="99" spans="1:20" ht="15.5" x14ac:dyDescent="0.35">
      <c r="A99" s="2374">
        <v>27</v>
      </c>
      <c r="B99" s="2423" t="s">
        <v>787</v>
      </c>
      <c r="C99" s="2424"/>
      <c r="D99" s="2723"/>
      <c r="E99" s="2724"/>
      <c r="F99" s="2725" t="str">
        <f t="shared" si="43"/>
        <v/>
      </c>
      <c r="G99" s="2726"/>
      <c r="H99" s="2727"/>
      <c r="I99" s="2406"/>
      <c r="J99" s="2423" t="s">
        <v>787</v>
      </c>
      <c r="K99" s="2424"/>
      <c r="L99" s="2723"/>
      <c r="M99" s="2724"/>
      <c r="N99" s="2725" t="str">
        <f t="shared" si="45"/>
        <v/>
      </c>
      <c r="O99" s="2726"/>
      <c r="P99" s="2727"/>
      <c r="S99" s="2385">
        <f t="shared" si="38"/>
        <v>1.0312499999999987</v>
      </c>
      <c r="T99" s="2377">
        <f t="shared" si="31"/>
        <v>96</v>
      </c>
    </row>
    <row r="100" spans="1:20" ht="15.5" x14ac:dyDescent="0.35">
      <c r="A100" s="2374">
        <v>28</v>
      </c>
      <c r="B100" s="2423" t="s">
        <v>789</v>
      </c>
      <c r="C100" s="2424"/>
      <c r="D100" s="2723"/>
      <c r="E100" s="2724"/>
      <c r="F100" s="2725" t="str">
        <f t="shared" si="43"/>
        <v/>
      </c>
      <c r="G100" s="2726"/>
      <c r="H100" s="2727"/>
      <c r="I100" s="2406"/>
      <c r="J100" s="2423" t="s">
        <v>789</v>
      </c>
      <c r="K100" s="2424"/>
      <c r="L100" s="2723"/>
      <c r="M100" s="2724"/>
      <c r="N100" s="2725" t="str">
        <f t="shared" si="45"/>
        <v/>
      </c>
      <c r="O100" s="2726"/>
      <c r="P100" s="2727"/>
      <c r="S100" s="2385"/>
    </row>
    <row r="101" spans="1:20" ht="15.5" x14ac:dyDescent="0.35">
      <c r="A101" s="2374">
        <v>29</v>
      </c>
      <c r="B101" s="2432" t="s">
        <v>758</v>
      </c>
      <c r="C101" s="2422"/>
      <c r="D101" s="2433"/>
      <c r="E101" s="2433"/>
      <c r="F101" s="2434" t="str">
        <f t="shared" si="43"/>
        <v/>
      </c>
      <c r="G101" s="2800">
        <f>IF(SUM(F98:F101)=0,TIME(0,0,0),SUM(F98:F101))</f>
        <v>0</v>
      </c>
      <c r="H101" s="2728"/>
      <c r="I101" s="2406"/>
      <c r="J101" s="2432" t="s">
        <v>758</v>
      </c>
      <c r="K101" s="2422"/>
      <c r="L101" s="2433"/>
      <c r="M101" s="2433"/>
      <c r="N101" s="2434" t="str">
        <f t="shared" si="45"/>
        <v/>
      </c>
      <c r="O101" s="2800">
        <f>IF(SUM(N98:N101)=0,TIME(0,0,0),SUM(N98:N101))</f>
        <v>0</v>
      </c>
      <c r="P101" s="2728"/>
      <c r="S101" s="2385"/>
    </row>
    <row r="102" spans="1:20" ht="15.5" x14ac:dyDescent="0.35">
      <c r="A102" s="2374">
        <v>30</v>
      </c>
      <c r="B102" s="2740" t="s">
        <v>818</v>
      </c>
      <c r="C102" s="2741"/>
      <c r="D102" s="2742"/>
      <c r="E102" s="2743"/>
      <c r="F102" s="2744"/>
      <c r="G102" s="2745" t="str">
        <f>E97</f>
        <v/>
      </c>
      <c r="H102" s="2739" t="str">
        <f>E98</f>
        <v/>
      </c>
      <c r="I102" s="2406"/>
      <c r="J102" s="2740" t="s">
        <v>818</v>
      </c>
      <c r="K102" s="2741"/>
      <c r="L102" s="2742"/>
      <c r="M102" s="2743"/>
      <c r="N102" s="2744"/>
      <c r="O102" s="2745" t="str">
        <f>M97</f>
        <v/>
      </c>
      <c r="P102" s="2739" t="str">
        <f>M98</f>
        <v/>
      </c>
      <c r="S102" s="2385"/>
    </row>
    <row r="103" spans="1:20" ht="15.5" x14ac:dyDescent="0.35">
      <c r="B103" s="2959" t="s">
        <v>536</v>
      </c>
      <c r="C103" s="2959"/>
      <c r="D103" s="2959"/>
      <c r="E103" s="2959"/>
      <c r="F103" s="2959"/>
      <c r="G103" s="2959"/>
      <c r="H103" s="2959"/>
      <c r="I103" s="2406"/>
      <c r="J103" s="2959" t="s">
        <v>536</v>
      </c>
      <c r="K103" s="2959"/>
      <c r="L103" s="2959"/>
      <c r="M103" s="2959"/>
      <c r="N103" s="2959"/>
      <c r="O103" s="2959"/>
      <c r="P103" s="2959"/>
      <c r="S103" s="2385"/>
    </row>
    <row r="104" spans="1:20" ht="15.5" x14ac:dyDescent="0.35">
      <c r="B104" s="2959"/>
      <c r="C104" s="2959"/>
      <c r="D104" s="2959"/>
      <c r="E104" s="2959"/>
      <c r="F104" s="2959"/>
      <c r="G104" s="2959"/>
      <c r="H104" s="2959"/>
      <c r="I104" s="2406"/>
      <c r="J104" s="2959"/>
      <c r="K104" s="2959"/>
      <c r="L104" s="2959"/>
      <c r="M104" s="2959"/>
      <c r="N104" s="2959"/>
      <c r="O104" s="2959"/>
      <c r="P104" s="2959"/>
      <c r="S104" s="2385"/>
    </row>
    <row r="105" spans="1:20" ht="15.5" x14ac:dyDescent="0.35">
      <c r="B105" s="2959"/>
      <c r="C105" s="2959"/>
      <c r="D105" s="2959"/>
      <c r="E105" s="2959"/>
      <c r="F105" s="2959"/>
      <c r="G105" s="2959"/>
      <c r="H105" s="2959"/>
      <c r="I105" s="2406"/>
      <c r="J105" s="2959"/>
      <c r="K105" s="2959"/>
      <c r="L105" s="2959"/>
      <c r="M105" s="2959"/>
      <c r="N105" s="2959"/>
      <c r="O105" s="2959"/>
      <c r="P105" s="2959"/>
      <c r="S105" s="2385"/>
    </row>
    <row r="106" spans="1:20" ht="15.5" x14ac:dyDescent="0.35">
      <c r="F106" s="2432"/>
      <c r="I106" s="2406"/>
      <c r="S106" s="2385"/>
    </row>
    <row r="107" spans="1:20" ht="15.5" x14ac:dyDescent="0.35">
      <c r="B107" s="2960">
        <f ca="1">J72+1</f>
        <v>45178</v>
      </c>
      <c r="C107" s="2960"/>
      <c r="D107" s="2960"/>
      <c r="E107" s="2960"/>
      <c r="F107" s="2961"/>
      <c r="G107" s="2961"/>
      <c r="H107" s="2961"/>
      <c r="I107" s="2406"/>
      <c r="J107" s="2960">
        <f ca="1">B107+1</f>
        <v>45179</v>
      </c>
      <c r="K107" s="2960"/>
      <c r="L107" s="2960"/>
      <c r="M107" s="2960"/>
      <c r="N107" s="2961"/>
      <c r="O107" s="2961"/>
      <c r="P107" s="2961"/>
      <c r="S107" s="2385"/>
    </row>
    <row r="108" spans="1:20" ht="15.75" customHeight="1" x14ac:dyDescent="0.35">
      <c r="B108" s="2379" t="s">
        <v>798</v>
      </c>
      <c r="C108" s="2380"/>
      <c r="D108" s="2380" t="s">
        <v>778</v>
      </c>
      <c r="E108" s="2380" t="s">
        <v>779</v>
      </c>
      <c r="F108" s="2380" t="s">
        <v>75</v>
      </c>
      <c r="G108" s="2381" t="s">
        <v>780</v>
      </c>
      <c r="H108" s="2382"/>
      <c r="I108" s="2406"/>
      <c r="J108" s="2379" t="s">
        <v>799</v>
      </c>
      <c r="K108" s="2379"/>
      <c r="L108" s="2380" t="s">
        <v>778</v>
      </c>
      <c r="M108" s="2380" t="s">
        <v>779</v>
      </c>
      <c r="N108" s="2380" t="s">
        <v>75</v>
      </c>
      <c r="O108" s="2381" t="s">
        <v>780</v>
      </c>
      <c r="P108" s="2382" t="s">
        <v>800</v>
      </c>
      <c r="S108" s="2385"/>
    </row>
    <row r="109" spans="1:20" ht="15.5" x14ac:dyDescent="0.35">
      <c r="A109" s="2374">
        <v>1</v>
      </c>
      <c r="B109" s="2386" t="s">
        <v>76</v>
      </c>
      <c r="C109" s="2387"/>
      <c r="D109" s="2388"/>
      <c r="E109" s="2389"/>
      <c r="F109" s="2364" t="str">
        <f>IF(D109="","",IF(E109="","",MOD(E109-D109,1)))</f>
        <v/>
      </c>
      <c r="G109" s="2364"/>
      <c r="H109" s="2364"/>
      <c r="I109" s="2406"/>
      <c r="J109" s="2386" t="s">
        <v>76</v>
      </c>
      <c r="K109" s="2387"/>
      <c r="L109" s="2388"/>
      <c r="M109" s="2389"/>
      <c r="N109" s="2364" t="str">
        <f>IF(L109="","",IF(M109="","",MOD(M109-L109,1)))</f>
        <v/>
      </c>
      <c r="O109" s="2364"/>
      <c r="P109" s="2364"/>
      <c r="S109" s="2385"/>
    </row>
    <row r="110" spans="1:20" ht="15.5" x14ac:dyDescent="0.35">
      <c r="A110" s="2374">
        <v>2</v>
      </c>
      <c r="B110" s="2386" t="s">
        <v>816</v>
      </c>
      <c r="C110" s="2391"/>
      <c r="D110" s="2392"/>
      <c r="E110" s="2392"/>
      <c r="F110" s="2393" t="s">
        <v>817</v>
      </c>
      <c r="G110" s="2394"/>
      <c r="H110" s="2395"/>
      <c r="I110" s="2406"/>
      <c r="J110" s="2386" t="s">
        <v>816</v>
      </c>
      <c r="K110" s="2391"/>
      <c r="L110" s="2392"/>
      <c r="M110" s="2392"/>
      <c r="N110" s="2393" t="s">
        <v>817</v>
      </c>
      <c r="O110" s="2394"/>
      <c r="P110" s="2395"/>
      <c r="S110" s="2385"/>
    </row>
    <row r="111" spans="1:20" ht="15.5" x14ac:dyDescent="0.35">
      <c r="A111" s="2374">
        <v>3</v>
      </c>
      <c r="B111" s="2366" t="s">
        <v>77</v>
      </c>
      <c r="C111" s="2396"/>
      <c r="D111" s="2397" t="str">
        <f>IF(E109="","",E109)</f>
        <v/>
      </c>
      <c r="E111" s="2397"/>
      <c r="F111" s="2398"/>
      <c r="G111" s="2399">
        <v>0.125</v>
      </c>
      <c r="H111" s="2400"/>
      <c r="I111" s="2406"/>
      <c r="J111" s="2366" t="s">
        <v>77</v>
      </c>
      <c r="K111" s="2396"/>
      <c r="L111" s="2397" t="str">
        <f>IF(M109="","",M109)</f>
        <v/>
      </c>
      <c r="M111" s="2397"/>
      <c r="N111" s="2398"/>
      <c r="O111" s="2399">
        <v>0.125</v>
      </c>
      <c r="P111" s="2400"/>
      <c r="S111" s="2385"/>
    </row>
    <row r="112" spans="1:20" ht="15.75" customHeight="1" x14ac:dyDescent="0.35">
      <c r="A112" s="2374">
        <v>4</v>
      </c>
      <c r="B112" s="2401" t="s">
        <v>78</v>
      </c>
      <c r="C112" s="2402"/>
      <c r="D112" s="2403" t="str">
        <f>IF(D111="","",D111+TIME(0,15,0))</f>
        <v/>
      </c>
      <c r="E112" s="2403" t="str">
        <f>IF(D112="","",D112+TIME(0,15,0))</f>
        <v/>
      </c>
      <c r="F112" s="2404" t="str">
        <f t="shared" ref="F112:F121" si="47">IF(D112="","",IF(E112="","",MOD(E112-D112,1)))</f>
        <v/>
      </c>
      <c r="G112" s="2399" t="str">
        <f t="shared" ref="G112:G121" si="48">IF(D112="","",CONCATENATE(TEXT(D112,"h:mm")&amp;"-"&amp;TEXT(E112,"h:mm")))</f>
        <v/>
      </c>
      <c r="H112" s="2405"/>
      <c r="I112" s="2406"/>
      <c r="J112" s="2401" t="s">
        <v>78</v>
      </c>
      <c r="K112" s="2402"/>
      <c r="L112" s="2403" t="str">
        <f>IF(L111="","",L111+TIME(0,15,0))</f>
        <v/>
      </c>
      <c r="M112" s="2403" t="str">
        <f>IF(L112="","",L112+TIME(0,15,0))</f>
        <v/>
      </c>
      <c r="N112" s="2404" t="str">
        <f t="shared" ref="N112:N121" si="49">IF(L112="","",IF(M112="","",MOD(M112-L112,1)))</f>
        <v/>
      </c>
      <c r="O112" s="2399" t="str">
        <f t="shared" ref="O112:O121" si="50">IF(L112="","",CONCATENATE(TEXT(L112,"h:mm")&amp;"-"&amp;TEXT(M112,"h:mm")))</f>
        <v/>
      </c>
      <c r="P112" s="2405"/>
      <c r="S112" s="2385"/>
    </row>
    <row r="113" spans="1:19" ht="15.5" x14ac:dyDescent="0.35">
      <c r="A113" s="2374">
        <v>5</v>
      </c>
      <c r="B113" s="2401" t="s">
        <v>889</v>
      </c>
      <c r="C113" s="2402"/>
      <c r="D113" s="2403" t="str">
        <f t="shared" ref="D113:D120" si="51">IF(B112="","",E112)</f>
        <v/>
      </c>
      <c r="E113" s="2403" t="str">
        <f>IF(D113="","",D113+TIME(0,15,0))</f>
        <v/>
      </c>
      <c r="F113" s="2404" t="str">
        <f t="shared" si="47"/>
        <v/>
      </c>
      <c r="G113" s="2399" t="str">
        <f t="shared" si="48"/>
        <v/>
      </c>
      <c r="H113" s="2405"/>
      <c r="I113" s="2406"/>
      <c r="J113" s="2401" t="s">
        <v>889</v>
      </c>
      <c r="K113" s="2402"/>
      <c r="L113" s="2403" t="str">
        <f t="shared" ref="L113:L120" si="52">IF(J112="","",M112)</f>
        <v/>
      </c>
      <c r="M113" s="2403" t="str">
        <f>IF(L113="","",L113+TIME(0,15,0))</f>
        <v/>
      </c>
      <c r="N113" s="2404" t="str">
        <f t="shared" si="49"/>
        <v/>
      </c>
      <c r="O113" s="2399" t="str">
        <f t="shared" si="50"/>
        <v/>
      </c>
      <c r="P113" s="2405"/>
      <c r="S113" s="2385"/>
    </row>
    <row r="114" spans="1:19" ht="15.5" x14ac:dyDescent="0.35">
      <c r="A114" s="2374">
        <v>6</v>
      </c>
      <c r="B114" s="2401" t="s">
        <v>880</v>
      </c>
      <c r="C114" s="2402"/>
      <c r="D114" s="2403" t="str">
        <f t="shared" si="51"/>
        <v/>
      </c>
      <c r="E114" s="2403" t="str">
        <f>IF(D114="","",D114+TIME(0,30,0))</f>
        <v/>
      </c>
      <c r="F114" s="2404" t="str">
        <f t="shared" si="47"/>
        <v/>
      </c>
      <c r="G114" s="2399" t="str">
        <f t="shared" si="48"/>
        <v/>
      </c>
      <c r="H114" s="2416">
        <f>SUM(F112:F114)</f>
        <v>0</v>
      </c>
      <c r="I114" s="2406"/>
      <c r="J114" s="2401" t="s">
        <v>880</v>
      </c>
      <c r="K114" s="2402"/>
      <c r="L114" s="2403" t="str">
        <f t="shared" si="52"/>
        <v/>
      </c>
      <c r="M114" s="2403" t="str">
        <f>IF(L114="","",L114+TIME(0,30,0))</f>
        <v/>
      </c>
      <c r="N114" s="2404" t="str">
        <f t="shared" si="49"/>
        <v/>
      </c>
      <c r="O114" s="2399" t="str">
        <f t="shared" si="50"/>
        <v/>
      </c>
      <c r="P114" s="2416">
        <f>SUM(N112:N114)</f>
        <v>0</v>
      </c>
      <c r="S114" s="2385"/>
    </row>
    <row r="115" spans="1:19" ht="15.5" x14ac:dyDescent="0.35">
      <c r="A115" s="2374">
        <v>7</v>
      </c>
      <c r="B115" s="2407" t="s">
        <v>81</v>
      </c>
      <c r="C115" s="2408"/>
      <c r="D115" s="2409" t="str">
        <f t="shared" si="51"/>
        <v/>
      </c>
      <c r="E115" s="2409" t="str">
        <f>IF(D115="","",D115+TIME(0,30,0))</f>
        <v/>
      </c>
      <c r="F115" s="2410" t="str">
        <f t="shared" si="47"/>
        <v/>
      </c>
      <c r="G115" s="2411" t="str">
        <f t="shared" si="48"/>
        <v/>
      </c>
      <c r="H115" s="2412"/>
      <c r="I115" s="2406"/>
      <c r="J115" s="2407" t="s">
        <v>81</v>
      </c>
      <c r="K115" s="2408"/>
      <c r="L115" s="2409" t="str">
        <f t="shared" si="52"/>
        <v/>
      </c>
      <c r="M115" s="2409" t="str">
        <f>IF(L115="","",L115+TIME(0,30,0))</f>
        <v/>
      </c>
      <c r="N115" s="2410" t="str">
        <f t="shared" si="49"/>
        <v/>
      </c>
      <c r="O115" s="2411" t="str">
        <f t="shared" si="50"/>
        <v/>
      </c>
      <c r="P115" s="2412"/>
      <c r="S115" s="2385"/>
    </row>
    <row r="116" spans="1:19" ht="15.5" x14ac:dyDescent="0.35">
      <c r="A116" s="2374">
        <v>8</v>
      </c>
      <c r="B116" s="2407" t="s">
        <v>83</v>
      </c>
      <c r="C116" s="2408"/>
      <c r="D116" s="2409" t="str">
        <f t="shared" si="51"/>
        <v/>
      </c>
      <c r="E116" s="2409" t="str">
        <f>IF(D116="","",D116+TIME(0,30,0))</f>
        <v/>
      </c>
      <c r="F116" s="2410" t="str">
        <f t="shared" si="47"/>
        <v/>
      </c>
      <c r="G116" s="2411" t="str">
        <f t="shared" si="48"/>
        <v/>
      </c>
      <c r="H116" s="2413"/>
      <c r="I116" s="2406"/>
      <c r="J116" s="2407" t="s">
        <v>83</v>
      </c>
      <c r="K116" s="2408"/>
      <c r="L116" s="2409" t="str">
        <f t="shared" si="52"/>
        <v/>
      </c>
      <c r="M116" s="2409" t="str">
        <f>IF(L116="","",L116+TIME(0,30,0))</f>
        <v/>
      </c>
      <c r="N116" s="2410" t="str">
        <f t="shared" si="49"/>
        <v/>
      </c>
      <c r="O116" s="2411" t="str">
        <f t="shared" si="50"/>
        <v/>
      </c>
      <c r="P116" s="2413"/>
      <c r="S116" s="2385"/>
    </row>
    <row r="117" spans="1:19" ht="15.75" customHeight="1" x14ac:dyDescent="0.35">
      <c r="A117" s="2374">
        <v>9</v>
      </c>
      <c r="B117" s="2407" t="s">
        <v>80</v>
      </c>
      <c r="C117" s="2408"/>
      <c r="D117" s="2409" t="str">
        <f t="shared" si="51"/>
        <v/>
      </c>
      <c r="E117" s="2409" t="str">
        <f>IF(E116="","",E116+TIME(1,0,0))</f>
        <v/>
      </c>
      <c r="F117" s="2410" t="str">
        <f t="shared" si="47"/>
        <v/>
      </c>
      <c r="G117" s="2411" t="str">
        <f t="shared" si="48"/>
        <v/>
      </c>
      <c r="H117" s="2414">
        <f>SUM(F115:F117)</f>
        <v>0</v>
      </c>
      <c r="I117" s="2406"/>
      <c r="J117" s="2407" t="s">
        <v>80</v>
      </c>
      <c r="K117" s="2408"/>
      <c r="L117" s="2409" t="str">
        <f t="shared" si="52"/>
        <v/>
      </c>
      <c r="M117" s="2409" t="str">
        <f>IF(M116="","",M116+TIME(1,0,0))</f>
        <v/>
      </c>
      <c r="N117" s="2410" t="str">
        <f t="shared" si="49"/>
        <v/>
      </c>
      <c r="O117" s="2411" t="str">
        <f t="shared" si="50"/>
        <v/>
      </c>
      <c r="P117" s="2414">
        <f>SUM(N115:N117)</f>
        <v>0</v>
      </c>
      <c r="S117" s="2385"/>
    </row>
    <row r="118" spans="1:19" ht="15.75" customHeight="1" x14ac:dyDescent="0.35">
      <c r="A118" s="2374">
        <v>10</v>
      </c>
      <c r="B118" s="2401" t="s">
        <v>753</v>
      </c>
      <c r="C118" s="2402"/>
      <c r="D118" s="2403" t="str">
        <f t="shared" si="51"/>
        <v/>
      </c>
      <c r="E118" s="2403" t="str">
        <f>IF(D118="","",D118+TIME(0,30,0))</f>
        <v/>
      </c>
      <c r="F118" s="2415" t="str">
        <f t="shared" si="47"/>
        <v/>
      </c>
      <c r="G118" s="2399" t="str">
        <f t="shared" si="48"/>
        <v/>
      </c>
      <c r="H118" s="2416"/>
      <c r="I118" s="2406"/>
      <c r="J118" s="2401" t="s">
        <v>753</v>
      </c>
      <c r="K118" s="2402"/>
      <c r="L118" s="2403" t="str">
        <f t="shared" si="52"/>
        <v/>
      </c>
      <c r="M118" s="2403" t="str">
        <f>IF(L118="","",L118+TIME(0,30,0))</f>
        <v/>
      </c>
      <c r="N118" s="2415" t="str">
        <f t="shared" si="49"/>
        <v/>
      </c>
      <c r="O118" s="2399" t="str">
        <f t="shared" si="50"/>
        <v/>
      </c>
      <c r="P118" s="2416"/>
      <c r="S118" s="2385"/>
    </row>
    <row r="119" spans="1:19" ht="15.5" x14ac:dyDescent="0.35">
      <c r="A119" s="2374">
        <v>11</v>
      </c>
      <c r="B119" s="2401" t="s">
        <v>79</v>
      </c>
      <c r="C119" s="2402"/>
      <c r="D119" s="2403" t="str">
        <f t="shared" si="51"/>
        <v/>
      </c>
      <c r="E119" s="2403" t="str">
        <f>IF(D119="","",D119+TIME(0,15,0))</f>
        <v/>
      </c>
      <c r="F119" s="2415" t="str">
        <f t="shared" si="47"/>
        <v/>
      </c>
      <c r="G119" s="2399" t="str">
        <f t="shared" si="48"/>
        <v/>
      </c>
      <c r="H119" s="2416"/>
      <c r="I119" s="2406"/>
      <c r="J119" s="2401" t="s">
        <v>79</v>
      </c>
      <c r="K119" s="2402"/>
      <c r="L119" s="2403" t="str">
        <f t="shared" si="52"/>
        <v/>
      </c>
      <c r="M119" s="2403" t="str">
        <f>IF(L119="","",L119+TIME(0,15,0))</f>
        <v/>
      </c>
      <c r="N119" s="2415" t="str">
        <f t="shared" si="49"/>
        <v/>
      </c>
      <c r="O119" s="2399" t="str">
        <f t="shared" si="50"/>
        <v/>
      </c>
      <c r="P119" s="2416"/>
      <c r="R119" s="2451"/>
      <c r="S119" s="2385"/>
    </row>
    <row r="120" spans="1:19" ht="15.5" x14ac:dyDescent="0.35">
      <c r="A120" s="2374">
        <v>12</v>
      </c>
      <c r="B120" s="2401" t="s">
        <v>82</v>
      </c>
      <c r="C120" s="2402"/>
      <c r="D120" s="2403" t="str">
        <f t="shared" si="51"/>
        <v/>
      </c>
      <c r="E120" s="2403" t="str">
        <f>IF(D120="","",D120+TIME(0,15,0))</f>
        <v/>
      </c>
      <c r="F120" s="2404" t="str">
        <f t="shared" si="47"/>
        <v/>
      </c>
      <c r="G120" s="2399" t="str">
        <f t="shared" si="48"/>
        <v/>
      </c>
      <c r="H120" s="2416">
        <f>SUM(F118:F120)</f>
        <v>0</v>
      </c>
      <c r="I120" s="2406"/>
      <c r="J120" s="2401" t="s">
        <v>82</v>
      </c>
      <c r="K120" s="2402"/>
      <c r="L120" s="2403" t="str">
        <f t="shared" si="52"/>
        <v/>
      </c>
      <c r="M120" s="2403" t="str">
        <f>IF(L120="","",L120+TIME(0,15,0))</f>
        <v/>
      </c>
      <c r="N120" s="2404" t="str">
        <f t="shared" si="49"/>
        <v/>
      </c>
      <c r="O120" s="2399" t="str">
        <f t="shared" si="50"/>
        <v/>
      </c>
      <c r="P120" s="2416">
        <f>SUM(N118:N120)</f>
        <v>0</v>
      </c>
      <c r="S120" s="2385"/>
    </row>
    <row r="121" spans="1:19" ht="15.75" customHeight="1" x14ac:dyDescent="0.35">
      <c r="A121" s="2374">
        <v>14</v>
      </c>
      <c r="B121" s="2417" t="s">
        <v>820</v>
      </c>
      <c r="C121" s="2418"/>
      <c r="D121" s="2388" t="str">
        <f>IF(B120="","",E120)</f>
        <v/>
      </c>
      <c r="E121" s="2388" t="str">
        <f>IF(D121="","",D121+TIME(0,45,0))</f>
        <v/>
      </c>
      <c r="F121" s="2419" t="str">
        <f t="shared" si="47"/>
        <v/>
      </c>
      <c r="G121" s="2420" t="str">
        <f t="shared" si="48"/>
        <v/>
      </c>
      <c r="H121" s="2421"/>
      <c r="I121" s="2406"/>
      <c r="J121" s="2417" t="s">
        <v>820</v>
      </c>
      <c r="K121" s="2418"/>
      <c r="L121" s="2388" t="str">
        <f>IF(J120="","",M120)</f>
        <v/>
      </c>
      <c r="M121" s="2388" t="str">
        <f>IF(L121="","",L121+TIME(0,45,0))</f>
        <v/>
      </c>
      <c r="N121" s="2419" t="str">
        <f t="shared" si="49"/>
        <v/>
      </c>
      <c r="O121" s="2420" t="str">
        <f t="shared" si="50"/>
        <v/>
      </c>
      <c r="P121" s="2421"/>
      <c r="S121" s="2385"/>
    </row>
    <row r="122" spans="1:19" ht="15.5" x14ac:dyDescent="0.35">
      <c r="A122" s="2374">
        <v>15</v>
      </c>
      <c r="B122" s="2735" t="s">
        <v>85</v>
      </c>
      <c r="C122" s="2736"/>
      <c r="D122" s="2737"/>
      <c r="E122" s="2737"/>
      <c r="F122" s="2738">
        <f>SUM(F112:F120)</f>
        <v>0</v>
      </c>
      <c r="G122" s="2739" t="str">
        <f>E120</f>
        <v/>
      </c>
      <c r="H122" s="2739" t="str">
        <f>G122</f>
        <v/>
      </c>
      <c r="I122" s="2406"/>
      <c r="J122" s="2735" t="s">
        <v>85</v>
      </c>
      <c r="K122" s="2736"/>
      <c r="L122" s="2737"/>
      <c r="M122" s="2737"/>
      <c r="N122" s="2738">
        <f>SUM(N112:N120)</f>
        <v>0</v>
      </c>
      <c r="O122" s="2739" t="str">
        <f>M120</f>
        <v/>
      </c>
      <c r="P122" s="2739" t="str">
        <f>O122</f>
        <v/>
      </c>
      <c r="S122" s="2385"/>
    </row>
    <row r="123" spans="1:19" ht="15.75" customHeight="1" x14ac:dyDescent="0.35">
      <c r="A123" s="2374">
        <v>16</v>
      </c>
      <c r="B123" s="2423" t="s">
        <v>881</v>
      </c>
      <c r="C123" s="2424"/>
      <c r="D123" s="2425"/>
      <c r="E123" s="2425"/>
      <c r="F123" s="2426" t="str">
        <f>IF(D123="","",IF(E123="","",MOD(E123-D123,1)))</f>
        <v/>
      </c>
      <c r="G123" s="2427"/>
      <c r="H123" s="2428"/>
      <c r="I123" s="2406"/>
      <c r="J123" s="2423" t="s">
        <v>881</v>
      </c>
      <c r="K123" s="2424"/>
      <c r="L123" s="2425"/>
      <c r="M123" s="2425"/>
      <c r="N123" s="2426" t="str">
        <f>IF(L123="","",IF(M123="","",MOD(M123-L123,1)))</f>
        <v/>
      </c>
      <c r="O123" s="2427"/>
      <c r="P123" s="2428"/>
      <c r="S123" s="2385"/>
    </row>
    <row r="124" spans="1:19" ht="15.5" x14ac:dyDescent="0.35">
      <c r="A124" s="2374">
        <v>17</v>
      </c>
      <c r="B124" s="2423" t="s">
        <v>787</v>
      </c>
      <c r="C124" s="2424"/>
      <c r="D124" s="2425"/>
      <c r="E124" s="2425"/>
      <c r="F124" s="2426" t="str">
        <f>IF(D124="","",IF(E124="","",MOD(E124-D124,1)))</f>
        <v/>
      </c>
      <c r="G124" s="2429"/>
      <c r="H124" s="2430"/>
      <c r="I124" s="2406"/>
      <c r="J124" s="2423" t="s">
        <v>787</v>
      </c>
      <c r="K124" s="2424"/>
      <c r="L124" s="2425"/>
      <c r="M124" s="2425"/>
      <c r="N124" s="2426" t="str">
        <f>IF(L124="","",IF(M124="","",MOD(M124-L124,1)))</f>
        <v/>
      </c>
      <c r="O124" s="2429"/>
      <c r="P124" s="2430"/>
      <c r="S124" s="2385"/>
    </row>
    <row r="125" spans="1:19" ht="15.5" x14ac:dyDescent="0.35">
      <c r="A125" s="2374">
        <v>18</v>
      </c>
      <c r="B125" s="2423" t="s">
        <v>789</v>
      </c>
      <c r="C125" s="2424"/>
      <c r="D125" s="2425"/>
      <c r="E125" s="2425"/>
      <c r="F125" s="2426" t="str">
        <f>IF(D125="","",IF(E125="","",MOD(E125-D125,1)))</f>
        <v/>
      </c>
      <c r="G125" s="2429"/>
      <c r="H125" s="2431"/>
      <c r="I125" s="2406"/>
      <c r="J125" s="2423" t="s">
        <v>789</v>
      </c>
      <c r="K125" s="2424"/>
      <c r="L125" s="2425"/>
      <c r="M125" s="2425"/>
      <c r="N125" s="2426" t="str">
        <f>IF(L125="","",IF(M125="","",MOD(M125-L125,1)))</f>
        <v/>
      </c>
      <c r="O125" s="2429"/>
      <c r="P125" s="2431"/>
      <c r="S125" s="2385"/>
    </row>
    <row r="126" spans="1:19" ht="15.75" customHeight="1" x14ac:dyDescent="0.35">
      <c r="A126" s="2374">
        <v>19</v>
      </c>
      <c r="B126" s="2432" t="s">
        <v>758</v>
      </c>
      <c r="C126" s="2422"/>
      <c r="D126" s="2433"/>
      <c r="E126" s="2433"/>
      <c r="F126" s="2434" t="str">
        <f>IF(D126="","",IF(E126="","",MOD(E126-D126,1)))</f>
        <v/>
      </c>
      <c r="G126" s="2435">
        <f>SUM(F123:F126)</f>
        <v>0</v>
      </c>
      <c r="H126" s="2436"/>
      <c r="I126" s="2406"/>
      <c r="J126" s="2432" t="s">
        <v>758</v>
      </c>
      <c r="K126" s="2422"/>
      <c r="L126" s="2433"/>
      <c r="M126" s="2433"/>
      <c r="N126" s="2434" t="str">
        <f>IF(L126="","",IF(M126="","",MOD(M126-L126,1)))</f>
        <v/>
      </c>
      <c r="O126" s="2435">
        <f>SUM(N123:N126)</f>
        <v>0</v>
      </c>
      <c r="P126" s="2436"/>
      <c r="S126" s="2385"/>
    </row>
    <row r="127" spans="1:19" ht="15.75" customHeight="1" x14ac:dyDescent="0.35">
      <c r="A127" s="2374">
        <v>20</v>
      </c>
      <c r="B127" s="2729" t="s">
        <v>819</v>
      </c>
      <c r="C127" s="2730"/>
      <c r="D127" s="2731"/>
      <c r="E127" s="2731"/>
      <c r="F127" s="2732"/>
      <c r="G127" s="2733"/>
      <c r="H127" s="2734"/>
      <c r="I127" s="2406"/>
      <c r="J127" s="2729" t="s">
        <v>819</v>
      </c>
      <c r="K127" s="2730"/>
      <c r="L127" s="2731"/>
      <c r="M127" s="2731"/>
      <c r="N127" s="2732"/>
      <c r="O127" s="2733"/>
      <c r="P127" s="2734"/>
      <c r="S127" s="2385"/>
    </row>
    <row r="128" spans="1:19" ht="15.75" customHeight="1" x14ac:dyDescent="0.35">
      <c r="A128" s="2374">
        <v>21</v>
      </c>
      <c r="B128" s="2714" t="s">
        <v>78</v>
      </c>
      <c r="C128" s="2715"/>
      <c r="D128" s="2716" t="str">
        <f>IF(E121="","",E121+TIME(0,0,0))</f>
        <v/>
      </c>
      <c r="E128" s="2716" t="str">
        <f>IF(D128="","",D128+TIME(0,15,0))</f>
        <v/>
      </c>
      <c r="F128" s="2717" t="str">
        <f t="shared" ref="F128:F129" si="53">IF(D128="","",IF(E128="","",MOD(E128-D128,1)))</f>
        <v/>
      </c>
      <c r="G128" s="2718" t="str">
        <f t="shared" ref="G128:G129" si="54">IF(D128="","",CONCATENATE(TEXT(D128,"h:mm")&amp;"-"&amp;TEXT(E128,"h:mm")))</f>
        <v/>
      </c>
      <c r="H128" s="2719"/>
      <c r="I128" s="2406"/>
      <c r="J128" s="2714" t="s">
        <v>78</v>
      </c>
      <c r="K128" s="2715"/>
      <c r="L128" s="2716" t="str">
        <f>IF(M121="","",M121+TIME(0,0,0))</f>
        <v/>
      </c>
      <c r="M128" s="2716" t="str">
        <f>IF(L128="","",L128+TIME(0,15,0))</f>
        <v/>
      </c>
      <c r="N128" s="2717" t="str">
        <f t="shared" ref="N128:N129" si="55">IF(L128="","",IF(M128="","",MOD(M128-L128,1)))</f>
        <v/>
      </c>
      <c r="O128" s="2718" t="str">
        <f t="shared" ref="O128:O129" si="56">IF(L128="","",CONCATENATE(TEXT(L128,"h:mm")&amp;"-"&amp;TEXT(M128,"h:mm")))</f>
        <v/>
      </c>
      <c r="P128" s="2719"/>
      <c r="S128" s="2385"/>
    </row>
    <row r="129" spans="1:19" ht="15.75" customHeight="1" x14ac:dyDescent="0.35">
      <c r="A129" s="2374">
        <v>22</v>
      </c>
      <c r="B129" s="2847" t="s">
        <v>878</v>
      </c>
      <c r="C129" s="2848"/>
      <c r="D129" s="2716"/>
      <c r="E129" s="2716"/>
      <c r="F129" s="2717" t="str">
        <f t="shared" si="53"/>
        <v/>
      </c>
      <c r="G129" s="2849" t="str">
        <f t="shared" si="54"/>
        <v/>
      </c>
      <c r="H129" s="2850"/>
      <c r="I129" s="2406"/>
      <c r="J129" s="2847" t="s">
        <v>878</v>
      </c>
      <c r="K129" s="2848"/>
      <c r="L129" s="2716"/>
      <c r="M129" s="2716"/>
      <c r="N129" s="2717" t="str">
        <f t="shared" si="55"/>
        <v/>
      </c>
      <c r="O129" s="2849" t="str">
        <f t="shared" si="56"/>
        <v/>
      </c>
      <c r="P129" s="2850"/>
      <c r="S129" s="2385"/>
    </row>
    <row r="130" spans="1:19" ht="15.75" customHeight="1" x14ac:dyDescent="0.35">
      <c r="A130" s="2374">
        <v>23</v>
      </c>
      <c r="B130" s="2720" t="s">
        <v>879</v>
      </c>
      <c r="C130" s="2721"/>
      <c r="D130" s="2409"/>
      <c r="E130" s="2409"/>
      <c r="F130" s="2410" t="str">
        <f>IF(D130="","",IF(E130="","",MOD(E130-D130,1)))</f>
        <v/>
      </c>
      <c r="G130" s="2411" t="str">
        <f>IF(D130="","",CONCATENATE(TEXT(D130,"h:mm")&amp;"-"&amp;TEXT(E130,"h:mm")))</f>
        <v/>
      </c>
      <c r="H130" s="2414"/>
      <c r="I130" s="2406"/>
      <c r="J130" s="2720" t="s">
        <v>879</v>
      </c>
      <c r="K130" s="2721"/>
      <c r="L130" s="2409"/>
      <c r="M130" s="2409"/>
      <c r="N130" s="2410" t="str">
        <f>IF(L130="","",IF(M130="","",MOD(M130-L130,1)))</f>
        <v/>
      </c>
      <c r="O130" s="2411" t="str">
        <f>IF(L130="","",CONCATENATE(TEXT(L130,"h:mm")&amp;"-"&amp;TEXT(M130,"h:mm")))</f>
        <v/>
      </c>
      <c r="P130" s="2414"/>
      <c r="S130" s="2385"/>
    </row>
    <row r="131" spans="1:19" ht="15.75" customHeight="1" x14ac:dyDescent="0.35">
      <c r="A131" s="2374">
        <v>24</v>
      </c>
      <c r="B131" s="2720"/>
      <c r="C131" s="2721"/>
      <c r="D131" s="2857"/>
      <c r="E131" s="2409"/>
      <c r="F131" s="2410" t="str">
        <f t="shared" ref="F131:F136" si="57">IF(D131="","",IF(E131="","",MOD(E131-D131,1)))</f>
        <v/>
      </c>
      <c r="G131" s="2411" t="str">
        <f t="shared" ref="G131:G133" si="58">IF(D131="","",CONCATENATE(TEXT(D131,"h:mm")&amp;"-"&amp;TEXT(E131,"h:mm")))</f>
        <v/>
      </c>
      <c r="H131" s="2414"/>
      <c r="I131" s="2406"/>
      <c r="J131" s="2720"/>
      <c r="K131" s="2721"/>
      <c r="L131" s="2857"/>
      <c r="M131" s="2409"/>
      <c r="N131" s="2410" t="str">
        <f t="shared" ref="N131:N136" si="59">IF(L131="","",IF(M131="","",MOD(M131-L131,1)))</f>
        <v/>
      </c>
      <c r="O131" s="2411" t="str">
        <f t="shared" ref="O131:O133" si="60">IF(L131="","",CONCATENATE(TEXT(L131,"h:mm")&amp;"-"&amp;TEXT(M131,"h:mm")))</f>
        <v/>
      </c>
      <c r="P131" s="2414"/>
      <c r="S131" s="2385"/>
    </row>
    <row r="132" spans="1:19" ht="15.75" customHeight="1" x14ac:dyDescent="0.35">
      <c r="A132" s="2374">
        <v>25</v>
      </c>
      <c r="B132" s="2720"/>
      <c r="C132" s="2721"/>
      <c r="D132" s="2409" t="str">
        <f>IF(B132="","",E131)</f>
        <v/>
      </c>
      <c r="E132" s="2722" t="str">
        <f>IF(D132="","",D132+TIME(0,15,0))</f>
        <v/>
      </c>
      <c r="F132" s="2410" t="str">
        <f t="shared" si="57"/>
        <v/>
      </c>
      <c r="G132" s="2411" t="str">
        <f t="shared" si="58"/>
        <v/>
      </c>
      <c r="H132" s="2414"/>
      <c r="I132" s="2406"/>
      <c r="J132" s="2720"/>
      <c r="K132" s="2721"/>
      <c r="L132" s="2409" t="str">
        <f>IF(J132="","",M131)</f>
        <v/>
      </c>
      <c r="M132" s="2722" t="str">
        <f>IF(L132="","",L132+TIME(0,15,0))</f>
        <v/>
      </c>
      <c r="N132" s="2410" t="str">
        <f t="shared" si="59"/>
        <v/>
      </c>
      <c r="O132" s="2411" t="str">
        <f t="shared" si="60"/>
        <v/>
      </c>
      <c r="P132" s="2414"/>
      <c r="S132" s="2385"/>
    </row>
    <row r="133" spans="1:19" ht="15.75" customHeight="1" x14ac:dyDescent="0.35">
      <c r="A133" s="2374">
        <v>26</v>
      </c>
      <c r="B133" s="2720"/>
      <c r="C133" s="2721"/>
      <c r="D133" s="2409" t="str">
        <f>IF(B133="","",E132)</f>
        <v/>
      </c>
      <c r="E133" s="2722" t="str">
        <f>IF(D133="","",D133+TIME(0,15,0))</f>
        <v/>
      </c>
      <c r="F133" s="2410" t="str">
        <f t="shared" si="57"/>
        <v/>
      </c>
      <c r="G133" s="2411" t="str">
        <f t="shared" si="58"/>
        <v/>
      </c>
      <c r="H133" s="2414">
        <f>SUM(F129:F133)</f>
        <v>0</v>
      </c>
      <c r="I133" s="2406"/>
      <c r="J133" s="2720"/>
      <c r="K133" s="2721"/>
      <c r="L133" s="2409" t="str">
        <f>IF(J133="","",M132)</f>
        <v/>
      </c>
      <c r="M133" s="2722" t="str">
        <f>IF(L133="","",L133+TIME(0,15,0))</f>
        <v/>
      </c>
      <c r="N133" s="2410" t="str">
        <f t="shared" si="59"/>
        <v/>
      </c>
      <c r="O133" s="2411" t="str">
        <f t="shared" si="60"/>
        <v/>
      </c>
      <c r="P133" s="2414">
        <f>SUM(N129:N133)</f>
        <v>0</v>
      </c>
      <c r="S133" s="2385"/>
    </row>
    <row r="134" spans="1:19" ht="15.75" customHeight="1" x14ac:dyDescent="0.35">
      <c r="A134" s="2374">
        <v>27</v>
      </c>
      <c r="B134" s="2423" t="s">
        <v>787</v>
      </c>
      <c r="C134" s="2424"/>
      <c r="D134" s="2723"/>
      <c r="E134" s="2724"/>
      <c r="F134" s="2725" t="str">
        <f t="shared" si="57"/>
        <v/>
      </c>
      <c r="G134" s="2726"/>
      <c r="H134" s="2727"/>
      <c r="I134" s="2406"/>
      <c r="J134" s="2423" t="s">
        <v>787</v>
      </c>
      <c r="K134" s="2424"/>
      <c r="L134" s="2723"/>
      <c r="M134" s="2724"/>
      <c r="N134" s="2725" t="str">
        <f t="shared" si="59"/>
        <v/>
      </c>
      <c r="O134" s="2726"/>
      <c r="P134" s="2727"/>
      <c r="S134" s="2385"/>
    </row>
    <row r="135" spans="1:19" ht="15.75" customHeight="1" x14ac:dyDescent="0.35">
      <c r="A135" s="2374">
        <v>28</v>
      </c>
      <c r="B135" s="2423" t="s">
        <v>789</v>
      </c>
      <c r="C135" s="2424"/>
      <c r="D135" s="2723"/>
      <c r="E135" s="2724"/>
      <c r="F135" s="2725" t="str">
        <f t="shared" si="57"/>
        <v/>
      </c>
      <c r="G135" s="2726"/>
      <c r="H135" s="2727"/>
      <c r="I135" s="2406"/>
      <c r="J135" s="2423" t="s">
        <v>789</v>
      </c>
      <c r="K135" s="2424"/>
      <c r="L135" s="2723"/>
      <c r="M135" s="2724"/>
      <c r="N135" s="2725" t="str">
        <f t="shared" si="59"/>
        <v/>
      </c>
      <c r="O135" s="2726"/>
      <c r="P135" s="2727"/>
      <c r="S135" s="2385"/>
    </row>
    <row r="136" spans="1:19" ht="15.75" customHeight="1" x14ac:dyDescent="0.35">
      <c r="A136" s="2374">
        <v>29</v>
      </c>
      <c r="B136" s="2432" t="s">
        <v>758</v>
      </c>
      <c r="C136" s="2422"/>
      <c r="D136" s="2433"/>
      <c r="E136" s="2433"/>
      <c r="F136" s="2434" t="str">
        <f t="shared" si="57"/>
        <v/>
      </c>
      <c r="G136" s="2800">
        <f>IF(SUM(F133:F136)=0,TIME(0,0,0),SUM(F133:F136))</f>
        <v>0</v>
      </c>
      <c r="H136" s="2728"/>
      <c r="I136" s="2406"/>
      <c r="J136" s="2432" t="s">
        <v>758</v>
      </c>
      <c r="K136" s="2422"/>
      <c r="L136" s="2433"/>
      <c r="M136" s="2433"/>
      <c r="N136" s="2434" t="str">
        <f t="shared" si="59"/>
        <v/>
      </c>
      <c r="O136" s="2800">
        <f>IF(SUM(N133:N136)=0,TIME(0,0,0),SUM(N133:N136))</f>
        <v>0</v>
      </c>
      <c r="P136" s="2728"/>
      <c r="S136" s="2385"/>
    </row>
    <row r="137" spans="1:19" ht="15.75" customHeight="1" x14ac:dyDescent="0.35">
      <c r="A137" s="2374">
        <v>30</v>
      </c>
      <c r="B137" s="2740" t="s">
        <v>818</v>
      </c>
      <c r="C137" s="2741"/>
      <c r="D137" s="2742"/>
      <c r="E137" s="2743"/>
      <c r="F137" s="2744"/>
      <c r="G137" s="2745" t="str">
        <f>E132</f>
        <v/>
      </c>
      <c r="H137" s="2739" t="str">
        <f>E133</f>
        <v/>
      </c>
      <c r="I137" s="2406"/>
      <c r="J137" s="2740" t="s">
        <v>818</v>
      </c>
      <c r="K137" s="2741"/>
      <c r="L137" s="2742"/>
      <c r="M137" s="2743"/>
      <c r="N137" s="2744"/>
      <c r="O137" s="2745" t="str">
        <f>M132</f>
        <v/>
      </c>
      <c r="P137" s="2739" t="str">
        <f>M133</f>
        <v/>
      </c>
      <c r="S137" s="2385"/>
    </row>
    <row r="138" spans="1:19" ht="15.75" customHeight="1" x14ac:dyDescent="0.35">
      <c r="B138" s="2959" t="s">
        <v>751</v>
      </c>
      <c r="C138" s="2959"/>
      <c r="D138" s="2959"/>
      <c r="E138" s="2959"/>
      <c r="F138" s="2959"/>
      <c r="G138" s="2959"/>
      <c r="H138" s="2959"/>
      <c r="I138" s="2406"/>
      <c r="J138" s="2959" t="s">
        <v>536</v>
      </c>
      <c r="K138" s="2959"/>
      <c r="L138" s="2959"/>
      <c r="M138" s="2959"/>
      <c r="N138" s="2959"/>
      <c r="O138" s="2959"/>
      <c r="P138" s="2959"/>
      <c r="S138" s="2385"/>
    </row>
    <row r="139" spans="1:19" ht="15.5" x14ac:dyDescent="0.35">
      <c r="B139" s="2959"/>
      <c r="C139" s="2959"/>
      <c r="D139" s="2959"/>
      <c r="E139" s="2959"/>
      <c r="F139" s="2959"/>
      <c r="G139" s="2959"/>
      <c r="H139" s="2959"/>
      <c r="I139" s="2406"/>
      <c r="J139" s="2959"/>
      <c r="K139" s="2959"/>
      <c r="L139" s="2959"/>
      <c r="M139" s="2959"/>
      <c r="N139" s="2959"/>
      <c r="O139" s="2959"/>
      <c r="P139" s="2959"/>
      <c r="S139" s="2385"/>
    </row>
    <row r="140" spans="1:19" ht="15.75" customHeight="1" x14ac:dyDescent="0.35">
      <c r="B140" s="2959"/>
      <c r="C140" s="2959"/>
      <c r="D140" s="2959"/>
      <c r="E140" s="2959"/>
      <c r="F140" s="2959"/>
      <c r="G140" s="2959"/>
      <c r="H140" s="2959"/>
      <c r="I140" s="2406"/>
      <c r="J140" s="2959"/>
      <c r="K140" s="2959"/>
      <c r="L140" s="2959"/>
      <c r="M140" s="2959"/>
      <c r="N140" s="2959"/>
      <c r="O140" s="2959"/>
      <c r="P140" s="2959"/>
      <c r="S140" s="2385"/>
    </row>
    <row r="141" spans="1:19" ht="15.75" customHeight="1" x14ac:dyDescent="0.35">
      <c r="B141" s="2440"/>
      <c r="C141" s="2441"/>
      <c r="D141" s="2440"/>
      <c r="E141" s="2440"/>
      <c r="F141" s="2440"/>
      <c r="G141" s="2440"/>
      <c r="H141" s="2440"/>
      <c r="I141" s="2406"/>
      <c r="J141" s="2440"/>
      <c r="K141" s="2440"/>
      <c r="L141" s="2440"/>
      <c r="M141" s="2440"/>
      <c r="N141" s="2440"/>
      <c r="O141" s="2440"/>
      <c r="P141" s="2440"/>
      <c r="S141" s="2385"/>
    </row>
    <row r="142" spans="1:19" ht="15.75" customHeight="1" x14ac:dyDescent="0.35">
      <c r="B142" s="2960">
        <f ca="1">J107+1</f>
        <v>45180</v>
      </c>
      <c r="C142" s="2960"/>
      <c r="D142" s="2960"/>
      <c r="E142" s="2960"/>
      <c r="F142" s="2961"/>
      <c r="G142" s="2961"/>
      <c r="H142" s="2961"/>
      <c r="I142" s="2406"/>
      <c r="J142" s="2960">
        <f ca="1">B142+1</f>
        <v>45181</v>
      </c>
      <c r="K142" s="2960"/>
      <c r="L142" s="2960"/>
      <c r="M142" s="2960"/>
      <c r="N142" s="2961"/>
      <c r="O142" s="2961"/>
      <c r="P142" s="2961"/>
      <c r="S142" s="2385"/>
    </row>
    <row r="143" spans="1:19" ht="15.75" customHeight="1" x14ac:dyDescent="0.35">
      <c r="B143" s="2379" t="s">
        <v>801</v>
      </c>
      <c r="C143" s="2380"/>
      <c r="D143" s="2380" t="s">
        <v>778</v>
      </c>
      <c r="E143" s="2380" t="s">
        <v>779</v>
      </c>
      <c r="F143" s="2380" t="s">
        <v>75</v>
      </c>
      <c r="G143" s="2381" t="s">
        <v>780</v>
      </c>
      <c r="H143" s="2382"/>
      <c r="I143" s="2406"/>
      <c r="J143" s="2379" t="s">
        <v>802</v>
      </c>
      <c r="K143" s="2379"/>
      <c r="L143" s="2380" t="s">
        <v>778</v>
      </c>
      <c r="M143" s="2380" t="s">
        <v>779</v>
      </c>
      <c r="N143" s="2380" t="s">
        <v>75</v>
      </c>
      <c r="O143" s="2381" t="s">
        <v>780</v>
      </c>
      <c r="P143" s="2382"/>
      <c r="S143" s="2385"/>
    </row>
    <row r="144" spans="1:19" ht="15.75" customHeight="1" x14ac:dyDescent="0.35">
      <c r="A144" s="2374">
        <v>1</v>
      </c>
      <c r="B144" s="2386" t="s">
        <v>76</v>
      </c>
      <c r="C144" s="2387"/>
      <c r="D144" s="2388"/>
      <c r="E144" s="2389"/>
      <c r="F144" s="2364" t="str">
        <f>IF(D144="","",IF(E144="","",MOD(E144-D144,1)))</f>
        <v/>
      </c>
      <c r="G144" s="2364"/>
      <c r="H144" s="2364"/>
      <c r="I144" s="2406"/>
      <c r="J144" s="2386" t="s">
        <v>76</v>
      </c>
      <c r="K144" s="2387"/>
      <c r="L144" s="2388"/>
      <c r="M144" s="2389"/>
      <c r="N144" s="2364" t="str">
        <f>IF(L144="","",IF(M144="","",MOD(M144-L144,1)))</f>
        <v/>
      </c>
      <c r="O144" s="2364"/>
      <c r="P144" s="2364"/>
      <c r="S144" s="2385"/>
    </row>
    <row r="145" spans="1:19" ht="15.75" customHeight="1" x14ac:dyDescent="0.35">
      <c r="A145" s="2374">
        <v>2</v>
      </c>
      <c r="B145" s="2386" t="s">
        <v>816</v>
      </c>
      <c r="C145" s="2391"/>
      <c r="D145" s="2392"/>
      <c r="E145" s="2392"/>
      <c r="F145" s="2393" t="s">
        <v>817</v>
      </c>
      <c r="G145" s="2394"/>
      <c r="H145" s="2395"/>
      <c r="I145" s="2406"/>
      <c r="J145" s="2386" t="s">
        <v>816</v>
      </c>
      <c r="K145" s="2391"/>
      <c r="L145" s="2392"/>
      <c r="M145" s="2392"/>
      <c r="N145" s="2393" t="s">
        <v>817</v>
      </c>
      <c r="O145" s="2394"/>
      <c r="P145" s="2395"/>
      <c r="S145" s="2385"/>
    </row>
    <row r="146" spans="1:19" ht="15.75" customHeight="1" x14ac:dyDescent="0.35">
      <c r="A146" s="2374">
        <v>3</v>
      </c>
      <c r="B146" s="2366" t="s">
        <v>77</v>
      </c>
      <c r="C146" s="2396"/>
      <c r="D146" s="2397" t="str">
        <f>IF(E144="","",E144)</f>
        <v/>
      </c>
      <c r="E146" s="2397"/>
      <c r="F146" s="2398"/>
      <c r="G146" s="2399">
        <v>0.125</v>
      </c>
      <c r="H146" s="2400"/>
      <c r="I146" s="2406"/>
      <c r="J146" s="2366" t="s">
        <v>77</v>
      </c>
      <c r="K146" s="2396"/>
      <c r="L146" s="2397" t="str">
        <f>IF(M144="","",M144)</f>
        <v/>
      </c>
      <c r="M146" s="2397"/>
      <c r="N146" s="2398"/>
      <c r="O146" s="2399">
        <v>0.125</v>
      </c>
      <c r="P146" s="2400"/>
      <c r="S146" s="2385"/>
    </row>
    <row r="147" spans="1:19" ht="15.75" customHeight="1" x14ac:dyDescent="0.35">
      <c r="A147" s="2374">
        <v>4</v>
      </c>
      <c r="B147" s="2401" t="s">
        <v>78</v>
      </c>
      <c r="C147" s="2402"/>
      <c r="D147" s="2403" t="str">
        <f>IF(D146="","",D146+TIME(0,15,0))</f>
        <v/>
      </c>
      <c r="E147" s="2403" t="str">
        <f>IF(D147="","",D147+TIME(0,15,0))</f>
        <v/>
      </c>
      <c r="F147" s="2404" t="str">
        <f t="shared" ref="F147:F156" si="61">IF(D147="","",IF(E147="","",MOD(E147-D147,1)))</f>
        <v/>
      </c>
      <c r="G147" s="2399" t="str">
        <f t="shared" ref="G147:G156" si="62">IF(D147="","",CONCATENATE(TEXT(D147,"h:mm")&amp;"-"&amp;TEXT(E147,"h:mm")))</f>
        <v/>
      </c>
      <c r="H147" s="2405"/>
      <c r="I147" s="2406"/>
      <c r="J147" s="2401" t="s">
        <v>78</v>
      </c>
      <c r="K147" s="2402"/>
      <c r="L147" s="2403" t="str">
        <f>IF(L146="","",L146+TIME(0,15,0))</f>
        <v/>
      </c>
      <c r="M147" s="2403" t="str">
        <f>IF(L147="","",L147+TIME(0,15,0))</f>
        <v/>
      </c>
      <c r="N147" s="2404" t="str">
        <f t="shared" ref="N147:N156" si="63">IF(L147="","",IF(M147="","",MOD(M147-L147,1)))</f>
        <v/>
      </c>
      <c r="O147" s="2399" t="str">
        <f t="shared" ref="O147:O156" si="64">IF(L147="","",CONCATENATE(TEXT(L147,"h:mm")&amp;"-"&amp;TEXT(M147,"h:mm")))</f>
        <v/>
      </c>
      <c r="P147" s="2405"/>
      <c r="S147" s="2385"/>
    </row>
    <row r="148" spans="1:19" ht="15.75" customHeight="1" x14ac:dyDescent="0.35">
      <c r="A148" s="2374">
        <v>5</v>
      </c>
      <c r="B148" s="2401" t="s">
        <v>889</v>
      </c>
      <c r="C148" s="2402"/>
      <c r="D148" s="2403" t="str">
        <f t="shared" ref="D148:D155" si="65">IF(B147="","",E147)</f>
        <v/>
      </c>
      <c r="E148" s="2403" t="str">
        <f>IF(D148="","",D148+TIME(0,15,0))</f>
        <v/>
      </c>
      <c r="F148" s="2404" t="str">
        <f t="shared" si="61"/>
        <v/>
      </c>
      <c r="G148" s="2399" t="str">
        <f t="shared" si="62"/>
        <v/>
      </c>
      <c r="H148" s="2405"/>
      <c r="I148" s="2406"/>
      <c r="J148" s="2401" t="s">
        <v>889</v>
      </c>
      <c r="K148" s="2402"/>
      <c r="L148" s="2403" t="str">
        <f t="shared" ref="L148:L155" si="66">IF(J147="","",M147)</f>
        <v/>
      </c>
      <c r="M148" s="2403" t="str">
        <f>IF(L148="","",L148+TIME(0,15,0))</f>
        <v/>
      </c>
      <c r="N148" s="2404" t="str">
        <f t="shared" si="63"/>
        <v/>
      </c>
      <c r="O148" s="2399" t="str">
        <f t="shared" si="64"/>
        <v/>
      </c>
      <c r="P148" s="2405"/>
      <c r="S148" s="2385"/>
    </row>
    <row r="149" spans="1:19" ht="15.75" customHeight="1" x14ac:dyDescent="0.35">
      <c r="A149" s="2374">
        <v>6</v>
      </c>
      <c r="B149" s="2401" t="s">
        <v>880</v>
      </c>
      <c r="C149" s="2402"/>
      <c r="D149" s="2403" t="str">
        <f t="shared" si="65"/>
        <v/>
      </c>
      <c r="E149" s="2403" t="str">
        <f>IF(D149="","",D149+TIME(0,30,0))</f>
        <v/>
      </c>
      <c r="F149" s="2404" t="str">
        <f t="shared" si="61"/>
        <v/>
      </c>
      <c r="G149" s="2399" t="str">
        <f t="shared" si="62"/>
        <v/>
      </c>
      <c r="H149" s="2416">
        <f>SUM(F147:F149)</f>
        <v>0</v>
      </c>
      <c r="I149" s="2406"/>
      <c r="J149" s="2401" t="s">
        <v>880</v>
      </c>
      <c r="K149" s="2402"/>
      <c r="L149" s="2403" t="str">
        <f t="shared" si="66"/>
        <v/>
      </c>
      <c r="M149" s="2403" t="str">
        <f>IF(L149="","",L149+TIME(0,30,0))</f>
        <v/>
      </c>
      <c r="N149" s="2404" t="str">
        <f t="shared" si="63"/>
        <v/>
      </c>
      <c r="O149" s="2399" t="str">
        <f t="shared" si="64"/>
        <v/>
      </c>
      <c r="P149" s="2416">
        <f>SUM(N147:N149)</f>
        <v>0</v>
      </c>
      <c r="S149" s="2385"/>
    </row>
    <row r="150" spans="1:19" ht="15.75" customHeight="1" x14ac:dyDescent="0.35">
      <c r="A150" s="2374">
        <v>7</v>
      </c>
      <c r="B150" s="2407" t="s">
        <v>81</v>
      </c>
      <c r="C150" s="2408"/>
      <c r="D150" s="2409" t="str">
        <f t="shared" si="65"/>
        <v/>
      </c>
      <c r="E150" s="2409" t="str">
        <f>IF(D150="","",D150+TIME(0,30,0))</f>
        <v/>
      </c>
      <c r="F150" s="2410" t="str">
        <f t="shared" si="61"/>
        <v/>
      </c>
      <c r="G150" s="2411" t="str">
        <f t="shared" si="62"/>
        <v/>
      </c>
      <c r="H150" s="2412"/>
      <c r="I150" s="2406"/>
      <c r="J150" s="2407" t="s">
        <v>81</v>
      </c>
      <c r="K150" s="2408"/>
      <c r="L150" s="2409" t="str">
        <f t="shared" si="66"/>
        <v/>
      </c>
      <c r="M150" s="2409" t="str">
        <f>IF(L150="","",L150+TIME(0,30,0))</f>
        <v/>
      </c>
      <c r="N150" s="2410" t="str">
        <f t="shared" si="63"/>
        <v/>
      </c>
      <c r="O150" s="2411" t="str">
        <f t="shared" si="64"/>
        <v/>
      </c>
      <c r="P150" s="2412"/>
      <c r="S150" s="2385"/>
    </row>
    <row r="151" spans="1:19" ht="15.5" x14ac:dyDescent="0.35">
      <c r="A151" s="2374">
        <v>8</v>
      </c>
      <c r="B151" s="2407" t="s">
        <v>83</v>
      </c>
      <c r="C151" s="2408"/>
      <c r="D151" s="2409" t="str">
        <f t="shared" si="65"/>
        <v/>
      </c>
      <c r="E151" s="2409" t="str">
        <f>IF(D151="","",D151+TIME(0,30,0))</f>
        <v/>
      </c>
      <c r="F151" s="2410" t="str">
        <f t="shared" si="61"/>
        <v/>
      </c>
      <c r="G151" s="2411" t="str">
        <f t="shared" si="62"/>
        <v/>
      </c>
      <c r="H151" s="2413"/>
      <c r="I151" s="2406"/>
      <c r="J151" s="2407" t="s">
        <v>83</v>
      </c>
      <c r="K151" s="2408"/>
      <c r="L151" s="2409" t="str">
        <f t="shared" si="66"/>
        <v/>
      </c>
      <c r="M151" s="2409" t="str">
        <f>IF(L151="","",L151+TIME(0,30,0))</f>
        <v/>
      </c>
      <c r="N151" s="2410" t="str">
        <f t="shared" si="63"/>
        <v/>
      </c>
      <c r="O151" s="2411" t="str">
        <f t="shared" si="64"/>
        <v/>
      </c>
      <c r="P151" s="2413"/>
      <c r="S151" s="2385"/>
    </row>
    <row r="152" spans="1:19" ht="15.5" x14ac:dyDescent="0.35">
      <c r="A152" s="2374">
        <v>9</v>
      </c>
      <c r="B152" s="2407" t="s">
        <v>80</v>
      </c>
      <c r="C152" s="2408"/>
      <c r="D152" s="2409" t="str">
        <f t="shared" si="65"/>
        <v/>
      </c>
      <c r="E152" s="2409" t="str">
        <f>IF(E151="","",E151+TIME(1,0,0))</f>
        <v/>
      </c>
      <c r="F152" s="2410" t="str">
        <f t="shared" si="61"/>
        <v/>
      </c>
      <c r="G152" s="2411" t="str">
        <f t="shared" si="62"/>
        <v/>
      </c>
      <c r="H152" s="2414">
        <f>SUM(F150:F152)</f>
        <v>0</v>
      </c>
      <c r="I152" s="2406"/>
      <c r="J152" s="2407" t="s">
        <v>80</v>
      </c>
      <c r="K152" s="2408"/>
      <c r="L152" s="2409" t="str">
        <f t="shared" si="66"/>
        <v/>
      </c>
      <c r="M152" s="2409" t="str">
        <f>IF(M151="","",M151+TIME(1,0,0))</f>
        <v/>
      </c>
      <c r="N152" s="2410" t="str">
        <f t="shared" si="63"/>
        <v/>
      </c>
      <c r="O152" s="2411" t="str">
        <f t="shared" si="64"/>
        <v/>
      </c>
      <c r="P152" s="2414">
        <f>SUM(N150:N152)</f>
        <v>0</v>
      </c>
      <c r="S152" s="2385"/>
    </row>
    <row r="153" spans="1:19" ht="15.5" x14ac:dyDescent="0.35">
      <c r="A153" s="2374">
        <v>10</v>
      </c>
      <c r="B153" s="2401" t="s">
        <v>753</v>
      </c>
      <c r="C153" s="2402"/>
      <c r="D153" s="2403" t="str">
        <f t="shared" si="65"/>
        <v/>
      </c>
      <c r="E153" s="2403" t="str">
        <f>IF(D153="","",D153+TIME(0,30,0))</f>
        <v/>
      </c>
      <c r="F153" s="2415" t="str">
        <f t="shared" si="61"/>
        <v/>
      </c>
      <c r="G153" s="2399" t="str">
        <f t="shared" si="62"/>
        <v/>
      </c>
      <c r="H153" s="2416"/>
      <c r="I153" s="2406"/>
      <c r="J153" s="2401" t="s">
        <v>753</v>
      </c>
      <c r="K153" s="2402"/>
      <c r="L153" s="2403" t="str">
        <f t="shared" si="66"/>
        <v/>
      </c>
      <c r="M153" s="2403" t="str">
        <f>IF(L153="","",L153+TIME(0,30,0))</f>
        <v/>
      </c>
      <c r="N153" s="2415" t="str">
        <f t="shared" si="63"/>
        <v/>
      </c>
      <c r="O153" s="2399" t="str">
        <f t="shared" si="64"/>
        <v/>
      </c>
      <c r="P153" s="2416"/>
      <c r="S153" s="2385"/>
    </row>
    <row r="154" spans="1:19" ht="15.75" customHeight="1" x14ac:dyDescent="0.35">
      <c r="A154" s="2374">
        <v>11</v>
      </c>
      <c r="B154" s="2401" t="s">
        <v>79</v>
      </c>
      <c r="C154" s="2402"/>
      <c r="D154" s="2403" t="str">
        <f t="shared" si="65"/>
        <v/>
      </c>
      <c r="E154" s="2403" t="str">
        <f>IF(D154="","",D154+TIME(0,15,0))</f>
        <v/>
      </c>
      <c r="F154" s="2415" t="str">
        <f t="shared" si="61"/>
        <v/>
      </c>
      <c r="G154" s="2399" t="str">
        <f t="shared" si="62"/>
        <v/>
      </c>
      <c r="H154" s="2416"/>
      <c r="I154" s="2406"/>
      <c r="J154" s="2401" t="s">
        <v>79</v>
      </c>
      <c r="K154" s="2402"/>
      <c r="L154" s="2403" t="str">
        <f t="shared" si="66"/>
        <v/>
      </c>
      <c r="M154" s="2403" t="str">
        <f>IF(L154="","",L154+TIME(0,15,0))</f>
        <v/>
      </c>
      <c r="N154" s="2415" t="str">
        <f t="shared" si="63"/>
        <v/>
      </c>
      <c r="O154" s="2399" t="str">
        <f t="shared" si="64"/>
        <v/>
      </c>
      <c r="P154" s="2416"/>
      <c r="S154" s="2385"/>
    </row>
    <row r="155" spans="1:19" ht="15.5" x14ac:dyDescent="0.35">
      <c r="A155" s="2374">
        <v>12</v>
      </c>
      <c r="B155" s="2401" t="s">
        <v>82</v>
      </c>
      <c r="C155" s="2402"/>
      <c r="D155" s="2403" t="str">
        <f t="shared" si="65"/>
        <v/>
      </c>
      <c r="E155" s="2403" t="str">
        <f>IF(D155="","",D155+TIME(0,15,0))</f>
        <v/>
      </c>
      <c r="F155" s="2404" t="str">
        <f t="shared" si="61"/>
        <v/>
      </c>
      <c r="G155" s="2399" t="str">
        <f t="shared" si="62"/>
        <v/>
      </c>
      <c r="H155" s="2416">
        <f>SUM(F153:F155)</f>
        <v>0</v>
      </c>
      <c r="I155" s="2406"/>
      <c r="J155" s="2401" t="s">
        <v>82</v>
      </c>
      <c r="K155" s="2402"/>
      <c r="L155" s="2403" t="str">
        <f t="shared" si="66"/>
        <v/>
      </c>
      <c r="M155" s="2403" t="str">
        <f>IF(L155="","",L155+TIME(0,15,0))</f>
        <v/>
      </c>
      <c r="N155" s="2404" t="str">
        <f t="shared" si="63"/>
        <v/>
      </c>
      <c r="O155" s="2399" t="str">
        <f t="shared" si="64"/>
        <v/>
      </c>
      <c r="P155" s="2416">
        <f>SUM(N153:N155)</f>
        <v>0</v>
      </c>
      <c r="S155" s="2385"/>
    </row>
    <row r="156" spans="1:19" ht="15.5" x14ac:dyDescent="0.35">
      <c r="A156" s="2374">
        <v>14</v>
      </c>
      <c r="B156" s="2417" t="s">
        <v>820</v>
      </c>
      <c r="C156" s="2418"/>
      <c r="D156" s="2388" t="str">
        <f>IF(B155="","",E155)</f>
        <v/>
      </c>
      <c r="E156" s="2388" t="str">
        <f>IF(D156="","",D156+TIME(0,45,0))</f>
        <v/>
      </c>
      <c r="F156" s="2419" t="str">
        <f t="shared" si="61"/>
        <v/>
      </c>
      <c r="G156" s="2420" t="str">
        <f t="shared" si="62"/>
        <v/>
      </c>
      <c r="H156" s="2421"/>
      <c r="I156" s="2406"/>
      <c r="J156" s="2417" t="s">
        <v>820</v>
      </c>
      <c r="K156" s="2418"/>
      <c r="L156" s="2388" t="str">
        <f>IF(J155="","",M155)</f>
        <v/>
      </c>
      <c r="M156" s="2388" t="str">
        <f>IF(L156="","",L156+TIME(0,45,0))</f>
        <v/>
      </c>
      <c r="N156" s="2419" t="str">
        <f t="shared" si="63"/>
        <v/>
      </c>
      <c r="O156" s="2420" t="str">
        <f t="shared" si="64"/>
        <v/>
      </c>
      <c r="P156" s="2421"/>
      <c r="S156" s="2385"/>
    </row>
    <row r="157" spans="1:19" ht="15.5" x14ac:dyDescent="0.35">
      <c r="A157" s="2374">
        <v>15</v>
      </c>
      <c r="B157" s="2735" t="s">
        <v>85</v>
      </c>
      <c r="C157" s="2736"/>
      <c r="D157" s="2737"/>
      <c r="E157" s="2737"/>
      <c r="F157" s="2738">
        <f>SUM(F147:F155)</f>
        <v>0</v>
      </c>
      <c r="G157" s="2739" t="str">
        <f>E155</f>
        <v/>
      </c>
      <c r="H157" s="2739" t="str">
        <f>G157</f>
        <v/>
      </c>
      <c r="I157" s="2406"/>
      <c r="J157" s="2735" t="s">
        <v>85</v>
      </c>
      <c r="K157" s="2736"/>
      <c r="L157" s="2737"/>
      <c r="M157" s="2737"/>
      <c r="N157" s="2738">
        <f>SUM(N147:N155)</f>
        <v>0</v>
      </c>
      <c r="O157" s="2739" t="str">
        <f>M155</f>
        <v/>
      </c>
      <c r="P157" s="2739" t="str">
        <f>O157</f>
        <v/>
      </c>
      <c r="S157" s="2385"/>
    </row>
    <row r="158" spans="1:19" ht="15.75" customHeight="1" x14ac:dyDescent="0.35">
      <c r="A158" s="2374">
        <v>16</v>
      </c>
      <c r="B158" s="2423" t="s">
        <v>881</v>
      </c>
      <c r="C158" s="2424"/>
      <c r="D158" s="2425"/>
      <c r="E158" s="2425"/>
      <c r="F158" s="2426" t="str">
        <f>IF(D158="","",IF(E158="","",MOD(E158-D158,1)))</f>
        <v/>
      </c>
      <c r="G158" s="2427"/>
      <c r="H158" s="2428"/>
      <c r="I158" s="2406"/>
      <c r="J158" s="2423" t="s">
        <v>881</v>
      </c>
      <c r="K158" s="2424"/>
      <c r="L158" s="2425"/>
      <c r="M158" s="2425"/>
      <c r="N158" s="2426" t="str">
        <f>IF(L158="","",IF(M158="","",MOD(M158-L158,1)))</f>
        <v/>
      </c>
      <c r="O158" s="2427"/>
      <c r="P158" s="2428"/>
      <c r="S158" s="2385"/>
    </row>
    <row r="159" spans="1:19" ht="15.5" x14ac:dyDescent="0.35">
      <c r="A159" s="2374">
        <v>17</v>
      </c>
      <c r="B159" s="2423" t="s">
        <v>787</v>
      </c>
      <c r="C159" s="2424"/>
      <c r="D159" s="2425"/>
      <c r="E159" s="2425"/>
      <c r="F159" s="2426" t="str">
        <f>IF(D159="","",IF(E159="","",MOD(E159-D159,1)))</f>
        <v/>
      </c>
      <c r="G159" s="2429"/>
      <c r="H159" s="2430"/>
      <c r="I159" s="2406"/>
      <c r="J159" s="2423" t="s">
        <v>787</v>
      </c>
      <c r="K159" s="2424"/>
      <c r="L159" s="2425"/>
      <c r="M159" s="2425"/>
      <c r="N159" s="2426" t="str">
        <f>IF(L159="","",IF(M159="","",MOD(M159-L159,1)))</f>
        <v/>
      </c>
      <c r="O159" s="2429"/>
      <c r="P159" s="2430"/>
      <c r="S159" s="2385"/>
    </row>
    <row r="160" spans="1:19" ht="15.75" customHeight="1" x14ac:dyDescent="0.35">
      <c r="A160" s="2374">
        <v>18</v>
      </c>
      <c r="B160" s="2423" t="s">
        <v>789</v>
      </c>
      <c r="C160" s="2424"/>
      <c r="D160" s="2425"/>
      <c r="E160" s="2425"/>
      <c r="F160" s="2426" t="str">
        <f>IF(D160="","",IF(E160="","",MOD(E160-D160,1)))</f>
        <v/>
      </c>
      <c r="G160" s="2429"/>
      <c r="H160" s="2431"/>
      <c r="I160" s="2406"/>
      <c r="J160" s="2423" t="s">
        <v>789</v>
      </c>
      <c r="K160" s="2424"/>
      <c r="L160" s="2425"/>
      <c r="M160" s="2425"/>
      <c r="N160" s="2426" t="str">
        <f>IF(L160="","",IF(M160="","",MOD(M160-L160,1)))</f>
        <v/>
      </c>
      <c r="O160" s="2429"/>
      <c r="P160" s="2431"/>
      <c r="S160" s="2385"/>
    </row>
    <row r="161" spans="1:19" ht="15.5" x14ac:dyDescent="0.35">
      <c r="A161" s="2374">
        <v>19</v>
      </c>
      <c r="B161" s="2432" t="s">
        <v>758</v>
      </c>
      <c r="C161" s="2422"/>
      <c r="D161" s="2433"/>
      <c r="E161" s="2433"/>
      <c r="F161" s="2434" t="str">
        <f>IF(D161="","",IF(E161="","",MOD(E161-D161,1)))</f>
        <v/>
      </c>
      <c r="G161" s="2435">
        <f>SUM(F158:F161)</f>
        <v>0</v>
      </c>
      <c r="H161" s="2436"/>
      <c r="I161" s="2406"/>
      <c r="J161" s="2432" t="s">
        <v>758</v>
      </c>
      <c r="K161" s="2422"/>
      <c r="L161" s="2433"/>
      <c r="M161" s="2433"/>
      <c r="N161" s="2434" t="str">
        <f>IF(L161="","",IF(M161="","",MOD(M161-L161,1)))</f>
        <v/>
      </c>
      <c r="O161" s="2435">
        <f>SUM(N158:N161)</f>
        <v>0</v>
      </c>
      <c r="P161" s="2436"/>
      <c r="S161" s="2385"/>
    </row>
    <row r="162" spans="1:19" ht="15.5" x14ac:dyDescent="0.35">
      <c r="A162" s="2374">
        <v>20</v>
      </c>
      <c r="B162" s="2729" t="s">
        <v>819</v>
      </c>
      <c r="C162" s="2730"/>
      <c r="D162" s="2731"/>
      <c r="E162" s="2731"/>
      <c r="F162" s="2732"/>
      <c r="G162" s="2733"/>
      <c r="H162" s="2734"/>
      <c r="I162" s="2406"/>
      <c r="J162" s="2729" t="s">
        <v>819</v>
      </c>
      <c r="K162" s="2730"/>
      <c r="L162" s="2731"/>
      <c r="M162" s="2731"/>
      <c r="N162" s="2732"/>
      <c r="O162" s="2733"/>
      <c r="P162" s="2734"/>
      <c r="S162" s="2385"/>
    </row>
    <row r="163" spans="1:19" ht="15.5" x14ac:dyDescent="0.35">
      <c r="A163" s="2374">
        <v>21</v>
      </c>
      <c r="B163" s="2714" t="s">
        <v>78</v>
      </c>
      <c r="C163" s="2715"/>
      <c r="D163" s="2716" t="str">
        <f>IF(E156="","",E156+TIME(0,0,0))</f>
        <v/>
      </c>
      <c r="E163" s="2716" t="str">
        <f>IF(D163="","",D163+TIME(0,15,0))</f>
        <v/>
      </c>
      <c r="F163" s="2717" t="str">
        <f t="shared" ref="F163:F164" si="67">IF(D163="","",IF(E163="","",MOD(E163-D163,1)))</f>
        <v/>
      </c>
      <c r="G163" s="2718" t="str">
        <f t="shared" ref="G163:G164" si="68">IF(D163="","",CONCATENATE(TEXT(D163,"h:mm")&amp;"-"&amp;TEXT(E163,"h:mm")))</f>
        <v/>
      </c>
      <c r="H163" s="2719"/>
      <c r="I163" s="2406"/>
      <c r="J163" s="2714" t="s">
        <v>78</v>
      </c>
      <c r="K163" s="2715"/>
      <c r="L163" s="2716" t="str">
        <f>IF(M156="","",M156+TIME(0,0,0))</f>
        <v/>
      </c>
      <c r="M163" s="2716" t="str">
        <f>IF(L163="","",L163+TIME(0,15,0))</f>
        <v/>
      </c>
      <c r="N163" s="2717" t="str">
        <f t="shared" ref="N163:N164" si="69">IF(L163="","",IF(M163="","",MOD(M163-L163,1)))</f>
        <v/>
      </c>
      <c r="O163" s="2718" t="str">
        <f t="shared" ref="O163:O164" si="70">IF(L163="","",CONCATENATE(TEXT(L163,"h:mm")&amp;"-"&amp;TEXT(M163,"h:mm")))</f>
        <v/>
      </c>
      <c r="P163" s="2719"/>
      <c r="S163" s="2385"/>
    </row>
    <row r="164" spans="1:19" ht="15.5" x14ac:dyDescent="0.35">
      <c r="A164" s="2374">
        <v>22</v>
      </c>
      <c r="B164" s="2847" t="s">
        <v>878</v>
      </c>
      <c r="C164" s="2848"/>
      <c r="D164" s="2716"/>
      <c r="E164" s="2716"/>
      <c r="F164" s="2717" t="str">
        <f t="shared" si="67"/>
        <v/>
      </c>
      <c r="G164" s="2849" t="str">
        <f t="shared" si="68"/>
        <v/>
      </c>
      <c r="H164" s="2850"/>
      <c r="I164" s="2406"/>
      <c r="J164" s="2847" t="s">
        <v>878</v>
      </c>
      <c r="K164" s="2848"/>
      <c r="L164" s="2716"/>
      <c r="M164" s="2716"/>
      <c r="N164" s="2717" t="str">
        <f t="shared" si="69"/>
        <v/>
      </c>
      <c r="O164" s="2849" t="str">
        <f t="shared" si="70"/>
        <v/>
      </c>
      <c r="P164" s="2850"/>
      <c r="S164" s="2385"/>
    </row>
    <row r="165" spans="1:19" ht="15.5" x14ac:dyDescent="0.35">
      <c r="A165" s="2374">
        <v>23</v>
      </c>
      <c r="B165" s="2720" t="s">
        <v>879</v>
      </c>
      <c r="C165" s="2721"/>
      <c r="D165" s="2409"/>
      <c r="E165" s="2409"/>
      <c r="F165" s="2410" t="str">
        <f>IF(D165="","",IF(E165="","",MOD(E165-D165,1)))</f>
        <v/>
      </c>
      <c r="G165" s="2411" t="str">
        <f>IF(D165="","",CONCATENATE(TEXT(D165,"h:mm")&amp;"-"&amp;TEXT(E165,"h:mm")))</f>
        <v/>
      </c>
      <c r="H165" s="2414"/>
      <c r="I165" s="2406"/>
      <c r="J165" s="2720" t="s">
        <v>879</v>
      </c>
      <c r="K165" s="2721"/>
      <c r="L165" s="2409"/>
      <c r="M165" s="2409"/>
      <c r="N165" s="2410" t="str">
        <f>IF(L165="","",IF(M165="","",MOD(M165-L165,1)))</f>
        <v/>
      </c>
      <c r="O165" s="2411" t="str">
        <f>IF(L165="","",CONCATENATE(TEXT(L165,"h:mm")&amp;"-"&amp;TEXT(M165,"h:mm")))</f>
        <v/>
      </c>
      <c r="P165" s="2414"/>
      <c r="S165" s="2385"/>
    </row>
    <row r="166" spans="1:19" ht="15.5" x14ac:dyDescent="0.35">
      <c r="A166" s="2374">
        <v>24</v>
      </c>
      <c r="B166" s="2720"/>
      <c r="C166" s="2721"/>
      <c r="D166" s="2857"/>
      <c r="E166" s="2409"/>
      <c r="F166" s="2410" t="str">
        <f t="shared" ref="F166:F171" si="71">IF(D166="","",IF(E166="","",MOD(E166-D166,1)))</f>
        <v/>
      </c>
      <c r="G166" s="2411" t="str">
        <f t="shared" ref="G166:G168" si="72">IF(D166="","",CONCATENATE(TEXT(D166,"h:mm")&amp;"-"&amp;TEXT(E166,"h:mm")))</f>
        <v/>
      </c>
      <c r="H166" s="2414"/>
      <c r="I166" s="2406"/>
      <c r="J166" s="2720"/>
      <c r="K166" s="2721"/>
      <c r="L166" s="2857"/>
      <c r="M166" s="2409"/>
      <c r="N166" s="2410" t="str">
        <f t="shared" ref="N166:N171" si="73">IF(L166="","",IF(M166="","",MOD(M166-L166,1)))</f>
        <v/>
      </c>
      <c r="O166" s="2411" t="str">
        <f t="shared" ref="O166:O168" si="74">IF(L166="","",CONCATENATE(TEXT(L166,"h:mm")&amp;"-"&amp;TEXT(M166,"h:mm")))</f>
        <v/>
      </c>
      <c r="P166" s="2414"/>
      <c r="S166" s="2385"/>
    </row>
    <row r="167" spans="1:19" ht="15.5" x14ac:dyDescent="0.35">
      <c r="A167" s="2374">
        <v>25</v>
      </c>
      <c r="B167" s="2720"/>
      <c r="C167" s="2721"/>
      <c r="D167" s="2409" t="str">
        <f>IF(B167="","",E166)</f>
        <v/>
      </c>
      <c r="E167" s="2722" t="str">
        <f>IF(D167="","",D167+TIME(0,15,0))</f>
        <v/>
      </c>
      <c r="F167" s="2410" t="str">
        <f t="shared" si="71"/>
        <v/>
      </c>
      <c r="G167" s="2411" t="str">
        <f t="shared" si="72"/>
        <v/>
      </c>
      <c r="H167" s="2414"/>
      <c r="I167" s="2406"/>
      <c r="J167" s="2720"/>
      <c r="K167" s="2721"/>
      <c r="L167" s="2409" t="str">
        <f>IF(J167="","",M166)</f>
        <v/>
      </c>
      <c r="M167" s="2722" t="str">
        <f>IF(L167="","",L167+TIME(0,15,0))</f>
        <v/>
      </c>
      <c r="N167" s="2410" t="str">
        <f t="shared" si="73"/>
        <v/>
      </c>
      <c r="O167" s="2411" t="str">
        <f t="shared" si="74"/>
        <v/>
      </c>
      <c r="P167" s="2414"/>
      <c r="S167" s="2385"/>
    </row>
    <row r="168" spans="1:19" ht="15.5" x14ac:dyDescent="0.35">
      <c r="A168" s="2374">
        <v>26</v>
      </c>
      <c r="B168" s="2720"/>
      <c r="C168" s="2721"/>
      <c r="D168" s="2409" t="str">
        <f>IF(B168="","",E167)</f>
        <v/>
      </c>
      <c r="E168" s="2722" t="str">
        <f>IF(D168="","",D168+TIME(0,15,0))</f>
        <v/>
      </c>
      <c r="F168" s="2410" t="str">
        <f t="shared" si="71"/>
        <v/>
      </c>
      <c r="G168" s="2411" t="str">
        <f t="shared" si="72"/>
        <v/>
      </c>
      <c r="H168" s="2414">
        <f>SUM(F164:F168)</f>
        <v>0</v>
      </c>
      <c r="I168" s="2406"/>
      <c r="J168" s="2720"/>
      <c r="K168" s="2721"/>
      <c r="L168" s="2409" t="str">
        <f>IF(J168="","",M167)</f>
        <v/>
      </c>
      <c r="M168" s="2722" t="str">
        <f>IF(L168="","",L168+TIME(0,15,0))</f>
        <v/>
      </c>
      <c r="N168" s="2410" t="str">
        <f t="shared" si="73"/>
        <v/>
      </c>
      <c r="O168" s="2411" t="str">
        <f t="shared" si="74"/>
        <v/>
      </c>
      <c r="P168" s="2414">
        <f>SUM(N164:N168)</f>
        <v>0</v>
      </c>
      <c r="S168" s="2385"/>
    </row>
    <row r="169" spans="1:19" ht="15.5" x14ac:dyDescent="0.35">
      <c r="A169" s="2374">
        <v>27</v>
      </c>
      <c r="B169" s="2423" t="s">
        <v>787</v>
      </c>
      <c r="C169" s="2424"/>
      <c r="D169" s="2723"/>
      <c r="E169" s="2724"/>
      <c r="F169" s="2725" t="str">
        <f t="shared" si="71"/>
        <v/>
      </c>
      <c r="G169" s="2726"/>
      <c r="H169" s="2727"/>
      <c r="I169" s="2406"/>
      <c r="J169" s="2423" t="s">
        <v>787</v>
      </c>
      <c r="K169" s="2424"/>
      <c r="L169" s="2723"/>
      <c r="M169" s="2724"/>
      <c r="N169" s="2725" t="str">
        <f t="shared" si="73"/>
        <v/>
      </c>
      <c r="O169" s="2726"/>
      <c r="P169" s="2727"/>
      <c r="S169" s="2385"/>
    </row>
    <row r="170" spans="1:19" ht="15.5" x14ac:dyDescent="0.35">
      <c r="A170" s="2374">
        <v>28</v>
      </c>
      <c r="B170" s="2423" t="s">
        <v>789</v>
      </c>
      <c r="C170" s="2424"/>
      <c r="D170" s="2723"/>
      <c r="E170" s="2724"/>
      <c r="F170" s="2725" t="str">
        <f t="shared" si="71"/>
        <v/>
      </c>
      <c r="G170" s="2726"/>
      <c r="H170" s="2727"/>
      <c r="I170" s="2406"/>
      <c r="J170" s="2423" t="s">
        <v>789</v>
      </c>
      <c r="K170" s="2424"/>
      <c r="L170" s="2723"/>
      <c r="M170" s="2724"/>
      <c r="N170" s="2725" t="str">
        <f t="shared" si="73"/>
        <v/>
      </c>
      <c r="O170" s="2726"/>
      <c r="P170" s="2727"/>
      <c r="S170" s="2385"/>
    </row>
    <row r="171" spans="1:19" ht="15.5" x14ac:dyDescent="0.35">
      <c r="A171" s="2374">
        <v>29</v>
      </c>
      <c r="B171" s="2432" t="s">
        <v>758</v>
      </c>
      <c r="C171" s="2422"/>
      <c r="D171" s="2433"/>
      <c r="E171" s="2433"/>
      <c r="F171" s="2434" t="str">
        <f t="shared" si="71"/>
        <v/>
      </c>
      <c r="G171" s="2800">
        <f>IF(SUM(F168:F171)=0,TIME(0,0,0),SUM(F168:F171))</f>
        <v>0</v>
      </c>
      <c r="H171" s="2728"/>
      <c r="I171" s="2406"/>
      <c r="J171" s="2432" t="s">
        <v>758</v>
      </c>
      <c r="K171" s="2422"/>
      <c r="L171" s="2433"/>
      <c r="M171" s="2433"/>
      <c r="N171" s="2434" t="str">
        <f t="shared" si="73"/>
        <v/>
      </c>
      <c r="O171" s="2800">
        <f>IF(SUM(N168:N171)=0,TIME(0,0,0),SUM(N168:N171))</f>
        <v>0</v>
      </c>
      <c r="P171" s="2728"/>
      <c r="S171" s="2385"/>
    </row>
    <row r="172" spans="1:19" ht="15.5" x14ac:dyDescent="0.35">
      <c r="A172" s="2374">
        <v>30</v>
      </c>
      <c r="B172" s="2740" t="s">
        <v>818</v>
      </c>
      <c r="C172" s="2741"/>
      <c r="D172" s="2742"/>
      <c r="E172" s="2743"/>
      <c r="F172" s="2744"/>
      <c r="G172" s="2745" t="str">
        <f>E167</f>
        <v/>
      </c>
      <c r="H172" s="2739" t="str">
        <f>E168</f>
        <v/>
      </c>
      <c r="I172" s="2406"/>
      <c r="J172" s="2740" t="s">
        <v>818</v>
      </c>
      <c r="K172" s="2741"/>
      <c r="L172" s="2742"/>
      <c r="M172" s="2743"/>
      <c r="N172" s="2744"/>
      <c r="O172" s="2745" t="str">
        <f>M167</f>
        <v/>
      </c>
      <c r="P172" s="2739" t="str">
        <f>M168</f>
        <v/>
      </c>
      <c r="S172" s="2385"/>
    </row>
    <row r="173" spans="1:19" ht="15.5" x14ac:dyDescent="0.35">
      <c r="A173" s="2439"/>
      <c r="B173" s="2959" t="s">
        <v>803</v>
      </c>
      <c r="C173" s="2959"/>
      <c r="D173" s="2959"/>
      <c r="E173" s="2959"/>
      <c r="F173" s="2959"/>
      <c r="G173" s="2959"/>
      <c r="H173" s="2959"/>
      <c r="I173" s="2406"/>
      <c r="J173" s="2959" t="s">
        <v>804</v>
      </c>
      <c r="K173" s="2959"/>
      <c r="L173" s="2959"/>
      <c r="M173" s="2959"/>
      <c r="N173" s="2959"/>
      <c r="O173" s="2959"/>
      <c r="P173" s="2959"/>
      <c r="S173" s="2385"/>
    </row>
    <row r="174" spans="1:19" x14ac:dyDescent="0.35">
      <c r="A174" s="2439"/>
      <c r="B174" s="2959"/>
      <c r="C174" s="2959"/>
      <c r="D174" s="2959"/>
      <c r="E174" s="2959"/>
      <c r="F174" s="2959"/>
      <c r="G174" s="2959"/>
      <c r="H174" s="2959"/>
      <c r="I174" s="2406"/>
      <c r="J174" s="2959"/>
      <c r="K174" s="2959"/>
      <c r="L174" s="2959"/>
      <c r="M174" s="2959"/>
      <c r="N174" s="2959"/>
      <c r="O174" s="2959"/>
      <c r="P174" s="2959"/>
    </row>
    <row r="175" spans="1:19" ht="15.75" customHeight="1" x14ac:dyDescent="0.35">
      <c r="A175" s="2439"/>
      <c r="B175" s="2959"/>
      <c r="C175" s="2959"/>
      <c r="D175" s="2959"/>
      <c r="E175" s="2959"/>
      <c r="F175" s="2959"/>
      <c r="G175" s="2959"/>
      <c r="H175" s="2959"/>
      <c r="I175" s="2406"/>
      <c r="J175" s="2959"/>
      <c r="K175" s="2959"/>
      <c r="L175" s="2959"/>
      <c r="M175" s="2959"/>
      <c r="N175" s="2959"/>
      <c r="O175" s="2959"/>
      <c r="P175" s="2959"/>
    </row>
    <row r="176" spans="1:19" ht="15.75" customHeight="1" x14ac:dyDescent="0.35"/>
  </sheetData>
  <autoFilter ref="J37:P70" xr:uid="{BCFA912B-1608-4341-9DB4-ADF0B579A4B7}">
    <filterColumn colId="0" showButton="0"/>
    <filterColumn colId="1" showButton="0"/>
    <filterColumn colId="2" showButton="0"/>
    <filterColumn colId="3" showButton="0"/>
    <filterColumn colId="4" showButton="0"/>
    <filterColumn colId="5" showButton="0"/>
  </autoFilter>
  <mergeCells count="20">
    <mergeCell ref="B2:H2"/>
    <mergeCell ref="J2:P2"/>
    <mergeCell ref="B33:H35"/>
    <mergeCell ref="J33:P35"/>
    <mergeCell ref="B37:H37"/>
    <mergeCell ref="J37:P37"/>
    <mergeCell ref="B68:H70"/>
    <mergeCell ref="J68:P70"/>
    <mergeCell ref="B72:H72"/>
    <mergeCell ref="J72:P72"/>
    <mergeCell ref="B103:H105"/>
    <mergeCell ref="J103:P105"/>
    <mergeCell ref="B173:H175"/>
    <mergeCell ref="J173:P175"/>
    <mergeCell ref="B107:H107"/>
    <mergeCell ref="J107:P107"/>
    <mergeCell ref="B138:H140"/>
    <mergeCell ref="J138:P140"/>
    <mergeCell ref="B142:H142"/>
    <mergeCell ref="J142:P142"/>
  </mergeCells>
  <conditionalFormatting sqref="B3:H3 J71:P71 S2:S173 H9:H16 P9:P16 H44:H51 P44:P51 H79:H86 P79:P86 H114:H121 P114:P121 H149:H156 P149:P156">
    <cfRule type="cellIs" dxfId="1718" priority="14249" operator="equal">
      <formula>TODAY()</formula>
    </cfRule>
  </conditionalFormatting>
  <conditionalFormatting sqref="J3:P3">
    <cfRule type="cellIs" dxfId="1717" priority="14248" operator="equal">
      <formula>TODAY()</formula>
    </cfRule>
  </conditionalFormatting>
  <conditionalFormatting sqref="J36:P36">
    <cfRule type="cellIs" dxfId="1716" priority="14247" operator="equal">
      <formula>TODAY()</formula>
    </cfRule>
  </conditionalFormatting>
  <conditionalFormatting sqref="B141:H141">
    <cfRule type="cellIs" dxfId="1715" priority="14246" operator="equal">
      <formula>TODAY()</formula>
    </cfRule>
  </conditionalFormatting>
  <conditionalFormatting sqref="J141:P141">
    <cfRule type="cellIs" dxfId="1714" priority="14245" operator="equal">
      <formula>TODAY()</formula>
    </cfRule>
  </conditionalFormatting>
  <conditionalFormatting sqref="B2:H2">
    <cfRule type="cellIs" dxfId="1713" priority="14244" operator="equal">
      <formula>TODAY()</formula>
    </cfRule>
  </conditionalFormatting>
  <conditionalFormatting sqref="B33:H36">
    <cfRule type="cellIs" dxfId="1712" priority="14238" operator="equal">
      <formula>TODAY()</formula>
    </cfRule>
  </conditionalFormatting>
  <conditionalFormatting sqref="J33:P35">
    <cfRule type="cellIs" dxfId="1711" priority="14237" operator="equal">
      <formula>TODAY()</formula>
    </cfRule>
  </conditionalFormatting>
  <conditionalFormatting sqref="B38:H38">
    <cfRule type="cellIs" dxfId="1710" priority="14236" operator="equal">
      <formula>TODAY()</formula>
    </cfRule>
  </conditionalFormatting>
  <conditionalFormatting sqref="J38:P38">
    <cfRule type="cellIs" dxfId="1709" priority="14235" operator="equal">
      <formula>TODAY()</formula>
    </cfRule>
  </conditionalFormatting>
  <conditionalFormatting sqref="J37:P37">
    <cfRule type="cellIs" dxfId="1708" priority="14234" operator="equal">
      <formula>TODAY()</formula>
    </cfRule>
  </conditionalFormatting>
  <conditionalFormatting sqref="B108:H108">
    <cfRule type="cellIs" dxfId="1707" priority="14233" operator="equal">
      <formula>TODAY()</formula>
    </cfRule>
  </conditionalFormatting>
  <conditionalFormatting sqref="J108:P108">
    <cfRule type="cellIs" dxfId="1706" priority="14232" operator="equal">
      <formula>TODAY()</formula>
    </cfRule>
  </conditionalFormatting>
  <conditionalFormatting sqref="B143:H143">
    <cfRule type="cellIs" dxfId="1705" priority="14231" operator="equal">
      <formula>TODAY()</formula>
    </cfRule>
  </conditionalFormatting>
  <conditionalFormatting sqref="J143:P143">
    <cfRule type="cellIs" dxfId="1704" priority="14230" operator="equal">
      <formula>TODAY()</formula>
    </cfRule>
  </conditionalFormatting>
  <conditionalFormatting sqref="B71:H71">
    <cfRule type="cellIs" dxfId="1703" priority="14229" operator="equal">
      <formula>TODAY()</formula>
    </cfRule>
  </conditionalFormatting>
  <conditionalFormatting sqref="B73:H73">
    <cfRule type="cellIs" dxfId="1702" priority="14228" operator="equal">
      <formula>TODAY()</formula>
    </cfRule>
  </conditionalFormatting>
  <conditionalFormatting sqref="J73:P73">
    <cfRule type="cellIs" dxfId="1701" priority="14227" operator="equal">
      <formula>TODAY()</formula>
    </cfRule>
  </conditionalFormatting>
  <conditionalFormatting sqref="J72">
    <cfRule type="cellIs" dxfId="1700" priority="14226" operator="equal">
      <formula>TODAY()</formula>
    </cfRule>
  </conditionalFormatting>
  <conditionalFormatting sqref="B68:H70">
    <cfRule type="cellIs" dxfId="1699" priority="14225" operator="equal">
      <formula>TODAY()</formula>
    </cfRule>
  </conditionalFormatting>
  <conditionalFormatting sqref="B103:H105">
    <cfRule type="cellIs" dxfId="1698" priority="14224" operator="equal">
      <formula>TODAY()</formula>
    </cfRule>
  </conditionalFormatting>
  <conditionalFormatting sqref="B138:H140">
    <cfRule type="cellIs" dxfId="1697" priority="14223" operator="equal">
      <formula>TODAY()</formula>
    </cfRule>
  </conditionalFormatting>
  <conditionalFormatting sqref="B173:H175">
    <cfRule type="cellIs" dxfId="1696" priority="14222" operator="equal">
      <formula>TODAY()</formula>
    </cfRule>
  </conditionalFormatting>
  <conditionalFormatting sqref="J68:P70">
    <cfRule type="cellIs" dxfId="1695" priority="14221" operator="equal">
      <formula>TODAY()</formula>
    </cfRule>
  </conditionalFormatting>
  <conditionalFormatting sqref="J103:P105">
    <cfRule type="cellIs" dxfId="1694" priority="14220" operator="equal">
      <formula>TODAY()</formula>
    </cfRule>
  </conditionalFormatting>
  <conditionalFormatting sqref="J138:P140">
    <cfRule type="cellIs" dxfId="1693" priority="14219" operator="equal">
      <formula>TODAY()</formula>
    </cfRule>
  </conditionalFormatting>
  <conditionalFormatting sqref="J173:P175">
    <cfRule type="cellIs" dxfId="1692" priority="14218" operator="equal">
      <formula>TODAY()</formula>
    </cfRule>
  </conditionalFormatting>
  <conditionalFormatting sqref="B107:H107">
    <cfRule type="cellIs" dxfId="1691" priority="14217" operator="equal">
      <formula>TODAY()</formula>
    </cfRule>
  </conditionalFormatting>
  <conditionalFormatting sqref="J107:P107">
    <cfRule type="cellIs" dxfId="1690" priority="14216" operator="equal">
      <formula>TODAY()</formula>
    </cfRule>
  </conditionalFormatting>
  <conditionalFormatting sqref="B72:H72">
    <cfRule type="cellIs" dxfId="1689" priority="14214" operator="equal">
      <formula>TODAY()</formula>
    </cfRule>
  </conditionalFormatting>
  <conditionalFormatting sqref="J2:P2">
    <cfRule type="cellIs" dxfId="1688" priority="14213" operator="equal">
      <formula>TODAY()</formula>
    </cfRule>
  </conditionalFormatting>
  <conditionalFormatting sqref="B37:H37">
    <cfRule type="cellIs" dxfId="1687" priority="14212" operator="equal">
      <formula>TODAY()</formula>
    </cfRule>
  </conditionalFormatting>
  <conditionalFormatting sqref="C173:C1048576 C1:C3 C33:C38 C68:C73 C103:C108 C138:C143 C7:C21 K7:K21 C42:C56 K42:K56 C77:C91 K77:K91 C112:C126 K112:K126 C147:C161 K147:K161">
    <cfRule type="cellIs" dxfId="1686" priority="14210" operator="equal">
      <formula>"X"</formula>
    </cfRule>
  </conditionalFormatting>
  <conditionalFormatting sqref="B142:H142">
    <cfRule type="cellIs" dxfId="1685" priority="12755" operator="equal">
      <formula>TODAY()</formula>
    </cfRule>
  </conditionalFormatting>
  <conditionalFormatting sqref="J142:P142">
    <cfRule type="cellIs" dxfId="1684" priority="12754" operator="equal">
      <formula>TODAY()</formula>
    </cfRule>
  </conditionalFormatting>
  <conditionalFormatting sqref="K142">
    <cfRule type="cellIs" dxfId="1683" priority="12753" operator="equal">
      <formula>"X"</formula>
    </cfRule>
  </conditionalFormatting>
  <conditionalFormatting sqref="H1:H1048576 P73:P1048576 P1:P71">
    <cfRule type="cellIs" dxfId="1682" priority="9959" operator="equal">
      <formula>"Sleepy"</formula>
    </cfRule>
    <cfRule type="containsText" dxfId="1681" priority="12367" operator="containsText" text="Iphone in Station">
      <formula>NOT(ISERROR(SEARCH("Iphone in Station",H1)))</formula>
    </cfRule>
    <cfRule type="containsText" dxfId="1680" priority="12368" operator="containsText" text="Iphone in Hand">
      <formula>NOT(ISERROR(SEARCH("Iphone in Hand",H1)))</formula>
    </cfRule>
  </conditionalFormatting>
  <conditionalFormatting sqref="H163">
    <cfRule type="cellIs" dxfId="1679" priority="2538" operator="equal">
      <formula>TODAY()</formula>
    </cfRule>
  </conditionalFormatting>
  <conditionalFormatting sqref="H165:H171">
    <cfRule type="cellIs" dxfId="1678" priority="2537" operator="equal">
      <formula>TODAY()</formula>
    </cfRule>
  </conditionalFormatting>
  <conditionalFormatting sqref="G167">
    <cfRule type="cellIs" dxfId="1677" priority="2536" operator="equal">
      <formula>TODAY()</formula>
    </cfRule>
  </conditionalFormatting>
  <conditionalFormatting sqref="G168:G170">
    <cfRule type="cellIs" dxfId="1676" priority="2535" operator="equal">
      <formula>TODAY()</formula>
    </cfRule>
  </conditionalFormatting>
  <conditionalFormatting sqref="G163">
    <cfRule type="cellIs" dxfId="1675" priority="2534" operator="equal">
      <formula>TODAY()</formula>
    </cfRule>
  </conditionalFormatting>
  <conditionalFormatting sqref="D167:F170">
    <cfRule type="cellIs" dxfId="1674" priority="2533" operator="equal">
      <formula>TODAY()</formula>
    </cfRule>
  </conditionalFormatting>
  <conditionalFormatting sqref="E163">
    <cfRule type="cellIs" dxfId="1673" priority="2532" operator="equal">
      <formula>TODAY()</formula>
    </cfRule>
  </conditionalFormatting>
  <conditionalFormatting sqref="F163">
    <cfRule type="cellIs" dxfId="1672" priority="2531" operator="equal">
      <formula>TODAY()</formula>
    </cfRule>
  </conditionalFormatting>
  <conditionalFormatting sqref="B163:C163">
    <cfRule type="cellIs" dxfId="1671" priority="2530" operator="equal">
      <formula>TODAY()</formula>
    </cfRule>
  </conditionalFormatting>
  <conditionalFormatting sqref="B169:C170">
    <cfRule type="cellIs" dxfId="1670" priority="2529" operator="equal">
      <formula>TODAY()</formula>
    </cfRule>
  </conditionalFormatting>
  <conditionalFormatting sqref="H172">
    <cfRule type="cellIs" dxfId="1669" priority="2528" operator="equal">
      <formula>TODAY()</formula>
    </cfRule>
  </conditionalFormatting>
  <conditionalFormatting sqref="C163 C167:C172">
    <cfRule type="cellIs" dxfId="1668" priority="2527" operator="equal">
      <formula>"X"</formula>
    </cfRule>
  </conditionalFormatting>
  <conditionalFormatting sqref="D163">
    <cfRule type="cellIs" dxfId="1667" priority="2526" operator="equal">
      <formula>TODAY()</formula>
    </cfRule>
  </conditionalFormatting>
  <conditionalFormatting sqref="H164">
    <cfRule type="cellIs" dxfId="1666" priority="2525" operator="equal">
      <formula>TODAY()</formula>
    </cfRule>
  </conditionalFormatting>
  <conditionalFormatting sqref="G164">
    <cfRule type="cellIs" dxfId="1665" priority="2524" operator="equal">
      <formula>TODAY()</formula>
    </cfRule>
  </conditionalFormatting>
  <conditionalFormatting sqref="F164">
    <cfRule type="cellIs" dxfId="1664" priority="2523" operator="equal">
      <formula>TODAY()</formula>
    </cfRule>
  </conditionalFormatting>
  <conditionalFormatting sqref="C164">
    <cfRule type="cellIs" dxfId="1663" priority="2522" operator="equal">
      <formula>"X"</formula>
    </cfRule>
  </conditionalFormatting>
  <conditionalFormatting sqref="D164:E164">
    <cfRule type="cellIs" dxfId="1662" priority="2521" operator="equal">
      <formula>TODAY()</formula>
    </cfRule>
  </conditionalFormatting>
  <conditionalFormatting sqref="C162">
    <cfRule type="cellIs" dxfId="1661" priority="2520" operator="equal">
      <formula>"X"</formula>
    </cfRule>
  </conditionalFormatting>
  <conditionalFormatting sqref="G166">
    <cfRule type="cellIs" dxfId="1660" priority="2519" operator="equal">
      <formula>TODAY()</formula>
    </cfRule>
  </conditionalFormatting>
  <conditionalFormatting sqref="E166:F166">
    <cfRule type="cellIs" dxfId="1659" priority="2518" operator="equal">
      <formula>TODAY()</formula>
    </cfRule>
  </conditionalFormatting>
  <conditionalFormatting sqref="D166">
    <cfRule type="cellIs" dxfId="1658" priority="2517" operator="equal">
      <formula>TODAY()</formula>
    </cfRule>
  </conditionalFormatting>
  <conditionalFormatting sqref="C166">
    <cfRule type="cellIs" dxfId="1657" priority="2516" operator="equal">
      <formula>"X"</formula>
    </cfRule>
  </conditionalFormatting>
  <conditionalFormatting sqref="G165">
    <cfRule type="cellIs" dxfId="1656" priority="2515" operator="equal">
      <formula>TODAY()</formula>
    </cfRule>
  </conditionalFormatting>
  <conditionalFormatting sqref="F165">
    <cfRule type="cellIs" dxfId="1655" priority="2514" operator="equal">
      <formula>TODAY()</formula>
    </cfRule>
  </conditionalFormatting>
  <conditionalFormatting sqref="C165">
    <cfRule type="cellIs" dxfId="1654" priority="2513" operator="equal">
      <formula>"X"</formula>
    </cfRule>
  </conditionalFormatting>
  <conditionalFormatting sqref="E165">
    <cfRule type="cellIs" dxfId="1653" priority="2512" operator="equal">
      <formula>TODAY()</formula>
    </cfRule>
  </conditionalFormatting>
  <conditionalFormatting sqref="D165">
    <cfRule type="cellIs" dxfId="1652" priority="2511" operator="equal">
      <formula>TODAY()</formula>
    </cfRule>
  </conditionalFormatting>
  <conditionalFormatting sqref="P163">
    <cfRule type="cellIs" dxfId="1651" priority="1710" operator="equal">
      <formula>TODAY()</formula>
    </cfRule>
  </conditionalFormatting>
  <conditionalFormatting sqref="P165:P171">
    <cfRule type="cellIs" dxfId="1650" priority="1709" operator="equal">
      <formula>TODAY()</formula>
    </cfRule>
  </conditionalFormatting>
  <conditionalFormatting sqref="O167">
    <cfRule type="cellIs" dxfId="1649" priority="1708" operator="equal">
      <formula>TODAY()</formula>
    </cfRule>
  </conditionalFormatting>
  <conditionalFormatting sqref="O168:O170">
    <cfRule type="cellIs" dxfId="1648" priority="1707" operator="equal">
      <formula>TODAY()</formula>
    </cfRule>
  </conditionalFormatting>
  <conditionalFormatting sqref="O163">
    <cfRule type="cellIs" dxfId="1647" priority="1706" operator="equal">
      <formula>TODAY()</formula>
    </cfRule>
  </conditionalFormatting>
  <conditionalFormatting sqref="L167:N170">
    <cfRule type="cellIs" dxfId="1646" priority="1705" operator="equal">
      <formula>TODAY()</formula>
    </cfRule>
  </conditionalFormatting>
  <conditionalFormatting sqref="M163">
    <cfRule type="cellIs" dxfId="1645" priority="1704" operator="equal">
      <formula>TODAY()</formula>
    </cfRule>
  </conditionalFormatting>
  <conditionalFormatting sqref="N163">
    <cfRule type="cellIs" dxfId="1644" priority="1703" operator="equal">
      <formula>TODAY()</formula>
    </cfRule>
  </conditionalFormatting>
  <conditionalFormatting sqref="J163:K163">
    <cfRule type="cellIs" dxfId="1643" priority="1702" operator="equal">
      <formula>TODAY()</formula>
    </cfRule>
  </conditionalFormatting>
  <conditionalFormatting sqref="J169:K170">
    <cfRule type="cellIs" dxfId="1642" priority="1701" operator="equal">
      <formula>TODAY()</formula>
    </cfRule>
  </conditionalFormatting>
  <conditionalFormatting sqref="P172">
    <cfRule type="cellIs" dxfId="1641" priority="1700" operator="equal">
      <formula>TODAY()</formula>
    </cfRule>
  </conditionalFormatting>
  <conditionalFormatting sqref="K163 K167:K172">
    <cfRule type="cellIs" dxfId="1640" priority="1699" operator="equal">
      <formula>"X"</formula>
    </cfRule>
  </conditionalFormatting>
  <conditionalFormatting sqref="L163">
    <cfRule type="cellIs" dxfId="1639" priority="1698" operator="equal">
      <formula>TODAY()</formula>
    </cfRule>
  </conditionalFormatting>
  <conditionalFormatting sqref="P164">
    <cfRule type="cellIs" dxfId="1638" priority="1697" operator="equal">
      <formula>TODAY()</formula>
    </cfRule>
  </conditionalFormatting>
  <conditionalFormatting sqref="O164">
    <cfRule type="cellIs" dxfId="1637" priority="1696" operator="equal">
      <formula>TODAY()</formula>
    </cfRule>
  </conditionalFormatting>
  <conditionalFormatting sqref="N164">
    <cfRule type="cellIs" dxfId="1636" priority="1695" operator="equal">
      <formula>TODAY()</formula>
    </cfRule>
  </conditionalFormatting>
  <conditionalFormatting sqref="K164">
    <cfRule type="cellIs" dxfId="1635" priority="1694" operator="equal">
      <formula>"X"</formula>
    </cfRule>
  </conditionalFormatting>
  <conditionalFormatting sqref="L164:M164">
    <cfRule type="cellIs" dxfId="1634" priority="1693" operator="equal">
      <formula>TODAY()</formula>
    </cfRule>
  </conditionalFormatting>
  <conditionalFormatting sqref="K162">
    <cfRule type="cellIs" dxfId="1633" priority="1692" operator="equal">
      <formula>"X"</formula>
    </cfRule>
  </conditionalFormatting>
  <conditionalFormatting sqref="O166">
    <cfRule type="cellIs" dxfId="1632" priority="1691" operator="equal">
      <formula>TODAY()</formula>
    </cfRule>
  </conditionalFormatting>
  <conditionalFormatting sqref="M166:N166">
    <cfRule type="cellIs" dxfId="1631" priority="1690" operator="equal">
      <formula>TODAY()</formula>
    </cfRule>
  </conditionalFormatting>
  <conditionalFormatting sqref="L166">
    <cfRule type="cellIs" dxfId="1630" priority="1689" operator="equal">
      <formula>TODAY()</formula>
    </cfRule>
  </conditionalFormatting>
  <conditionalFormatting sqref="K166">
    <cfRule type="cellIs" dxfId="1629" priority="1688" operator="equal">
      <formula>"X"</formula>
    </cfRule>
  </conditionalFormatting>
  <conditionalFormatting sqref="O165">
    <cfRule type="cellIs" dxfId="1628" priority="1687" operator="equal">
      <formula>TODAY()</formula>
    </cfRule>
  </conditionalFormatting>
  <conditionalFormatting sqref="N165">
    <cfRule type="cellIs" dxfId="1627" priority="1686" operator="equal">
      <formula>TODAY()</formula>
    </cfRule>
  </conditionalFormatting>
  <conditionalFormatting sqref="K165">
    <cfRule type="cellIs" dxfId="1626" priority="1685" operator="equal">
      <formula>"X"</formula>
    </cfRule>
  </conditionalFormatting>
  <conditionalFormatting sqref="M165">
    <cfRule type="cellIs" dxfId="1625" priority="1684" operator="equal">
      <formula>TODAY()</formula>
    </cfRule>
  </conditionalFormatting>
  <conditionalFormatting sqref="L165">
    <cfRule type="cellIs" dxfId="1624" priority="1683" operator="equal">
      <formula>TODAY()</formula>
    </cfRule>
  </conditionalFormatting>
  <conditionalFormatting sqref="H23">
    <cfRule type="cellIs" dxfId="1623" priority="1590" operator="equal">
      <formula>TODAY()</formula>
    </cfRule>
  </conditionalFormatting>
  <conditionalFormatting sqref="H25:H31">
    <cfRule type="cellIs" dxfId="1622" priority="1589" operator="equal">
      <formula>TODAY()</formula>
    </cfRule>
  </conditionalFormatting>
  <conditionalFormatting sqref="G27">
    <cfRule type="cellIs" dxfId="1621" priority="1588" operator="equal">
      <formula>TODAY()</formula>
    </cfRule>
  </conditionalFormatting>
  <conditionalFormatting sqref="G28:G30">
    <cfRule type="cellIs" dxfId="1620" priority="1587" operator="equal">
      <formula>TODAY()</formula>
    </cfRule>
  </conditionalFormatting>
  <conditionalFormatting sqref="G23">
    <cfRule type="cellIs" dxfId="1619" priority="1586" operator="equal">
      <formula>TODAY()</formula>
    </cfRule>
  </conditionalFormatting>
  <conditionalFormatting sqref="D27:F30">
    <cfRule type="cellIs" dxfId="1618" priority="1585" operator="equal">
      <formula>TODAY()</formula>
    </cfRule>
  </conditionalFormatting>
  <conditionalFormatting sqref="E23">
    <cfRule type="cellIs" dxfId="1617" priority="1584" operator="equal">
      <formula>TODAY()</formula>
    </cfRule>
  </conditionalFormatting>
  <conditionalFormatting sqref="F23">
    <cfRule type="cellIs" dxfId="1616" priority="1583" operator="equal">
      <formula>TODAY()</formula>
    </cfRule>
  </conditionalFormatting>
  <conditionalFormatting sqref="B23:C23">
    <cfRule type="cellIs" dxfId="1615" priority="1582" operator="equal">
      <formula>TODAY()</formula>
    </cfRule>
  </conditionalFormatting>
  <conditionalFormatting sqref="B29:C30">
    <cfRule type="cellIs" dxfId="1614" priority="1581" operator="equal">
      <formula>TODAY()</formula>
    </cfRule>
  </conditionalFormatting>
  <conditionalFormatting sqref="H32">
    <cfRule type="cellIs" dxfId="1613" priority="1580" operator="equal">
      <formula>TODAY()</formula>
    </cfRule>
  </conditionalFormatting>
  <conditionalFormatting sqref="C23 C27:C32">
    <cfRule type="cellIs" dxfId="1612" priority="1579" operator="equal">
      <formula>"X"</formula>
    </cfRule>
  </conditionalFormatting>
  <conditionalFormatting sqref="D23">
    <cfRule type="cellIs" dxfId="1611" priority="1578" operator="equal">
      <formula>TODAY()</formula>
    </cfRule>
  </conditionalFormatting>
  <conditionalFormatting sqref="H24">
    <cfRule type="cellIs" dxfId="1610" priority="1577" operator="equal">
      <formula>TODAY()</formula>
    </cfRule>
  </conditionalFormatting>
  <conditionalFormatting sqref="G24">
    <cfRule type="cellIs" dxfId="1609" priority="1576" operator="equal">
      <formula>TODAY()</formula>
    </cfRule>
  </conditionalFormatting>
  <conditionalFormatting sqref="F24">
    <cfRule type="cellIs" dxfId="1608" priority="1575" operator="equal">
      <formula>TODAY()</formula>
    </cfRule>
  </conditionalFormatting>
  <conditionalFormatting sqref="C24">
    <cfRule type="cellIs" dxfId="1607" priority="1574" operator="equal">
      <formula>"X"</formula>
    </cfRule>
  </conditionalFormatting>
  <conditionalFormatting sqref="D24:E24">
    <cfRule type="cellIs" dxfId="1606" priority="1573" operator="equal">
      <formula>TODAY()</formula>
    </cfRule>
  </conditionalFormatting>
  <conditionalFormatting sqref="C22">
    <cfRule type="cellIs" dxfId="1605" priority="1572" operator="equal">
      <formula>"X"</formula>
    </cfRule>
  </conditionalFormatting>
  <conditionalFormatting sqref="G26">
    <cfRule type="cellIs" dxfId="1604" priority="1571" operator="equal">
      <formula>TODAY()</formula>
    </cfRule>
  </conditionalFormatting>
  <conditionalFormatting sqref="E26:F26">
    <cfRule type="cellIs" dxfId="1603" priority="1570" operator="equal">
      <formula>TODAY()</formula>
    </cfRule>
  </conditionalFormatting>
  <conditionalFormatting sqref="D26">
    <cfRule type="cellIs" dxfId="1602" priority="1569" operator="equal">
      <formula>TODAY()</formula>
    </cfRule>
  </conditionalFormatting>
  <conditionalFormatting sqref="C26">
    <cfRule type="cellIs" dxfId="1601" priority="1568" operator="equal">
      <formula>"X"</formula>
    </cfRule>
  </conditionalFormatting>
  <conditionalFormatting sqref="G25">
    <cfRule type="cellIs" dxfId="1600" priority="1567" operator="equal">
      <formula>TODAY()</formula>
    </cfRule>
  </conditionalFormatting>
  <conditionalFormatting sqref="F25">
    <cfRule type="cellIs" dxfId="1599" priority="1566" operator="equal">
      <formula>TODAY()</formula>
    </cfRule>
  </conditionalFormatting>
  <conditionalFormatting sqref="C25">
    <cfRule type="cellIs" dxfId="1598" priority="1565" operator="equal">
      <formula>"X"</formula>
    </cfRule>
  </conditionalFormatting>
  <conditionalFormatting sqref="E25">
    <cfRule type="cellIs" dxfId="1597" priority="1564" operator="equal">
      <formula>TODAY()</formula>
    </cfRule>
  </conditionalFormatting>
  <conditionalFormatting sqref="D25">
    <cfRule type="cellIs" dxfId="1596" priority="1563" operator="equal">
      <formula>TODAY()</formula>
    </cfRule>
  </conditionalFormatting>
  <conditionalFormatting sqref="P23">
    <cfRule type="cellIs" dxfId="1595" priority="1525" operator="equal">
      <formula>TODAY()</formula>
    </cfRule>
  </conditionalFormatting>
  <conditionalFormatting sqref="P25:P31">
    <cfRule type="cellIs" dxfId="1594" priority="1524" operator="equal">
      <formula>TODAY()</formula>
    </cfRule>
  </conditionalFormatting>
  <conditionalFormatting sqref="O27">
    <cfRule type="cellIs" dxfId="1593" priority="1523" operator="equal">
      <formula>TODAY()</formula>
    </cfRule>
  </conditionalFormatting>
  <conditionalFormatting sqref="O28:O30">
    <cfRule type="cellIs" dxfId="1592" priority="1522" operator="equal">
      <formula>TODAY()</formula>
    </cfRule>
  </conditionalFormatting>
  <conditionalFormatting sqref="O23">
    <cfRule type="cellIs" dxfId="1591" priority="1521" operator="equal">
      <formula>TODAY()</formula>
    </cfRule>
  </conditionalFormatting>
  <conditionalFormatting sqref="L27:N30">
    <cfRule type="cellIs" dxfId="1590" priority="1520" operator="equal">
      <formula>TODAY()</formula>
    </cfRule>
  </conditionalFormatting>
  <conditionalFormatting sqref="M23">
    <cfRule type="cellIs" dxfId="1589" priority="1519" operator="equal">
      <formula>TODAY()</formula>
    </cfRule>
  </conditionalFormatting>
  <conditionalFormatting sqref="N23">
    <cfRule type="cellIs" dxfId="1588" priority="1518" operator="equal">
      <formula>TODAY()</formula>
    </cfRule>
  </conditionalFormatting>
  <conditionalFormatting sqref="J23:K23">
    <cfRule type="cellIs" dxfId="1587" priority="1517" operator="equal">
      <formula>TODAY()</formula>
    </cfRule>
  </conditionalFormatting>
  <conditionalFormatting sqref="J29:K30">
    <cfRule type="cellIs" dxfId="1586" priority="1516" operator="equal">
      <formula>TODAY()</formula>
    </cfRule>
  </conditionalFormatting>
  <conditionalFormatting sqref="P32">
    <cfRule type="cellIs" dxfId="1585" priority="1515" operator="equal">
      <formula>TODAY()</formula>
    </cfRule>
  </conditionalFormatting>
  <conditionalFormatting sqref="K23 K27:K32">
    <cfRule type="cellIs" dxfId="1584" priority="1514" operator="equal">
      <formula>"X"</formula>
    </cfRule>
  </conditionalFormatting>
  <conditionalFormatting sqref="L23">
    <cfRule type="cellIs" dxfId="1583" priority="1513" operator="equal">
      <formula>TODAY()</formula>
    </cfRule>
  </conditionalFormatting>
  <conditionalFormatting sqref="P24">
    <cfRule type="cellIs" dxfId="1582" priority="1512" operator="equal">
      <formula>TODAY()</formula>
    </cfRule>
  </conditionalFormatting>
  <conditionalFormatting sqref="O24">
    <cfRule type="cellIs" dxfId="1581" priority="1511" operator="equal">
      <formula>TODAY()</formula>
    </cfRule>
  </conditionalFormatting>
  <conditionalFormatting sqref="N24">
    <cfRule type="cellIs" dxfId="1580" priority="1510" operator="equal">
      <formula>TODAY()</formula>
    </cfRule>
  </conditionalFormatting>
  <conditionalFormatting sqref="K24">
    <cfRule type="cellIs" dxfId="1579" priority="1509" operator="equal">
      <formula>"X"</formula>
    </cfRule>
  </conditionalFormatting>
  <conditionalFormatting sqref="L24:M24">
    <cfRule type="cellIs" dxfId="1578" priority="1508" operator="equal">
      <formula>TODAY()</formula>
    </cfRule>
  </conditionalFormatting>
  <conditionalFormatting sqref="K22">
    <cfRule type="cellIs" dxfId="1577" priority="1507" operator="equal">
      <formula>"X"</formula>
    </cfRule>
  </conditionalFormatting>
  <conditionalFormatting sqref="O26">
    <cfRule type="cellIs" dxfId="1576" priority="1506" operator="equal">
      <formula>TODAY()</formula>
    </cfRule>
  </conditionalFormatting>
  <conditionalFormatting sqref="M26:N26">
    <cfRule type="cellIs" dxfId="1575" priority="1505" operator="equal">
      <formula>TODAY()</formula>
    </cfRule>
  </conditionalFormatting>
  <conditionalFormatting sqref="L26">
    <cfRule type="cellIs" dxfId="1574" priority="1504" operator="equal">
      <formula>TODAY()</formula>
    </cfRule>
  </conditionalFormatting>
  <conditionalFormatting sqref="K26">
    <cfRule type="cellIs" dxfId="1573" priority="1503" operator="equal">
      <formula>"X"</formula>
    </cfRule>
  </conditionalFormatting>
  <conditionalFormatting sqref="O25">
    <cfRule type="cellIs" dxfId="1572" priority="1502" operator="equal">
      <formula>TODAY()</formula>
    </cfRule>
  </conditionalFormatting>
  <conditionalFormatting sqref="N25">
    <cfRule type="cellIs" dxfId="1571" priority="1501" operator="equal">
      <formula>TODAY()</formula>
    </cfRule>
  </conditionalFormatting>
  <conditionalFormatting sqref="K25">
    <cfRule type="cellIs" dxfId="1570" priority="1500" operator="equal">
      <formula>"X"</formula>
    </cfRule>
  </conditionalFormatting>
  <conditionalFormatting sqref="M25">
    <cfRule type="cellIs" dxfId="1569" priority="1499" operator="equal">
      <formula>TODAY()</formula>
    </cfRule>
  </conditionalFormatting>
  <conditionalFormatting sqref="L25">
    <cfRule type="cellIs" dxfId="1568" priority="1498" operator="equal">
      <formula>TODAY()</formula>
    </cfRule>
  </conditionalFormatting>
  <conditionalFormatting sqref="H58">
    <cfRule type="cellIs" dxfId="1567" priority="1460" operator="equal">
      <formula>TODAY()</formula>
    </cfRule>
  </conditionalFormatting>
  <conditionalFormatting sqref="H60:H66">
    <cfRule type="cellIs" dxfId="1566" priority="1459" operator="equal">
      <formula>TODAY()</formula>
    </cfRule>
  </conditionalFormatting>
  <conditionalFormatting sqref="G62">
    <cfRule type="cellIs" dxfId="1565" priority="1458" operator="equal">
      <formula>TODAY()</formula>
    </cfRule>
  </conditionalFormatting>
  <conditionalFormatting sqref="G63:G65">
    <cfRule type="cellIs" dxfId="1564" priority="1457" operator="equal">
      <formula>TODAY()</formula>
    </cfRule>
  </conditionalFormatting>
  <conditionalFormatting sqref="G58">
    <cfRule type="cellIs" dxfId="1563" priority="1456" operator="equal">
      <formula>TODAY()</formula>
    </cfRule>
  </conditionalFormatting>
  <conditionalFormatting sqref="D62:F65">
    <cfRule type="cellIs" dxfId="1562" priority="1455" operator="equal">
      <formula>TODAY()</formula>
    </cfRule>
  </conditionalFormatting>
  <conditionalFormatting sqref="E58">
    <cfRule type="cellIs" dxfId="1561" priority="1454" operator="equal">
      <formula>TODAY()</formula>
    </cfRule>
  </conditionalFormatting>
  <conditionalFormatting sqref="F58">
    <cfRule type="cellIs" dxfId="1560" priority="1453" operator="equal">
      <formula>TODAY()</formula>
    </cfRule>
  </conditionalFormatting>
  <conditionalFormatting sqref="B58:C58">
    <cfRule type="cellIs" dxfId="1559" priority="1452" operator="equal">
      <formula>TODAY()</formula>
    </cfRule>
  </conditionalFormatting>
  <conditionalFormatting sqref="B64:C65">
    <cfRule type="cellIs" dxfId="1558" priority="1451" operator="equal">
      <formula>TODAY()</formula>
    </cfRule>
  </conditionalFormatting>
  <conditionalFormatting sqref="H67">
    <cfRule type="cellIs" dxfId="1557" priority="1450" operator="equal">
      <formula>TODAY()</formula>
    </cfRule>
  </conditionalFormatting>
  <conditionalFormatting sqref="C58 C62:C67">
    <cfRule type="cellIs" dxfId="1556" priority="1449" operator="equal">
      <formula>"X"</formula>
    </cfRule>
  </conditionalFormatting>
  <conditionalFormatting sqref="D58">
    <cfRule type="cellIs" dxfId="1555" priority="1448" operator="equal">
      <formula>TODAY()</formula>
    </cfRule>
  </conditionalFormatting>
  <conditionalFormatting sqref="H59">
    <cfRule type="cellIs" dxfId="1554" priority="1447" operator="equal">
      <formula>TODAY()</formula>
    </cfRule>
  </conditionalFormatting>
  <conditionalFormatting sqref="G59">
    <cfRule type="cellIs" dxfId="1553" priority="1446" operator="equal">
      <formula>TODAY()</formula>
    </cfRule>
  </conditionalFormatting>
  <conditionalFormatting sqref="F59">
    <cfRule type="cellIs" dxfId="1552" priority="1445" operator="equal">
      <formula>TODAY()</formula>
    </cfRule>
  </conditionalFormatting>
  <conditionalFormatting sqref="C59">
    <cfRule type="cellIs" dxfId="1551" priority="1444" operator="equal">
      <formula>"X"</formula>
    </cfRule>
  </conditionalFormatting>
  <conditionalFormatting sqref="D59:E59">
    <cfRule type="cellIs" dxfId="1550" priority="1443" operator="equal">
      <formula>TODAY()</formula>
    </cfRule>
  </conditionalFormatting>
  <conditionalFormatting sqref="C57">
    <cfRule type="cellIs" dxfId="1549" priority="1442" operator="equal">
      <formula>"X"</formula>
    </cfRule>
  </conditionalFormatting>
  <conditionalFormatting sqref="G61">
    <cfRule type="cellIs" dxfId="1548" priority="1441" operator="equal">
      <formula>TODAY()</formula>
    </cfRule>
  </conditionalFormatting>
  <conditionalFormatting sqref="E61:F61">
    <cfRule type="cellIs" dxfId="1547" priority="1440" operator="equal">
      <formula>TODAY()</formula>
    </cfRule>
  </conditionalFormatting>
  <conditionalFormatting sqref="D61">
    <cfRule type="cellIs" dxfId="1546" priority="1439" operator="equal">
      <formula>TODAY()</formula>
    </cfRule>
  </conditionalFormatting>
  <conditionalFormatting sqref="C61">
    <cfRule type="cellIs" dxfId="1545" priority="1438" operator="equal">
      <formula>"X"</formula>
    </cfRule>
  </conditionalFormatting>
  <conditionalFormatting sqref="G60">
    <cfRule type="cellIs" dxfId="1544" priority="1437" operator="equal">
      <formula>TODAY()</formula>
    </cfRule>
  </conditionalFormatting>
  <conditionalFormatting sqref="F60">
    <cfRule type="cellIs" dxfId="1543" priority="1436" operator="equal">
      <formula>TODAY()</formula>
    </cfRule>
  </conditionalFormatting>
  <conditionalFormatting sqref="C60">
    <cfRule type="cellIs" dxfId="1542" priority="1435" operator="equal">
      <formula>"X"</formula>
    </cfRule>
  </conditionalFormatting>
  <conditionalFormatting sqref="E60">
    <cfRule type="cellIs" dxfId="1541" priority="1434" operator="equal">
      <formula>TODAY()</formula>
    </cfRule>
  </conditionalFormatting>
  <conditionalFormatting sqref="D60">
    <cfRule type="cellIs" dxfId="1540" priority="1433" operator="equal">
      <formula>TODAY()</formula>
    </cfRule>
  </conditionalFormatting>
  <conditionalFormatting sqref="P58">
    <cfRule type="cellIs" dxfId="1539" priority="1395" operator="equal">
      <formula>TODAY()</formula>
    </cfRule>
  </conditionalFormatting>
  <conditionalFormatting sqref="P60:P66">
    <cfRule type="cellIs" dxfId="1538" priority="1394" operator="equal">
      <formula>TODAY()</formula>
    </cfRule>
  </conditionalFormatting>
  <conditionalFormatting sqref="O62">
    <cfRule type="cellIs" dxfId="1537" priority="1393" operator="equal">
      <formula>TODAY()</formula>
    </cfRule>
  </conditionalFormatting>
  <conditionalFormatting sqref="O63:O65">
    <cfRule type="cellIs" dxfId="1536" priority="1392" operator="equal">
      <formula>TODAY()</formula>
    </cfRule>
  </conditionalFormatting>
  <conditionalFormatting sqref="O58">
    <cfRule type="cellIs" dxfId="1535" priority="1391" operator="equal">
      <formula>TODAY()</formula>
    </cfRule>
  </conditionalFormatting>
  <conditionalFormatting sqref="L62:N65">
    <cfRule type="cellIs" dxfId="1534" priority="1390" operator="equal">
      <formula>TODAY()</formula>
    </cfRule>
  </conditionalFormatting>
  <conditionalFormatting sqref="M58">
    <cfRule type="cellIs" dxfId="1533" priority="1389" operator="equal">
      <formula>TODAY()</formula>
    </cfRule>
  </conditionalFormatting>
  <conditionalFormatting sqref="N58">
    <cfRule type="cellIs" dxfId="1532" priority="1388" operator="equal">
      <formula>TODAY()</formula>
    </cfRule>
  </conditionalFormatting>
  <conditionalFormatting sqref="J58:K58">
    <cfRule type="cellIs" dxfId="1531" priority="1387" operator="equal">
      <formula>TODAY()</formula>
    </cfRule>
  </conditionalFormatting>
  <conditionalFormatting sqref="J64:K65">
    <cfRule type="cellIs" dxfId="1530" priority="1386" operator="equal">
      <formula>TODAY()</formula>
    </cfRule>
  </conditionalFormatting>
  <conditionalFormatting sqref="P67">
    <cfRule type="cellIs" dxfId="1529" priority="1385" operator="equal">
      <formula>TODAY()</formula>
    </cfRule>
  </conditionalFormatting>
  <conditionalFormatting sqref="K58 K62:K67">
    <cfRule type="cellIs" dxfId="1528" priority="1384" operator="equal">
      <formula>"X"</formula>
    </cfRule>
  </conditionalFormatting>
  <conditionalFormatting sqref="L58">
    <cfRule type="cellIs" dxfId="1527" priority="1383" operator="equal">
      <formula>TODAY()</formula>
    </cfRule>
  </conditionalFormatting>
  <conditionalFormatting sqref="P59">
    <cfRule type="cellIs" dxfId="1526" priority="1382" operator="equal">
      <formula>TODAY()</formula>
    </cfRule>
  </conditionalFormatting>
  <conditionalFormatting sqref="O59">
    <cfRule type="cellIs" dxfId="1525" priority="1381" operator="equal">
      <formula>TODAY()</formula>
    </cfRule>
  </conditionalFormatting>
  <conditionalFormatting sqref="N59">
    <cfRule type="cellIs" dxfId="1524" priority="1380" operator="equal">
      <formula>TODAY()</formula>
    </cfRule>
  </conditionalFormatting>
  <conditionalFormatting sqref="K59">
    <cfRule type="cellIs" dxfId="1523" priority="1379" operator="equal">
      <formula>"X"</formula>
    </cfRule>
  </conditionalFormatting>
  <conditionalFormatting sqref="L59:M59">
    <cfRule type="cellIs" dxfId="1522" priority="1378" operator="equal">
      <formula>TODAY()</formula>
    </cfRule>
  </conditionalFormatting>
  <conditionalFormatting sqref="K57">
    <cfRule type="cellIs" dxfId="1521" priority="1377" operator="equal">
      <formula>"X"</formula>
    </cfRule>
  </conditionalFormatting>
  <conditionalFormatting sqref="O61">
    <cfRule type="cellIs" dxfId="1520" priority="1376" operator="equal">
      <formula>TODAY()</formula>
    </cfRule>
  </conditionalFormatting>
  <conditionalFormatting sqref="M61:N61">
    <cfRule type="cellIs" dxfId="1519" priority="1375" operator="equal">
      <formula>TODAY()</formula>
    </cfRule>
  </conditionalFormatting>
  <conditionalFormatting sqref="L61">
    <cfRule type="cellIs" dxfId="1518" priority="1374" operator="equal">
      <formula>TODAY()</formula>
    </cfRule>
  </conditionalFormatting>
  <conditionalFormatting sqref="K61">
    <cfRule type="cellIs" dxfId="1517" priority="1373" operator="equal">
      <formula>"X"</formula>
    </cfRule>
  </conditionalFormatting>
  <conditionalFormatting sqref="O60">
    <cfRule type="cellIs" dxfId="1516" priority="1372" operator="equal">
      <formula>TODAY()</formula>
    </cfRule>
  </conditionalFormatting>
  <conditionalFormatting sqref="N60">
    <cfRule type="cellIs" dxfId="1515" priority="1371" operator="equal">
      <formula>TODAY()</formula>
    </cfRule>
  </conditionalFormatting>
  <conditionalFormatting sqref="K60">
    <cfRule type="cellIs" dxfId="1514" priority="1370" operator="equal">
      <formula>"X"</formula>
    </cfRule>
  </conditionalFormatting>
  <conditionalFormatting sqref="M60">
    <cfRule type="cellIs" dxfId="1513" priority="1369" operator="equal">
      <formula>TODAY()</formula>
    </cfRule>
  </conditionalFormatting>
  <conditionalFormatting sqref="L60">
    <cfRule type="cellIs" dxfId="1512" priority="1368" operator="equal">
      <formula>TODAY()</formula>
    </cfRule>
  </conditionalFormatting>
  <conditionalFormatting sqref="H93">
    <cfRule type="cellIs" dxfId="1511" priority="1330" operator="equal">
      <formula>TODAY()</formula>
    </cfRule>
  </conditionalFormatting>
  <conditionalFormatting sqref="H95:H101">
    <cfRule type="cellIs" dxfId="1510" priority="1329" operator="equal">
      <formula>TODAY()</formula>
    </cfRule>
  </conditionalFormatting>
  <conditionalFormatting sqref="G97">
    <cfRule type="cellIs" dxfId="1509" priority="1328" operator="equal">
      <formula>TODAY()</formula>
    </cfRule>
  </conditionalFormatting>
  <conditionalFormatting sqref="G98:G100">
    <cfRule type="cellIs" dxfId="1508" priority="1327" operator="equal">
      <formula>TODAY()</formula>
    </cfRule>
  </conditionalFormatting>
  <conditionalFormatting sqref="G93">
    <cfRule type="cellIs" dxfId="1507" priority="1326" operator="equal">
      <formula>TODAY()</formula>
    </cfRule>
  </conditionalFormatting>
  <conditionalFormatting sqref="D97:F100">
    <cfRule type="cellIs" dxfId="1506" priority="1325" operator="equal">
      <formula>TODAY()</formula>
    </cfRule>
  </conditionalFormatting>
  <conditionalFormatting sqref="E93">
    <cfRule type="cellIs" dxfId="1505" priority="1324" operator="equal">
      <formula>TODAY()</formula>
    </cfRule>
  </conditionalFormatting>
  <conditionalFormatting sqref="F93">
    <cfRule type="cellIs" dxfId="1504" priority="1323" operator="equal">
      <formula>TODAY()</formula>
    </cfRule>
  </conditionalFormatting>
  <conditionalFormatting sqref="B93:C93">
    <cfRule type="cellIs" dxfId="1503" priority="1322" operator="equal">
      <formula>TODAY()</formula>
    </cfRule>
  </conditionalFormatting>
  <conditionalFormatting sqref="B99:C100">
    <cfRule type="cellIs" dxfId="1502" priority="1321" operator="equal">
      <formula>TODAY()</formula>
    </cfRule>
  </conditionalFormatting>
  <conditionalFormatting sqref="H102">
    <cfRule type="cellIs" dxfId="1501" priority="1320" operator="equal">
      <formula>TODAY()</formula>
    </cfRule>
  </conditionalFormatting>
  <conditionalFormatting sqref="C93 C97:C102">
    <cfRule type="cellIs" dxfId="1500" priority="1319" operator="equal">
      <formula>"X"</formula>
    </cfRule>
  </conditionalFormatting>
  <conditionalFormatting sqref="D93">
    <cfRule type="cellIs" dxfId="1499" priority="1318" operator="equal">
      <formula>TODAY()</formula>
    </cfRule>
  </conditionalFormatting>
  <conditionalFormatting sqref="H94">
    <cfRule type="cellIs" dxfId="1498" priority="1317" operator="equal">
      <formula>TODAY()</formula>
    </cfRule>
  </conditionalFormatting>
  <conditionalFormatting sqref="G94">
    <cfRule type="cellIs" dxfId="1497" priority="1316" operator="equal">
      <formula>TODAY()</formula>
    </cfRule>
  </conditionalFormatting>
  <conditionalFormatting sqref="F94">
    <cfRule type="cellIs" dxfId="1496" priority="1315" operator="equal">
      <formula>TODAY()</formula>
    </cfRule>
  </conditionalFormatting>
  <conditionalFormatting sqref="C94">
    <cfRule type="cellIs" dxfId="1495" priority="1314" operator="equal">
      <formula>"X"</formula>
    </cfRule>
  </conditionalFormatting>
  <conditionalFormatting sqref="D94:E94">
    <cfRule type="cellIs" dxfId="1494" priority="1313" operator="equal">
      <formula>TODAY()</formula>
    </cfRule>
  </conditionalFormatting>
  <conditionalFormatting sqref="C92">
    <cfRule type="cellIs" dxfId="1493" priority="1312" operator="equal">
      <formula>"X"</formula>
    </cfRule>
  </conditionalFormatting>
  <conditionalFormatting sqref="G96">
    <cfRule type="cellIs" dxfId="1492" priority="1311" operator="equal">
      <formula>TODAY()</formula>
    </cfRule>
  </conditionalFormatting>
  <conditionalFormatting sqref="E96:F96">
    <cfRule type="cellIs" dxfId="1491" priority="1310" operator="equal">
      <formula>TODAY()</formula>
    </cfRule>
  </conditionalFormatting>
  <conditionalFormatting sqref="D96">
    <cfRule type="cellIs" dxfId="1490" priority="1309" operator="equal">
      <formula>TODAY()</formula>
    </cfRule>
  </conditionalFormatting>
  <conditionalFormatting sqref="C96">
    <cfRule type="cellIs" dxfId="1489" priority="1308" operator="equal">
      <formula>"X"</formula>
    </cfRule>
  </conditionalFormatting>
  <conditionalFormatting sqref="G95">
    <cfRule type="cellIs" dxfId="1488" priority="1307" operator="equal">
      <formula>TODAY()</formula>
    </cfRule>
  </conditionalFormatting>
  <conditionalFormatting sqref="F95">
    <cfRule type="cellIs" dxfId="1487" priority="1306" operator="equal">
      <formula>TODAY()</formula>
    </cfRule>
  </conditionalFormatting>
  <conditionalFormatting sqref="C95">
    <cfRule type="cellIs" dxfId="1486" priority="1305" operator="equal">
      <formula>"X"</formula>
    </cfRule>
  </conditionalFormatting>
  <conditionalFormatting sqref="E95">
    <cfRule type="cellIs" dxfId="1485" priority="1304" operator="equal">
      <formula>TODAY()</formula>
    </cfRule>
  </conditionalFormatting>
  <conditionalFormatting sqref="D95">
    <cfRule type="cellIs" dxfId="1484" priority="1303" operator="equal">
      <formula>TODAY()</formula>
    </cfRule>
  </conditionalFormatting>
  <conditionalFormatting sqref="P93">
    <cfRule type="cellIs" dxfId="1483" priority="1265" operator="equal">
      <formula>TODAY()</formula>
    </cfRule>
  </conditionalFormatting>
  <conditionalFormatting sqref="P95:P101">
    <cfRule type="cellIs" dxfId="1482" priority="1264" operator="equal">
      <formula>TODAY()</formula>
    </cfRule>
  </conditionalFormatting>
  <conditionalFormatting sqref="O97">
    <cfRule type="cellIs" dxfId="1481" priority="1263" operator="equal">
      <formula>TODAY()</formula>
    </cfRule>
  </conditionalFormatting>
  <conditionalFormatting sqref="O98:O100">
    <cfRule type="cellIs" dxfId="1480" priority="1262" operator="equal">
      <formula>TODAY()</formula>
    </cfRule>
  </conditionalFormatting>
  <conditionalFormatting sqref="O93">
    <cfRule type="cellIs" dxfId="1479" priority="1261" operator="equal">
      <formula>TODAY()</formula>
    </cfRule>
  </conditionalFormatting>
  <conditionalFormatting sqref="L97:N100">
    <cfRule type="cellIs" dxfId="1478" priority="1260" operator="equal">
      <formula>TODAY()</formula>
    </cfRule>
  </conditionalFormatting>
  <conditionalFormatting sqref="M93">
    <cfRule type="cellIs" dxfId="1477" priority="1259" operator="equal">
      <formula>TODAY()</formula>
    </cfRule>
  </conditionalFormatting>
  <conditionalFormatting sqref="N93">
    <cfRule type="cellIs" dxfId="1476" priority="1258" operator="equal">
      <formula>TODAY()</formula>
    </cfRule>
  </conditionalFormatting>
  <conditionalFormatting sqref="J93:K93">
    <cfRule type="cellIs" dxfId="1475" priority="1257" operator="equal">
      <formula>TODAY()</formula>
    </cfRule>
  </conditionalFormatting>
  <conditionalFormatting sqref="J99:K100">
    <cfRule type="cellIs" dxfId="1474" priority="1256" operator="equal">
      <formula>TODAY()</formula>
    </cfRule>
  </conditionalFormatting>
  <conditionalFormatting sqref="P102">
    <cfRule type="cellIs" dxfId="1473" priority="1255" operator="equal">
      <formula>TODAY()</formula>
    </cfRule>
  </conditionalFormatting>
  <conditionalFormatting sqref="K93 K97:K102">
    <cfRule type="cellIs" dxfId="1472" priority="1254" operator="equal">
      <formula>"X"</formula>
    </cfRule>
  </conditionalFormatting>
  <conditionalFormatting sqref="L93">
    <cfRule type="cellIs" dxfId="1471" priority="1253" operator="equal">
      <formula>TODAY()</formula>
    </cfRule>
  </conditionalFormatting>
  <conditionalFormatting sqref="P94">
    <cfRule type="cellIs" dxfId="1470" priority="1252" operator="equal">
      <formula>TODAY()</formula>
    </cfRule>
  </conditionalFormatting>
  <conditionalFormatting sqref="O94">
    <cfRule type="cellIs" dxfId="1469" priority="1251" operator="equal">
      <formula>TODAY()</formula>
    </cfRule>
  </conditionalFormatting>
  <conditionalFormatting sqref="N94">
    <cfRule type="cellIs" dxfId="1468" priority="1250" operator="equal">
      <formula>TODAY()</formula>
    </cfRule>
  </conditionalFormatting>
  <conditionalFormatting sqref="K94">
    <cfRule type="cellIs" dxfId="1467" priority="1249" operator="equal">
      <formula>"X"</formula>
    </cfRule>
  </conditionalFormatting>
  <conditionalFormatting sqref="L94:M94">
    <cfRule type="cellIs" dxfId="1466" priority="1248" operator="equal">
      <formula>TODAY()</formula>
    </cfRule>
  </conditionalFormatting>
  <conditionalFormatting sqref="K92">
    <cfRule type="cellIs" dxfId="1465" priority="1247" operator="equal">
      <formula>"X"</formula>
    </cfRule>
  </conditionalFormatting>
  <conditionalFormatting sqref="O96">
    <cfRule type="cellIs" dxfId="1464" priority="1246" operator="equal">
      <formula>TODAY()</formula>
    </cfRule>
  </conditionalFormatting>
  <conditionalFormatting sqref="M96:N96">
    <cfRule type="cellIs" dxfId="1463" priority="1245" operator="equal">
      <formula>TODAY()</formula>
    </cfRule>
  </conditionalFormatting>
  <conditionalFormatting sqref="L96">
    <cfRule type="cellIs" dxfId="1462" priority="1244" operator="equal">
      <formula>TODAY()</formula>
    </cfRule>
  </conditionalFormatting>
  <conditionalFormatting sqref="K96">
    <cfRule type="cellIs" dxfId="1461" priority="1243" operator="equal">
      <formula>"X"</formula>
    </cfRule>
  </conditionalFormatting>
  <conditionalFormatting sqref="O95">
    <cfRule type="cellIs" dxfId="1460" priority="1242" operator="equal">
      <formula>TODAY()</formula>
    </cfRule>
  </conditionalFormatting>
  <conditionalFormatting sqref="N95">
    <cfRule type="cellIs" dxfId="1459" priority="1241" operator="equal">
      <formula>TODAY()</formula>
    </cfRule>
  </conditionalFormatting>
  <conditionalFormatting sqref="K95">
    <cfRule type="cellIs" dxfId="1458" priority="1240" operator="equal">
      <formula>"X"</formula>
    </cfRule>
  </conditionalFormatting>
  <conditionalFormatting sqref="M95">
    <cfRule type="cellIs" dxfId="1457" priority="1239" operator="equal">
      <formula>TODAY()</formula>
    </cfRule>
  </conditionalFormatting>
  <conditionalFormatting sqref="L95">
    <cfRule type="cellIs" dxfId="1456" priority="1238" operator="equal">
      <formula>TODAY()</formula>
    </cfRule>
  </conditionalFormatting>
  <conditionalFormatting sqref="H128">
    <cfRule type="cellIs" dxfId="1455" priority="1200" operator="equal">
      <formula>TODAY()</formula>
    </cfRule>
  </conditionalFormatting>
  <conditionalFormatting sqref="H130:H136">
    <cfRule type="cellIs" dxfId="1454" priority="1199" operator="equal">
      <formula>TODAY()</formula>
    </cfRule>
  </conditionalFormatting>
  <conditionalFormatting sqref="G132">
    <cfRule type="cellIs" dxfId="1453" priority="1198" operator="equal">
      <formula>TODAY()</formula>
    </cfRule>
  </conditionalFormatting>
  <conditionalFormatting sqref="G133:G135">
    <cfRule type="cellIs" dxfId="1452" priority="1197" operator="equal">
      <formula>TODAY()</formula>
    </cfRule>
  </conditionalFormatting>
  <conditionalFormatting sqref="G128">
    <cfRule type="cellIs" dxfId="1451" priority="1196" operator="equal">
      <formula>TODAY()</formula>
    </cfRule>
  </conditionalFormatting>
  <conditionalFormatting sqref="D132:F135">
    <cfRule type="cellIs" dxfId="1450" priority="1195" operator="equal">
      <formula>TODAY()</formula>
    </cfRule>
  </conditionalFormatting>
  <conditionalFormatting sqref="E128">
    <cfRule type="cellIs" dxfId="1449" priority="1194" operator="equal">
      <formula>TODAY()</formula>
    </cfRule>
  </conditionalFormatting>
  <conditionalFormatting sqref="F128">
    <cfRule type="cellIs" dxfId="1448" priority="1193" operator="equal">
      <formula>TODAY()</formula>
    </cfRule>
  </conditionalFormatting>
  <conditionalFormatting sqref="B128:C128">
    <cfRule type="cellIs" dxfId="1447" priority="1192" operator="equal">
      <formula>TODAY()</formula>
    </cfRule>
  </conditionalFormatting>
  <conditionalFormatting sqref="B134:C135">
    <cfRule type="cellIs" dxfId="1446" priority="1191" operator="equal">
      <formula>TODAY()</formula>
    </cfRule>
  </conditionalFormatting>
  <conditionalFormatting sqref="H137">
    <cfRule type="cellIs" dxfId="1445" priority="1190" operator="equal">
      <formula>TODAY()</formula>
    </cfRule>
  </conditionalFormatting>
  <conditionalFormatting sqref="C128 C132:C137">
    <cfRule type="cellIs" dxfId="1444" priority="1189" operator="equal">
      <formula>"X"</formula>
    </cfRule>
  </conditionalFormatting>
  <conditionalFormatting sqref="D128">
    <cfRule type="cellIs" dxfId="1443" priority="1188" operator="equal">
      <formula>TODAY()</formula>
    </cfRule>
  </conditionalFormatting>
  <conditionalFormatting sqref="H129">
    <cfRule type="cellIs" dxfId="1442" priority="1187" operator="equal">
      <formula>TODAY()</formula>
    </cfRule>
  </conditionalFormatting>
  <conditionalFormatting sqref="G129">
    <cfRule type="cellIs" dxfId="1441" priority="1186" operator="equal">
      <formula>TODAY()</formula>
    </cfRule>
  </conditionalFormatting>
  <conditionalFormatting sqref="F129">
    <cfRule type="cellIs" dxfId="1440" priority="1185" operator="equal">
      <formula>TODAY()</formula>
    </cfRule>
  </conditionalFormatting>
  <conditionalFormatting sqref="C129">
    <cfRule type="cellIs" dxfId="1439" priority="1184" operator="equal">
      <formula>"X"</formula>
    </cfRule>
  </conditionalFormatting>
  <conditionalFormatting sqref="D129:E129">
    <cfRule type="cellIs" dxfId="1438" priority="1183" operator="equal">
      <formula>TODAY()</formula>
    </cfRule>
  </conditionalFormatting>
  <conditionalFormatting sqref="C127">
    <cfRule type="cellIs" dxfId="1437" priority="1182" operator="equal">
      <formula>"X"</formula>
    </cfRule>
  </conditionalFormatting>
  <conditionalFormatting sqref="G131">
    <cfRule type="cellIs" dxfId="1436" priority="1181" operator="equal">
      <formula>TODAY()</formula>
    </cfRule>
  </conditionalFormatting>
  <conditionalFormatting sqref="E131:F131">
    <cfRule type="cellIs" dxfId="1435" priority="1180" operator="equal">
      <formula>TODAY()</formula>
    </cfRule>
  </conditionalFormatting>
  <conditionalFormatting sqref="D131">
    <cfRule type="cellIs" dxfId="1434" priority="1179" operator="equal">
      <formula>TODAY()</formula>
    </cfRule>
  </conditionalFormatting>
  <conditionalFormatting sqref="C131">
    <cfRule type="cellIs" dxfId="1433" priority="1178" operator="equal">
      <formula>"X"</formula>
    </cfRule>
  </conditionalFormatting>
  <conditionalFormatting sqref="G130">
    <cfRule type="cellIs" dxfId="1432" priority="1177" operator="equal">
      <formula>TODAY()</formula>
    </cfRule>
  </conditionalFormatting>
  <conditionalFormatting sqref="F130">
    <cfRule type="cellIs" dxfId="1431" priority="1176" operator="equal">
      <formula>TODAY()</formula>
    </cfRule>
  </conditionalFormatting>
  <conditionalFormatting sqref="C130">
    <cfRule type="cellIs" dxfId="1430" priority="1175" operator="equal">
      <formula>"X"</formula>
    </cfRule>
  </conditionalFormatting>
  <conditionalFormatting sqref="E130">
    <cfRule type="cellIs" dxfId="1429" priority="1174" operator="equal">
      <formula>TODAY()</formula>
    </cfRule>
  </conditionalFormatting>
  <conditionalFormatting sqref="D130">
    <cfRule type="cellIs" dxfId="1428" priority="1173" operator="equal">
      <formula>TODAY()</formula>
    </cfRule>
  </conditionalFormatting>
  <conditionalFormatting sqref="P128">
    <cfRule type="cellIs" dxfId="1427" priority="1135" operator="equal">
      <formula>TODAY()</formula>
    </cfRule>
  </conditionalFormatting>
  <conditionalFormatting sqref="P130:P136">
    <cfRule type="cellIs" dxfId="1426" priority="1134" operator="equal">
      <formula>TODAY()</formula>
    </cfRule>
  </conditionalFormatting>
  <conditionalFormatting sqref="O132">
    <cfRule type="cellIs" dxfId="1425" priority="1133" operator="equal">
      <formula>TODAY()</formula>
    </cfRule>
  </conditionalFormatting>
  <conditionalFormatting sqref="O133:O135">
    <cfRule type="cellIs" dxfId="1424" priority="1132" operator="equal">
      <formula>TODAY()</formula>
    </cfRule>
  </conditionalFormatting>
  <conditionalFormatting sqref="O128">
    <cfRule type="cellIs" dxfId="1423" priority="1131" operator="equal">
      <formula>TODAY()</formula>
    </cfRule>
  </conditionalFormatting>
  <conditionalFormatting sqref="L132:N135">
    <cfRule type="cellIs" dxfId="1422" priority="1130" operator="equal">
      <formula>TODAY()</formula>
    </cfRule>
  </conditionalFormatting>
  <conditionalFormatting sqref="M128">
    <cfRule type="cellIs" dxfId="1421" priority="1129" operator="equal">
      <formula>TODAY()</formula>
    </cfRule>
  </conditionalFormatting>
  <conditionalFormatting sqref="N128">
    <cfRule type="cellIs" dxfId="1420" priority="1128" operator="equal">
      <formula>TODAY()</formula>
    </cfRule>
  </conditionalFormatting>
  <conditionalFormatting sqref="J128:K128">
    <cfRule type="cellIs" dxfId="1419" priority="1127" operator="equal">
      <formula>TODAY()</formula>
    </cfRule>
  </conditionalFormatting>
  <conditionalFormatting sqref="J134:K135">
    <cfRule type="cellIs" dxfId="1418" priority="1126" operator="equal">
      <formula>TODAY()</formula>
    </cfRule>
  </conditionalFormatting>
  <conditionalFormatting sqref="P137">
    <cfRule type="cellIs" dxfId="1417" priority="1125" operator="equal">
      <formula>TODAY()</formula>
    </cfRule>
  </conditionalFormatting>
  <conditionalFormatting sqref="K128 K132:K137">
    <cfRule type="cellIs" dxfId="1416" priority="1124" operator="equal">
      <formula>"X"</formula>
    </cfRule>
  </conditionalFormatting>
  <conditionalFormatting sqref="L128">
    <cfRule type="cellIs" dxfId="1415" priority="1123" operator="equal">
      <formula>TODAY()</formula>
    </cfRule>
  </conditionalFormatting>
  <conditionalFormatting sqref="P129">
    <cfRule type="cellIs" dxfId="1414" priority="1122" operator="equal">
      <formula>TODAY()</formula>
    </cfRule>
  </conditionalFormatting>
  <conditionalFormatting sqref="O129">
    <cfRule type="cellIs" dxfId="1413" priority="1121" operator="equal">
      <formula>TODAY()</formula>
    </cfRule>
  </conditionalFormatting>
  <conditionalFormatting sqref="N129">
    <cfRule type="cellIs" dxfId="1412" priority="1120" operator="equal">
      <formula>TODAY()</formula>
    </cfRule>
  </conditionalFormatting>
  <conditionalFormatting sqref="K129">
    <cfRule type="cellIs" dxfId="1411" priority="1119" operator="equal">
      <formula>"X"</formula>
    </cfRule>
  </conditionalFormatting>
  <conditionalFormatting sqref="L129:M129">
    <cfRule type="cellIs" dxfId="1410" priority="1118" operator="equal">
      <formula>TODAY()</formula>
    </cfRule>
  </conditionalFormatting>
  <conditionalFormatting sqref="K127">
    <cfRule type="cellIs" dxfId="1409" priority="1117" operator="equal">
      <formula>"X"</formula>
    </cfRule>
  </conditionalFormatting>
  <conditionalFormatting sqref="O131">
    <cfRule type="cellIs" dxfId="1408" priority="1116" operator="equal">
      <formula>TODAY()</formula>
    </cfRule>
  </conditionalFormatting>
  <conditionalFormatting sqref="M131:N131">
    <cfRule type="cellIs" dxfId="1407" priority="1115" operator="equal">
      <formula>TODAY()</formula>
    </cfRule>
  </conditionalFormatting>
  <conditionalFormatting sqref="L131">
    <cfRule type="cellIs" dxfId="1406" priority="1114" operator="equal">
      <formula>TODAY()</formula>
    </cfRule>
  </conditionalFormatting>
  <conditionalFormatting sqref="K131">
    <cfRule type="cellIs" dxfId="1405" priority="1113" operator="equal">
      <formula>"X"</formula>
    </cfRule>
  </conditionalFormatting>
  <conditionalFormatting sqref="O130">
    <cfRule type="cellIs" dxfId="1404" priority="1112" operator="equal">
      <formula>TODAY()</formula>
    </cfRule>
  </conditionalFormatting>
  <conditionalFormatting sqref="N130">
    <cfRule type="cellIs" dxfId="1403" priority="1111" operator="equal">
      <formula>TODAY()</formula>
    </cfRule>
  </conditionalFormatting>
  <conditionalFormatting sqref="K130">
    <cfRule type="cellIs" dxfId="1402" priority="1110" operator="equal">
      <formula>"X"</formula>
    </cfRule>
  </conditionalFormatting>
  <conditionalFormatting sqref="M130">
    <cfRule type="cellIs" dxfId="1401" priority="1109" operator="equal">
      <formula>TODAY()</formula>
    </cfRule>
  </conditionalFormatting>
  <conditionalFormatting sqref="L130">
    <cfRule type="cellIs" dxfId="1400" priority="1108" operator="equal">
      <formula>TODAY()</formula>
    </cfRule>
  </conditionalFormatting>
  <conditionalFormatting sqref="C4:C5">
    <cfRule type="cellIs" dxfId="1399" priority="768" operator="equal">
      <formula>"X"</formula>
    </cfRule>
  </conditionalFormatting>
  <conditionalFormatting sqref="F11:G13 B13:C13 B7:C8 B6 C5 C9 F7:H9">
    <cfRule type="cellIs" dxfId="1398" priority="767" operator="equal">
      <formula>TODAY()</formula>
    </cfRule>
  </conditionalFormatting>
  <conditionalFormatting sqref="F10:G10 B14:C16 F14:G16">
    <cfRule type="cellIs" dxfId="1397" priority="766" operator="equal">
      <formula>TODAY()</formula>
    </cfRule>
  </conditionalFormatting>
  <conditionalFormatting sqref="H17">
    <cfRule type="cellIs" dxfId="1396" priority="765" operator="equal">
      <formula>TODAY()</formula>
    </cfRule>
  </conditionalFormatting>
  <conditionalFormatting sqref="B16:C16">
    <cfRule type="cellIs" dxfId="1395" priority="764" operator="equal">
      <formula>TODAY()</formula>
    </cfRule>
  </conditionalFormatting>
  <conditionalFormatting sqref="B17:F18 B19:G20">
    <cfRule type="cellIs" dxfId="1394" priority="763" operator="equal">
      <formula>TODAY()</formula>
    </cfRule>
  </conditionalFormatting>
  <conditionalFormatting sqref="G17">
    <cfRule type="cellIs" dxfId="1393" priority="762" operator="equal">
      <formula>TODAY()</formula>
    </cfRule>
  </conditionalFormatting>
  <conditionalFormatting sqref="H18:H20">
    <cfRule type="cellIs" dxfId="1392" priority="761" operator="equal">
      <formula>TODAY()</formula>
    </cfRule>
  </conditionalFormatting>
  <conditionalFormatting sqref="G18">
    <cfRule type="cellIs" dxfId="1391" priority="760" operator="equal">
      <formula>TODAY()</formula>
    </cfRule>
  </conditionalFormatting>
  <conditionalFormatting sqref="B13:C13">
    <cfRule type="cellIs" dxfId="1390" priority="759" operator="equal">
      <formula>TODAY()</formula>
    </cfRule>
  </conditionalFormatting>
  <conditionalFormatting sqref="B10:C13">
    <cfRule type="cellIs" dxfId="1389" priority="758" operator="equal">
      <formula>TODAY()</formula>
    </cfRule>
  </conditionalFormatting>
  <conditionalFormatting sqref="H6">
    <cfRule type="cellIs" dxfId="1388" priority="757" operator="equal">
      <formula>TODAY()</formula>
    </cfRule>
  </conditionalFormatting>
  <conditionalFormatting sqref="C5:G5 B4:C4 E4:G4">
    <cfRule type="cellIs" dxfId="1387" priority="756" operator="equal">
      <formula>TODAY()</formula>
    </cfRule>
  </conditionalFormatting>
  <conditionalFormatting sqref="G6">
    <cfRule type="cellIs" dxfId="1386" priority="755" operator="equal">
      <formula>TODAY()</formula>
    </cfRule>
  </conditionalFormatting>
  <conditionalFormatting sqref="F6">
    <cfRule type="cellIs" dxfId="1385" priority="754" operator="equal">
      <formula>TODAY()</formula>
    </cfRule>
  </conditionalFormatting>
  <conditionalFormatting sqref="H4">
    <cfRule type="cellIs" dxfId="1384" priority="753" operator="equal">
      <formula>TODAY()</formula>
    </cfRule>
  </conditionalFormatting>
  <conditionalFormatting sqref="D4">
    <cfRule type="cellIs" dxfId="1383" priority="752" operator="equal">
      <formula>TODAY()</formula>
    </cfRule>
  </conditionalFormatting>
  <conditionalFormatting sqref="H5">
    <cfRule type="cellIs" dxfId="1382" priority="751" operator="equal">
      <formula>TODAY()</formula>
    </cfRule>
  </conditionalFormatting>
  <conditionalFormatting sqref="B5">
    <cfRule type="cellIs" dxfId="1381" priority="750" operator="equal">
      <formula>TODAY()</formula>
    </cfRule>
  </conditionalFormatting>
  <conditionalFormatting sqref="H5">
    <cfRule type="cellIs" dxfId="1380" priority="749" operator="equal">
      <formula>TODAY()</formula>
    </cfRule>
  </conditionalFormatting>
  <conditionalFormatting sqref="H5">
    <cfRule type="cellIs" dxfId="1379" priority="748" operator="equal">
      <formula>TODAY()</formula>
    </cfRule>
  </conditionalFormatting>
  <conditionalFormatting sqref="B9">
    <cfRule type="cellIs" dxfId="1378" priority="747" operator="equal">
      <formula>TODAY()</formula>
    </cfRule>
  </conditionalFormatting>
  <conditionalFormatting sqref="K4:K5">
    <cfRule type="cellIs" dxfId="1377" priority="512" operator="equal">
      <formula>"X"</formula>
    </cfRule>
  </conditionalFormatting>
  <conditionalFormatting sqref="N11:O13 J13:K13 J7:K8 J6 K5 K9 N7:P9">
    <cfRule type="cellIs" dxfId="1376" priority="511" operator="equal">
      <formula>TODAY()</formula>
    </cfRule>
  </conditionalFormatting>
  <conditionalFormatting sqref="N10:O10 J14:K16 N14:O16">
    <cfRule type="cellIs" dxfId="1375" priority="510" operator="equal">
      <formula>TODAY()</formula>
    </cfRule>
  </conditionalFormatting>
  <conditionalFormatting sqref="P17">
    <cfRule type="cellIs" dxfId="1374" priority="509" operator="equal">
      <formula>TODAY()</formula>
    </cfRule>
  </conditionalFormatting>
  <conditionalFormatting sqref="J16:K16">
    <cfRule type="cellIs" dxfId="1373" priority="508" operator="equal">
      <formula>TODAY()</formula>
    </cfRule>
  </conditionalFormatting>
  <conditionalFormatting sqref="J17:N18 J19:O20">
    <cfRule type="cellIs" dxfId="1372" priority="507" operator="equal">
      <formula>TODAY()</formula>
    </cfRule>
  </conditionalFormatting>
  <conditionalFormatting sqref="O17">
    <cfRule type="cellIs" dxfId="1371" priority="506" operator="equal">
      <formula>TODAY()</formula>
    </cfRule>
  </conditionalFormatting>
  <conditionalFormatting sqref="P18:P20">
    <cfRule type="cellIs" dxfId="1370" priority="505" operator="equal">
      <formula>TODAY()</formula>
    </cfRule>
  </conditionalFormatting>
  <conditionalFormatting sqref="O18">
    <cfRule type="cellIs" dxfId="1369" priority="504" operator="equal">
      <formula>TODAY()</formula>
    </cfRule>
  </conditionalFormatting>
  <conditionalFormatting sqref="J13:K13">
    <cfRule type="cellIs" dxfId="1368" priority="503" operator="equal">
      <formula>TODAY()</formula>
    </cfRule>
  </conditionalFormatting>
  <conditionalFormatting sqref="J10:K13">
    <cfRule type="cellIs" dxfId="1367" priority="502" operator="equal">
      <formula>TODAY()</formula>
    </cfRule>
  </conditionalFormatting>
  <conditionalFormatting sqref="P6">
    <cfRule type="cellIs" dxfId="1366" priority="501" operator="equal">
      <formula>TODAY()</formula>
    </cfRule>
  </conditionalFormatting>
  <conditionalFormatting sqref="K5:O5 J4:K4 M4:O4">
    <cfRule type="cellIs" dxfId="1365" priority="500" operator="equal">
      <formula>TODAY()</formula>
    </cfRule>
  </conditionalFormatting>
  <conditionalFormatting sqref="O6">
    <cfRule type="cellIs" dxfId="1364" priority="499" operator="equal">
      <formula>TODAY()</formula>
    </cfRule>
  </conditionalFormatting>
  <conditionalFormatting sqref="N6">
    <cfRule type="cellIs" dxfId="1363" priority="498" operator="equal">
      <formula>TODAY()</formula>
    </cfRule>
  </conditionalFormatting>
  <conditionalFormatting sqref="P4">
    <cfRule type="cellIs" dxfId="1362" priority="497" operator="equal">
      <formula>TODAY()</formula>
    </cfRule>
  </conditionalFormatting>
  <conditionalFormatting sqref="L4">
    <cfRule type="cellIs" dxfId="1361" priority="496" operator="equal">
      <formula>TODAY()</formula>
    </cfRule>
  </conditionalFormatting>
  <conditionalFormatting sqref="P5">
    <cfRule type="cellIs" dxfId="1360" priority="495" operator="equal">
      <formula>TODAY()</formula>
    </cfRule>
  </conditionalFormatting>
  <conditionalFormatting sqref="J5">
    <cfRule type="cellIs" dxfId="1359" priority="494" operator="equal">
      <formula>TODAY()</formula>
    </cfRule>
  </conditionalFormatting>
  <conditionalFormatting sqref="P5">
    <cfRule type="cellIs" dxfId="1358" priority="493" operator="equal">
      <formula>TODAY()</formula>
    </cfRule>
  </conditionalFormatting>
  <conditionalFormatting sqref="P5">
    <cfRule type="cellIs" dxfId="1357" priority="492" operator="equal">
      <formula>TODAY()</formula>
    </cfRule>
  </conditionalFormatting>
  <conditionalFormatting sqref="J9">
    <cfRule type="cellIs" dxfId="1356" priority="491" operator="equal">
      <formula>TODAY()</formula>
    </cfRule>
  </conditionalFormatting>
  <conditionalFormatting sqref="L11:M13 L7:M9">
    <cfRule type="cellIs" dxfId="1355" priority="490" operator="equal">
      <formula>TODAY()</formula>
    </cfRule>
  </conditionalFormatting>
  <conditionalFormatting sqref="M10 L14:M16">
    <cfRule type="cellIs" dxfId="1354" priority="489" operator="equal">
      <formula>TODAY()</formula>
    </cfRule>
  </conditionalFormatting>
  <conditionalFormatting sqref="L10">
    <cfRule type="cellIs" dxfId="1353" priority="488" operator="equal">
      <formula>TODAY()</formula>
    </cfRule>
  </conditionalFormatting>
  <conditionalFormatting sqref="M6">
    <cfRule type="cellIs" dxfId="1352" priority="487" operator="equal">
      <formula>TODAY()</formula>
    </cfRule>
  </conditionalFormatting>
  <conditionalFormatting sqref="L6">
    <cfRule type="cellIs" dxfId="1351" priority="486" operator="equal">
      <formula>TODAY()</formula>
    </cfRule>
  </conditionalFormatting>
  <conditionalFormatting sqref="L6:M15">
    <cfRule type="cellIs" dxfId="1350" priority="481" operator="greaterThan">
      <formula>0.302083333333333</formula>
    </cfRule>
    <cfRule type="cellIs" dxfId="1349" priority="482" operator="greaterThan">
      <formula>0.291666666666667</formula>
    </cfRule>
    <cfRule type="cellIs" dxfId="1348" priority="483" operator="greaterThan">
      <formula>0.3125</formula>
    </cfRule>
    <cfRule type="cellIs" dxfId="1347" priority="485" operator="greaterThan">
      <formula>7</formula>
    </cfRule>
  </conditionalFormatting>
  <conditionalFormatting sqref="L4:M15">
    <cfRule type="cellIs" dxfId="1346" priority="484" operator="greaterThan">
      <formula>0.3125</formula>
    </cfRule>
  </conditionalFormatting>
  <conditionalFormatting sqref="C39:C40">
    <cfRule type="cellIs" dxfId="1345" priority="480" operator="equal">
      <formula>"X"</formula>
    </cfRule>
  </conditionalFormatting>
  <conditionalFormatting sqref="F46:G48 B48:C48 B42:C43 B41 C40 C44 F42:H44">
    <cfRule type="cellIs" dxfId="1344" priority="479" operator="equal">
      <formula>TODAY()</formula>
    </cfRule>
  </conditionalFormatting>
  <conditionalFormatting sqref="F45:G45 B49:C51 F49:G51">
    <cfRule type="cellIs" dxfId="1343" priority="478" operator="equal">
      <formula>TODAY()</formula>
    </cfRule>
  </conditionalFormatting>
  <conditionalFormatting sqref="H52">
    <cfRule type="cellIs" dxfId="1342" priority="477" operator="equal">
      <formula>TODAY()</formula>
    </cfRule>
  </conditionalFormatting>
  <conditionalFormatting sqref="B51:C51">
    <cfRule type="cellIs" dxfId="1341" priority="476" operator="equal">
      <formula>TODAY()</formula>
    </cfRule>
  </conditionalFormatting>
  <conditionalFormatting sqref="B52:F53 B54:G55">
    <cfRule type="cellIs" dxfId="1340" priority="475" operator="equal">
      <formula>TODAY()</formula>
    </cfRule>
  </conditionalFormatting>
  <conditionalFormatting sqref="G52">
    <cfRule type="cellIs" dxfId="1339" priority="474" operator="equal">
      <formula>TODAY()</formula>
    </cfRule>
  </conditionalFormatting>
  <conditionalFormatting sqref="H53:H55">
    <cfRule type="cellIs" dxfId="1338" priority="473" operator="equal">
      <formula>TODAY()</formula>
    </cfRule>
  </conditionalFormatting>
  <conditionalFormatting sqref="G53">
    <cfRule type="cellIs" dxfId="1337" priority="472" operator="equal">
      <formula>TODAY()</formula>
    </cfRule>
  </conditionalFormatting>
  <conditionalFormatting sqref="B48:C48">
    <cfRule type="cellIs" dxfId="1336" priority="471" operator="equal">
      <formula>TODAY()</formula>
    </cfRule>
  </conditionalFormatting>
  <conditionalFormatting sqref="B45:C48">
    <cfRule type="cellIs" dxfId="1335" priority="470" operator="equal">
      <formula>TODAY()</formula>
    </cfRule>
  </conditionalFormatting>
  <conditionalFormatting sqref="H41">
    <cfRule type="cellIs" dxfId="1334" priority="469" operator="equal">
      <formula>TODAY()</formula>
    </cfRule>
  </conditionalFormatting>
  <conditionalFormatting sqref="C40:G40 B39:C39 E39:G39">
    <cfRule type="cellIs" dxfId="1333" priority="468" operator="equal">
      <formula>TODAY()</formula>
    </cfRule>
  </conditionalFormatting>
  <conditionalFormatting sqref="G41">
    <cfRule type="cellIs" dxfId="1332" priority="467" operator="equal">
      <formula>TODAY()</formula>
    </cfRule>
  </conditionalFormatting>
  <conditionalFormatting sqref="F41">
    <cfRule type="cellIs" dxfId="1331" priority="466" operator="equal">
      <formula>TODAY()</formula>
    </cfRule>
  </conditionalFormatting>
  <conditionalFormatting sqref="H39">
    <cfRule type="cellIs" dxfId="1330" priority="465" operator="equal">
      <formula>TODAY()</formula>
    </cfRule>
  </conditionalFormatting>
  <conditionalFormatting sqref="D39">
    <cfRule type="cellIs" dxfId="1329" priority="464" operator="equal">
      <formula>TODAY()</formula>
    </cfRule>
  </conditionalFormatting>
  <conditionalFormatting sqref="H40">
    <cfRule type="cellIs" dxfId="1328" priority="463" operator="equal">
      <formula>TODAY()</formula>
    </cfRule>
  </conditionalFormatting>
  <conditionalFormatting sqref="B40">
    <cfRule type="cellIs" dxfId="1327" priority="462" operator="equal">
      <formula>TODAY()</formula>
    </cfRule>
  </conditionalFormatting>
  <conditionalFormatting sqref="H40">
    <cfRule type="cellIs" dxfId="1326" priority="461" operator="equal">
      <formula>TODAY()</formula>
    </cfRule>
  </conditionalFormatting>
  <conditionalFormatting sqref="H40">
    <cfRule type="cellIs" dxfId="1325" priority="460" operator="equal">
      <formula>TODAY()</formula>
    </cfRule>
  </conditionalFormatting>
  <conditionalFormatting sqref="B44">
    <cfRule type="cellIs" dxfId="1324" priority="459" operator="equal">
      <formula>TODAY()</formula>
    </cfRule>
  </conditionalFormatting>
  <conditionalFormatting sqref="D46:E48 D42:E44">
    <cfRule type="cellIs" dxfId="1323" priority="458" operator="equal">
      <formula>TODAY()</formula>
    </cfRule>
  </conditionalFormatting>
  <conditionalFormatting sqref="E45 D49:E51">
    <cfRule type="cellIs" dxfId="1322" priority="457" operator="equal">
      <formula>TODAY()</formula>
    </cfRule>
  </conditionalFormatting>
  <conditionalFormatting sqref="D45">
    <cfRule type="cellIs" dxfId="1321" priority="456" operator="equal">
      <formula>TODAY()</formula>
    </cfRule>
  </conditionalFormatting>
  <conditionalFormatting sqref="E41">
    <cfRule type="cellIs" dxfId="1320" priority="455" operator="equal">
      <formula>TODAY()</formula>
    </cfRule>
  </conditionalFormatting>
  <conditionalFormatting sqref="D41">
    <cfRule type="cellIs" dxfId="1319" priority="454" operator="equal">
      <formula>TODAY()</formula>
    </cfRule>
  </conditionalFormatting>
  <conditionalFormatting sqref="D41:E50">
    <cfRule type="cellIs" dxfId="1318" priority="449" operator="greaterThan">
      <formula>0.302083333333333</formula>
    </cfRule>
    <cfRule type="cellIs" dxfId="1317" priority="450" operator="greaterThan">
      <formula>0.291666666666667</formula>
    </cfRule>
    <cfRule type="cellIs" dxfId="1316" priority="451" operator="greaterThan">
      <formula>0.3125</formula>
    </cfRule>
    <cfRule type="cellIs" dxfId="1315" priority="453" operator="greaterThan">
      <formula>7</formula>
    </cfRule>
  </conditionalFormatting>
  <conditionalFormatting sqref="D39:E50">
    <cfRule type="cellIs" dxfId="1314" priority="452" operator="greaterThan">
      <formula>0.3125</formula>
    </cfRule>
  </conditionalFormatting>
  <conditionalFormatting sqref="K39:K40">
    <cfRule type="cellIs" dxfId="1313" priority="448" operator="equal">
      <formula>"X"</formula>
    </cfRule>
  </conditionalFormatting>
  <conditionalFormatting sqref="N46:O48 J48:K48 J42:K43 J41 K40 K44 N42:P44">
    <cfRule type="cellIs" dxfId="1312" priority="447" operator="equal">
      <formula>TODAY()</formula>
    </cfRule>
  </conditionalFormatting>
  <conditionalFormatting sqref="N45:O45 J49:K51 N49:O51">
    <cfRule type="cellIs" dxfId="1311" priority="446" operator="equal">
      <formula>TODAY()</formula>
    </cfRule>
  </conditionalFormatting>
  <conditionalFormatting sqref="P52">
    <cfRule type="cellIs" dxfId="1310" priority="445" operator="equal">
      <formula>TODAY()</formula>
    </cfRule>
  </conditionalFormatting>
  <conditionalFormatting sqref="J51:K51">
    <cfRule type="cellIs" dxfId="1309" priority="444" operator="equal">
      <formula>TODAY()</formula>
    </cfRule>
  </conditionalFormatting>
  <conditionalFormatting sqref="J52:N53 J54:O55">
    <cfRule type="cellIs" dxfId="1308" priority="443" operator="equal">
      <formula>TODAY()</formula>
    </cfRule>
  </conditionalFormatting>
  <conditionalFormatting sqref="O52">
    <cfRule type="cellIs" dxfId="1307" priority="442" operator="equal">
      <formula>TODAY()</formula>
    </cfRule>
  </conditionalFormatting>
  <conditionalFormatting sqref="P53:P55">
    <cfRule type="cellIs" dxfId="1306" priority="441" operator="equal">
      <formula>TODAY()</formula>
    </cfRule>
  </conditionalFormatting>
  <conditionalFormatting sqref="O53">
    <cfRule type="cellIs" dxfId="1305" priority="440" operator="equal">
      <formula>TODAY()</formula>
    </cfRule>
  </conditionalFormatting>
  <conditionalFormatting sqref="J48:K48">
    <cfRule type="cellIs" dxfId="1304" priority="439" operator="equal">
      <formula>TODAY()</formula>
    </cfRule>
  </conditionalFormatting>
  <conditionalFormatting sqref="J45:K48">
    <cfRule type="cellIs" dxfId="1303" priority="438" operator="equal">
      <formula>TODAY()</formula>
    </cfRule>
  </conditionalFormatting>
  <conditionalFormatting sqref="P41">
    <cfRule type="cellIs" dxfId="1302" priority="437" operator="equal">
      <formula>TODAY()</formula>
    </cfRule>
  </conditionalFormatting>
  <conditionalFormatting sqref="K40:O40 J39:K39 M39:O39">
    <cfRule type="cellIs" dxfId="1301" priority="436" operator="equal">
      <formula>TODAY()</formula>
    </cfRule>
  </conditionalFormatting>
  <conditionalFormatting sqref="O41">
    <cfRule type="cellIs" dxfId="1300" priority="435" operator="equal">
      <formula>TODAY()</formula>
    </cfRule>
  </conditionalFormatting>
  <conditionalFormatting sqref="N41">
    <cfRule type="cellIs" dxfId="1299" priority="434" operator="equal">
      <formula>TODAY()</formula>
    </cfRule>
  </conditionalFormatting>
  <conditionalFormatting sqref="P39">
    <cfRule type="cellIs" dxfId="1298" priority="433" operator="equal">
      <formula>TODAY()</formula>
    </cfRule>
  </conditionalFormatting>
  <conditionalFormatting sqref="L39">
    <cfRule type="cellIs" dxfId="1297" priority="432" operator="equal">
      <formula>TODAY()</formula>
    </cfRule>
  </conditionalFormatting>
  <conditionalFormatting sqref="P40">
    <cfRule type="cellIs" dxfId="1296" priority="431" operator="equal">
      <formula>TODAY()</formula>
    </cfRule>
  </conditionalFormatting>
  <conditionalFormatting sqref="J40">
    <cfRule type="cellIs" dxfId="1295" priority="430" operator="equal">
      <formula>TODAY()</formula>
    </cfRule>
  </conditionalFormatting>
  <conditionalFormatting sqref="P40">
    <cfRule type="cellIs" dxfId="1294" priority="429" operator="equal">
      <formula>TODAY()</formula>
    </cfRule>
  </conditionalFormatting>
  <conditionalFormatting sqref="P40">
    <cfRule type="cellIs" dxfId="1293" priority="428" operator="equal">
      <formula>TODAY()</formula>
    </cfRule>
  </conditionalFormatting>
  <conditionalFormatting sqref="J44">
    <cfRule type="cellIs" dxfId="1292" priority="427" operator="equal">
      <formula>TODAY()</formula>
    </cfRule>
  </conditionalFormatting>
  <conditionalFormatting sqref="L46:M48 L42:M44">
    <cfRule type="cellIs" dxfId="1291" priority="426" operator="equal">
      <formula>TODAY()</formula>
    </cfRule>
  </conditionalFormatting>
  <conditionalFormatting sqref="M45 L49:M51">
    <cfRule type="cellIs" dxfId="1290" priority="425" operator="equal">
      <formula>TODAY()</formula>
    </cfRule>
  </conditionalFormatting>
  <conditionalFormatting sqref="L45">
    <cfRule type="cellIs" dxfId="1289" priority="424" operator="equal">
      <formula>TODAY()</formula>
    </cfRule>
  </conditionalFormatting>
  <conditionalFormatting sqref="M41">
    <cfRule type="cellIs" dxfId="1288" priority="423" operator="equal">
      <formula>TODAY()</formula>
    </cfRule>
  </conditionalFormatting>
  <conditionalFormatting sqref="L41">
    <cfRule type="cellIs" dxfId="1287" priority="422" operator="equal">
      <formula>TODAY()</formula>
    </cfRule>
  </conditionalFormatting>
  <conditionalFormatting sqref="L41:M50">
    <cfRule type="cellIs" dxfId="1286" priority="417" operator="greaterThan">
      <formula>0.302083333333333</formula>
    </cfRule>
    <cfRule type="cellIs" dxfId="1285" priority="418" operator="greaterThan">
      <formula>0.291666666666667</formula>
    </cfRule>
    <cfRule type="cellIs" dxfId="1284" priority="419" operator="greaterThan">
      <formula>0.3125</formula>
    </cfRule>
    <cfRule type="cellIs" dxfId="1283" priority="421" operator="greaterThan">
      <formula>7</formula>
    </cfRule>
  </conditionalFormatting>
  <conditionalFormatting sqref="L39:M50">
    <cfRule type="cellIs" dxfId="1282" priority="420" operator="greaterThan">
      <formula>0.3125</formula>
    </cfRule>
  </conditionalFormatting>
  <conditionalFormatting sqref="C74:C75">
    <cfRule type="cellIs" dxfId="1281" priority="416" operator="equal">
      <formula>"X"</formula>
    </cfRule>
  </conditionalFormatting>
  <conditionalFormatting sqref="F81:G83 B83:C83 B77:C78 B76 C75 C79 F77:H79">
    <cfRule type="cellIs" dxfId="1280" priority="415" operator="equal">
      <formula>TODAY()</formula>
    </cfRule>
  </conditionalFormatting>
  <conditionalFormatting sqref="F80:G80 B84:C86 F84:G86">
    <cfRule type="cellIs" dxfId="1279" priority="414" operator="equal">
      <formula>TODAY()</formula>
    </cfRule>
  </conditionalFormatting>
  <conditionalFormatting sqref="H87">
    <cfRule type="cellIs" dxfId="1278" priority="413" operator="equal">
      <formula>TODAY()</formula>
    </cfRule>
  </conditionalFormatting>
  <conditionalFormatting sqref="B86:C86">
    <cfRule type="cellIs" dxfId="1277" priority="412" operator="equal">
      <formula>TODAY()</formula>
    </cfRule>
  </conditionalFormatting>
  <conditionalFormatting sqref="B87:F88 B89:G90">
    <cfRule type="cellIs" dxfId="1276" priority="411" operator="equal">
      <formula>TODAY()</formula>
    </cfRule>
  </conditionalFormatting>
  <conditionalFormatting sqref="G87">
    <cfRule type="cellIs" dxfId="1275" priority="410" operator="equal">
      <formula>TODAY()</formula>
    </cfRule>
  </conditionalFormatting>
  <conditionalFormatting sqref="H88:H90">
    <cfRule type="cellIs" dxfId="1274" priority="409" operator="equal">
      <formula>TODAY()</formula>
    </cfRule>
  </conditionalFormatting>
  <conditionalFormatting sqref="G88">
    <cfRule type="cellIs" dxfId="1273" priority="408" operator="equal">
      <formula>TODAY()</formula>
    </cfRule>
  </conditionalFormatting>
  <conditionalFormatting sqref="B83:C83">
    <cfRule type="cellIs" dxfId="1272" priority="407" operator="equal">
      <formula>TODAY()</formula>
    </cfRule>
  </conditionalFormatting>
  <conditionalFormatting sqref="B80:C83">
    <cfRule type="cellIs" dxfId="1271" priority="406" operator="equal">
      <formula>TODAY()</formula>
    </cfRule>
  </conditionalFormatting>
  <conditionalFormatting sqref="H76">
    <cfRule type="cellIs" dxfId="1270" priority="405" operator="equal">
      <formula>TODAY()</formula>
    </cfRule>
  </conditionalFormatting>
  <conditionalFormatting sqref="C75:G75 B74:C74 E74:G74">
    <cfRule type="cellIs" dxfId="1269" priority="404" operator="equal">
      <formula>TODAY()</formula>
    </cfRule>
  </conditionalFormatting>
  <conditionalFormatting sqref="G76">
    <cfRule type="cellIs" dxfId="1268" priority="403" operator="equal">
      <formula>TODAY()</formula>
    </cfRule>
  </conditionalFormatting>
  <conditionalFormatting sqref="F76">
    <cfRule type="cellIs" dxfId="1267" priority="402" operator="equal">
      <formula>TODAY()</formula>
    </cfRule>
  </conditionalFormatting>
  <conditionalFormatting sqref="H74">
    <cfRule type="cellIs" dxfId="1266" priority="401" operator="equal">
      <formula>TODAY()</formula>
    </cfRule>
  </conditionalFormatting>
  <conditionalFormatting sqref="D74">
    <cfRule type="cellIs" dxfId="1265" priority="400" operator="equal">
      <formula>TODAY()</formula>
    </cfRule>
  </conditionalFormatting>
  <conditionalFormatting sqref="H75">
    <cfRule type="cellIs" dxfId="1264" priority="399" operator="equal">
      <formula>TODAY()</formula>
    </cfRule>
  </conditionalFormatting>
  <conditionalFormatting sqref="B75">
    <cfRule type="cellIs" dxfId="1263" priority="398" operator="equal">
      <formula>TODAY()</formula>
    </cfRule>
  </conditionalFormatting>
  <conditionalFormatting sqref="H75">
    <cfRule type="cellIs" dxfId="1262" priority="397" operator="equal">
      <formula>TODAY()</formula>
    </cfRule>
  </conditionalFormatting>
  <conditionalFormatting sqref="H75">
    <cfRule type="cellIs" dxfId="1261" priority="396" operator="equal">
      <formula>TODAY()</formula>
    </cfRule>
  </conditionalFormatting>
  <conditionalFormatting sqref="B79">
    <cfRule type="cellIs" dxfId="1260" priority="395" operator="equal">
      <formula>TODAY()</formula>
    </cfRule>
  </conditionalFormatting>
  <conditionalFormatting sqref="D81:E83 D77:E79">
    <cfRule type="cellIs" dxfId="1259" priority="394" operator="equal">
      <formula>TODAY()</formula>
    </cfRule>
  </conditionalFormatting>
  <conditionalFormatting sqref="E80 D84:E86">
    <cfRule type="cellIs" dxfId="1258" priority="393" operator="equal">
      <formula>TODAY()</formula>
    </cfRule>
  </conditionalFormatting>
  <conditionalFormatting sqref="D80">
    <cfRule type="cellIs" dxfId="1257" priority="392" operator="equal">
      <formula>TODAY()</formula>
    </cfRule>
  </conditionalFormatting>
  <conditionalFormatting sqref="E76">
    <cfRule type="cellIs" dxfId="1256" priority="391" operator="equal">
      <formula>TODAY()</formula>
    </cfRule>
  </conditionalFormatting>
  <conditionalFormatting sqref="D76">
    <cfRule type="cellIs" dxfId="1255" priority="390" operator="equal">
      <formula>TODAY()</formula>
    </cfRule>
  </conditionalFormatting>
  <conditionalFormatting sqref="D76:E85">
    <cfRule type="cellIs" dxfId="1254" priority="385" operator="greaterThan">
      <formula>0.302083333333333</formula>
    </cfRule>
    <cfRule type="cellIs" dxfId="1253" priority="386" operator="greaterThan">
      <formula>0.291666666666667</formula>
    </cfRule>
    <cfRule type="cellIs" dxfId="1252" priority="387" operator="greaterThan">
      <formula>0.3125</formula>
    </cfRule>
    <cfRule type="cellIs" dxfId="1251" priority="389" operator="greaterThan">
      <formula>7</formula>
    </cfRule>
  </conditionalFormatting>
  <conditionalFormatting sqref="D74:E85">
    <cfRule type="cellIs" dxfId="1250" priority="388" operator="greaterThan">
      <formula>0.3125</formula>
    </cfRule>
  </conditionalFormatting>
  <conditionalFormatting sqref="K74:K75">
    <cfRule type="cellIs" dxfId="1249" priority="384" operator="equal">
      <formula>"X"</formula>
    </cfRule>
  </conditionalFormatting>
  <conditionalFormatting sqref="N81:O83 J83:K83 J77:K78 J76 K75 K79 N77:P79">
    <cfRule type="cellIs" dxfId="1248" priority="383" operator="equal">
      <formula>TODAY()</formula>
    </cfRule>
  </conditionalFormatting>
  <conditionalFormatting sqref="N80:O80 J84:K86 N84:O86">
    <cfRule type="cellIs" dxfId="1247" priority="382" operator="equal">
      <formula>TODAY()</formula>
    </cfRule>
  </conditionalFormatting>
  <conditionalFormatting sqref="P87">
    <cfRule type="cellIs" dxfId="1246" priority="381" operator="equal">
      <formula>TODAY()</formula>
    </cfRule>
  </conditionalFormatting>
  <conditionalFormatting sqref="J86:K86">
    <cfRule type="cellIs" dxfId="1245" priority="380" operator="equal">
      <formula>TODAY()</formula>
    </cfRule>
  </conditionalFormatting>
  <conditionalFormatting sqref="J87:N88 J89:O90">
    <cfRule type="cellIs" dxfId="1244" priority="379" operator="equal">
      <formula>TODAY()</formula>
    </cfRule>
  </conditionalFormatting>
  <conditionalFormatting sqref="O87">
    <cfRule type="cellIs" dxfId="1243" priority="378" operator="equal">
      <formula>TODAY()</formula>
    </cfRule>
  </conditionalFormatting>
  <conditionalFormatting sqref="P88:P90">
    <cfRule type="cellIs" dxfId="1242" priority="377" operator="equal">
      <formula>TODAY()</formula>
    </cfRule>
  </conditionalFormatting>
  <conditionalFormatting sqref="O88">
    <cfRule type="cellIs" dxfId="1241" priority="376" operator="equal">
      <formula>TODAY()</formula>
    </cfRule>
  </conditionalFormatting>
  <conditionalFormatting sqref="J83:K83">
    <cfRule type="cellIs" dxfId="1240" priority="375" operator="equal">
      <formula>TODAY()</formula>
    </cfRule>
  </conditionalFormatting>
  <conditionalFormatting sqref="J80:K83">
    <cfRule type="cellIs" dxfId="1239" priority="374" operator="equal">
      <formula>TODAY()</formula>
    </cfRule>
  </conditionalFormatting>
  <conditionalFormatting sqref="P76">
    <cfRule type="cellIs" dxfId="1238" priority="373" operator="equal">
      <formula>TODAY()</formula>
    </cfRule>
  </conditionalFormatting>
  <conditionalFormatting sqref="K75:O75 J74:K74 M74:O74">
    <cfRule type="cellIs" dxfId="1237" priority="372" operator="equal">
      <formula>TODAY()</formula>
    </cfRule>
  </conditionalFormatting>
  <conditionalFormatting sqref="O76">
    <cfRule type="cellIs" dxfId="1236" priority="371" operator="equal">
      <formula>TODAY()</formula>
    </cfRule>
  </conditionalFormatting>
  <conditionalFormatting sqref="N76">
    <cfRule type="cellIs" dxfId="1235" priority="370" operator="equal">
      <formula>TODAY()</formula>
    </cfRule>
  </conditionalFormatting>
  <conditionalFormatting sqref="P74">
    <cfRule type="cellIs" dxfId="1234" priority="369" operator="equal">
      <formula>TODAY()</formula>
    </cfRule>
  </conditionalFormatting>
  <conditionalFormatting sqref="L74">
    <cfRule type="cellIs" dxfId="1233" priority="368" operator="equal">
      <formula>TODAY()</formula>
    </cfRule>
  </conditionalFormatting>
  <conditionalFormatting sqref="P75">
    <cfRule type="cellIs" dxfId="1232" priority="367" operator="equal">
      <formula>TODAY()</formula>
    </cfRule>
  </conditionalFormatting>
  <conditionalFormatting sqref="J75">
    <cfRule type="cellIs" dxfId="1231" priority="366" operator="equal">
      <formula>TODAY()</formula>
    </cfRule>
  </conditionalFormatting>
  <conditionalFormatting sqref="P75">
    <cfRule type="cellIs" dxfId="1230" priority="365" operator="equal">
      <formula>TODAY()</formula>
    </cfRule>
  </conditionalFormatting>
  <conditionalFormatting sqref="P75">
    <cfRule type="cellIs" dxfId="1229" priority="364" operator="equal">
      <formula>TODAY()</formula>
    </cfRule>
  </conditionalFormatting>
  <conditionalFormatting sqref="J79">
    <cfRule type="cellIs" dxfId="1228" priority="363" operator="equal">
      <formula>TODAY()</formula>
    </cfRule>
  </conditionalFormatting>
  <conditionalFormatting sqref="L81:M83 L77:M79">
    <cfRule type="cellIs" dxfId="1227" priority="362" operator="equal">
      <formula>TODAY()</formula>
    </cfRule>
  </conditionalFormatting>
  <conditionalFormatting sqref="M80 L84:M86">
    <cfRule type="cellIs" dxfId="1226" priority="361" operator="equal">
      <formula>TODAY()</formula>
    </cfRule>
  </conditionalFormatting>
  <conditionalFormatting sqref="L80">
    <cfRule type="cellIs" dxfId="1225" priority="360" operator="equal">
      <formula>TODAY()</formula>
    </cfRule>
  </conditionalFormatting>
  <conditionalFormatting sqref="M76">
    <cfRule type="cellIs" dxfId="1224" priority="359" operator="equal">
      <formula>TODAY()</formula>
    </cfRule>
  </conditionalFormatting>
  <conditionalFormatting sqref="L76">
    <cfRule type="cellIs" dxfId="1223" priority="358" operator="equal">
      <formula>TODAY()</formula>
    </cfRule>
  </conditionalFormatting>
  <conditionalFormatting sqref="L76:M85">
    <cfRule type="cellIs" dxfId="1222" priority="353" operator="greaterThan">
      <formula>0.302083333333333</formula>
    </cfRule>
    <cfRule type="cellIs" dxfId="1221" priority="354" operator="greaterThan">
      <formula>0.291666666666667</formula>
    </cfRule>
    <cfRule type="cellIs" dxfId="1220" priority="355" operator="greaterThan">
      <formula>0.3125</formula>
    </cfRule>
    <cfRule type="cellIs" dxfId="1219" priority="357" operator="greaterThan">
      <formula>7</formula>
    </cfRule>
  </conditionalFormatting>
  <conditionalFormatting sqref="L74:M85">
    <cfRule type="cellIs" dxfId="1218" priority="356" operator="greaterThan">
      <formula>0.3125</formula>
    </cfRule>
  </conditionalFormatting>
  <conditionalFormatting sqref="C109:C110">
    <cfRule type="cellIs" dxfId="1217" priority="352" operator="equal">
      <formula>"X"</formula>
    </cfRule>
  </conditionalFormatting>
  <conditionalFormatting sqref="F116:G118 B118:C118 B112:C113 B111 C110 C114 F112:H114">
    <cfRule type="cellIs" dxfId="1216" priority="351" operator="equal">
      <formula>TODAY()</formula>
    </cfRule>
  </conditionalFormatting>
  <conditionalFormatting sqref="F115:G115 B119:C121 F119:G121">
    <cfRule type="cellIs" dxfId="1215" priority="350" operator="equal">
      <formula>TODAY()</formula>
    </cfRule>
  </conditionalFormatting>
  <conditionalFormatting sqref="H122">
    <cfRule type="cellIs" dxfId="1214" priority="349" operator="equal">
      <formula>TODAY()</formula>
    </cfRule>
  </conditionalFormatting>
  <conditionalFormatting sqref="B121:C121">
    <cfRule type="cellIs" dxfId="1213" priority="348" operator="equal">
      <formula>TODAY()</formula>
    </cfRule>
  </conditionalFormatting>
  <conditionalFormatting sqref="B122:F123 B124:G125">
    <cfRule type="cellIs" dxfId="1212" priority="347" operator="equal">
      <formula>TODAY()</formula>
    </cfRule>
  </conditionalFormatting>
  <conditionalFormatting sqref="G122">
    <cfRule type="cellIs" dxfId="1211" priority="346" operator="equal">
      <formula>TODAY()</formula>
    </cfRule>
  </conditionalFormatting>
  <conditionalFormatting sqref="H123:H125">
    <cfRule type="cellIs" dxfId="1210" priority="345" operator="equal">
      <formula>TODAY()</formula>
    </cfRule>
  </conditionalFormatting>
  <conditionalFormatting sqref="G123">
    <cfRule type="cellIs" dxfId="1209" priority="344" operator="equal">
      <formula>TODAY()</formula>
    </cfRule>
  </conditionalFormatting>
  <conditionalFormatting sqref="B118:C118">
    <cfRule type="cellIs" dxfId="1208" priority="343" operator="equal">
      <formula>TODAY()</formula>
    </cfRule>
  </conditionalFormatting>
  <conditionalFormatting sqref="B115:C118">
    <cfRule type="cellIs" dxfId="1207" priority="342" operator="equal">
      <formula>TODAY()</formula>
    </cfRule>
  </conditionalFormatting>
  <conditionalFormatting sqref="H111">
    <cfRule type="cellIs" dxfId="1206" priority="341" operator="equal">
      <formula>TODAY()</formula>
    </cfRule>
  </conditionalFormatting>
  <conditionalFormatting sqref="C110:G110 B109:C109 E109:G109">
    <cfRule type="cellIs" dxfId="1205" priority="340" operator="equal">
      <formula>TODAY()</formula>
    </cfRule>
  </conditionalFormatting>
  <conditionalFormatting sqref="G111">
    <cfRule type="cellIs" dxfId="1204" priority="339" operator="equal">
      <formula>TODAY()</formula>
    </cfRule>
  </conditionalFormatting>
  <conditionalFormatting sqref="F111">
    <cfRule type="cellIs" dxfId="1203" priority="338" operator="equal">
      <formula>TODAY()</formula>
    </cfRule>
  </conditionalFormatting>
  <conditionalFormatting sqref="H109">
    <cfRule type="cellIs" dxfId="1202" priority="337" operator="equal">
      <formula>TODAY()</formula>
    </cfRule>
  </conditionalFormatting>
  <conditionalFormatting sqref="D109">
    <cfRule type="cellIs" dxfId="1201" priority="336" operator="equal">
      <formula>TODAY()</formula>
    </cfRule>
  </conditionalFormatting>
  <conditionalFormatting sqref="H110">
    <cfRule type="cellIs" dxfId="1200" priority="335" operator="equal">
      <formula>TODAY()</formula>
    </cfRule>
  </conditionalFormatting>
  <conditionalFormatting sqref="B110">
    <cfRule type="cellIs" dxfId="1199" priority="334" operator="equal">
      <formula>TODAY()</formula>
    </cfRule>
  </conditionalFormatting>
  <conditionalFormatting sqref="H110">
    <cfRule type="cellIs" dxfId="1198" priority="333" operator="equal">
      <formula>TODAY()</formula>
    </cfRule>
  </conditionalFormatting>
  <conditionalFormatting sqref="H110">
    <cfRule type="cellIs" dxfId="1197" priority="332" operator="equal">
      <formula>TODAY()</formula>
    </cfRule>
  </conditionalFormatting>
  <conditionalFormatting sqref="B114">
    <cfRule type="cellIs" dxfId="1196" priority="331" operator="equal">
      <formula>TODAY()</formula>
    </cfRule>
  </conditionalFormatting>
  <conditionalFormatting sqref="D116:E118 D112:E114">
    <cfRule type="cellIs" dxfId="1195" priority="330" operator="equal">
      <formula>TODAY()</formula>
    </cfRule>
  </conditionalFormatting>
  <conditionalFormatting sqref="E115 D119:E121">
    <cfRule type="cellIs" dxfId="1194" priority="329" operator="equal">
      <formula>TODAY()</formula>
    </cfRule>
  </conditionalFormatting>
  <conditionalFormatting sqref="D115">
    <cfRule type="cellIs" dxfId="1193" priority="328" operator="equal">
      <formula>TODAY()</formula>
    </cfRule>
  </conditionalFormatting>
  <conditionalFormatting sqref="E111">
    <cfRule type="cellIs" dxfId="1192" priority="327" operator="equal">
      <formula>TODAY()</formula>
    </cfRule>
  </conditionalFormatting>
  <conditionalFormatting sqref="D111">
    <cfRule type="cellIs" dxfId="1191" priority="326" operator="equal">
      <formula>TODAY()</formula>
    </cfRule>
  </conditionalFormatting>
  <conditionalFormatting sqref="D111:E120">
    <cfRule type="cellIs" dxfId="1190" priority="321" operator="greaterThan">
      <formula>0.302083333333333</formula>
    </cfRule>
    <cfRule type="cellIs" dxfId="1189" priority="322" operator="greaterThan">
      <formula>0.291666666666667</formula>
    </cfRule>
    <cfRule type="cellIs" dxfId="1188" priority="323" operator="greaterThan">
      <formula>0.3125</formula>
    </cfRule>
    <cfRule type="cellIs" dxfId="1187" priority="325" operator="greaterThan">
      <formula>7</formula>
    </cfRule>
  </conditionalFormatting>
  <conditionalFormatting sqref="D109:E120">
    <cfRule type="cellIs" dxfId="1186" priority="324" operator="greaterThan">
      <formula>0.3125</formula>
    </cfRule>
  </conditionalFormatting>
  <conditionalFormatting sqref="K109:K110">
    <cfRule type="cellIs" dxfId="1185" priority="320" operator="equal">
      <formula>"X"</formula>
    </cfRule>
  </conditionalFormatting>
  <conditionalFormatting sqref="N116:O118 J118:K118 J112:K113 J111 K110 K114 N112:P114">
    <cfRule type="cellIs" dxfId="1184" priority="319" operator="equal">
      <formula>TODAY()</formula>
    </cfRule>
  </conditionalFormatting>
  <conditionalFormatting sqref="N115:O115 J119:K121 N119:O121">
    <cfRule type="cellIs" dxfId="1183" priority="318" operator="equal">
      <formula>TODAY()</formula>
    </cfRule>
  </conditionalFormatting>
  <conditionalFormatting sqref="P122">
    <cfRule type="cellIs" dxfId="1182" priority="317" operator="equal">
      <formula>TODAY()</formula>
    </cfRule>
  </conditionalFormatting>
  <conditionalFormatting sqref="J121:K121">
    <cfRule type="cellIs" dxfId="1181" priority="316" operator="equal">
      <formula>TODAY()</formula>
    </cfRule>
  </conditionalFormatting>
  <conditionalFormatting sqref="J122:N123 J124:O125">
    <cfRule type="cellIs" dxfId="1180" priority="315" operator="equal">
      <formula>TODAY()</formula>
    </cfRule>
  </conditionalFormatting>
  <conditionalFormatting sqref="O122">
    <cfRule type="cellIs" dxfId="1179" priority="314" operator="equal">
      <formula>TODAY()</formula>
    </cfRule>
  </conditionalFormatting>
  <conditionalFormatting sqref="P123:P125">
    <cfRule type="cellIs" dxfId="1178" priority="313" operator="equal">
      <formula>TODAY()</formula>
    </cfRule>
  </conditionalFormatting>
  <conditionalFormatting sqref="O123">
    <cfRule type="cellIs" dxfId="1177" priority="312" operator="equal">
      <formula>TODAY()</formula>
    </cfRule>
  </conditionalFormatting>
  <conditionalFormatting sqref="J118:K118">
    <cfRule type="cellIs" dxfId="1176" priority="311" operator="equal">
      <formula>TODAY()</formula>
    </cfRule>
  </conditionalFormatting>
  <conditionalFormatting sqref="J115:K118">
    <cfRule type="cellIs" dxfId="1175" priority="310" operator="equal">
      <formula>TODAY()</formula>
    </cfRule>
  </conditionalFormatting>
  <conditionalFormatting sqref="P111">
    <cfRule type="cellIs" dxfId="1174" priority="309" operator="equal">
      <formula>TODAY()</formula>
    </cfRule>
  </conditionalFormatting>
  <conditionalFormatting sqref="K110:O110 J109:K109 M109:O109">
    <cfRule type="cellIs" dxfId="1173" priority="308" operator="equal">
      <formula>TODAY()</formula>
    </cfRule>
  </conditionalFormatting>
  <conditionalFormatting sqref="O111">
    <cfRule type="cellIs" dxfId="1172" priority="307" operator="equal">
      <formula>TODAY()</formula>
    </cfRule>
  </conditionalFormatting>
  <conditionalFormatting sqref="N111">
    <cfRule type="cellIs" dxfId="1171" priority="306" operator="equal">
      <formula>TODAY()</formula>
    </cfRule>
  </conditionalFormatting>
  <conditionalFormatting sqref="P109">
    <cfRule type="cellIs" dxfId="1170" priority="305" operator="equal">
      <formula>TODAY()</formula>
    </cfRule>
  </conditionalFormatting>
  <conditionalFormatting sqref="L109">
    <cfRule type="cellIs" dxfId="1169" priority="304" operator="equal">
      <formula>TODAY()</formula>
    </cfRule>
  </conditionalFormatting>
  <conditionalFormatting sqref="P110">
    <cfRule type="cellIs" dxfId="1168" priority="303" operator="equal">
      <formula>TODAY()</formula>
    </cfRule>
  </conditionalFormatting>
  <conditionalFormatting sqref="J110">
    <cfRule type="cellIs" dxfId="1167" priority="302" operator="equal">
      <formula>TODAY()</formula>
    </cfRule>
  </conditionalFormatting>
  <conditionalFormatting sqref="P110">
    <cfRule type="cellIs" dxfId="1166" priority="301" operator="equal">
      <formula>TODAY()</formula>
    </cfRule>
  </conditionalFormatting>
  <conditionalFormatting sqref="P110">
    <cfRule type="cellIs" dxfId="1165" priority="300" operator="equal">
      <formula>TODAY()</formula>
    </cfRule>
  </conditionalFormatting>
  <conditionalFormatting sqref="J114">
    <cfRule type="cellIs" dxfId="1164" priority="299" operator="equal">
      <formula>TODAY()</formula>
    </cfRule>
  </conditionalFormatting>
  <conditionalFormatting sqref="L116:M118 L112:M114">
    <cfRule type="cellIs" dxfId="1163" priority="298" operator="equal">
      <formula>TODAY()</formula>
    </cfRule>
  </conditionalFormatting>
  <conditionalFormatting sqref="M115 L119:M121">
    <cfRule type="cellIs" dxfId="1162" priority="297" operator="equal">
      <formula>TODAY()</formula>
    </cfRule>
  </conditionalFormatting>
  <conditionalFormatting sqref="L115">
    <cfRule type="cellIs" dxfId="1161" priority="296" operator="equal">
      <formula>TODAY()</formula>
    </cfRule>
  </conditionalFormatting>
  <conditionalFormatting sqref="M111">
    <cfRule type="cellIs" dxfId="1160" priority="295" operator="equal">
      <formula>TODAY()</formula>
    </cfRule>
  </conditionalFormatting>
  <conditionalFormatting sqref="L111">
    <cfRule type="cellIs" dxfId="1159" priority="294" operator="equal">
      <formula>TODAY()</formula>
    </cfRule>
  </conditionalFormatting>
  <conditionalFormatting sqref="L111:M120">
    <cfRule type="cellIs" dxfId="1158" priority="289" operator="greaterThan">
      <formula>0.302083333333333</formula>
    </cfRule>
    <cfRule type="cellIs" dxfId="1157" priority="290" operator="greaterThan">
      <formula>0.291666666666667</formula>
    </cfRule>
    <cfRule type="cellIs" dxfId="1156" priority="291" operator="greaterThan">
      <formula>0.3125</formula>
    </cfRule>
    <cfRule type="cellIs" dxfId="1155" priority="293" operator="greaterThan">
      <formula>7</formula>
    </cfRule>
  </conditionalFormatting>
  <conditionalFormatting sqref="L109:M120">
    <cfRule type="cellIs" dxfId="1154" priority="292" operator="greaterThan">
      <formula>0.3125</formula>
    </cfRule>
  </conditionalFormatting>
  <conditionalFormatting sqref="C144:C145">
    <cfRule type="cellIs" dxfId="1153" priority="288" operator="equal">
      <formula>"X"</formula>
    </cfRule>
  </conditionalFormatting>
  <conditionalFormatting sqref="F151:G153 B153:C153 B147:C148 B146 C145 C149 F147:H149">
    <cfRule type="cellIs" dxfId="1152" priority="287" operator="equal">
      <formula>TODAY()</formula>
    </cfRule>
  </conditionalFormatting>
  <conditionalFormatting sqref="F150:G150 B154:C156 F154:G156">
    <cfRule type="cellIs" dxfId="1151" priority="286" operator="equal">
      <formula>TODAY()</formula>
    </cfRule>
  </conditionalFormatting>
  <conditionalFormatting sqref="H157">
    <cfRule type="cellIs" dxfId="1150" priority="285" operator="equal">
      <formula>TODAY()</formula>
    </cfRule>
  </conditionalFormatting>
  <conditionalFormatting sqref="B156:C156">
    <cfRule type="cellIs" dxfId="1149" priority="284" operator="equal">
      <formula>TODAY()</formula>
    </cfRule>
  </conditionalFormatting>
  <conditionalFormatting sqref="B157:F158 B159:G160">
    <cfRule type="cellIs" dxfId="1148" priority="283" operator="equal">
      <formula>TODAY()</formula>
    </cfRule>
  </conditionalFormatting>
  <conditionalFormatting sqref="G157">
    <cfRule type="cellIs" dxfId="1147" priority="282" operator="equal">
      <formula>TODAY()</formula>
    </cfRule>
  </conditionalFormatting>
  <conditionalFormatting sqref="H158:H160">
    <cfRule type="cellIs" dxfId="1146" priority="281" operator="equal">
      <formula>TODAY()</formula>
    </cfRule>
  </conditionalFormatting>
  <conditionalFormatting sqref="G158">
    <cfRule type="cellIs" dxfId="1145" priority="280" operator="equal">
      <formula>TODAY()</formula>
    </cfRule>
  </conditionalFormatting>
  <conditionalFormatting sqref="B153:C153">
    <cfRule type="cellIs" dxfId="1144" priority="279" operator="equal">
      <formula>TODAY()</formula>
    </cfRule>
  </conditionalFormatting>
  <conditionalFormatting sqref="B150:C153">
    <cfRule type="cellIs" dxfId="1143" priority="278" operator="equal">
      <formula>TODAY()</formula>
    </cfRule>
  </conditionalFormatting>
  <conditionalFormatting sqref="H146">
    <cfRule type="cellIs" dxfId="1142" priority="277" operator="equal">
      <formula>TODAY()</formula>
    </cfRule>
  </conditionalFormatting>
  <conditionalFormatting sqref="C145:G145 B144:C144 E144:G144">
    <cfRule type="cellIs" dxfId="1141" priority="276" operator="equal">
      <formula>TODAY()</formula>
    </cfRule>
  </conditionalFormatting>
  <conditionalFormatting sqref="G146">
    <cfRule type="cellIs" dxfId="1140" priority="275" operator="equal">
      <formula>TODAY()</formula>
    </cfRule>
  </conditionalFormatting>
  <conditionalFormatting sqref="F146">
    <cfRule type="cellIs" dxfId="1139" priority="274" operator="equal">
      <formula>TODAY()</formula>
    </cfRule>
  </conditionalFormatting>
  <conditionalFormatting sqref="H144">
    <cfRule type="cellIs" dxfId="1138" priority="273" operator="equal">
      <formula>TODAY()</formula>
    </cfRule>
  </conditionalFormatting>
  <conditionalFormatting sqref="D144">
    <cfRule type="cellIs" dxfId="1137" priority="272" operator="equal">
      <formula>TODAY()</formula>
    </cfRule>
  </conditionalFormatting>
  <conditionalFormatting sqref="H145">
    <cfRule type="cellIs" dxfId="1136" priority="271" operator="equal">
      <formula>TODAY()</formula>
    </cfRule>
  </conditionalFormatting>
  <conditionalFormatting sqref="B145">
    <cfRule type="cellIs" dxfId="1135" priority="270" operator="equal">
      <formula>TODAY()</formula>
    </cfRule>
  </conditionalFormatting>
  <conditionalFormatting sqref="H145">
    <cfRule type="cellIs" dxfId="1134" priority="269" operator="equal">
      <formula>TODAY()</formula>
    </cfRule>
  </conditionalFormatting>
  <conditionalFormatting sqref="H145">
    <cfRule type="cellIs" dxfId="1133" priority="268" operator="equal">
      <formula>TODAY()</formula>
    </cfRule>
  </conditionalFormatting>
  <conditionalFormatting sqref="B149">
    <cfRule type="cellIs" dxfId="1132" priority="267" operator="equal">
      <formula>TODAY()</formula>
    </cfRule>
  </conditionalFormatting>
  <conditionalFormatting sqref="D151:E153 D147:E149">
    <cfRule type="cellIs" dxfId="1131" priority="266" operator="equal">
      <formula>TODAY()</formula>
    </cfRule>
  </conditionalFormatting>
  <conditionalFormatting sqref="E150 D154:E156">
    <cfRule type="cellIs" dxfId="1130" priority="265" operator="equal">
      <formula>TODAY()</formula>
    </cfRule>
  </conditionalFormatting>
  <conditionalFormatting sqref="D150">
    <cfRule type="cellIs" dxfId="1129" priority="264" operator="equal">
      <formula>TODAY()</formula>
    </cfRule>
  </conditionalFormatting>
  <conditionalFormatting sqref="E146">
    <cfRule type="cellIs" dxfId="1128" priority="263" operator="equal">
      <formula>TODAY()</formula>
    </cfRule>
  </conditionalFormatting>
  <conditionalFormatting sqref="D146">
    <cfRule type="cellIs" dxfId="1127" priority="262" operator="equal">
      <formula>TODAY()</formula>
    </cfRule>
  </conditionalFormatting>
  <conditionalFormatting sqref="D146:E155">
    <cfRule type="cellIs" dxfId="1126" priority="257" operator="greaterThan">
      <formula>0.302083333333333</formula>
    </cfRule>
    <cfRule type="cellIs" dxfId="1125" priority="258" operator="greaterThan">
      <formula>0.291666666666667</formula>
    </cfRule>
    <cfRule type="cellIs" dxfId="1124" priority="259" operator="greaterThan">
      <formula>0.3125</formula>
    </cfRule>
    <cfRule type="cellIs" dxfId="1123" priority="261" operator="greaterThan">
      <formula>7</formula>
    </cfRule>
  </conditionalFormatting>
  <conditionalFormatting sqref="D144:E155">
    <cfRule type="cellIs" dxfId="1122" priority="260" operator="greaterThan">
      <formula>0.3125</formula>
    </cfRule>
  </conditionalFormatting>
  <conditionalFormatting sqref="K144:K145">
    <cfRule type="cellIs" dxfId="1121" priority="256" operator="equal">
      <formula>"X"</formula>
    </cfRule>
  </conditionalFormatting>
  <conditionalFormatting sqref="N151:O153 J153:K153 J147:K148 J146 K145 K149 N147:P149">
    <cfRule type="cellIs" dxfId="1120" priority="255" operator="equal">
      <formula>TODAY()</formula>
    </cfRule>
  </conditionalFormatting>
  <conditionalFormatting sqref="N150:O150 J154:K156 N154:O156">
    <cfRule type="cellIs" dxfId="1119" priority="254" operator="equal">
      <formula>TODAY()</formula>
    </cfRule>
  </conditionalFormatting>
  <conditionalFormatting sqref="P157">
    <cfRule type="cellIs" dxfId="1118" priority="253" operator="equal">
      <formula>TODAY()</formula>
    </cfRule>
  </conditionalFormatting>
  <conditionalFormatting sqref="J156:K156">
    <cfRule type="cellIs" dxfId="1117" priority="252" operator="equal">
      <formula>TODAY()</formula>
    </cfRule>
  </conditionalFormatting>
  <conditionalFormatting sqref="J157:N158 J159:O160">
    <cfRule type="cellIs" dxfId="1116" priority="251" operator="equal">
      <formula>TODAY()</formula>
    </cfRule>
  </conditionalFormatting>
  <conditionalFormatting sqref="O157">
    <cfRule type="cellIs" dxfId="1115" priority="250" operator="equal">
      <formula>TODAY()</formula>
    </cfRule>
  </conditionalFormatting>
  <conditionalFormatting sqref="P158:P160">
    <cfRule type="cellIs" dxfId="1114" priority="249" operator="equal">
      <formula>TODAY()</formula>
    </cfRule>
  </conditionalFormatting>
  <conditionalFormatting sqref="O158">
    <cfRule type="cellIs" dxfId="1113" priority="248" operator="equal">
      <formula>TODAY()</formula>
    </cfRule>
  </conditionalFormatting>
  <conditionalFormatting sqref="J153:K153">
    <cfRule type="cellIs" dxfId="1112" priority="247" operator="equal">
      <formula>TODAY()</formula>
    </cfRule>
  </conditionalFormatting>
  <conditionalFormatting sqref="J150:K153">
    <cfRule type="cellIs" dxfId="1111" priority="246" operator="equal">
      <formula>TODAY()</formula>
    </cfRule>
  </conditionalFormatting>
  <conditionalFormatting sqref="P146">
    <cfRule type="cellIs" dxfId="1110" priority="245" operator="equal">
      <formula>TODAY()</formula>
    </cfRule>
  </conditionalFormatting>
  <conditionalFormatting sqref="K145:O145 J144:K144 M144:O144">
    <cfRule type="cellIs" dxfId="1109" priority="244" operator="equal">
      <formula>TODAY()</formula>
    </cfRule>
  </conditionalFormatting>
  <conditionalFormatting sqref="O146">
    <cfRule type="cellIs" dxfId="1108" priority="243" operator="equal">
      <formula>TODAY()</formula>
    </cfRule>
  </conditionalFormatting>
  <conditionalFormatting sqref="N146">
    <cfRule type="cellIs" dxfId="1107" priority="242" operator="equal">
      <formula>TODAY()</formula>
    </cfRule>
  </conditionalFormatting>
  <conditionalFormatting sqref="P144">
    <cfRule type="cellIs" dxfId="1106" priority="241" operator="equal">
      <formula>TODAY()</formula>
    </cfRule>
  </conditionalFormatting>
  <conditionalFormatting sqref="L144">
    <cfRule type="cellIs" dxfId="1105" priority="240" operator="equal">
      <formula>TODAY()</formula>
    </cfRule>
  </conditionalFormatting>
  <conditionalFormatting sqref="P145">
    <cfRule type="cellIs" dxfId="1104" priority="239" operator="equal">
      <formula>TODAY()</formula>
    </cfRule>
  </conditionalFormatting>
  <conditionalFormatting sqref="J145">
    <cfRule type="cellIs" dxfId="1103" priority="238" operator="equal">
      <formula>TODAY()</formula>
    </cfRule>
  </conditionalFormatting>
  <conditionalFormatting sqref="P145">
    <cfRule type="cellIs" dxfId="1102" priority="237" operator="equal">
      <formula>TODAY()</formula>
    </cfRule>
  </conditionalFormatting>
  <conditionalFormatting sqref="P145">
    <cfRule type="cellIs" dxfId="1101" priority="236" operator="equal">
      <formula>TODAY()</formula>
    </cfRule>
  </conditionalFormatting>
  <conditionalFormatting sqref="J149">
    <cfRule type="cellIs" dxfId="1100" priority="235" operator="equal">
      <formula>TODAY()</formula>
    </cfRule>
  </conditionalFormatting>
  <conditionalFormatting sqref="L151:M153 L147:M149">
    <cfRule type="cellIs" dxfId="1099" priority="234" operator="equal">
      <formula>TODAY()</formula>
    </cfRule>
  </conditionalFormatting>
  <conditionalFormatting sqref="M150 L154:M156">
    <cfRule type="cellIs" dxfId="1098" priority="233" operator="equal">
      <formula>TODAY()</formula>
    </cfRule>
  </conditionalFormatting>
  <conditionalFormatting sqref="L150">
    <cfRule type="cellIs" dxfId="1097" priority="232" operator="equal">
      <formula>TODAY()</formula>
    </cfRule>
  </conditionalFormatting>
  <conditionalFormatting sqref="M146">
    <cfRule type="cellIs" dxfId="1096" priority="231" operator="equal">
      <formula>TODAY()</formula>
    </cfRule>
  </conditionalFormatting>
  <conditionalFormatting sqref="L146">
    <cfRule type="cellIs" dxfId="1095" priority="230" operator="equal">
      <formula>TODAY()</formula>
    </cfRule>
  </conditionalFormatting>
  <conditionalFormatting sqref="L146:M155">
    <cfRule type="cellIs" dxfId="1094" priority="225" operator="greaterThan">
      <formula>0.302083333333333</formula>
    </cfRule>
    <cfRule type="cellIs" dxfId="1093" priority="226" operator="greaterThan">
      <formula>0.291666666666667</formula>
    </cfRule>
    <cfRule type="cellIs" dxfId="1092" priority="227" operator="greaterThan">
      <formula>0.3125</formula>
    </cfRule>
    <cfRule type="cellIs" dxfId="1091" priority="229" operator="greaterThan">
      <formula>7</formula>
    </cfRule>
  </conditionalFormatting>
  <conditionalFormatting sqref="L144:M155">
    <cfRule type="cellIs" dxfId="1090" priority="228" operator="greaterThan">
      <formula>0.3125</formula>
    </cfRule>
  </conditionalFormatting>
  <conditionalFormatting sqref="B1:P1048576">
    <cfRule type="timePeriod" dxfId="1089" priority="224" timePeriod="today">
      <formula>FLOOR(B1,1)=TODAY()</formula>
    </cfRule>
  </conditionalFormatting>
  <conditionalFormatting sqref="D6:E15">
    <cfRule type="expression" priority="220" stopIfTrue="1">
      <formula>D6=""</formula>
    </cfRule>
    <cfRule type="cellIs" dxfId="1088" priority="223" operator="greaterThanOrEqual">
      <formula>0.3125</formula>
    </cfRule>
  </conditionalFormatting>
  <conditionalFormatting sqref="K4:K5">
    <cfRule type="cellIs" dxfId="1087" priority="219" operator="equal">
      <formula>"X"</formula>
    </cfRule>
  </conditionalFormatting>
  <conditionalFormatting sqref="N11:O13 J13:K13 J7:K8 J6 K5 K9 N7:P9">
    <cfRule type="cellIs" dxfId="1086" priority="218" operator="equal">
      <formula>TODAY()</formula>
    </cfRule>
  </conditionalFormatting>
  <conditionalFormatting sqref="N10:O10 J14:K16 N14:O16">
    <cfRule type="cellIs" dxfId="1085" priority="217" operator="equal">
      <formula>TODAY()</formula>
    </cfRule>
  </conditionalFormatting>
  <conditionalFormatting sqref="P17">
    <cfRule type="cellIs" dxfId="1084" priority="216" operator="equal">
      <formula>TODAY()</formula>
    </cfRule>
  </conditionalFormatting>
  <conditionalFormatting sqref="J16:K16">
    <cfRule type="cellIs" dxfId="1083" priority="215" operator="equal">
      <formula>TODAY()</formula>
    </cfRule>
  </conditionalFormatting>
  <conditionalFormatting sqref="J17:N18 J19:O20">
    <cfRule type="cellIs" dxfId="1082" priority="214" operator="equal">
      <formula>TODAY()</formula>
    </cfRule>
  </conditionalFormatting>
  <conditionalFormatting sqref="O17">
    <cfRule type="cellIs" dxfId="1081" priority="213" operator="equal">
      <formula>TODAY()</formula>
    </cfRule>
  </conditionalFormatting>
  <conditionalFormatting sqref="P18:P20">
    <cfRule type="cellIs" dxfId="1080" priority="212" operator="equal">
      <formula>TODAY()</formula>
    </cfRule>
  </conditionalFormatting>
  <conditionalFormatting sqref="O18">
    <cfRule type="cellIs" dxfId="1079" priority="211" operator="equal">
      <formula>TODAY()</formula>
    </cfRule>
  </conditionalFormatting>
  <conditionalFormatting sqref="J13:K13">
    <cfRule type="cellIs" dxfId="1078" priority="210" operator="equal">
      <formula>TODAY()</formula>
    </cfRule>
  </conditionalFormatting>
  <conditionalFormatting sqref="J10:K13">
    <cfRule type="cellIs" dxfId="1077" priority="209" operator="equal">
      <formula>TODAY()</formula>
    </cfRule>
  </conditionalFormatting>
  <conditionalFormatting sqref="P6">
    <cfRule type="cellIs" dxfId="1076" priority="208" operator="equal">
      <formula>TODAY()</formula>
    </cfRule>
  </conditionalFormatting>
  <conditionalFormatting sqref="K5:O5 J4:K4 M4:O4">
    <cfRule type="cellIs" dxfId="1075" priority="207" operator="equal">
      <formula>TODAY()</formula>
    </cfRule>
  </conditionalFormatting>
  <conditionalFormatting sqref="O6">
    <cfRule type="cellIs" dxfId="1074" priority="206" operator="equal">
      <formula>TODAY()</formula>
    </cfRule>
  </conditionalFormatting>
  <conditionalFormatting sqref="N6">
    <cfRule type="cellIs" dxfId="1073" priority="205" operator="equal">
      <formula>TODAY()</formula>
    </cfRule>
  </conditionalFormatting>
  <conditionalFormatting sqref="P4">
    <cfRule type="cellIs" dxfId="1072" priority="204" operator="equal">
      <formula>TODAY()</formula>
    </cfRule>
  </conditionalFormatting>
  <conditionalFormatting sqref="L4">
    <cfRule type="cellIs" dxfId="1071" priority="203" operator="equal">
      <formula>TODAY()</formula>
    </cfRule>
  </conditionalFormatting>
  <conditionalFormatting sqref="P5">
    <cfRule type="cellIs" dxfId="1070" priority="202" operator="equal">
      <formula>TODAY()</formula>
    </cfRule>
  </conditionalFormatting>
  <conditionalFormatting sqref="J5">
    <cfRule type="cellIs" dxfId="1069" priority="201" operator="equal">
      <formula>TODAY()</formula>
    </cfRule>
  </conditionalFormatting>
  <conditionalFormatting sqref="P5">
    <cfRule type="cellIs" dxfId="1068" priority="200" operator="equal">
      <formula>TODAY()</formula>
    </cfRule>
  </conditionalFormatting>
  <conditionalFormatting sqref="P5">
    <cfRule type="cellIs" dxfId="1067" priority="199" operator="equal">
      <formula>TODAY()</formula>
    </cfRule>
  </conditionalFormatting>
  <conditionalFormatting sqref="J9">
    <cfRule type="cellIs" dxfId="1066" priority="198" operator="equal">
      <formula>TODAY()</formula>
    </cfRule>
  </conditionalFormatting>
  <conditionalFormatting sqref="L6:M15">
    <cfRule type="expression" priority="196" stopIfTrue="1">
      <formula>L6=""</formula>
    </cfRule>
    <cfRule type="cellIs" dxfId="1065" priority="197" operator="greaterThanOrEqual">
      <formula>0.3125</formula>
    </cfRule>
  </conditionalFormatting>
  <conditionalFormatting sqref="C39:C40">
    <cfRule type="cellIs" dxfId="1064" priority="195" operator="equal">
      <formula>"X"</formula>
    </cfRule>
  </conditionalFormatting>
  <conditionalFormatting sqref="F46:G48 B48:C48 B42:C43 B41 C40 C44 F42:H44">
    <cfRule type="cellIs" dxfId="1063" priority="194" operator="equal">
      <formula>TODAY()</formula>
    </cfRule>
  </conditionalFormatting>
  <conditionalFormatting sqref="F45:G45 B49:C51 F49:G51">
    <cfRule type="cellIs" dxfId="1062" priority="193" operator="equal">
      <formula>TODAY()</formula>
    </cfRule>
  </conditionalFormatting>
  <conditionalFormatting sqref="H52">
    <cfRule type="cellIs" dxfId="1061" priority="192" operator="equal">
      <formula>TODAY()</formula>
    </cfRule>
  </conditionalFormatting>
  <conditionalFormatting sqref="B51:C51">
    <cfRule type="cellIs" dxfId="1060" priority="191" operator="equal">
      <formula>TODAY()</formula>
    </cfRule>
  </conditionalFormatting>
  <conditionalFormatting sqref="B52:F53 B54:G55">
    <cfRule type="cellIs" dxfId="1059" priority="190" operator="equal">
      <formula>TODAY()</formula>
    </cfRule>
  </conditionalFormatting>
  <conditionalFormatting sqref="G52">
    <cfRule type="cellIs" dxfId="1058" priority="189" operator="equal">
      <formula>TODAY()</formula>
    </cfRule>
  </conditionalFormatting>
  <conditionalFormatting sqref="H53:H55">
    <cfRule type="cellIs" dxfId="1057" priority="188" operator="equal">
      <formula>TODAY()</formula>
    </cfRule>
  </conditionalFormatting>
  <conditionalFormatting sqref="G53">
    <cfRule type="cellIs" dxfId="1056" priority="187" operator="equal">
      <formula>TODAY()</formula>
    </cfRule>
  </conditionalFormatting>
  <conditionalFormatting sqref="B48:C48">
    <cfRule type="cellIs" dxfId="1055" priority="186" operator="equal">
      <formula>TODAY()</formula>
    </cfRule>
  </conditionalFormatting>
  <conditionalFormatting sqref="B45:C48">
    <cfRule type="cellIs" dxfId="1054" priority="185" operator="equal">
      <formula>TODAY()</formula>
    </cfRule>
  </conditionalFormatting>
  <conditionalFormatting sqref="H41">
    <cfRule type="cellIs" dxfId="1053" priority="184" operator="equal">
      <formula>TODAY()</formula>
    </cfRule>
  </conditionalFormatting>
  <conditionalFormatting sqref="C40:G40 B39:C39 E39:G39">
    <cfRule type="cellIs" dxfId="1052" priority="183" operator="equal">
      <formula>TODAY()</formula>
    </cfRule>
  </conditionalFormatting>
  <conditionalFormatting sqref="G41">
    <cfRule type="cellIs" dxfId="1051" priority="182" operator="equal">
      <formula>TODAY()</formula>
    </cfRule>
  </conditionalFormatting>
  <conditionalFormatting sqref="F41">
    <cfRule type="cellIs" dxfId="1050" priority="181" operator="equal">
      <formula>TODAY()</formula>
    </cfRule>
  </conditionalFormatting>
  <conditionalFormatting sqref="H39">
    <cfRule type="cellIs" dxfId="1049" priority="180" operator="equal">
      <formula>TODAY()</formula>
    </cfRule>
  </conditionalFormatting>
  <conditionalFormatting sqref="D39">
    <cfRule type="cellIs" dxfId="1048" priority="179" operator="equal">
      <formula>TODAY()</formula>
    </cfRule>
  </conditionalFormatting>
  <conditionalFormatting sqref="H40">
    <cfRule type="cellIs" dxfId="1047" priority="178" operator="equal">
      <formula>TODAY()</formula>
    </cfRule>
  </conditionalFormatting>
  <conditionalFormatting sqref="B40">
    <cfRule type="cellIs" dxfId="1046" priority="177" operator="equal">
      <formula>TODAY()</formula>
    </cfRule>
  </conditionalFormatting>
  <conditionalFormatting sqref="H40">
    <cfRule type="cellIs" dxfId="1045" priority="176" operator="equal">
      <formula>TODAY()</formula>
    </cfRule>
  </conditionalFormatting>
  <conditionalFormatting sqref="H40">
    <cfRule type="cellIs" dxfId="1044" priority="175" operator="equal">
      <formula>TODAY()</formula>
    </cfRule>
  </conditionalFormatting>
  <conditionalFormatting sqref="B44">
    <cfRule type="cellIs" dxfId="1043" priority="174" operator="equal">
      <formula>TODAY()</formula>
    </cfRule>
  </conditionalFormatting>
  <conditionalFormatting sqref="D41:E50">
    <cfRule type="expression" priority="172" stopIfTrue="1">
      <formula>D41=""</formula>
    </cfRule>
    <cfRule type="cellIs" dxfId="1042" priority="173" operator="greaterThanOrEqual">
      <formula>0.3125</formula>
    </cfRule>
  </conditionalFormatting>
  <conditionalFormatting sqref="K39:K40">
    <cfRule type="cellIs" dxfId="1041" priority="171" operator="equal">
      <formula>"X"</formula>
    </cfRule>
  </conditionalFormatting>
  <conditionalFormatting sqref="N46:O48 J48:K48 J42:K43 J41 K40 K44 N42:P44">
    <cfRule type="cellIs" dxfId="1040" priority="170" operator="equal">
      <formula>TODAY()</formula>
    </cfRule>
  </conditionalFormatting>
  <conditionalFormatting sqref="N45:O45 J49:K51 N49:O51">
    <cfRule type="cellIs" dxfId="1039" priority="169" operator="equal">
      <formula>TODAY()</formula>
    </cfRule>
  </conditionalFormatting>
  <conditionalFormatting sqref="P52">
    <cfRule type="cellIs" dxfId="1038" priority="168" operator="equal">
      <formula>TODAY()</formula>
    </cfRule>
  </conditionalFormatting>
  <conditionalFormatting sqref="J51:K51">
    <cfRule type="cellIs" dxfId="1037" priority="167" operator="equal">
      <formula>TODAY()</formula>
    </cfRule>
  </conditionalFormatting>
  <conditionalFormatting sqref="J52:N53 J54:O55">
    <cfRule type="cellIs" dxfId="1036" priority="166" operator="equal">
      <formula>TODAY()</formula>
    </cfRule>
  </conditionalFormatting>
  <conditionalFormatting sqref="O52">
    <cfRule type="cellIs" dxfId="1035" priority="165" operator="equal">
      <formula>TODAY()</formula>
    </cfRule>
  </conditionalFormatting>
  <conditionalFormatting sqref="P53:P55">
    <cfRule type="cellIs" dxfId="1034" priority="164" operator="equal">
      <formula>TODAY()</formula>
    </cfRule>
  </conditionalFormatting>
  <conditionalFormatting sqref="O53">
    <cfRule type="cellIs" dxfId="1033" priority="163" operator="equal">
      <formula>TODAY()</formula>
    </cfRule>
  </conditionalFormatting>
  <conditionalFormatting sqref="J48:K48">
    <cfRule type="cellIs" dxfId="1032" priority="162" operator="equal">
      <formula>TODAY()</formula>
    </cfRule>
  </conditionalFormatting>
  <conditionalFormatting sqref="J45:K48">
    <cfRule type="cellIs" dxfId="1031" priority="161" operator="equal">
      <formula>TODAY()</formula>
    </cfRule>
  </conditionalFormatting>
  <conditionalFormatting sqref="P41">
    <cfRule type="cellIs" dxfId="1030" priority="160" operator="equal">
      <formula>TODAY()</formula>
    </cfRule>
  </conditionalFormatting>
  <conditionalFormatting sqref="K40:O40 J39:K39 M39:O39">
    <cfRule type="cellIs" dxfId="1029" priority="159" operator="equal">
      <formula>TODAY()</formula>
    </cfRule>
  </conditionalFormatting>
  <conditionalFormatting sqref="O41">
    <cfRule type="cellIs" dxfId="1028" priority="158" operator="equal">
      <formula>TODAY()</formula>
    </cfRule>
  </conditionalFormatting>
  <conditionalFormatting sqref="N41">
    <cfRule type="cellIs" dxfId="1027" priority="157" operator="equal">
      <formula>TODAY()</formula>
    </cfRule>
  </conditionalFormatting>
  <conditionalFormatting sqref="P39">
    <cfRule type="cellIs" dxfId="1026" priority="156" operator="equal">
      <formula>TODAY()</formula>
    </cfRule>
  </conditionalFormatting>
  <conditionalFormatting sqref="L39">
    <cfRule type="cellIs" dxfId="1025" priority="155" operator="equal">
      <formula>TODAY()</formula>
    </cfRule>
  </conditionalFormatting>
  <conditionalFormatting sqref="P40">
    <cfRule type="cellIs" dxfId="1024" priority="154" operator="equal">
      <formula>TODAY()</formula>
    </cfRule>
  </conditionalFormatting>
  <conditionalFormatting sqref="J40">
    <cfRule type="cellIs" dxfId="1023" priority="153" operator="equal">
      <formula>TODAY()</formula>
    </cfRule>
  </conditionalFormatting>
  <conditionalFormatting sqref="P40">
    <cfRule type="cellIs" dxfId="1022" priority="152" operator="equal">
      <formula>TODAY()</formula>
    </cfRule>
  </conditionalFormatting>
  <conditionalFormatting sqref="P40">
    <cfRule type="cellIs" dxfId="1021" priority="151" operator="equal">
      <formula>TODAY()</formula>
    </cfRule>
  </conditionalFormatting>
  <conditionalFormatting sqref="J44">
    <cfRule type="cellIs" dxfId="1020" priority="150" operator="equal">
      <formula>TODAY()</formula>
    </cfRule>
  </conditionalFormatting>
  <conditionalFormatting sqref="L41:M50">
    <cfRule type="expression" priority="148" stopIfTrue="1">
      <formula>L41=""</formula>
    </cfRule>
    <cfRule type="cellIs" dxfId="1019" priority="149" operator="greaterThanOrEqual">
      <formula>0.3125</formula>
    </cfRule>
  </conditionalFormatting>
  <conditionalFormatting sqref="C74:C75">
    <cfRule type="cellIs" dxfId="1018" priority="147" operator="equal">
      <formula>"X"</formula>
    </cfRule>
  </conditionalFormatting>
  <conditionalFormatting sqref="F81:G83 B83:C83 B77:C78 B76 C75 C79 F77:H79">
    <cfRule type="cellIs" dxfId="1017" priority="146" operator="equal">
      <formula>TODAY()</formula>
    </cfRule>
  </conditionalFormatting>
  <conditionalFormatting sqref="F80:G80 B84:C86 F84:G86">
    <cfRule type="cellIs" dxfId="1016" priority="145" operator="equal">
      <formula>TODAY()</formula>
    </cfRule>
  </conditionalFormatting>
  <conditionalFormatting sqref="H87">
    <cfRule type="cellIs" dxfId="1015" priority="144" operator="equal">
      <formula>TODAY()</formula>
    </cfRule>
  </conditionalFormatting>
  <conditionalFormatting sqref="B86:C86">
    <cfRule type="cellIs" dxfId="1014" priority="143" operator="equal">
      <formula>TODAY()</formula>
    </cfRule>
  </conditionalFormatting>
  <conditionalFormatting sqref="B87:F88 B89:G90">
    <cfRule type="cellIs" dxfId="1013" priority="142" operator="equal">
      <formula>TODAY()</formula>
    </cfRule>
  </conditionalFormatting>
  <conditionalFormatting sqref="G87">
    <cfRule type="cellIs" dxfId="1012" priority="141" operator="equal">
      <formula>TODAY()</formula>
    </cfRule>
  </conditionalFormatting>
  <conditionalFormatting sqref="H88:H90">
    <cfRule type="cellIs" dxfId="1011" priority="140" operator="equal">
      <formula>TODAY()</formula>
    </cfRule>
  </conditionalFormatting>
  <conditionalFormatting sqref="G88">
    <cfRule type="cellIs" dxfId="1010" priority="139" operator="equal">
      <formula>TODAY()</formula>
    </cfRule>
  </conditionalFormatting>
  <conditionalFormatting sqref="B83:C83">
    <cfRule type="cellIs" dxfId="1009" priority="138" operator="equal">
      <formula>TODAY()</formula>
    </cfRule>
  </conditionalFormatting>
  <conditionalFormatting sqref="B80:C83">
    <cfRule type="cellIs" dxfId="1008" priority="137" operator="equal">
      <formula>TODAY()</formula>
    </cfRule>
  </conditionalFormatting>
  <conditionalFormatting sqref="H76">
    <cfRule type="cellIs" dxfId="1007" priority="136" operator="equal">
      <formula>TODAY()</formula>
    </cfRule>
  </conditionalFormatting>
  <conditionalFormatting sqref="C75:G75 B74:C74 E74:G74">
    <cfRule type="cellIs" dxfId="1006" priority="135" operator="equal">
      <formula>TODAY()</formula>
    </cfRule>
  </conditionalFormatting>
  <conditionalFormatting sqref="G76">
    <cfRule type="cellIs" dxfId="1005" priority="134" operator="equal">
      <formula>TODAY()</formula>
    </cfRule>
  </conditionalFormatting>
  <conditionalFormatting sqref="F76">
    <cfRule type="cellIs" dxfId="1004" priority="133" operator="equal">
      <formula>TODAY()</formula>
    </cfRule>
  </conditionalFormatting>
  <conditionalFormatting sqref="H74">
    <cfRule type="cellIs" dxfId="1003" priority="132" operator="equal">
      <formula>TODAY()</formula>
    </cfRule>
  </conditionalFormatting>
  <conditionalFormatting sqref="D74">
    <cfRule type="cellIs" dxfId="1002" priority="131" operator="equal">
      <formula>TODAY()</formula>
    </cfRule>
  </conditionalFormatting>
  <conditionalFormatting sqref="H75">
    <cfRule type="cellIs" dxfId="1001" priority="130" operator="equal">
      <formula>TODAY()</formula>
    </cfRule>
  </conditionalFormatting>
  <conditionalFormatting sqref="B75">
    <cfRule type="cellIs" dxfId="1000" priority="129" operator="equal">
      <formula>TODAY()</formula>
    </cfRule>
  </conditionalFormatting>
  <conditionalFormatting sqref="H75">
    <cfRule type="cellIs" dxfId="999" priority="128" operator="equal">
      <formula>TODAY()</formula>
    </cfRule>
  </conditionalFormatting>
  <conditionalFormatting sqref="H75">
    <cfRule type="cellIs" dxfId="998" priority="127" operator="equal">
      <formula>TODAY()</formula>
    </cfRule>
  </conditionalFormatting>
  <conditionalFormatting sqref="B79">
    <cfRule type="cellIs" dxfId="997" priority="126" operator="equal">
      <formula>TODAY()</formula>
    </cfRule>
  </conditionalFormatting>
  <conditionalFormatting sqref="D76:E85">
    <cfRule type="expression" priority="124" stopIfTrue="1">
      <formula>D76=""</formula>
    </cfRule>
    <cfRule type="cellIs" dxfId="996" priority="125" operator="greaterThanOrEqual">
      <formula>0.3125</formula>
    </cfRule>
  </conditionalFormatting>
  <conditionalFormatting sqref="K74:K75">
    <cfRule type="cellIs" dxfId="995" priority="123" operator="equal">
      <formula>"X"</formula>
    </cfRule>
  </conditionalFormatting>
  <conditionalFormatting sqref="N81:O83 J83:K83 J77:K78 J76 K75 K79 N77:P79">
    <cfRule type="cellIs" dxfId="994" priority="122" operator="equal">
      <formula>TODAY()</formula>
    </cfRule>
  </conditionalFormatting>
  <conditionalFormatting sqref="N80:O80 J84:K86 N84:O86">
    <cfRule type="cellIs" dxfId="993" priority="121" operator="equal">
      <formula>TODAY()</formula>
    </cfRule>
  </conditionalFormatting>
  <conditionalFormatting sqref="P87">
    <cfRule type="cellIs" dxfId="992" priority="120" operator="equal">
      <formula>TODAY()</formula>
    </cfRule>
  </conditionalFormatting>
  <conditionalFormatting sqref="J86:K86">
    <cfRule type="cellIs" dxfId="991" priority="119" operator="equal">
      <formula>TODAY()</formula>
    </cfRule>
  </conditionalFormatting>
  <conditionalFormatting sqref="J87:N88 J89:O90">
    <cfRule type="cellIs" dxfId="990" priority="118" operator="equal">
      <formula>TODAY()</formula>
    </cfRule>
  </conditionalFormatting>
  <conditionalFormatting sqref="O87">
    <cfRule type="cellIs" dxfId="989" priority="117" operator="equal">
      <formula>TODAY()</formula>
    </cfRule>
  </conditionalFormatting>
  <conditionalFormatting sqref="P88:P90">
    <cfRule type="cellIs" dxfId="988" priority="116" operator="equal">
      <formula>TODAY()</formula>
    </cfRule>
  </conditionalFormatting>
  <conditionalFormatting sqref="O88">
    <cfRule type="cellIs" dxfId="987" priority="115" operator="equal">
      <formula>TODAY()</formula>
    </cfRule>
  </conditionalFormatting>
  <conditionalFormatting sqref="J83:K83">
    <cfRule type="cellIs" dxfId="986" priority="114" operator="equal">
      <formula>TODAY()</formula>
    </cfRule>
  </conditionalFormatting>
  <conditionalFormatting sqref="J80:K83">
    <cfRule type="cellIs" dxfId="985" priority="113" operator="equal">
      <formula>TODAY()</formula>
    </cfRule>
  </conditionalFormatting>
  <conditionalFormatting sqref="P76">
    <cfRule type="cellIs" dxfId="984" priority="112" operator="equal">
      <formula>TODAY()</formula>
    </cfRule>
  </conditionalFormatting>
  <conditionalFormatting sqref="K75:O75 J74:K74 M74:O74">
    <cfRule type="cellIs" dxfId="983" priority="111" operator="equal">
      <formula>TODAY()</formula>
    </cfRule>
  </conditionalFormatting>
  <conditionalFormatting sqref="O76">
    <cfRule type="cellIs" dxfId="982" priority="110" operator="equal">
      <formula>TODAY()</formula>
    </cfRule>
  </conditionalFormatting>
  <conditionalFormatting sqref="N76">
    <cfRule type="cellIs" dxfId="981" priority="109" operator="equal">
      <formula>TODAY()</formula>
    </cfRule>
  </conditionalFormatting>
  <conditionalFormatting sqref="P74">
    <cfRule type="cellIs" dxfId="980" priority="108" operator="equal">
      <formula>TODAY()</formula>
    </cfRule>
  </conditionalFormatting>
  <conditionalFormatting sqref="L74">
    <cfRule type="cellIs" dxfId="979" priority="107" operator="equal">
      <formula>TODAY()</formula>
    </cfRule>
  </conditionalFormatting>
  <conditionalFormatting sqref="P75">
    <cfRule type="cellIs" dxfId="978" priority="106" operator="equal">
      <formula>TODAY()</formula>
    </cfRule>
  </conditionalFormatting>
  <conditionalFormatting sqref="J75">
    <cfRule type="cellIs" dxfId="977" priority="105" operator="equal">
      <formula>TODAY()</formula>
    </cfRule>
  </conditionalFormatting>
  <conditionalFormatting sqref="P75">
    <cfRule type="cellIs" dxfId="976" priority="104" operator="equal">
      <formula>TODAY()</formula>
    </cfRule>
  </conditionalFormatting>
  <conditionalFormatting sqref="P75">
    <cfRule type="cellIs" dxfId="975" priority="103" operator="equal">
      <formula>TODAY()</formula>
    </cfRule>
  </conditionalFormatting>
  <conditionalFormatting sqref="J79">
    <cfRule type="cellIs" dxfId="974" priority="102" operator="equal">
      <formula>TODAY()</formula>
    </cfRule>
  </conditionalFormatting>
  <conditionalFormatting sqref="L76:M85">
    <cfRule type="expression" priority="100" stopIfTrue="1">
      <formula>L76=""</formula>
    </cfRule>
    <cfRule type="cellIs" dxfId="973" priority="101" operator="greaterThanOrEqual">
      <formula>0.3125</formula>
    </cfRule>
  </conditionalFormatting>
  <conditionalFormatting sqref="C109:C110">
    <cfRule type="cellIs" dxfId="972" priority="99" operator="equal">
      <formula>"X"</formula>
    </cfRule>
  </conditionalFormatting>
  <conditionalFormatting sqref="F116:G118 B118:C118 B112:C113 B111 C110 C114 F112:H114">
    <cfRule type="cellIs" dxfId="971" priority="98" operator="equal">
      <formula>TODAY()</formula>
    </cfRule>
  </conditionalFormatting>
  <conditionalFormatting sqref="F115:G115 B119:C121 F119:G121">
    <cfRule type="cellIs" dxfId="970" priority="97" operator="equal">
      <formula>TODAY()</formula>
    </cfRule>
  </conditionalFormatting>
  <conditionalFormatting sqref="H122">
    <cfRule type="cellIs" dxfId="969" priority="96" operator="equal">
      <formula>TODAY()</formula>
    </cfRule>
  </conditionalFormatting>
  <conditionalFormatting sqref="B121:C121">
    <cfRule type="cellIs" dxfId="968" priority="95" operator="equal">
      <formula>TODAY()</formula>
    </cfRule>
  </conditionalFormatting>
  <conditionalFormatting sqref="B122:F123 B124:G125">
    <cfRule type="cellIs" dxfId="967" priority="94" operator="equal">
      <formula>TODAY()</formula>
    </cfRule>
  </conditionalFormatting>
  <conditionalFormatting sqref="G122">
    <cfRule type="cellIs" dxfId="966" priority="93" operator="equal">
      <formula>TODAY()</formula>
    </cfRule>
  </conditionalFormatting>
  <conditionalFormatting sqref="H123:H125">
    <cfRule type="cellIs" dxfId="965" priority="92" operator="equal">
      <formula>TODAY()</formula>
    </cfRule>
  </conditionalFormatting>
  <conditionalFormatting sqref="G123">
    <cfRule type="cellIs" dxfId="964" priority="91" operator="equal">
      <formula>TODAY()</formula>
    </cfRule>
  </conditionalFormatting>
  <conditionalFormatting sqref="B118:C118">
    <cfRule type="cellIs" dxfId="963" priority="90" operator="equal">
      <formula>TODAY()</formula>
    </cfRule>
  </conditionalFormatting>
  <conditionalFormatting sqref="B115:C118">
    <cfRule type="cellIs" dxfId="962" priority="89" operator="equal">
      <formula>TODAY()</formula>
    </cfRule>
  </conditionalFormatting>
  <conditionalFormatting sqref="H111">
    <cfRule type="cellIs" dxfId="961" priority="88" operator="equal">
      <formula>TODAY()</formula>
    </cfRule>
  </conditionalFormatting>
  <conditionalFormatting sqref="C110:G110 B109:C109 E109:G109">
    <cfRule type="cellIs" dxfId="960" priority="87" operator="equal">
      <formula>TODAY()</formula>
    </cfRule>
  </conditionalFormatting>
  <conditionalFormatting sqref="G111">
    <cfRule type="cellIs" dxfId="959" priority="86" operator="equal">
      <formula>TODAY()</formula>
    </cfRule>
  </conditionalFormatting>
  <conditionalFormatting sqref="F111">
    <cfRule type="cellIs" dxfId="958" priority="85" operator="equal">
      <formula>TODAY()</formula>
    </cfRule>
  </conditionalFormatting>
  <conditionalFormatting sqref="H109">
    <cfRule type="cellIs" dxfId="957" priority="84" operator="equal">
      <formula>TODAY()</formula>
    </cfRule>
  </conditionalFormatting>
  <conditionalFormatting sqref="D109">
    <cfRule type="cellIs" dxfId="956" priority="83" operator="equal">
      <formula>TODAY()</formula>
    </cfRule>
  </conditionalFormatting>
  <conditionalFormatting sqref="H110">
    <cfRule type="cellIs" dxfId="955" priority="82" operator="equal">
      <formula>TODAY()</formula>
    </cfRule>
  </conditionalFormatting>
  <conditionalFormatting sqref="B110">
    <cfRule type="cellIs" dxfId="954" priority="81" operator="equal">
      <formula>TODAY()</formula>
    </cfRule>
  </conditionalFormatting>
  <conditionalFormatting sqref="H110">
    <cfRule type="cellIs" dxfId="953" priority="80" operator="equal">
      <formula>TODAY()</formula>
    </cfRule>
  </conditionalFormatting>
  <conditionalFormatting sqref="H110">
    <cfRule type="cellIs" dxfId="952" priority="79" operator="equal">
      <formula>TODAY()</formula>
    </cfRule>
  </conditionalFormatting>
  <conditionalFormatting sqref="B114">
    <cfRule type="cellIs" dxfId="951" priority="78" operator="equal">
      <formula>TODAY()</formula>
    </cfRule>
  </conditionalFormatting>
  <conditionalFormatting sqref="D111:E120">
    <cfRule type="expression" priority="76" stopIfTrue="1">
      <formula>D111=""</formula>
    </cfRule>
    <cfRule type="cellIs" dxfId="950" priority="77" operator="greaterThanOrEqual">
      <formula>0.3125</formula>
    </cfRule>
  </conditionalFormatting>
  <conditionalFormatting sqref="K109:K110">
    <cfRule type="cellIs" dxfId="949" priority="75" operator="equal">
      <formula>"X"</formula>
    </cfRule>
  </conditionalFormatting>
  <conditionalFormatting sqref="N116:O118 J118:K118 J112:K113 J111 K110 K114 N112:P114">
    <cfRule type="cellIs" dxfId="948" priority="74" operator="equal">
      <formula>TODAY()</formula>
    </cfRule>
  </conditionalFormatting>
  <conditionalFormatting sqref="N115:O115 J119:K121 N119:O121">
    <cfRule type="cellIs" dxfId="947" priority="73" operator="equal">
      <formula>TODAY()</formula>
    </cfRule>
  </conditionalFormatting>
  <conditionalFormatting sqref="P122">
    <cfRule type="cellIs" dxfId="946" priority="72" operator="equal">
      <formula>TODAY()</formula>
    </cfRule>
  </conditionalFormatting>
  <conditionalFormatting sqref="J121:K121">
    <cfRule type="cellIs" dxfId="945" priority="71" operator="equal">
      <formula>TODAY()</formula>
    </cfRule>
  </conditionalFormatting>
  <conditionalFormatting sqref="J122:N123 J124:O125">
    <cfRule type="cellIs" dxfId="944" priority="70" operator="equal">
      <formula>TODAY()</formula>
    </cfRule>
  </conditionalFormatting>
  <conditionalFormatting sqref="O122">
    <cfRule type="cellIs" dxfId="943" priority="69" operator="equal">
      <formula>TODAY()</formula>
    </cfRule>
  </conditionalFormatting>
  <conditionalFormatting sqref="P123:P125">
    <cfRule type="cellIs" dxfId="942" priority="68" operator="equal">
      <formula>TODAY()</formula>
    </cfRule>
  </conditionalFormatting>
  <conditionalFormatting sqref="O123">
    <cfRule type="cellIs" dxfId="941" priority="67" operator="equal">
      <formula>TODAY()</formula>
    </cfRule>
  </conditionalFormatting>
  <conditionalFormatting sqref="J118:K118">
    <cfRule type="cellIs" dxfId="940" priority="66" operator="equal">
      <formula>TODAY()</formula>
    </cfRule>
  </conditionalFormatting>
  <conditionalFormatting sqref="J115:K118">
    <cfRule type="cellIs" dxfId="939" priority="65" operator="equal">
      <formula>TODAY()</formula>
    </cfRule>
  </conditionalFormatting>
  <conditionalFormatting sqref="P111">
    <cfRule type="cellIs" dxfId="938" priority="64" operator="equal">
      <formula>TODAY()</formula>
    </cfRule>
  </conditionalFormatting>
  <conditionalFormatting sqref="K110:O110 J109:K109 M109:O109">
    <cfRule type="cellIs" dxfId="937" priority="63" operator="equal">
      <formula>TODAY()</formula>
    </cfRule>
  </conditionalFormatting>
  <conditionalFormatting sqref="O111">
    <cfRule type="cellIs" dxfId="936" priority="62" operator="equal">
      <formula>TODAY()</formula>
    </cfRule>
  </conditionalFormatting>
  <conditionalFormatting sqref="N111">
    <cfRule type="cellIs" dxfId="935" priority="61" operator="equal">
      <formula>TODAY()</formula>
    </cfRule>
  </conditionalFormatting>
  <conditionalFormatting sqref="P109">
    <cfRule type="cellIs" dxfId="934" priority="60" operator="equal">
      <formula>TODAY()</formula>
    </cfRule>
  </conditionalFormatting>
  <conditionalFormatting sqref="L109">
    <cfRule type="cellIs" dxfId="933" priority="59" operator="equal">
      <formula>TODAY()</formula>
    </cfRule>
  </conditionalFormatting>
  <conditionalFormatting sqref="P110">
    <cfRule type="cellIs" dxfId="932" priority="58" operator="equal">
      <formula>TODAY()</formula>
    </cfRule>
  </conditionalFormatting>
  <conditionalFormatting sqref="J110">
    <cfRule type="cellIs" dxfId="931" priority="57" operator="equal">
      <formula>TODAY()</formula>
    </cfRule>
  </conditionalFormatting>
  <conditionalFormatting sqref="P110">
    <cfRule type="cellIs" dxfId="930" priority="56" operator="equal">
      <formula>TODAY()</formula>
    </cfRule>
  </conditionalFormatting>
  <conditionalFormatting sqref="P110">
    <cfRule type="cellIs" dxfId="929" priority="55" operator="equal">
      <formula>TODAY()</formula>
    </cfRule>
  </conditionalFormatting>
  <conditionalFormatting sqref="J114">
    <cfRule type="cellIs" dxfId="928" priority="54" operator="equal">
      <formula>TODAY()</formula>
    </cfRule>
  </conditionalFormatting>
  <conditionalFormatting sqref="L111:M120">
    <cfRule type="expression" priority="52" stopIfTrue="1">
      <formula>L111=""</formula>
    </cfRule>
    <cfRule type="cellIs" dxfId="927" priority="53" operator="greaterThanOrEqual">
      <formula>0.3125</formula>
    </cfRule>
  </conditionalFormatting>
  <conditionalFormatting sqref="C144:C145">
    <cfRule type="cellIs" dxfId="926" priority="51" operator="equal">
      <formula>"X"</formula>
    </cfRule>
  </conditionalFormatting>
  <conditionalFormatting sqref="F151:G153 B153:C153 B147:C148 B146 C145 C149 F147:H149">
    <cfRule type="cellIs" dxfId="925" priority="50" operator="equal">
      <formula>TODAY()</formula>
    </cfRule>
  </conditionalFormatting>
  <conditionalFormatting sqref="F150:G150 B154:C156 F154:G156">
    <cfRule type="cellIs" dxfId="924" priority="49" operator="equal">
      <formula>TODAY()</formula>
    </cfRule>
  </conditionalFormatting>
  <conditionalFormatting sqref="H157">
    <cfRule type="cellIs" dxfId="923" priority="48" operator="equal">
      <formula>TODAY()</formula>
    </cfRule>
  </conditionalFormatting>
  <conditionalFormatting sqref="B156:C156">
    <cfRule type="cellIs" dxfId="922" priority="47" operator="equal">
      <formula>TODAY()</formula>
    </cfRule>
  </conditionalFormatting>
  <conditionalFormatting sqref="B157:F158 B159:G160">
    <cfRule type="cellIs" dxfId="921" priority="46" operator="equal">
      <formula>TODAY()</formula>
    </cfRule>
  </conditionalFormatting>
  <conditionalFormatting sqref="G157">
    <cfRule type="cellIs" dxfId="920" priority="45" operator="equal">
      <formula>TODAY()</formula>
    </cfRule>
  </conditionalFormatting>
  <conditionalFormatting sqref="H158:H160">
    <cfRule type="cellIs" dxfId="919" priority="44" operator="equal">
      <formula>TODAY()</formula>
    </cfRule>
  </conditionalFormatting>
  <conditionalFormatting sqref="G158">
    <cfRule type="cellIs" dxfId="918" priority="43" operator="equal">
      <formula>TODAY()</formula>
    </cfRule>
  </conditionalFormatting>
  <conditionalFormatting sqref="B153:C153">
    <cfRule type="cellIs" dxfId="917" priority="42" operator="equal">
      <formula>TODAY()</formula>
    </cfRule>
  </conditionalFormatting>
  <conditionalFormatting sqref="B150:C153">
    <cfRule type="cellIs" dxfId="916" priority="41" operator="equal">
      <formula>TODAY()</formula>
    </cfRule>
  </conditionalFormatting>
  <conditionalFormatting sqref="H146">
    <cfRule type="cellIs" dxfId="915" priority="40" operator="equal">
      <formula>TODAY()</formula>
    </cfRule>
  </conditionalFormatting>
  <conditionalFormatting sqref="C145:G145 B144:C144 E144:G144">
    <cfRule type="cellIs" dxfId="914" priority="39" operator="equal">
      <formula>TODAY()</formula>
    </cfRule>
  </conditionalFormatting>
  <conditionalFormatting sqref="G146">
    <cfRule type="cellIs" dxfId="913" priority="38" operator="equal">
      <formula>TODAY()</formula>
    </cfRule>
  </conditionalFormatting>
  <conditionalFormatting sqref="F146">
    <cfRule type="cellIs" dxfId="912" priority="37" operator="equal">
      <formula>TODAY()</formula>
    </cfRule>
  </conditionalFormatting>
  <conditionalFormatting sqref="H144">
    <cfRule type="cellIs" dxfId="911" priority="36" operator="equal">
      <formula>TODAY()</formula>
    </cfRule>
  </conditionalFormatting>
  <conditionalFormatting sqref="D144">
    <cfRule type="cellIs" dxfId="910" priority="35" operator="equal">
      <formula>TODAY()</formula>
    </cfRule>
  </conditionalFormatting>
  <conditionalFormatting sqref="H145">
    <cfRule type="cellIs" dxfId="909" priority="34" operator="equal">
      <formula>TODAY()</formula>
    </cfRule>
  </conditionalFormatting>
  <conditionalFormatting sqref="B145">
    <cfRule type="cellIs" dxfId="908" priority="33" operator="equal">
      <formula>TODAY()</formula>
    </cfRule>
  </conditionalFormatting>
  <conditionalFormatting sqref="H145">
    <cfRule type="cellIs" dxfId="907" priority="32" operator="equal">
      <formula>TODAY()</formula>
    </cfRule>
  </conditionalFormatting>
  <conditionalFormatting sqref="H145">
    <cfRule type="cellIs" dxfId="906" priority="31" operator="equal">
      <formula>TODAY()</formula>
    </cfRule>
  </conditionalFormatting>
  <conditionalFormatting sqref="B149">
    <cfRule type="cellIs" dxfId="905" priority="30" operator="equal">
      <formula>TODAY()</formula>
    </cfRule>
  </conditionalFormatting>
  <conditionalFormatting sqref="D146:E155">
    <cfRule type="expression" priority="28" stopIfTrue="1">
      <formula>D146=""</formula>
    </cfRule>
    <cfRule type="cellIs" dxfId="904" priority="29" operator="greaterThanOrEqual">
      <formula>0.3125</formula>
    </cfRule>
  </conditionalFormatting>
  <conditionalFormatting sqref="K144:K145">
    <cfRule type="cellIs" dxfId="903" priority="27" operator="equal">
      <formula>"X"</formula>
    </cfRule>
  </conditionalFormatting>
  <conditionalFormatting sqref="N151:O153 J153:K153 J147:K148 J146 K145 K149 N147:P149">
    <cfRule type="cellIs" dxfId="902" priority="26" operator="equal">
      <formula>TODAY()</formula>
    </cfRule>
  </conditionalFormatting>
  <conditionalFormatting sqref="N150:O150 J154:K156 N154:O156">
    <cfRule type="cellIs" dxfId="901" priority="25" operator="equal">
      <formula>TODAY()</formula>
    </cfRule>
  </conditionalFormatting>
  <conditionalFormatting sqref="P157">
    <cfRule type="cellIs" dxfId="900" priority="24" operator="equal">
      <formula>TODAY()</formula>
    </cfRule>
  </conditionalFormatting>
  <conditionalFormatting sqref="J156:K156">
    <cfRule type="cellIs" dxfId="899" priority="23" operator="equal">
      <formula>TODAY()</formula>
    </cfRule>
  </conditionalFormatting>
  <conditionalFormatting sqref="J157:N158 J159:O160">
    <cfRule type="cellIs" dxfId="898" priority="22" operator="equal">
      <formula>TODAY()</formula>
    </cfRule>
  </conditionalFormatting>
  <conditionalFormatting sqref="O157">
    <cfRule type="cellIs" dxfId="897" priority="21" operator="equal">
      <formula>TODAY()</formula>
    </cfRule>
  </conditionalFormatting>
  <conditionalFormatting sqref="P158:P160">
    <cfRule type="cellIs" dxfId="896" priority="20" operator="equal">
      <formula>TODAY()</formula>
    </cfRule>
  </conditionalFormatting>
  <conditionalFormatting sqref="O158">
    <cfRule type="cellIs" dxfId="895" priority="19" operator="equal">
      <formula>TODAY()</formula>
    </cfRule>
  </conditionalFormatting>
  <conditionalFormatting sqref="J153:K153">
    <cfRule type="cellIs" dxfId="894" priority="18" operator="equal">
      <formula>TODAY()</formula>
    </cfRule>
  </conditionalFormatting>
  <conditionalFormatting sqref="J150:K153">
    <cfRule type="cellIs" dxfId="893" priority="17" operator="equal">
      <formula>TODAY()</formula>
    </cfRule>
  </conditionalFormatting>
  <conditionalFormatting sqref="P146">
    <cfRule type="cellIs" dxfId="892" priority="16" operator="equal">
      <formula>TODAY()</formula>
    </cfRule>
  </conditionalFormatting>
  <conditionalFormatting sqref="K145:O145 J144:K144 M144:O144">
    <cfRule type="cellIs" dxfId="891" priority="15" operator="equal">
      <formula>TODAY()</formula>
    </cfRule>
  </conditionalFormatting>
  <conditionalFormatting sqref="O146">
    <cfRule type="cellIs" dxfId="890" priority="14" operator="equal">
      <formula>TODAY()</formula>
    </cfRule>
  </conditionalFormatting>
  <conditionalFormatting sqref="N146">
    <cfRule type="cellIs" dxfId="889" priority="13" operator="equal">
      <formula>TODAY()</formula>
    </cfRule>
  </conditionalFormatting>
  <conditionalFormatting sqref="P144">
    <cfRule type="cellIs" dxfId="888" priority="12" operator="equal">
      <formula>TODAY()</formula>
    </cfRule>
  </conditionalFormatting>
  <conditionalFormatting sqref="L144">
    <cfRule type="cellIs" dxfId="887" priority="11" operator="equal">
      <formula>TODAY()</formula>
    </cfRule>
  </conditionalFormatting>
  <conditionalFormatting sqref="P145">
    <cfRule type="cellIs" dxfId="886" priority="10" operator="equal">
      <formula>TODAY()</formula>
    </cfRule>
  </conditionalFormatting>
  <conditionalFormatting sqref="J145">
    <cfRule type="cellIs" dxfId="885" priority="9" operator="equal">
      <formula>TODAY()</formula>
    </cfRule>
  </conditionalFormatting>
  <conditionalFormatting sqref="P145">
    <cfRule type="cellIs" dxfId="884" priority="8" operator="equal">
      <formula>TODAY()</formula>
    </cfRule>
  </conditionalFormatting>
  <conditionalFormatting sqref="P145">
    <cfRule type="cellIs" dxfId="883" priority="7" operator="equal">
      <formula>TODAY()</formula>
    </cfRule>
  </conditionalFormatting>
  <conditionalFormatting sqref="J149">
    <cfRule type="cellIs" dxfId="882" priority="6" operator="equal">
      <formula>TODAY()</formula>
    </cfRule>
  </conditionalFormatting>
  <conditionalFormatting sqref="L146:M155">
    <cfRule type="expression" priority="4" stopIfTrue="1">
      <formula>L146=""</formula>
    </cfRule>
    <cfRule type="cellIs" dxfId="881" priority="5" operator="greaterThanOrEqual">
      <formula>0.3125</formula>
    </cfRule>
  </conditionalFormatting>
  <conditionalFormatting sqref="J23">
    <cfRule type="cellIs" dxfId="880" priority="3" operator="equal">
      <formula>TODAY()</formula>
    </cfRule>
  </conditionalFormatting>
  <conditionalFormatting sqref="J33:P35">
    <cfRule type="cellIs" dxfId="879" priority="2" operator="equal">
      <formula>TODAY()</formula>
    </cfRule>
  </conditionalFormatting>
  <conditionalFormatting sqref="K33:K35">
    <cfRule type="cellIs" dxfId="878" priority="1" operator="equal">
      <formula>"X"</formula>
    </cfRule>
  </conditionalFormatting>
  <dataValidations count="10">
    <dataValidation type="list" allowBlank="1" showInputMessage="1" showErrorMessage="1" sqref="K18:K20 K88:K90 C53:C55 C18:C20 C88:C90 K123:K125 K121 C158:C160 C51 C123:C125 C16 K16 C156 K53:K55 C121 K51 C86 K86 K158:K160 K156" xr:uid="{ACBD4E28-CE6D-467B-A528-2C81FD8E7F49}">
      <formula1>$U$2:$U$3</formula1>
    </dataValidation>
    <dataValidation type="list" allowBlank="1" showInputMessage="1" showErrorMessage="1" sqref="D110 D75 E76 L75 L5 D145 D40 M76 L40 M6 L110 M111 M41 D5 E111 E146 E6 E41 L145 M146" xr:uid="{7A06E2DA-0A05-4E0C-843D-A69312936EFE}">
      <formula1>#REF!</formula1>
    </dataValidation>
    <dataValidation type="list" allowBlank="1" showInputMessage="1" showErrorMessage="1" sqref="H74 H109 P39 P109 H39 H4 H144 P4 P74 P144" xr:uid="{D3C214CB-0E35-4E8E-9016-DBDD2002CD0C}">
      <formula1>$U$3:$U$4</formula1>
    </dataValidation>
    <dataValidation type="list" allowBlank="1" showInputMessage="1" showErrorMessage="1" sqref="C42:C50 C147:C155 C112:C120 C7:C15 C77:C85 K77:K85 K42:K50 K112:K120 K7:K15 K147:K155" xr:uid="{93204973-683A-4EA5-A2EF-3DBED34CF669}">
      <formula1>$U$1:$U$2</formula1>
    </dataValidation>
    <dataValidation type="list" allowBlank="1" showInputMessage="1" showErrorMessage="1" sqref="H145 H40 P5 H5 H110 P75 H75 P110 P40 P145" xr:uid="{39BD9D37-0937-4022-BFCD-9ECA91D6CB29}">
      <formula1>$U$6:$U$9</formula1>
    </dataValidation>
    <dataValidation type="list" allowBlank="1" showInputMessage="1" showErrorMessage="1" sqref="L41 D41 D111 L111 D6 D76 D146 L6 L76 L146" xr:uid="{F6884149-A4F2-42AB-AAA7-ADB95DA54F53}">
      <formula1>$S$12:$S$69</formula1>
    </dataValidation>
    <dataValidation type="list" allowBlank="1" showInputMessage="1" showErrorMessage="1" sqref="K5 C40 C145 B41:B51 C110 C5 K75 K110 K40 C75 B76:B86 J41:J51 J6:J16 B111:B121 B6:B16 J111:J121 J76:J86 B146:B156 K145 J146:J156" xr:uid="{A75883E5-AEBD-42BF-98FD-A7C9E6AAFB05}">
      <formula1>$R$2:$R$48</formula1>
    </dataValidation>
    <dataValidation type="list" allowBlank="1" showInputMessage="1" showErrorMessage="1" sqref="M39:M40 M109:M110 E4:E5 M4:M5 E74:E75 E39:E40 E144:E145 M74:M75 E109:E110 M144:M145" xr:uid="{B882D5A5-F52C-426D-BEBF-F8EC021DB9E1}">
      <formula1>$S$9:$S$47</formula1>
    </dataValidation>
    <dataValidation type="list" allowBlank="1" showInputMessage="1" showErrorMessage="1" sqref="L109 L74 D39 L39 D109 D74 L4 D144 D4 L144" xr:uid="{E97670B8-7F4D-4FD7-A8E2-BCFA58E4DB36}">
      <formula1>$S$71:$S$99</formula1>
    </dataValidation>
    <dataValidation type="list" allowBlank="1" showInputMessage="1" showErrorMessage="1" sqref="D164 M83:M94 D7:D15 M13:M24 E153:E164 M48:M59 D122:D127 E118:E129 D157:D162 E83:E94 L87:L92 E48:E59 L122:L127 L133:M137 D17:D22 D87:D92 L52:L57 L77:L85 L164 L17:L22 L129 D28:E32 D52:D57 D147:D155 L157:L162 D98:E102 L168:M172 D112:D120 L7:L15 D42:D50 L112:L120 D133:E137 D94 L28:M32 D63:E67 L63:M67 D168:E172 D24 E147:E151 D59 M118:M129 D129 L98:M102 L24 L94 L59 E42:E46 M112:M116 M7:M11 E7:E11 E112:E116 E13:E24 M77:M81 L42:L50 D77:D85 M42:M46 E77:E81 M153:M164 L147:L155 M147:M151" xr:uid="{E88ED00C-C0B2-4D92-AE2E-FF5496F27154}">
      <formula1>$S$12:$S$173</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8FAF4-B509-45CB-B825-AF4C8282311B}">
  <sheetPr codeName="Sheet4"/>
  <dimension ref="A1:AM318"/>
  <sheetViews>
    <sheetView showGridLines="0" zoomScale="73" zoomScaleNormal="73" workbookViewId="0">
      <pane xSplit="1" ySplit="2" topLeftCell="T3" activePane="bottomRight" state="frozen"/>
      <selection activeCell="D21" sqref="D21"/>
      <selection pane="topRight" activeCell="D21" sqref="D21"/>
      <selection pane="bottomLeft" activeCell="D21" sqref="D21"/>
      <selection pane="bottomRight" activeCell="AF2" sqref="AF2"/>
    </sheetView>
  </sheetViews>
  <sheetFormatPr defaultRowHeight="15.5" outlineLevelRow="1" x14ac:dyDescent="0.35"/>
  <cols>
    <col min="1" max="1" width="2.75" customWidth="1"/>
    <col min="2" max="2" width="8.5" customWidth="1"/>
    <col min="3" max="3" width="7.9140625" customWidth="1"/>
    <col min="4" max="4" width="15" style="261" customWidth="1"/>
    <col min="5" max="5" width="10.25" customWidth="1"/>
    <col min="6" max="6" width="9" customWidth="1"/>
    <col min="8" max="8" width="12.6640625" customWidth="1"/>
    <col min="9" max="9" width="12.83203125" customWidth="1"/>
    <col min="10" max="10" width="13.58203125" customWidth="1"/>
    <col min="11" max="11" width="17" customWidth="1"/>
    <col min="12" max="13" width="12.33203125" customWidth="1"/>
    <col min="14" max="14" width="14.33203125" customWidth="1"/>
    <col min="15" max="15" width="9.08203125" customWidth="1"/>
    <col min="16" max="16" width="10" customWidth="1"/>
    <col min="18" max="18" width="12.4140625" customWidth="1"/>
    <col min="20" max="20" width="9.83203125" customWidth="1"/>
    <col min="21" max="21" width="9.83203125" style="92" customWidth="1"/>
    <col min="22" max="22" width="8" customWidth="1"/>
    <col min="26" max="26" width="10.33203125" customWidth="1"/>
    <col min="27" max="27" width="12.1640625" customWidth="1"/>
    <col min="30" max="30" width="8.83203125" style="2777"/>
    <col min="31" max="31" width="12.4140625" bestFit="1" customWidth="1"/>
    <col min="32" max="32" width="12.83203125" bestFit="1" customWidth="1"/>
    <col min="33" max="33" width="10.5" bestFit="1" customWidth="1"/>
    <col min="34" max="34" width="7.25" bestFit="1" customWidth="1"/>
    <col min="35" max="35" width="4.83203125" bestFit="1" customWidth="1"/>
    <col min="36" max="36" width="11" bestFit="1" customWidth="1"/>
    <col min="37" max="37" width="10.33203125" bestFit="1" customWidth="1"/>
    <col min="38" max="38" width="7" bestFit="1" customWidth="1"/>
    <col min="39" max="39" width="6.75" bestFit="1" customWidth="1"/>
    <col min="40" max="40" width="4.83203125" bestFit="1" customWidth="1"/>
    <col min="41" max="41" width="12.4140625" bestFit="1" customWidth="1"/>
    <col min="42" max="42" width="14.08203125" bestFit="1" customWidth="1"/>
    <col min="43" max="43" width="21" bestFit="1" customWidth="1"/>
    <col min="44" max="44" width="25.5" bestFit="1" customWidth="1"/>
    <col min="45" max="45" width="20.5" bestFit="1" customWidth="1"/>
    <col min="46" max="46" width="22.58203125" bestFit="1" customWidth="1"/>
    <col min="47" max="47" width="17.25" bestFit="1" customWidth="1"/>
    <col min="48" max="48" width="18.08203125" bestFit="1" customWidth="1"/>
    <col min="49" max="49" width="14.58203125" bestFit="1" customWidth="1"/>
    <col min="50" max="50" width="20.58203125" bestFit="1" customWidth="1"/>
    <col min="51" max="51" width="15" bestFit="1" customWidth="1"/>
    <col min="52" max="52" width="5.75" customWidth="1"/>
    <col min="56" max="56" width="5.75" bestFit="1" customWidth="1"/>
    <col min="57" max="57" width="6.75" bestFit="1" customWidth="1"/>
    <col min="58" max="58" width="6" customWidth="1"/>
    <col min="62" max="62" width="5.75" bestFit="1" customWidth="1"/>
    <col min="63" max="63" width="6.75" bestFit="1" customWidth="1"/>
    <col min="64" max="64" width="6" customWidth="1"/>
  </cols>
  <sheetData>
    <row r="1" spans="2:39" ht="16" thickBot="1" x14ac:dyDescent="0.4">
      <c r="B1" s="2879">
        <f ca="1">TODAY()</f>
        <v>45172</v>
      </c>
      <c r="C1" s="2365">
        <f ca="1">VLOOKUP(B1,D10:V44,9,0)</f>
        <v>0.15624999999999997</v>
      </c>
      <c r="D1" s="2788"/>
      <c r="F1" s="1663"/>
      <c r="G1" s="1663"/>
      <c r="H1" s="1663">
        <v>3</v>
      </c>
      <c r="I1" s="1663">
        <v>2</v>
      </c>
      <c r="J1">
        <v>4</v>
      </c>
      <c r="K1" s="1663">
        <v>3</v>
      </c>
      <c r="L1">
        <v>3</v>
      </c>
      <c r="M1">
        <v>3</v>
      </c>
      <c r="N1">
        <v>3</v>
      </c>
      <c r="O1" s="1663">
        <v>3</v>
      </c>
      <c r="P1">
        <v>3</v>
      </c>
      <c r="Q1" s="1663">
        <v>3</v>
      </c>
      <c r="R1">
        <v>3</v>
      </c>
      <c r="S1">
        <v>3</v>
      </c>
      <c r="T1" s="2148">
        <v>3</v>
      </c>
      <c r="U1" s="2793">
        <v>6</v>
      </c>
      <c r="V1" s="1663">
        <v>7</v>
      </c>
      <c r="W1" s="2978" t="s">
        <v>807</v>
      </c>
      <c r="X1" s="2978"/>
      <c r="Y1" s="2978"/>
      <c r="Z1" s="2978"/>
      <c r="AA1" s="2978"/>
      <c r="AB1" s="2978"/>
      <c r="AC1" s="92"/>
      <c r="AD1" s="2777" t="s">
        <v>830</v>
      </c>
      <c r="AF1">
        <v>50</v>
      </c>
    </row>
    <row r="2" spans="2:39" ht="54.75" customHeight="1" thickBot="1" x14ac:dyDescent="0.4">
      <c r="B2" s="92" t="s">
        <v>831</v>
      </c>
      <c r="C2" s="92" t="s">
        <v>822</v>
      </c>
      <c r="D2" s="2880" t="s">
        <v>13</v>
      </c>
      <c r="E2" s="92" t="s">
        <v>767</v>
      </c>
      <c r="F2" s="92" t="s">
        <v>741</v>
      </c>
      <c r="G2" s="92" t="s">
        <v>22</v>
      </c>
      <c r="H2" s="92" t="s">
        <v>76</v>
      </c>
      <c r="I2" t="s">
        <v>75</v>
      </c>
      <c r="J2" t="s">
        <v>816</v>
      </c>
      <c r="K2" s="2881" t="s">
        <v>77</v>
      </c>
      <c r="L2" t="s">
        <v>78</v>
      </c>
      <c r="M2" t="s">
        <v>880</v>
      </c>
      <c r="N2" t="s">
        <v>753</v>
      </c>
      <c r="O2" s="2837" t="s">
        <v>81</v>
      </c>
      <c r="P2" s="2837" t="s">
        <v>83</v>
      </c>
      <c r="Q2" s="2837" t="s">
        <v>80</v>
      </c>
      <c r="R2" t="s">
        <v>79</v>
      </c>
      <c r="S2" t="s">
        <v>82</v>
      </c>
      <c r="T2" s="2830" t="s">
        <v>84</v>
      </c>
      <c r="U2" s="2831" t="s">
        <v>758</v>
      </c>
      <c r="V2" s="2831" t="s">
        <v>85</v>
      </c>
      <c r="W2" s="2807" t="s">
        <v>808</v>
      </c>
      <c r="X2" s="2808" t="s">
        <v>809</v>
      </c>
      <c r="Y2" s="2808" t="s">
        <v>810</v>
      </c>
      <c r="Z2" s="2808" t="s">
        <v>811</v>
      </c>
      <c r="AA2" s="2808" t="s">
        <v>812</v>
      </c>
      <c r="AB2" s="2808" t="s">
        <v>813</v>
      </c>
      <c r="AC2" s="2808" t="s">
        <v>805</v>
      </c>
      <c r="AD2" s="2809" t="s">
        <v>765</v>
      </c>
      <c r="AE2" s="117">
        <f>SUM(AD3:AD9)/7</f>
        <v>0.77714285714285702</v>
      </c>
      <c r="AF2" s="2888">
        <f>SUM(AD10:AD16)/7</f>
        <v>0.79142857142857148</v>
      </c>
      <c r="AG2" s="2824" t="s">
        <v>754</v>
      </c>
      <c r="AH2" s="2825" t="s">
        <v>805</v>
      </c>
      <c r="AI2" s="2824" t="s">
        <v>757</v>
      </c>
      <c r="AJ2" s="2825" t="s">
        <v>806</v>
      </c>
      <c r="AK2" s="2824" t="s">
        <v>757</v>
      </c>
      <c r="AL2" s="2825" t="s">
        <v>493</v>
      </c>
      <c r="AM2" s="2824" t="s">
        <v>757</v>
      </c>
    </row>
    <row r="3" spans="2:39" x14ac:dyDescent="0.35">
      <c r="B3" s="105">
        <f t="shared" ref="B3:B9" ca="1" si="0">WEEKNUM(D3)</f>
        <v>36</v>
      </c>
      <c r="C3" s="64" t="s">
        <v>890</v>
      </c>
      <c r="D3" s="2819">
        <f ca="1">TODAY()-365</f>
        <v>44807</v>
      </c>
      <c r="E3" s="2789">
        <f ca="1">DAY(Table1[[#This Row],[Date]])</f>
        <v>3</v>
      </c>
      <c r="F3" s="64" t="s">
        <v>72</v>
      </c>
      <c r="G3" s="64" t="str">
        <f t="shared" ref="G3:G9" ca="1" si="1">TEXT(D3,"YYYY")</f>
        <v>2022</v>
      </c>
      <c r="H3" s="2790">
        <v>0.83333333333333248</v>
      </c>
      <c r="I3" s="2791">
        <v>0.31250000000000089</v>
      </c>
      <c r="J3" s="2791">
        <v>0.30208333333333331</v>
      </c>
      <c r="K3" s="2791">
        <v>0.14583333333333331</v>
      </c>
      <c r="L3" s="2791">
        <v>0.15624999999999997</v>
      </c>
      <c r="M3" s="2791">
        <v>0.29166666666666663</v>
      </c>
      <c r="N3" s="2791">
        <v>0.1979166666666666</v>
      </c>
      <c r="O3" s="2791">
        <v>0.22916666666666657</v>
      </c>
      <c r="P3" s="2791">
        <v>0.24999999999999992</v>
      </c>
      <c r="Q3" s="2791">
        <v>0.27083333333333326</v>
      </c>
      <c r="R3" s="2791">
        <v>0.16666666666666663</v>
      </c>
      <c r="S3" s="2791">
        <v>0.32291666666666663</v>
      </c>
      <c r="T3" s="2791">
        <v>0.31249999999999994</v>
      </c>
      <c r="U3" s="2796">
        <v>2.0833333333333315E-2</v>
      </c>
      <c r="V3" s="2791">
        <v>0.35416666666666663</v>
      </c>
      <c r="W3" s="2882">
        <f t="shared" ref="W3:W16" si="2">IF($I3="","",IF($I3&gt;=$AH$3,$AI$3,IF($I3&gt;=$AJ$3,$AK$3,IF($I3&gt;=$AL$3,$AM$3,0))))</f>
        <v>10</v>
      </c>
      <c r="X3" s="2883">
        <f t="shared" ref="X3:X12" si="3">IF($O3="","",IF($O3&lt;=$AH$4,$AI$4,IF($O3&lt;=$AJ$4,$AK$4,IF($O3&lt;=$AL$4,$AM$4,0))))</f>
        <v>6</v>
      </c>
      <c r="Y3" s="2883">
        <f t="shared" ref="Y3:Y16" si="4">IF($Q3="","",IF($Q3&lt;=$AH$6,$AI$6,IF($Q3&lt;=$AJ$6,$AK$6,IF($Q3&lt;=$AL$6,$AM$6,0))))</f>
        <v>6</v>
      </c>
      <c r="Z3" s="2883">
        <f t="shared" ref="Z3:Z16" si="5">IF($U3="","",IF($U3&lt;=$AH$7,$AI$7,IF($U3&lt;=$AJ$7,$AK$7,IF($U3&lt;=$AL$7,$AM$7,""))))</f>
        <v>10</v>
      </c>
      <c r="AA3" s="2883">
        <f t="shared" ref="AA3:AA16" si="6">IF($V3="","",IF($V3&lt;=$AH$8,$AI$8,IF($V3&lt;=$AJ$8,$AK$8,IF($V3&lt;=$AL$8,$AM$8,0))))</f>
        <v>6</v>
      </c>
      <c r="AB3" s="2883">
        <f t="shared" ref="AB3" si="7">SUM(W3:AA3)</f>
        <v>38</v>
      </c>
      <c r="AC3" s="2883">
        <v>50</v>
      </c>
      <c r="AD3" s="2832">
        <f>Table1[[#This Row],[TotalM]]/Table1[[#This Row],[Max]]</f>
        <v>0.76</v>
      </c>
      <c r="AE3" t="str">
        <f t="shared" ref="AE3:AE7" si="8">IF(AD3="","",IF(AD3&lt;=50%, "D",IF(AD3&lt;=70%,"C",IF(AD3&lt;=85%,"B",IF(AD3&lt;=100%,"A", "")))))</f>
        <v>B</v>
      </c>
      <c r="AF3" s="2801" t="s">
        <v>8</v>
      </c>
      <c r="AG3" s="2462">
        <v>0.25</v>
      </c>
      <c r="AH3" s="2456">
        <v>0.25</v>
      </c>
      <c r="AI3" s="2461">
        <v>10</v>
      </c>
      <c r="AJ3" s="2456">
        <v>0.22916666666666666</v>
      </c>
      <c r="AK3" s="2461">
        <v>8</v>
      </c>
      <c r="AL3" s="2456">
        <v>0.20833333333333334</v>
      </c>
      <c r="AM3" s="2461">
        <v>6</v>
      </c>
    </row>
    <row r="4" spans="2:39" outlineLevel="1" x14ac:dyDescent="0.35">
      <c r="B4" s="105">
        <f t="shared" ca="1" si="0"/>
        <v>37</v>
      </c>
      <c r="C4" t="str">
        <f t="shared" ref="C4:C9" ca="1" si="9">TEXT(D4,"DDD")</f>
        <v>Sun</v>
      </c>
      <c r="D4" s="1862">
        <f ca="1">D3+1</f>
        <v>44808</v>
      </c>
      <c r="E4" s="2784">
        <f ca="1">DAY(Table1[[#This Row],[Date]])</f>
        <v>4</v>
      </c>
      <c r="F4" t="str">
        <f ca="1">TEXT(Table1[[#This Row],[Date]],"MMMM")</f>
        <v>September</v>
      </c>
      <c r="G4" t="str">
        <f t="shared" ca="1" si="1"/>
        <v>2022</v>
      </c>
      <c r="H4" s="2783">
        <v>0.85416666666666574</v>
      </c>
      <c r="I4" s="2365">
        <v>0.27083333333333426</v>
      </c>
      <c r="J4" s="2365">
        <v>0.30208333333333331</v>
      </c>
      <c r="K4" s="2365">
        <v>0.125</v>
      </c>
      <c r="L4" s="2365">
        <v>0.13541666666666666</v>
      </c>
      <c r="M4" s="2365">
        <v>0.19791666666666663</v>
      </c>
      <c r="N4" s="2365">
        <v>0.15624999999999997</v>
      </c>
      <c r="O4" s="2365">
        <v>0.1979166666666666</v>
      </c>
      <c r="P4" s="2365">
        <v>0.21874999999999994</v>
      </c>
      <c r="Q4" s="2365">
        <v>0.23958333333333329</v>
      </c>
      <c r="R4" s="2365">
        <v>0.14583333333333331</v>
      </c>
      <c r="S4" s="2365">
        <v>0.29166666666666663</v>
      </c>
      <c r="T4" s="2365">
        <v>0.28124999999999994</v>
      </c>
      <c r="U4" s="2794">
        <v>0</v>
      </c>
      <c r="V4" s="2365">
        <v>0.32291666666666663</v>
      </c>
      <c r="W4" s="2812">
        <f t="shared" si="2"/>
        <v>10</v>
      </c>
      <c r="X4" s="2811">
        <f t="shared" si="3"/>
        <v>10</v>
      </c>
      <c r="Y4" s="2811">
        <f t="shared" si="4"/>
        <v>10</v>
      </c>
      <c r="Z4" s="2811">
        <f t="shared" si="5"/>
        <v>10</v>
      </c>
      <c r="AA4" s="2811">
        <f t="shared" si="6"/>
        <v>10</v>
      </c>
      <c r="AB4" s="2811">
        <f t="shared" ref="AB4:AB9" si="10">SUM(W4:AA4)</f>
        <v>50</v>
      </c>
      <c r="AC4" s="2811">
        <v>50</v>
      </c>
      <c r="AD4" s="2813">
        <f>Table1[[#This Row],[TotalM]]/Table1[[#This Row],[Max]]</f>
        <v>1</v>
      </c>
      <c r="AE4" t="str">
        <f t="shared" si="8"/>
        <v>A</v>
      </c>
      <c r="AF4" s="2802" t="s">
        <v>752</v>
      </c>
      <c r="AG4" s="2363">
        <v>0.17708333333333334</v>
      </c>
      <c r="AH4" s="2458">
        <v>0.19791666666666666</v>
      </c>
      <c r="AI4" s="2457">
        <v>10</v>
      </c>
      <c r="AJ4" s="2458">
        <v>0.20833333333333334</v>
      </c>
      <c r="AK4" s="2457">
        <v>8</v>
      </c>
      <c r="AL4" s="2458">
        <v>0.70833333333333337</v>
      </c>
      <c r="AM4" s="2457">
        <v>6</v>
      </c>
    </row>
    <row r="5" spans="2:39" outlineLevel="1" x14ac:dyDescent="0.35">
      <c r="B5" s="105">
        <f t="shared" ca="1" si="0"/>
        <v>37</v>
      </c>
      <c r="C5" t="str">
        <f t="shared" ca="1" si="9"/>
        <v>Mon</v>
      </c>
      <c r="D5" s="1862">
        <f t="shared" ref="D5:D16" ca="1" si="11">D4+1</f>
        <v>44809</v>
      </c>
      <c r="E5" s="2784">
        <f ca="1">DAY(Table1[[#This Row],[Date]])</f>
        <v>5</v>
      </c>
      <c r="F5" t="str">
        <f ca="1">TEXT(Table1[[#This Row],[Date]],"MMMM")</f>
        <v>September</v>
      </c>
      <c r="G5" t="str">
        <f t="shared" ca="1" si="1"/>
        <v>2022</v>
      </c>
      <c r="H5" s="2783">
        <v>0.89583333333333226</v>
      </c>
      <c r="I5" s="2365">
        <v>0.22916666666666774</v>
      </c>
      <c r="J5" s="2365">
        <v>0.30208333333333331</v>
      </c>
      <c r="K5" s="2365">
        <v>0.125</v>
      </c>
      <c r="L5" s="2365">
        <v>0.15624999999999997</v>
      </c>
      <c r="M5" s="2365">
        <v>0.20833333333333326</v>
      </c>
      <c r="N5" s="2365">
        <v>0.21874999999999992</v>
      </c>
      <c r="O5" s="2365">
        <v>0.24999999999999992</v>
      </c>
      <c r="P5" s="2365">
        <v>0.29166666666666663</v>
      </c>
      <c r="Q5" s="2365">
        <v>0.31249999999999994</v>
      </c>
      <c r="R5" s="2365">
        <v>0.16666666666666663</v>
      </c>
      <c r="S5" s="2365">
        <v>0.35416666666666663</v>
      </c>
      <c r="T5" s="2365">
        <v>0.34374999999999994</v>
      </c>
      <c r="U5" s="2794">
        <v>6.25E-2</v>
      </c>
      <c r="V5" s="2365">
        <v>0.36458333333333331</v>
      </c>
      <c r="W5" s="2814">
        <f t="shared" si="2"/>
        <v>8</v>
      </c>
      <c r="X5" s="2810">
        <f t="shared" si="3"/>
        <v>6</v>
      </c>
      <c r="Y5" s="2810">
        <f t="shared" si="4"/>
        <v>6</v>
      </c>
      <c r="Z5" s="2810">
        <f t="shared" si="5"/>
        <v>7</v>
      </c>
      <c r="AA5" s="2810">
        <f t="shared" si="6"/>
        <v>6</v>
      </c>
      <c r="AB5" s="2810">
        <f t="shared" si="10"/>
        <v>33</v>
      </c>
      <c r="AC5" s="2810">
        <v>50</v>
      </c>
      <c r="AD5" s="2815">
        <f>Table1[[#This Row],[TotalM]]/Table1[[#This Row],[Max]]</f>
        <v>0.66</v>
      </c>
      <c r="AE5" t="str">
        <f t="shared" si="8"/>
        <v>C</v>
      </c>
      <c r="AF5" s="2803" t="s">
        <v>755</v>
      </c>
      <c r="AG5" s="2462">
        <v>0.19791666666666671</v>
      </c>
      <c r="AH5" s="2456">
        <v>0.19791666666666671</v>
      </c>
      <c r="AI5" s="2461">
        <v>10</v>
      </c>
      <c r="AJ5" s="2456">
        <v>0.21875</v>
      </c>
      <c r="AK5" s="2461">
        <v>8</v>
      </c>
      <c r="AL5" s="2456">
        <v>0.22916666666666666</v>
      </c>
      <c r="AM5" s="2461">
        <v>6</v>
      </c>
    </row>
    <row r="6" spans="2:39" outlineLevel="1" x14ac:dyDescent="0.35">
      <c r="B6" s="105">
        <f t="shared" ca="1" si="0"/>
        <v>37</v>
      </c>
      <c r="C6" t="str">
        <f t="shared" ca="1" si="9"/>
        <v>Tue</v>
      </c>
      <c r="D6" s="1862">
        <f t="shared" ca="1" si="11"/>
        <v>44810</v>
      </c>
      <c r="E6" s="2784">
        <f ca="1">DAY(Table1[[#This Row],[Date]])</f>
        <v>6</v>
      </c>
      <c r="F6" t="str">
        <f ca="1">TEXT(Table1[[#This Row],[Date]],"MMMM")</f>
        <v>September</v>
      </c>
      <c r="G6" t="str">
        <f t="shared" ca="1" si="1"/>
        <v>2022</v>
      </c>
      <c r="H6" s="2783">
        <v>0.88541666666666563</v>
      </c>
      <c r="I6" s="2365">
        <v>0.23958333333333437</v>
      </c>
      <c r="J6" s="2365">
        <v>0.30208333333333331</v>
      </c>
      <c r="K6" s="2365">
        <v>0.125</v>
      </c>
      <c r="L6" s="2365">
        <v>0.13541666666666666</v>
      </c>
      <c r="M6" s="2365">
        <v>0.22916666666666657</v>
      </c>
      <c r="N6" s="2365">
        <v>0.17708333333333329</v>
      </c>
      <c r="O6" s="2365">
        <v>0.22916666666666657</v>
      </c>
      <c r="P6" s="2365">
        <v>0.24999999999999992</v>
      </c>
      <c r="Q6" s="2365">
        <v>0.27083333333333326</v>
      </c>
      <c r="R6" s="2365">
        <v>0.14583333333333331</v>
      </c>
      <c r="S6" s="2365">
        <v>0.32291666666666663</v>
      </c>
      <c r="T6" s="2365">
        <v>0.31249999999999994</v>
      </c>
      <c r="U6" s="2794">
        <v>0</v>
      </c>
      <c r="V6" s="2365">
        <v>0.33333333333333331</v>
      </c>
      <c r="W6" s="2812">
        <f t="shared" si="2"/>
        <v>8</v>
      </c>
      <c r="X6" s="2811">
        <f>IF($W6="","",IF($O6&lt;=$AH$4,$AI$4,IF($O6&lt;=$AJ$4,$AK$4,IF($O6&lt;=$AL$4,$AM$4,0))))</f>
        <v>6</v>
      </c>
      <c r="Y6" s="2811">
        <f t="shared" si="4"/>
        <v>6</v>
      </c>
      <c r="Z6" s="2811">
        <f t="shared" si="5"/>
        <v>10</v>
      </c>
      <c r="AA6" s="2811">
        <f t="shared" si="6"/>
        <v>8</v>
      </c>
      <c r="AB6" s="2811">
        <f t="shared" si="10"/>
        <v>38</v>
      </c>
      <c r="AC6" s="2811">
        <v>50</v>
      </c>
      <c r="AD6" s="2813">
        <f>Table1[[#This Row],[TotalM]]/Table1[[#This Row],[Max]]</f>
        <v>0.76</v>
      </c>
      <c r="AE6" t="str">
        <f t="shared" si="8"/>
        <v>B</v>
      </c>
      <c r="AF6" s="2804" t="s">
        <v>80</v>
      </c>
      <c r="AG6" s="2363">
        <v>0.21875000000000006</v>
      </c>
      <c r="AH6" s="2458">
        <v>0.23958333333333334</v>
      </c>
      <c r="AI6" s="2457">
        <v>10</v>
      </c>
      <c r="AJ6" s="2458">
        <v>0.25</v>
      </c>
      <c r="AK6" s="2457">
        <v>8</v>
      </c>
      <c r="AL6" s="2458">
        <v>0.72916666666666663</v>
      </c>
      <c r="AM6" s="2457">
        <v>6</v>
      </c>
    </row>
    <row r="7" spans="2:39" outlineLevel="1" x14ac:dyDescent="0.35">
      <c r="B7" s="105">
        <f t="shared" ca="1" si="0"/>
        <v>37</v>
      </c>
      <c r="C7" t="str">
        <f t="shared" ca="1" si="9"/>
        <v>Wed</v>
      </c>
      <c r="D7" s="1862">
        <f t="shared" ca="1" si="11"/>
        <v>44811</v>
      </c>
      <c r="E7" s="2784">
        <f ca="1">DAY(Table1[[#This Row],[Date]])</f>
        <v>7</v>
      </c>
      <c r="F7" t="str">
        <f ca="1">TEXT(Table1[[#This Row],[Date]],"MMMM")</f>
        <v>September</v>
      </c>
      <c r="G7" t="str">
        <f t="shared" ca="1" si="1"/>
        <v>2022</v>
      </c>
      <c r="H7" s="2783">
        <v>0.874999999999999</v>
      </c>
      <c r="I7" s="2365">
        <v>0.250000000000001</v>
      </c>
      <c r="J7" s="2365">
        <v>0.30208333333333331</v>
      </c>
      <c r="K7" s="2365">
        <v>0.125</v>
      </c>
      <c r="L7" s="2365">
        <v>0.13541666666666666</v>
      </c>
      <c r="M7" s="2365">
        <v>0.18749999999999994</v>
      </c>
      <c r="N7" s="2365">
        <v>0.15624999999999997</v>
      </c>
      <c r="O7" s="2365">
        <v>0.24999999999999992</v>
      </c>
      <c r="P7" s="2365">
        <v>0.29166666666666663</v>
      </c>
      <c r="Q7" s="2365">
        <v>0.31249999999999994</v>
      </c>
      <c r="R7" s="2365">
        <v>0.16666666666666663</v>
      </c>
      <c r="S7" s="2365">
        <v>0.35416666666666663</v>
      </c>
      <c r="T7" s="2365">
        <v>0.34374999999999994</v>
      </c>
      <c r="U7" s="2794">
        <v>6.25E-2</v>
      </c>
      <c r="V7" s="2365">
        <v>0.36458333333333331</v>
      </c>
      <c r="W7" s="2814">
        <f t="shared" si="2"/>
        <v>10</v>
      </c>
      <c r="X7" s="2810">
        <f>IF($O7="","",IF($O7&lt;=$AH$4,$AI$4,IF($O7&lt;=$AJ$4,$AK$4,IF($O7&lt;=$AL$4,$AM$4,0))))</f>
        <v>6</v>
      </c>
      <c r="Y7" s="2810">
        <f t="shared" si="4"/>
        <v>6</v>
      </c>
      <c r="Z7" s="2810">
        <f t="shared" si="5"/>
        <v>7</v>
      </c>
      <c r="AA7" s="2810">
        <f t="shared" si="6"/>
        <v>6</v>
      </c>
      <c r="AB7" s="2810">
        <f t="shared" si="10"/>
        <v>35</v>
      </c>
      <c r="AC7" s="2810">
        <v>50</v>
      </c>
      <c r="AD7" s="2815">
        <f>Table1[[#This Row],[TotalM]]/Table1[[#This Row],[Max]]</f>
        <v>0.7</v>
      </c>
      <c r="AE7" t="str">
        <f t="shared" si="8"/>
        <v>C</v>
      </c>
      <c r="AF7" s="2805" t="s">
        <v>756</v>
      </c>
      <c r="AG7" s="2798">
        <v>0</v>
      </c>
      <c r="AH7" s="2799">
        <f>TIME(0,45,0)</f>
        <v>3.125E-2</v>
      </c>
      <c r="AI7" s="2461">
        <v>10</v>
      </c>
      <c r="AJ7" s="2799">
        <f>TIME(2,30,0)</f>
        <v>0.10416666666666667</v>
      </c>
      <c r="AK7" s="2461">
        <v>7</v>
      </c>
      <c r="AL7" s="2816">
        <f>TIME(3,30,0)</f>
        <v>0.14583333333333334</v>
      </c>
      <c r="AM7" s="2461">
        <v>1</v>
      </c>
    </row>
    <row r="8" spans="2:39" ht="16" outlineLevel="1" thickBot="1" x14ac:dyDescent="0.4">
      <c r="B8" s="105">
        <f t="shared" ca="1" si="0"/>
        <v>37</v>
      </c>
      <c r="C8" t="str">
        <f t="shared" ca="1" si="9"/>
        <v>Thu</v>
      </c>
      <c r="D8" s="1862">
        <f t="shared" ca="1" si="11"/>
        <v>44812</v>
      </c>
      <c r="E8" s="2784">
        <f ca="1">DAY(Table1[[#This Row],[Date]])</f>
        <v>8</v>
      </c>
      <c r="F8" t="str">
        <f ca="1">TEXT(Table1[[#This Row],[Date]],"MMMM")</f>
        <v>September</v>
      </c>
      <c r="G8" t="str">
        <f t="shared" ca="1" si="1"/>
        <v>2022</v>
      </c>
      <c r="H8" s="2783">
        <v>0.84374999999999911</v>
      </c>
      <c r="I8" s="2365">
        <v>0.28125000000000089</v>
      </c>
      <c r="J8" s="2365">
        <v>0.30208333333333331</v>
      </c>
      <c r="K8" s="2365">
        <v>0.125</v>
      </c>
      <c r="L8" s="2365">
        <v>0.13541666666666666</v>
      </c>
      <c r="M8" s="2365">
        <v>0.20833333333333326</v>
      </c>
      <c r="N8" s="2365">
        <v>0.17708333333333329</v>
      </c>
      <c r="O8" s="2365">
        <v>0.21874999999999992</v>
      </c>
      <c r="P8" s="2365">
        <v>0.23958333333333326</v>
      </c>
      <c r="Q8" s="2365">
        <v>0.26041666666666657</v>
      </c>
      <c r="R8" s="2365">
        <v>0.14583333333333331</v>
      </c>
      <c r="S8" s="2365">
        <v>0.32291666666666669</v>
      </c>
      <c r="T8" s="2365">
        <v>0.3125</v>
      </c>
      <c r="U8" s="2794">
        <v>0</v>
      </c>
      <c r="V8" s="2365">
        <v>0.33333333333333337</v>
      </c>
      <c r="W8" s="2812">
        <f t="shared" si="2"/>
        <v>10</v>
      </c>
      <c r="X8" s="2811">
        <f>IF($O8="","",IF($O8&lt;=$AH$4,$AI$4,IF($O8&lt;=$AJ$4,$AK$4,IF($O8&lt;=$AL$4,$AM$4,0))))</f>
        <v>6</v>
      </c>
      <c r="Y8" s="2811">
        <f t="shared" si="4"/>
        <v>6</v>
      </c>
      <c r="Z8" s="2811">
        <f t="shared" si="5"/>
        <v>10</v>
      </c>
      <c r="AA8" s="2811">
        <f t="shared" si="6"/>
        <v>8</v>
      </c>
      <c r="AB8" s="2811">
        <f t="shared" si="10"/>
        <v>40</v>
      </c>
      <c r="AC8" s="2811">
        <v>50</v>
      </c>
      <c r="AD8" s="2813">
        <f>Table1[[#This Row],[TotalM]]/Table1[[#This Row],[Max]]</f>
        <v>0.8</v>
      </c>
      <c r="AE8" t="str">
        <f>IF(AD8="","",IF(AD8&lt;=50%, "D",IF(AD8&lt;=70%,"C",IF(AD8&lt;=85%,"B",IF(AD8&lt;=100%,"A", "")))))</f>
        <v>B</v>
      </c>
      <c r="AF8" s="2806" t="s">
        <v>85</v>
      </c>
      <c r="AG8" s="2463">
        <v>0.3125</v>
      </c>
      <c r="AH8" s="2459">
        <v>0.32291666666666669</v>
      </c>
      <c r="AI8" s="2460">
        <v>10</v>
      </c>
      <c r="AJ8" s="2459">
        <v>0.33333333333333331</v>
      </c>
      <c r="AK8" s="2460">
        <v>8</v>
      </c>
      <c r="AL8" s="2459">
        <v>0.73958333333333337</v>
      </c>
      <c r="AM8" s="2460">
        <v>6</v>
      </c>
    </row>
    <row r="9" spans="2:39" ht="16" outlineLevel="1" thickBot="1" x14ac:dyDescent="0.4">
      <c r="B9" s="102">
        <f t="shared" ca="1" si="0"/>
        <v>37</v>
      </c>
      <c r="C9" s="40" t="str">
        <f t="shared" ca="1" si="9"/>
        <v>Fri</v>
      </c>
      <c r="D9" s="2820">
        <f t="shared" ca="1" si="11"/>
        <v>44813</v>
      </c>
      <c r="E9" s="2785">
        <f ca="1">DAY(Table1[[#This Row],[Date]])</f>
        <v>9</v>
      </c>
      <c r="F9" s="40" t="str">
        <f ca="1">TEXT(Table1[[#This Row],[Date]],"MMMM")</f>
        <v>September</v>
      </c>
      <c r="G9" s="40" t="str">
        <f t="shared" ca="1" si="1"/>
        <v>2022</v>
      </c>
      <c r="H9" s="2786">
        <v>0.89583333333333226</v>
      </c>
      <c r="I9" s="2787">
        <v>0.29166666666666763</v>
      </c>
      <c r="J9" s="2787">
        <v>0.3125</v>
      </c>
      <c r="K9" s="2787">
        <v>0.18749999999999994</v>
      </c>
      <c r="L9" s="2787">
        <v>0.1979166666666666</v>
      </c>
      <c r="M9" s="2787">
        <v>0.34375</v>
      </c>
      <c r="N9" s="2787">
        <v>0.21874999999999992</v>
      </c>
      <c r="O9" s="2787">
        <v>0.24999999999999989</v>
      </c>
      <c r="P9" s="2787">
        <v>0.24999999999999989</v>
      </c>
      <c r="Q9" s="2787">
        <v>0.2708333333333332</v>
      </c>
      <c r="R9" s="2787">
        <v>0.20833333333333326</v>
      </c>
      <c r="S9" s="2787">
        <v>0.32291666666666657</v>
      </c>
      <c r="T9" s="2787">
        <v>0.31249999999999989</v>
      </c>
      <c r="U9" s="2795">
        <v>0</v>
      </c>
      <c r="V9" s="2787">
        <v>0.35416666666666657</v>
      </c>
      <c r="W9" s="2828">
        <f t="shared" si="2"/>
        <v>10</v>
      </c>
      <c r="X9" s="2829">
        <f>IF($O9="","",IF($O9&lt;=$AH$4,$AI$4,IF($O9&lt;=$AJ$4,$AK$4,IF($O9&lt;=$AL$4,$AM$4,0))))</f>
        <v>6</v>
      </c>
      <c r="Y9" s="2829">
        <f t="shared" si="4"/>
        <v>6</v>
      </c>
      <c r="Z9" s="2829">
        <f t="shared" si="5"/>
        <v>10</v>
      </c>
      <c r="AA9" s="2829">
        <f t="shared" si="6"/>
        <v>6</v>
      </c>
      <c r="AB9" s="2829">
        <f t="shared" si="10"/>
        <v>38</v>
      </c>
      <c r="AC9" s="2829">
        <v>50</v>
      </c>
      <c r="AD9" s="2817">
        <f>Table1[[#This Row],[TotalM]]/Table1[[#This Row],[Max]]</f>
        <v>0.76</v>
      </c>
      <c r="AE9" t="str">
        <f t="shared" ref="AE9:AE23" si="12">IF(AD9="","",IF(AD9&lt;=50%, "D",IF(AD9&lt;=70%,"C",IF(AD9&lt;=85%,"B",IF(AD9&lt;=100%,"A", "")))))</f>
        <v>B</v>
      </c>
      <c r="AI9">
        <f>SUM(AI3:AI8)</f>
        <v>60</v>
      </c>
      <c r="AK9">
        <f>SUM(AK3:AK8)</f>
        <v>47</v>
      </c>
      <c r="AM9">
        <f>SUM(AM3:AM8)</f>
        <v>31</v>
      </c>
    </row>
    <row r="10" spans="2:39" outlineLevel="1" x14ac:dyDescent="0.35">
      <c r="B10" s="105">
        <f t="shared" ref="B10:B16" ca="1" si="13">WEEKNUM(D10)</f>
        <v>36</v>
      </c>
      <c r="C10" t="str">
        <f t="shared" ref="C10:C16" ca="1" si="14">TEXT(D10,"DDD")</f>
        <v>Sun</v>
      </c>
      <c r="D10" s="1862">
        <f ca="1">TODAY()</f>
        <v>45172</v>
      </c>
      <c r="E10" s="2784">
        <f ca="1">DAY(Table1[[#This Row],[Date]])</f>
        <v>3</v>
      </c>
      <c r="F10" t="str">
        <f ca="1">TEXT(Table1[[#This Row],[Date]],"MMMM")</f>
        <v>September</v>
      </c>
      <c r="G10" t="str">
        <f t="shared" ref="G10:G16" ca="1" si="15">TEXT(D10,"YYYY")</f>
        <v>2023</v>
      </c>
      <c r="H10" s="2783">
        <v>0.89583333333333226</v>
      </c>
      <c r="I10" s="2365">
        <v>0.25000000000000111</v>
      </c>
      <c r="J10" s="2365">
        <v>0.30208333333333331</v>
      </c>
      <c r="K10" s="2365">
        <v>0.14583333333333331</v>
      </c>
      <c r="L10" s="2365">
        <v>0.15624999999999997</v>
      </c>
      <c r="M10" s="2365">
        <v>0.27083333333333326</v>
      </c>
      <c r="N10" s="2365">
        <v>0.21874999999999992</v>
      </c>
      <c r="O10" s="2365">
        <v>0.29166666666666663</v>
      </c>
      <c r="P10" s="2365">
        <v>0.31249999999999994</v>
      </c>
      <c r="Q10" s="2365"/>
      <c r="R10" s="2365">
        <v>0.16666666666666663</v>
      </c>
      <c r="S10" s="2365"/>
      <c r="T10" s="2365"/>
      <c r="U10" s="2794">
        <v>5.2083333333333398E-2</v>
      </c>
      <c r="V10" s="2365">
        <v>0.37499999999999994</v>
      </c>
      <c r="W10" s="2814">
        <f t="shared" si="2"/>
        <v>10</v>
      </c>
      <c r="X10" s="2810">
        <f t="shared" si="3"/>
        <v>6</v>
      </c>
      <c r="Y10" s="2810" t="str">
        <f t="shared" si="4"/>
        <v/>
      </c>
      <c r="Z10" s="2810">
        <f t="shared" si="5"/>
        <v>7</v>
      </c>
      <c r="AA10" s="2810">
        <f t="shared" si="6"/>
        <v>6</v>
      </c>
      <c r="AB10" s="2810">
        <f t="shared" ref="AB10" si="16">SUM(W10:AA10)</f>
        <v>29</v>
      </c>
      <c r="AC10" s="2810">
        <v>50</v>
      </c>
      <c r="AD10" s="2815">
        <f>Table1[[#This Row],[TotalM]]/Table1[[#This Row],[Max]]</f>
        <v>0.57999999999999996</v>
      </c>
      <c r="AE10" t="str">
        <f t="shared" si="12"/>
        <v>C</v>
      </c>
      <c r="AG10" s="2821" t="s">
        <v>81</v>
      </c>
    </row>
    <row r="11" spans="2:39" outlineLevel="1" x14ac:dyDescent="0.35">
      <c r="B11" s="105">
        <f t="shared" ca="1" si="13"/>
        <v>36</v>
      </c>
      <c r="C11" t="str">
        <f t="shared" ca="1" si="14"/>
        <v>Mon</v>
      </c>
      <c r="D11" s="1862">
        <f ca="1">D10+1</f>
        <v>45173</v>
      </c>
      <c r="E11" s="2784">
        <f ca="1">DAY(Table1[[#This Row],[Date]])</f>
        <v>4</v>
      </c>
      <c r="F11" t="str">
        <f ca="1">TEXT(Table1[[#This Row],[Date]],"MMMM")</f>
        <v>September</v>
      </c>
      <c r="G11" t="str">
        <f t="shared" ca="1" si="15"/>
        <v>2023</v>
      </c>
      <c r="H11" s="2783">
        <v>0.86458333333333237</v>
      </c>
      <c r="I11" s="2365">
        <v>0.26041666666666763</v>
      </c>
      <c r="J11" s="2365">
        <v>0.30208333333333331</v>
      </c>
      <c r="K11" s="2365">
        <v>0.125</v>
      </c>
      <c r="L11" s="2365">
        <v>0.13541666666666666</v>
      </c>
      <c r="M11" s="2365">
        <v>0.1979166666666666</v>
      </c>
      <c r="N11" s="2365">
        <v>0.16666666666666666</v>
      </c>
      <c r="O11" s="2365">
        <v>0.22916666666666657</v>
      </c>
      <c r="P11" s="2365">
        <v>0.24999999999999992</v>
      </c>
      <c r="Q11" s="2365">
        <v>0.32291666666666669</v>
      </c>
      <c r="R11" s="2365">
        <v>0.14583333333333331</v>
      </c>
      <c r="S11" s="2365">
        <v>0.37500000000000006</v>
      </c>
      <c r="T11" s="2365">
        <v>0.36458333333333337</v>
      </c>
      <c r="U11" s="2794">
        <v>8.3333333333333398E-2</v>
      </c>
      <c r="V11" s="2365">
        <v>0.40625000000000006</v>
      </c>
      <c r="W11" s="2812">
        <f t="shared" si="2"/>
        <v>10</v>
      </c>
      <c r="X11" s="2811">
        <f t="shared" si="3"/>
        <v>6</v>
      </c>
      <c r="Y11" s="2811">
        <f t="shared" si="4"/>
        <v>6</v>
      </c>
      <c r="Z11" s="2811">
        <f t="shared" si="5"/>
        <v>7</v>
      </c>
      <c r="AA11" s="2811">
        <f t="shared" si="6"/>
        <v>6</v>
      </c>
      <c r="AB11" s="2811">
        <f t="shared" ref="AB11:AB16" si="17">SUM(W11:AA11)</f>
        <v>35</v>
      </c>
      <c r="AC11" s="2811">
        <v>50</v>
      </c>
      <c r="AD11" s="2813">
        <f>Table1[[#This Row],[TotalM]]/Table1[[#This Row],[Max]]</f>
        <v>0.7</v>
      </c>
      <c r="AE11" t="str">
        <f t="shared" si="12"/>
        <v>C</v>
      </c>
      <c r="AG11" s="2826">
        <v>0.25</v>
      </c>
      <c r="AH11" s="92">
        <f>IF($AG11="","",IF($AG11&lt;=$AH$4,$AI$4,IF($AG11&lt;=$AJ$4,$AK$4,IF($AG11&lt;=$AL$4,$AM$4,0))))</f>
        <v>6</v>
      </c>
      <c r="AI11" s="92">
        <f>IF($O6="","",IF($O6&gt;$AH$4,$AI$4,IF($O6&gt;$AJ$4,$AK$4,IF($O6&gt;$AL$4,$AM$4,0))))</f>
        <v>10</v>
      </c>
    </row>
    <row r="12" spans="2:39" outlineLevel="1" x14ac:dyDescent="0.35">
      <c r="B12" s="105">
        <f t="shared" ca="1" si="13"/>
        <v>36</v>
      </c>
      <c r="C12" t="str">
        <f t="shared" ca="1" si="14"/>
        <v>Tue</v>
      </c>
      <c r="D12" s="1862">
        <f t="shared" ca="1" si="11"/>
        <v>45174</v>
      </c>
      <c r="E12" s="2784">
        <f ca="1">DAY(Table1[[#This Row],[Date]])</f>
        <v>5</v>
      </c>
      <c r="F12" t="str">
        <f ca="1">TEXT(Table1[[#This Row],[Date]],"MMMM")</f>
        <v>September</v>
      </c>
      <c r="G12" t="str">
        <f t="shared" ca="1" si="15"/>
        <v>2023</v>
      </c>
      <c r="H12" s="2783">
        <v>0.88541666666666563</v>
      </c>
      <c r="I12" s="2365">
        <v>0.23958333333333437</v>
      </c>
      <c r="J12" s="2365">
        <v>0.30208333333333331</v>
      </c>
      <c r="K12" s="2365">
        <v>0.125</v>
      </c>
      <c r="L12" s="2365">
        <v>0.14583333333333331</v>
      </c>
      <c r="M12" s="2365">
        <v>0.20833333333333326</v>
      </c>
      <c r="N12" s="2365">
        <v>0.17708333333333331</v>
      </c>
      <c r="O12" s="2365">
        <v>0.20833333333333331</v>
      </c>
      <c r="P12" s="2365">
        <v>0.22916666666666666</v>
      </c>
      <c r="Q12" s="2365">
        <v>0.26041666666666657</v>
      </c>
      <c r="R12" s="2365">
        <v>0.15624999999999997</v>
      </c>
      <c r="S12" s="2365">
        <v>0.32291666666666669</v>
      </c>
      <c r="T12" s="2365">
        <v>0.3125</v>
      </c>
      <c r="U12" s="2794">
        <v>0</v>
      </c>
      <c r="V12" s="2365">
        <v>0.33333333333333337</v>
      </c>
      <c r="W12" s="2814">
        <f t="shared" si="2"/>
        <v>8</v>
      </c>
      <c r="X12" s="2810">
        <f t="shared" si="3"/>
        <v>8</v>
      </c>
      <c r="Y12" s="2810">
        <f t="shared" si="4"/>
        <v>6</v>
      </c>
      <c r="Z12" s="2810">
        <f t="shared" si="5"/>
        <v>10</v>
      </c>
      <c r="AA12" s="2810">
        <f t="shared" si="6"/>
        <v>8</v>
      </c>
      <c r="AB12" s="2810">
        <f t="shared" si="17"/>
        <v>40</v>
      </c>
      <c r="AC12" s="2810">
        <v>50</v>
      </c>
      <c r="AD12" s="2815">
        <f>Table1[[#This Row],[TotalM]]/Table1[[#This Row],[Max]]</f>
        <v>0.8</v>
      </c>
      <c r="AE12" t="str">
        <f t="shared" si="12"/>
        <v>B</v>
      </c>
      <c r="AG12" s="2822"/>
    </row>
    <row r="13" spans="2:39" outlineLevel="1" x14ac:dyDescent="0.35">
      <c r="B13" s="105">
        <f t="shared" ca="1" si="13"/>
        <v>36</v>
      </c>
      <c r="C13" t="str">
        <f t="shared" ca="1" si="14"/>
        <v>Wed</v>
      </c>
      <c r="D13" s="1862">
        <f t="shared" ca="1" si="11"/>
        <v>45175</v>
      </c>
      <c r="E13" s="2784">
        <f ca="1">DAY(Table1[[#This Row],[Date]])</f>
        <v>6</v>
      </c>
      <c r="F13" t="str">
        <f ca="1">TEXT(Table1[[#This Row],[Date]],"MMMM")</f>
        <v>September</v>
      </c>
      <c r="G13" t="str">
        <f t="shared" ca="1" si="15"/>
        <v>2023</v>
      </c>
      <c r="H13" s="2783">
        <v>0.85416666666666574</v>
      </c>
      <c r="I13" s="2365">
        <v>0.27083333333333426</v>
      </c>
      <c r="J13" s="2365">
        <v>0.30208333333333331</v>
      </c>
      <c r="K13" s="2365">
        <v>0.125</v>
      </c>
      <c r="L13" s="2365">
        <v>0.14583333333333331</v>
      </c>
      <c r="M13" s="2365">
        <v>0.24999999999999989</v>
      </c>
      <c r="N13" s="2365">
        <v>0.18749999999999994</v>
      </c>
      <c r="O13" s="2365">
        <v>0.21874999999999994</v>
      </c>
      <c r="P13" s="2365">
        <v>0.23958333333333329</v>
      </c>
      <c r="Q13" s="2365"/>
      <c r="R13" s="2365">
        <v>0.15624999999999997</v>
      </c>
      <c r="S13" s="2365"/>
      <c r="T13" s="2365"/>
      <c r="U13" s="2794">
        <v>0.10416666666666682</v>
      </c>
      <c r="V13" s="2365">
        <v>0.37500000000000011</v>
      </c>
      <c r="W13" s="2812">
        <f t="shared" si="2"/>
        <v>10</v>
      </c>
      <c r="X13" s="2811">
        <f>IF($W13="","",IF($O13&lt;=$AH$4,$AI$4,IF($O13&lt;=$AJ$4,$AK$4,IF($O13&lt;=$AL$4,$AM$4,0))))</f>
        <v>6</v>
      </c>
      <c r="Y13" s="2811" t="str">
        <f t="shared" si="4"/>
        <v/>
      </c>
      <c r="Z13" s="2811">
        <f t="shared" si="5"/>
        <v>7</v>
      </c>
      <c r="AA13" s="2811">
        <f t="shared" si="6"/>
        <v>6</v>
      </c>
      <c r="AB13" s="2811">
        <f t="shared" si="17"/>
        <v>29</v>
      </c>
      <c r="AC13" s="2811">
        <v>50</v>
      </c>
      <c r="AD13" s="2813">
        <f>Table1[[#This Row],[TotalM]]/Table1[[#This Row],[Max]]</f>
        <v>0.57999999999999996</v>
      </c>
      <c r="AE13" t="str">
        <f t="shared" si="12"/>
        <v>C</v>
      </c>
      <c r="AG13" t="s">
        <v>8</v>
      </c>
      <c r="AH13" s="2823"/>
      <c r="AJ13" s="2797"/>
    </row>
    <row r="14" spans="2:39" outlineLevel="1" x14ac:dyDescent="0.35">
      <c r="B14" s="105">
        <f t="shared" ca="1" si="13"/>
        <v>36</v>
      </c>
      <c r="C14" t="str">
        <f t="shared" ca="1" si="14"/>
        <v>Thu</v>
      </c>
      <c r="D14" s="1862">
        <f t="shared" ca="1" si="11"/>
        <v>45176</v>
      </c>
      <c r="E14" s="2784">
        <f ca="1">DAY(Table1[[#This Row],[Date]])</f>
        <v>7</v>
      </c>
      <c r="F14" t="str">
        <f ca="1">TEXT(Table1[[#This Row],[Date]],"MMMM")</f>
        <v>September</v>
      </c>
      <c r="G14" t="str">
        <f t="shared" ca="1" si="15"/>
        <v>2023</v>
      </c>
      <c r="H14" s="2783">
        <v>0.88541666666666563</v>
      </c>
      <c r="I14" s="2365">
        <v>0.23958333333333437</v>
      </c>
      <c r="J14" s="2365">
        <v>0.30208333333333331</v>
      </c>
      <c r="K14" s="2365">
        <v>0.125</v>
      </c>
      <c r="L14" s="2365">
        <v>0.13541666666666666</v>
      </c>
      <c r="M14" s="2365">
        <v>0.24999999999999989</v>
      </c>
      <c r="N14" s="2365">
        <v>0.15624999999999997</v>
      </c>
      <c r="O14" s="2365">
        <v>0.1979166666666666</v>
      </c>
      <c r="P14" s="2365">
        <v>0.21874999999999994</v>
      </c>
      <c r="Q14" s="2365">
        <v>0.23958333333333329</v>
      </c>
      <c r="R14" s="2365">
        <v>0.14583333333333331</v>
      </c>
      <c r="S14" s="2365">
        <v>0.28124999999999994</v>
      </c>
      <c r="T14" s="2365">
        <v>0.29166666666666663</v>
      </c>
      <c r="U14" s="2794">
        <v>0</v>
      </c>
      <c r="V14" s="2365">
        <v>0.30208333333333331</v>
      </c>
      <c r="W14" s="2814">
        <f t="shared" si="2"/>
        <v>8</v>
      </c>
      <c r="X14" s="2810">
        <f>IF($O14="","",IF($O14&lt;=$AH$4,$AI$4,IF($O14&lt;=$AJ$4,$AK$4,IF($O14&lt;=$AL$4,$AM$4,0))))</f>
        <v>10</v>
      </c>
      <c r="Y14" s="2810">
        <f t="shared" si="4"/>
        <v>10</v>
      </c>
      <c r="Z14" s="2810">
        <f t="shared" si="5"/>
        <v>10</v>
      </c>
      <c r="AA14" s="2810">
        <f t="shared" si="6"/>
        <v>10</v>
      </c>
      <c r="AB14" s="2810">
        <f t="shared" si="17"/>
        <v>48</v>
      </c>
      <c r="AC14" s="2810">
        <v>50</v>
      </c>
      <c r="AD14" s="2815">
        <f>Table1[[#This Row],[TotalM]]/Table1[[#This Row],[Max]]</f>
        <v>0.96</v>
      </c>
      <c r="AE14" t="str">
        <f t="shared" si="12"/>
        <v>A</v>
      </c>
      <c r="AG14" s="2462">
        <v>0.20833333333333334</v>
      </c>
      <c r="AH14" s="2827">
        <f>IF($AG14="","",IF($AG14&gt;=$AH$3,$AI$3,IF($AG14&gt;=$AJ$3,$AK$3,IF($AG14&gt;=$AL$3,$AM$3,0))))</f>
        <v>6</v>
      </c>
    </row>
    <row r="15" spans="2:39" outlineLevel="1" x14ac:dyDescent="0.35">
      <c r="B15" s="105">
        <f t="shared" ca="1" si="13"/>
        <v>36</v>
      </c>
      <c r="C15" t="str">
        <f t="shared" ca="1" si="14"/>
        <v>Fri</v>
      </c>
      <c r="D15" s="1862">
        <f t="shared" ca="1" si="11"/>
        <v>45177</v>
      </c>
      <c r="E15" s="2784">
        <f ca="1">DAY(Table1[[#This Row],[Date]])</f>
        <v>8</v>
      </c>
      <c r="F15" t="str">
        <f ca="1">TEXT(Table1[[#This Row],[Date]],"MMMM")</f>
        <v>September</v>
      </c>
      <c r="G15" t="str">
        <f t="shared" ca="1" si="15"/>
        <v>2023</v>
      </c>
      <c r="H15" s="2783">
        <v>0.88541666666666563</v>
      </c>
      <c r="I15" s="2365">
        <v>0.23958333333333437</v>
      </c>
      <c r="J15" s="2365">
        <v>0.30208333333333331</v>
      </c>
      <c r="K15" s="2365">
        <v>0.125</v>
      </c>
      <c r="L15" s="2365">
        <v>0.13541666666666666</v>
      </c>
      <c r="M15" s="2365">
        <v>0.17708333333333331</v>
      </c>
      <c r="N15" s="2365">
        <v>0.15624999999999997</v>
      </c>
      <c r="O15" s="2365">
        <v>0.1979166666666666</v>
      </c>
      <c r="P15" s="2365">
        <v>0.21874999999999994</v>
      </c>
      <c r="Q15" s="2365">
        <v>0.23958333333333329</v>
      </c>
      <c r="R15" s="2365">
        <v>0.14583333333333331</v>
      </c>
      <c r="S15" s="2365">
        <v>0.28124999999999994</v>
      </c>
      <c r="T15" s="2365">
        <v>0.29166666666666663</v>
      </c>
      <c r="U15" s="2794">
        <v>0</v>
      </c>
      <c r="V15" s="2365">
        <v>0.30208333333333331</v>
      </c>
      <c r="W15" s="2812">
        <f t="shared" si="2"/>
        <v>8</v>
      </c>
      <c r="X15" s="2811">
        <f>IF($O15="","",IF($O15&lt;=$AH$4,$AI$4,IF($O15&lt;=$AJ$4,$AK$4,IF($O15&lt;=$AL$4,$AM$4,0))))</f>
        <v>10</v>
      </c>
      <c r="Y15" s="2811">
        <f t="shared" si="4"/>
        <v>10</v>
      </c>
      <c r="Z15" s="2811">
        <f t="shared" si="5"/>
        <v>10</v>
      </c>
      <c r="AA15" s="2811">
        <f t="shared" si="6"/>
        <v>10</v>
      </c>
      <c r="AB15" s="2811">
        <f t="shared" si="17"/>
        <v>48</v>
      </c>
      <c r="AC15" s="2811">
        <v>50</v>
      </c>
      <c r="AD15" s="2813">
        <f>Table1[[#This Row],[TotalM]]/Table1[[#This Row],[Max]]</f>
        <v>0.96</v>
      </c>
      <c r="AE15" t="str">
        <f t="shared" si="12"/>
        <v>A</v>
      </c>
    </row>
    <row r="16" spans="2:39" ht="16" outlineLevel="1" thickBot="1" x14ac:dyDescent="0.4">
      <c r="B16" s="102">
        <f t="shared" ca="1" si="13"/>
        <v>36</v>
      </c>
      <c r="C16" s="40" t="str">
        <f t="shared" ca="1" si="14"/>
        <v>Sat</v>
      </c>
      <c r="D16" s="2820">
        <f t="shared" ca="1" si="11"/>
        <v>45178</v>
      </c>
      <c r="E16" s="2784">
        <f ca="1">DAY(Table1[[#This Row],[Date]])</f>
        <v>9</v>
      </c>
      <c r="F16" t="str">
        <f ca="1">TEXT(Table1[[#This Row],[Date]],"MMMM")</f>
        <v>September</v>
      </c>
      <c r="G16" t="str">
        <f t="shared" ca="1" si="15"/>
        <v>2023</v>
      </c>
      <c r="H16" s="2783">
        <v>0.88541666666666563</v>
      </c>
      <c r="I16" s="2365">
        <v>0.23958333333333437</v>
      </c>
      <c r="J16" s="2365">
        <v>0.30208333333333331</v>
      </c>
      <c r="K16" s="2365">
        <v>0.125</v>
      </c>
      <c r="L16" s="2365">
        <v>0.13541666666666666</v>
      </c>
      <c r="M16" s="2365">
        <v>0.17708333333333331</v>
      </c>
      <c r="N16" s="2365">
        <v>0.15624999999999997</v>
      </c>
      <c r="O16" s="2365">
        <v>0.1979166666666666</v>
      </c>
      <c r="P16" s="2365">
        <v>0.21874999999999994</v>
      </c>
      <c r="Q16" s="2365">
        <v>0.23958333333333329</v>
      </c>
      <c r="R16" s="2365">
        <v>0.14583333333333331</v>
      </c>
      <c r="S16" s="2365">
        <v>0.28124999999999994</v>
      </c>
      <c r="T16" s="2365">
        <v>0.29166666666666663</v>
      </c>
      <c r="U16" s="2794">
        <v>0</v>
      </c>
      <c r="V16" s="2365">
        <v>0.30208333333333331</v>
      </c>
      <c r="W16" s="2814">
        <f t="shared" si="2"/>
        <v>8</v>
      </c>
      <c r="X16" s="2810">
        <f>IF($O16="","",IF($O16&lt;=$AH$4,$AI$4,IF($O16&lt;=$AJ$4,$AK$4,IF($O16&lt;=$AL$4,$AM$4,0))))</f>
        <v>10</v>
      </c>
      <c r="Y16" s="2810">
        <f t="shared" si="4"/>
        <v>10</v>
      </c>
      <c r="Z16" s="2810">
        <f t="shared" si="5"/>
        <v>10</v>
      </c>
      <c r="AA16" s="2810">
        <f t="shared" si="6"/>
        <v>10</v>
      </c>
      <c r="AB16" s="2810">
        <f t="shared" si="17"/>
        <v>48</v>
      </c>
      <c r="AC16" s="2810">
        <v>50</v>
      </c>
      <c r="AD16" s="2815">
        <f>Table1[[#This Row],[TotalM]]/Table1[[#This Row],[Max]]</f>
        <v>0.96</v>
      </c>
      <c r="AE16" t="str">
        <f t="shared" si="12"/>
        <v>A</v>
      </c>
    </row>
    <row r="17" spans="2:31" outlineLevel="1" x14ac:dyDescent="0.35">
      <c r="B17" s="105">
        <f t="shared" ref="B17:B23" ca="1" si="18">WEEKNUM(D17)</f>
        <v>37</v>
      </c>
      <c r="C17" t="str">
        <f t="shared" ref="C17:C23" ca="1" si="19">TEXT(D17,"DDD")</f>
        <v>Sun</v>
      </c>
      <c r="D17" s="1862">
        <f t="shared" ref="D17:D32" ca="1" si="20">D16+1</f>
        <v>45179</v>
      </c>
      <c r="E17" s="2789">
        <f ca="1">DAY(Table1[[#This Row],[Date]])</f>
        <v>10</v>
      </c>
      <c r="F17" s="64" t="str">
        <f ca="1">TEXT(Table1[[#This Row],[Date]],"MMMM")</f>
        <v>September</v>
      </c>
      <c r="G17" s="64" t="str">
        <f t="shared" ref="G17:G23" ca="1" si="21">TEXT(D17,"YYYY")</f>
        <v>2023</v>
      </c>
      <c r="H17" s="2790">
        <v>0.83333333333333248</v>
      </c>
      <c r="I17" s="2791">
        <v>0.31250000000000089</v>
      </c>
      <c r="J17" s="2791">
        <v>0.30208333333333331</v>
      </c>
      <c r="K17" s="2791">
        <v>0.14583333333333331</v>
      </c>
      <c r="L17" s="2791">
        <v>0.15624999999999997</v>
      </c>
      <c r="M17" s="2791">
        <v>0.29166666666666663</v>
      </c>
      <c r="N17" s="2791">
        <v>0.1979166666666666</v>
      </c>
      <c r="O17" s="2791">
        <v>0.22916666666666657</v>
      </c>
      <c r="P17" s="2791">
        <v>0.24999999999999992</v>
      </c>
      <c r="Q17" s="2791">
        <v>0.27083333333333326</v>
      </c>
      <c r="R17" s="2791">
        <v>0.16666666666666663</v>
      </c>
      <c r="S17" s="2791">
        <v>0.32291666666666663</v>
      </c>
      <c r="T17" s="2791">
        <v>0.31249999999999994</v>
      </c>
      <c r="U17" s="2796">
        <v>2.0833333333333315E-2</v>
      </c>
      <c r="V17" s="2791">
        <v>0.35416666666666663</v>
      </c>
      <c r="W17" s="62">
        <v>10</v>
      </c>
      <c r="X17" s="64">
        <v>6</v>
      </c>
      <c r="Y17" s="64">
        <v>6</v>
      </c>
      <c r="Z17" s="64">
        <v>10</v>
      </c>
      <c r="AA17" s="64">
        <v>6</v>
      </c>
      <c r="AB17" s="64">
        <v>38</v>
      </c>
      <c r="AC17" s="64">
        <v>50</v>
      </c>
      <c r="AD17" s="2809">
        <v>0.76</v>
      </c>
      <c r="AE17" t="str">
        <f t="shared" si="12"/>
        <v>B</v>
      </c>
    </row>
    <row r="18" spans="2:31" outlineLevel="1" x14ac:dyDescent="0.35">
      <c r="B18" s="105">
        <f t="shared" ca="1" si="18"/>
        <v>37</v>
      </c>
      <c r="C18" t="str">
        <f t="shared" ca="1" si="19"/>
        <v>Mon</v>
      </c>
      <c r="D18" s="1862">
        <f t="shared" ca="1" si="20"/>
        <v>45180</v>
      </c>
      <c r="E18" s="2784">
        <f ca="1">DAY(Table1[[#This Row],[Date]])</f>
        <v>11</v>
      </c>
      <c r="F18" t="str">
        <f ca="1">TEXT(Table1[[#This Row],[Date]],"MMMM")</f>
        <v>September</v>
      </c>
      <c r="G18" t="str">
        <f t="shared" ca="1" si="21"/>
        <v>2023</v>
      </c>
      <c r="H18" s="2783">
        <v>0.85416666666666574</v>
      </c>
      <c r="I18" s="2365">
        <v>0.27083333333333426</v>
      </c>
      <c r="J18" s="2365">
        <v>0.30208333333333331</v>
      </c>
      <c r="K18" s="2365">
        <v>0.125</v>
      </c>
      <c r="L18" s="2365">
        <v>0.13541666666666666</v>
      </c>
      <c r="M18" s="2365">
        <v>0.19791666666666663</v>
      </c>
      <c r="N18" s="2365">
        <v>0.15624999999999997</v>
      </c>
      <c r="O18" s="2365">
        <v>0.1979166666666666</v>
      </c>
      <c r="P18" s="2365">
        <v>0.21874999999999994</v>
      </c>
      <c r="Q18" s="2365">
        <v>0.23958333333333329</v>
      </c>
      <c r="R18" s="2365">
        <v>0.14583333333333331</v>
      </c>
      <c r="S18" s="2365">
        <v>0.29166666666666663</v>
      </c>
      <c r="T18" s="2365">
        <v>0.28124999999999994</v>
      </c>
      <c r="U18" s="2794">
        <v>0</v>
      </c>
      <c r="V18" s="2365">
        <v>0.32291666666666663</v>
      </c>
      <c r="W18" s="105">
        <v>10</v>
      </c>
      <c r="X18">
        <v>10</v>
      </c>
      <c r="Y18">
        <v>10</v>
      </c>
      <c r="Z18">
        <v>10</v>
      </c>
      <c r="AA18">
        <v>10</v>
      </c>
      <c r="AB18">
        <v>50</v>
      </c>
      <c r="AC18">
        <v>50</v>
      </c>
      <c r="AD18" s="2792">
        <v>1</v>
      </c>
      <c r="AE18" t="str">
        <f t="shared" si="12"/>
        <v>A</v>
      </c>
    </row>
    <row r="19" spans="2:31" outlineLevel="1" x14ac:dyDescent="0.35">
      <c r="B19" s="105">
        <f t="shared" ca="1" si="18"/>
        <v>37</v>
      </c>
      <c r="C19" t="str">
        <f t="shared" ca="1" si="19"/>
        <v>Tue</v>
      </c>
      <c r="D19" s="1862">
        <f t="shared" ca="1" si="20"/>
        <v>45181</v>
      </c>
      <c r="E19" s="2784">
        <f ca="1">DAY(Table1[[#This Row],[Date]])</f>
        <v>12</v>
      </c>
      <c r="F19" t="str">
        <f ca="1">TEXT(Table1[[#This Row],[Date]],"MMMM")</f>
        <v>September</v>
      </c>
      <c r="G19" t="str">
        <f t="shared" ca="1" si="21"/>
        <v>2023</v>
      </c>
      <c r="H19" s="2783">
        <v>0.89583333333333226</v>
      </c>
      <c r="I19" s="2365">
        <v>0.22916666666666774</v>
      </c>
      <c r="J19" s="2365">
        <v>0.30208333333333331</v>
      </c>
      <c r="K19" s="2365">
        <v>0.125</v>
      </c>
      <c r="L19" s="2365">
        <v>0.15624999999999997</v>
      </c>
      <c r="M19" s="2365">
        <v>0.20833333333333326</v>
      </c>
      <c r="N19" s="2365">
        <v>0.21874999999999992</v>
      </c>
      <c r="O19" s="2365">
        <v>0.24999999999999992</v>
      </c>
      <c r="P19" s="2365">
        <v>0.29166666666666663</v>
      </c>
      <c r="Q19" s="2365">
        <v>0.31249999999999994</v>
      </c>
      <c r="R19" s="2365">
        <v>0.16666666666666663</v>
      </c>
      <c r="S19" s="2365">
        <v>0.35416666666666663</v>
      </c>
      <c r="T19" s="2365">
        <v>0.34374999999999994</v>
      </c>
      <c r="U19" s="2794">
        <v>6.25E-2</v>
      </c>
      <c r="V19" s="2365">
        <v>0.36458333333333331</v>
      </c>
      <c r="W19" s="105">
        <v>8</v>
      </c>
      <c r="X19">
        <v>6</v>
      </c>
      <c r="Y19">
        <v>6</v>
      </c>
      <c r="Z19">
        <v>7</v>
      </c>
      <c r="AA19">
        <v>6</v>
      </c>
      <c r="AB19">
        <v>33</v>
      </c>
      <c r="AC19">
        <v>50</v>
      </c>
      <c r="AD19" s="2792">
        <v>0.66</v>
      </c>
      <c r="AE19" t="str">
        <f t="shared" si="12"/>
        <v>C</v>
      </c>
    </row>
    <row r="20" spans="2:31" outlineLevel="1" x14ac:dyDescent="0.35">
      <c r="B20" s="105">
        <f t="shared" ca="1" si="18"/>
        <v>37</v>
      </c>
      <c r="C20" t="str">
        <f t="shared" ca="1" si="19"/>
        <v>Wed</v>
      </c>
      <c r="D20" s="1862">
        <f t="shared" ca="1" si="20"/>
        <v>45182</v>
      </c>
      <c r="E20" s="2784">
        <f ca="1">DAY(Table1[[#This Row],[Date]])</f>
        <v>13</v>
      </c>
      <c r="F20" t="str">
        <f ca="1">TEXT(Table1[[#This Row],[Date]],"MMMM")</f>
        <v>September</v>
      </c>
      <c r="G20" t="str">
        <f t="shared" ca="1" si="21"/>
        <v>2023</v>
      </c>
      <c r="H20" s="2783">
        <v>0.88541666666666563</v>
      </c>
      <c r="I20" s="2365">
        <v>0.23958333333333437</v>
      </c>
      <c r="J20" s="2365">
        <v>0.30208333333333331</v>
      </c>
      <c r="K20" s="2365">
        <v>0.125</v>
      </c>
      <c r="L20" s="2365">
        <v>0.13541666666666666</v>
      </c>
      <c r="M20" s="2365">
        <v>0.22916666666666657</v>
      </c>
      <c r="N20" s="2365">
        <v>0.17708333333333329</v>
      </c>
      <c r="O20" s="2365">
        <v>0.22916666666666657</v>
      </c>
      <c r="P20" s="2365">
        <v>0.24999999999999992</v>
      </c>
      <c r="Q20" s="2365">
        <v>0.27083333333333326</v>
      </c>
      <c r="R20" s="2365">
        <v>0.14583333333333331</v>
      </c>
      <c r="S20" s="2365">
        <v>0.32291666666666663</v>
      </c>
      <c r="T20" s="2365">
        <v>0.31249999999999994</v>
      </c>
      <c r="U20" s="2794">
        <v>0</v>
      </c>
      <c r="V20" s="2365">
        <v>0.33333333333333331</v>
      </c>
      <c r="W20" s="105">
        <v>8</v>
      </c>
      <c r="X20">
        <v>6</v>
      </c>
      <c r="Y20">
        <v>6</v>
      </c>
      <c r="Z20">
        <v>10</v>
      </c>
      <c r="AA20">
        <v>8</v>
      </c>
      <c r="AB20">
        <v>38</v>
      </c>
      <c r="AC20">
        <v>50</v>
      </c>
      <c r="AD20" s="2792">
        <v>0.76</v>
      </c>
      <c r="AE20" t="str">
        <f t="shared" si="12"/>
        <v>B</v>
      </c>
    </row>
    <row r="21" spans="2:31" outlineLevel="1" x14ac:dyDescent="0.35">
      <c r="B21" s="105">
        <f t="shared" ca="1" si="18"/>
        <v>37</v>
      </c>
      <c r="C21" t="str">
        <f t="shared" ca="1" si="19"/>
        <v>Thu</v>
      </c>
      <c r="D21" s="1862">
        <f t="shared" ca="1" si="20"/>
        <v>45183</v>
      </c>
      <c r="E21" s="2784">
        <f ca="1">DAY(Table1[[#This Row],[Date]])</f>
        <v>14</v>
      </c>
      <c r="F21" t="str">
        <f ca="1">TEXT(Table1[[#This Row],[Date]],"MMMM")</f>
        <v>September</v>
      </c>
      <c r="G21" t="str">
        <f t="shared" ca="1" si="21"/>
        <v>2023</v>
      </c>
      <c r="H21" s="2783">
        <v>0.874999999999999</v>
      </c>
      <c r="I21" s="2365">
        <v>0.250000000000001</v>
      </c>
      <c r="J21" s="2365">
        <v>0.30208333333333331</v>
      </c>
      <c r="K21" s="2365">
        <v>0.125</v>
      </c>
      <c r="L21" s="2365">
        <v>0.13541666666666666</v>
      </c>
      <c r="M21" s="2365">
        <v>0.18749999999999994</v>
      </c>
      <c r="N21" s="2365">
        <v>0.15624999999999997</v>
      </c>
      <c r="O21" s="2365">
        <v>0.24999999999999992</v>
      </c>
      <c r="P21" s="2365">
        <v>0.29166666666666663</v>
      </c>
      <c r="Q21" s="2365">
        <v>0.31249999999999994</v>
      </c>
      <c r="R21" s="2365">
        <v>0.16666666666666663</v>
      </c>
      <c r="S21" s="2365">
        <v>0.35416666666666663</v>
      </c>
      <c r="T21" s="2365">
        <v>0.34374999999999994</v>
      </c>
      <c r="U21" s="2794">
        <v>6.25E-2</v>
      </c>
      <c r="V21" s="2365">
        <v>0.36458333333333331</v>
      </c>
      <c r="W21" s="105">
        <v>10</v>
      </c>
      <c r="X21">
        <v>6</v>
      </c>
      <c r="Y21">
        <v>6</v>
      </c>
      <c r="Z21">
        <v>7</v>
      </c>
      <c r="AA21">
        <v>6</v>
      </c>
      <c r="AB21">
        <v>35</v>
      </c>
      <c r="AC21">
        <v>50</v>
      </c>
      <c r="AD21" s="2792">
        <v>0.7</v>
      </c>
      <c r="AE21" t="str">
        <f t="shared" si="12"/>
        <v>C</v>
      </c>
    </row>
    <row r="22" spans="2:31" outlineLevel="1" x14ac:dyDescent="0.35">
      <c r="B22" s="105">
        <f t="shared" ca="1" si="18"/>
        <v>37</v>
      </c>
      <c r="C22" t="str">
        <f t="shared" ca="1" si="19"/>
        <v>Fri</v>
      </c>
      <c r="D22" s="1862">
        <f t="shared" ca="1" si="20"/>
        <v>45184</v>
      </c>
      <c r="E22" s="2784">
        <f ca="1">DAY(Table1[[#This Row],[Date]])</f>
        <v>15</v>
      </c>
      <c r="F22" t="str">
        <f ca="1">TEXT(Table1[[#This Row],[Date]],"MMMM")</f>
        <v>September</v>
      </c>
      <c r="G22" t="str">
        <f t="shared" ca="1" si="21"/>
        <v>2023</v>
      </c>
      <c r="H22" s="2783">
        <v>0.84374999999999911</v>
      </c>
      <c r="I22" s="2365">
        <v>0.28125000000000089</v>
      </c>
      <c r="J22" s="2365">
        <v>0.30208333333333331</v>
      </c>
      <c r="K22" s="2365">
        <v>0.125</v>
      </c>
      <c r="L22" s="2365">
        <v>0.13541666666666666</v>
      </c>
      <c r="M22" s="2365">
        <v>0.20833333333333326</v>
      </c>
      <c r="N22" s="2365">
        <v>0.17708333333333329</v>
      </c>
      <c r="O22" s="2365">
        <v>0.21874999999999992</v>
      </c>
      <c r="P22" s="2365">
        <v>0.23958333333333326</v>
      </c>
      <c r="Q22" s="2365">
        <v>0.26041666666666657</v>
      </c>
      <c r="R22" s="2365">
        <v>0.14583333333333331</v>
      </c>
      <c r="S22" s="2365">
        <v>0.32291666666666669</v>
      </c>
      <c r="T22" s="2365">
        <v>0.3125</v>
      </c>
      <c r="U22" s="2794">
        <v>0</v>
      </c>
      <c r="V22" s="2365">
        <v>0.33333333333333337</v>
      </c>
      <c r="W22" s="105">
        <v>10</v>
      </c>
      <c r="X22">
        <v>6</v>
      </c>
      <c r="Y22">
        <v>6</v>
      </c>
      <c r="Z22">
        <v>10</v>
      </c>
      <c r="AA22">
        <v>8</v>
      </c>
      <c r="AB22">
        <v>40</v>
      </c>
      <c r="AC22">
        <v>50</v>
      </c>
      <c r="AD22" s="2792">
        <v>0.8</v>
      </c>
      <c r="AE22" t="str">
        <f t="shared" si="12"/>
        <v>B</v>
      </c>
    </row>
    <row r="23" spans="2:31" ht="16" outlineLevel="1" thickBot="1" x14ac:dyDescent="0.4">
      <c r="B23" s="96">
        <f t="shared" ca="1" si="18"/>
        <v>37</v>
      </c>
      <c r="C23" s="2884" t="str">
        <f t="shared" ca="1" si="19"/>
        <v>Sat</v>
      </c>
      <c r="D23" s="2885">
        <f t="shared" ca="1" si="20"/>
        <v>45185</v>
      </c>
      <c r="E23" s="2784">
        <f ca="1">DAY(Table1[[#This Row],[Date]])</f>
        <v>16</v>
      </c>
      <c r="F23" t="str">
        <f ca="1">TEXT(Table1[[#This Row],[Date]],"MMMM")</f>
        <v>September</v>
      </c>
      <c r="G23" t="str">
        <f t="shared" ca="1" si="21"/>
        <v>2023</v>
      </c>
      <c r="H23" s="2783">
        <v>0.89583333333333226</v>
      </c>
      <c r="I23" s="2365">
        <v>0.29166666666666763</v>
      </c>
      <c r="J23" s="2365">
        <v>0.3125</v>
      </c>
      <c r="K23" s="2365">
        <v>0.18749999999999994</v>
      </c>
      <c r="L23" s="2365">
        <v>0.1979166666666666</v>
      </c>
      <c r="M23" s="2365">
        <v>0.34375</v>
      </c>
      <c r="N23" s="2365">
        <v>0.21874999999999992</v>
      </c>
      <c r="O23" s="2365">
        <v>0.24999999999999989</v>
      </c>
      <c r="P23" s="2365">
        <v>0.24999999999999989</v>
      </c>
      <c r="Q23" s="2365">
        <v>0.2708333333333332</v>
      </c>
      <c r="R23" s="2365">
        <v>0.20833333333333326</v>
      </c>
      <c r="S23" s="2365">
        <v>0.32291666666666657</v>
      </c>
      <c r="T23" s="2365">
        <v>0.31249999999999989</v>
      </c>
      <c r="U23" s="2794">
        <v>0</v>
      </c>
      <c r="V23" s="2365">
        <v>0.35416666666666657</v>
      </c>
      <c r="W23" s="105">
        <v>10</v>
      </c>
      <c r="X23">
        <v>6</v>
      </c>
      <c r="Y23">
        <v>6</v>
      </c>
      <c r="Z23">
        <v>10</v>
      </c>
      <c r="AA23">
        <v>6</v>
      </c>
      <c r="AB23">
        <v>38</v>
      </c>
      <c r="AC23">
        <v>50</v>
      </c>
      <c r="AD23" s="2792">
        <v>0.76</v>
      </c>
      <c r="AE23" t="str">
        <f t="shared" si="12"/>
        <v>B</v>
      </c>
    </row>
    <row r="24" spans="2:31" outlineLevel="1" x14ac:dyDescent="0.35">
      <c r="B24" s="105">
        <f t="shared" ref="B24:B44" ca="1" si="22">WEEKNUM(D24)</f>
        <v>38</v>
      </c>
      <c r="C24" t="str">
        <f t="shared" ref="C24:C44" ca="1" si="23">TEXT(D24,"DDD")</f>
        <v>Sun</v>
      </c>
      <c r="D24" s="1862">
        <f t="shared" ca="1" si="20"/>
        <v>45186</v>
      </c>
      <c r="E24" s="2789">
        <f ca="1">DAY(Table1[[#This Row],[Date]])</f>
        <v>17</v>
      </c>
      <c r="F24" s="64" t="str">
        <f ca="1">TEXT(Table1[[#This Row],[Date]],"MMMM")</f>
        <v>September</v>
      </c>
      <c r="G24" s="64" t="str">
        <f t="shared" ref="G24:G44" ca="1" si="24">TEXT(D24,"YYYY")</f>
        <v>2023</v>
      </c>
      <c r="H24" s="2790"/>
      <c r="I24" s="2791"/>
      <c r="J24" s="2791"/>
      <c r="K24" s="2791"/>
      <c r="L24" s="2791"/>
      <c r="M24" s="2791"/>
      <c r="N24" s="2791"/>
      <c r="O24" s="2791"/>
      <c r="P24" s="2791"/>
      <c r="Q24" s="2791"/>
      <c r="R24" s="2791"/>
      <c r="S24" s="2791"/>
      <c r="T24" s="2791"/>
      <c r="U24" s="2796"/>
      <c r="V24" s="2791"/>
      <c r="W24" s="62" t="str">
        <f t="shared" ref="W24:W44" si="25">IF($I24="","",IF($I24&gt;=$AH$3,$AI$3,IF($I24&gt;=$AJ$3,$AK$3,IF($I24&gt;=$AL$3,$AM$3,0))))</f>
        <v/>
      </c>
      <c r="X24" s="64" t="str">
        <f t="shared" ref="X24:X44" si="26">IF($O24="","",IF($O24&lt;=$AH$4,$AI$4,IF($O24&lt;=$AJ$4,$AK$4,IF($O24&gt;=$AL$4,$AM$4,0))))</f>
        <v/>
      </c>
      <c r="Y24" s="64" t="str">
        <f t="shared" ref="Y24:Y44" si="27">IF($Q24="","",IF($Q24&lt;=$AH$6,$AI$6,IF($Q24&lt;=$AJ$6,$AK$6,IF($Q24&gt;=$AL$6,$AM$6,0))))</f>
        <v/>
      </c>
      <c r="Z24" s="64" t="str">
        <f t="shared" ref="Z24:Z44" si="28">IF($U24="","",IF($U24&lt;=$AH$7,$AI$7,IF($U24&lt;=$AJ$7,$AK$7,IF($U24&gt;=$AL$7,$AM$7,0))))</f>
        <v/>
      </c>
      <c r="AA24" s="64" t="str">
        <f t="shared" ref="AA24:AA44" si="29">IF($V24="","",IF($V24&lt;=$AH$8,$AI$8,IF($V24&lt;=$AJ$8,$AK$8,IF($V24&gt;=$AL$8,$AM$8,0))))</f>
        <v/>
      </c>
      <c r="AB24" s="64">
        <f t="shared" ref="AB24:AB44" si="30">SUM(W24:AA24)</f>
        <v>0</v>
      </c>
      <c r="AC24" s="64"/>
      <c r="AD24" s="2809" t="e">
        <f>Table1[[#This Row],[TotalM]]/Table1[[#This Row],[Max]]</f>
        <v>#DIV/0!</v>
      </c>
    </row>
    <row r="25" spans="2:31" outlineLevel="1" x14ac:dyDescent="0.35">
      <c r="B25" s="105">
        <f t="shared" ca="1" si="22"/>
        <v>38</v>
      </c>
      <c r="C25" t="str">
        <f t="shared" ca="1" si="23"/>
        <v>Mon</v>
      </c>
      <c r="D25" s="1862">
        <f t="shared" ca="1" si="20"/>
        <v>45187</v>
      </c>
      <c r="E25" s="2784">
        <f ca="1">DAY(Table1[[#This Row],[Date]])</f>
        <v>18</v>
      </c>
      <c r="F25" t="str">
        <f ca="1">TEXT(Table1[[#This Row],[Date]],"MMMM")</f>
        <v>September</v>
      </c>
      <c r="G25" t="str">
        <f t="shared" ca="1" si="24"/>
        <v>2023</v>
      </c>
      <c r="H25" s="2783"/>
      <c r="I25" s="2365"/>
      <c r="J25" s="2365"/>
      <c r="K25" s="2365"/>
      <c r="L25" s="2365"/>
      <c r="M25" s="2365"/>
      <c r="N25" s="2365"/>
      <c r="O25" s="2365"/>
      <c r="P25" s="2365"/>
      <c r="Q25" s="2365"/>
      <c r="R25" s="2365"/>
      <c r="S25" s="2365"/>
      <c r="T25" s="2365"/>
      <c r="U25" s="2794"/>
      <c r="V25" s="2365"/>
      <c r="W25" s="105" t="str">
        <f t="shared" si="25"/>
        <v/>
      </c>
      <c r="X25" t="str">
        <f t="shared" si="26"/>
        <v/>
      </c>
      <c r="Y25" t="str">
        <f t="shared" si="27"/>
        <v/>
      </c>
      <c r="Z25" t="str">
        <f t="shared" si="28"/>
        <v/>
      </c>
      <c r="AA25" t="str">
        <f t="shared" si="29"/>
        <v/>
      </c>
      <c r="AB25">
        <f t="shared" si="30"/>
        <v>0</v>
      </c>
      <c r="AD25" s="2792" t="e">
        <f>Table1[[#This Row],[TotalM]]/Table1[[#This Row],[Max]]</f>
        <v>#DIV/0!</v>
      </c>
    </row>
    <row r="26" spans="2:31" outlineLevel="1" x14ac:dyDescent="0.35">
      <c r="B26" s="105">
        <f t="shared" ca="1" si="22"/>
        <v>38</v>
      </c>
      <c r="C26" t="str">
        <f t="shared" ca="1" si="23"/>
        <v>Tue</v>
      </c>
      <c r="D26" s="1862">
        <f t="shared" ca="1" si="20"/>
        <v>45188</v>
      </c>
      <c r="E26" s="2784">
        <f ca="1">DAY(Table1[[#This Row],[Date]])</f>
        <v>19</v>
      </c>
      <c r="F26" t="str">
        <f ca="1">TEXT(Table1[[#This Row],[Date]],"MMMM")</f>
        <v>September</v>
      </c>
      <c r="G26" t="str">
        <f t="shared" ca="1" si="24"/>
        <v>2023</v>
      </c>
      <c r="H26" s="2783"/>
      <c r="I26" s="2365"/>
      <c r="J26" s="2365"/>
      <c r="K26" s="2365"/>
      <c r="L26" s="2365"/>
      <c r="M26" s="2365"/>
      <c r="N26" s="2365"/>
      <c r="O26" s="2365"/>
      <c r="P26" s="2365"/>
      <c r="Q26" s="2365"/>
      <c r="R26" s="2365"/>
      <c r="S26" s="2365"/>
      <c r="T26" s="2365"/>
      <c r="U26" s="2794"/>
      <c r="V26" s="2365"/>
      <c r="W26" s="105" t="str">
        <f t="shared" si="25"/>
        <v/>
      </c>
      <c r="X26" t="str">
        <f t="shared" si="26"/>
        <v/>
      </c>
      <c r="Y26" t="str">
        <f t="shared" si="27"/>
        <v/>
      </c>
      <c r="Z26" t="str">
        <f t="shared" si="28"/>
        <v/>
      </c>
      <c r="AA26" t="str">
        <f t="shared" si="29"/>
        <v/>
      </c>
      <c r="AB26">
        <f t="shared" si="30"/>
        <v>0</v>
      </c>
      <c r="AD26" s="2792" t="e">
        <f>Table1[[#This Row],[TotalM]]/Table1[[#This Row],[Max]]</f>
        <v>#DIV/0!</v>
      </c>
    </row>
    <row r="27" spans="2:31" outlineLevel="1" x14ac:dyDescent="0.35">
      <c r="B27" s="105">
        <f t="shared" ca="1" si="22"/>
        <v>38</v>
      </c>
      <c r="C27" t="str">
        <f t="shared" ca="1" si="23"/>
        <v>Wed</v>
      </c>
      <c r="D27" s="1862">
        <f t="shared" ca="1" si="20"/>
        <v>45189</v>
      </c>
      <c r="E27" s="2784">
        <f ca="1">DAY(Table1[[#This Row],[Date]])</f>
        <v>20</v>
      </c>
      <c r="F27" t="str">
        <f ca="1">TEXT(Table1[[#This Row],[Date]],"MMMM")</f>
        <v>September</v>
      </c>
      <c r="G27" t="str">
        <f t="shared" ca="1" si="24"/>
        <v>2023</v>
      </c>
      <c r="H27" s="2783"/>
      <c r="I27" s="2365"/>
      <c r="J27" s="2365"/>
      <c r="K27" s="2365"/>
      <c r="L27" s="2365"/>
      <c r="M27" s="2365"/>
      <c r="N27" s="2365"/>
      <c r="O27" s="2365"/>
      <c r="P27" s="2365"/>
      <c r="Q27" s="2365"/>
      <c r="R27" s="2365"/>
      <c r="S27" s="2365"/>
      <c r="T27" s="2365"/>
      <c r="U27" s="2794"/>
      <c r="V27" s="2365"/>
      <c r="W27" s="105" t="str">
        <f t="shared" si="25"/>
        <v/>
      </c>
      <c r="X27" t="str">
        <f t="shared" si="26"/>
        <v/>
      </c>
      <c r="Y27" t="str">
        <f t="shared" si="27"/>
        <v/>
      </c>
      <c r="Z27" t="str">
        <f t="shared" si="28"/>
        <v/>
      </c>
      <c r="AA27" t="str">
        <f t="shared" si="29"/>
        <v/>
      </c>
      <c r="AB27">
        <f t="shared" si="30"/>
        <v>0</v>
      </c>
      <c r="AD27" s="2792" t="e">
        <f>Table1[[#This Row],[TotalM]]/Table1[[#This Row],[Max]]</f>
        <v>#DIV/0!</v>
      </c>
    </row>
    <row r="28" spans="2:31" outlineLevel="1" x14ac:dyDescent="0.35">
      <c r="B28" s="105">
        <f t="shared" ca="1" si="22"/>
        <v>38</v>
      </c>
      <c r="C28" t="str">
        <f t="shared" ca="1" si="23"/>
        <v>Thu</v>
      </c>
      <c r="D28" s="1862">
        <f t="shared" ca="1" si="20"/>
        <v>45190</v>
      </c>
      <c r="E28" s="2784">
        <f ca="1">DAY(Table1[[#This Row],[Date]])</f>
        <v>21</v>
      </c>
      <c r="F28" t="str">
        <f ca="1">TEXT(Table1[[#This Row],[Date]],"MMMM")</f>
        <v>September</v>
      </c>
      <c r="G28" t="str">
        <f t="shared" ca="1" si="24"/>
        <v>2023</v>
      </c>
      <c r="H28" s="2783"/>
      <c r="I28" s="2365"/>
      <c r="J28" s="2365"/>
      <c r="K28" s="2365"/>
      <c r="L28" s="2365"/>
      <c r="M28" s="2365"/>
      <c r="N28" s="2365"/>
      <c r="O28" s="2365"/>
      <c r="P28" s="2365"/>
      <c r="Q28" s="2365"/>
      <c r="R28" s="2365"/>
      <c r="S28" s="2365"/>
      <c r="T28" s="2365"/>
      <c r="U28" s="2794"/>
      <c r="V28" s="2365"/>
      <c r="W28" s="105" t="str">
        <f t="shared" si="25"/>
        <v/>
      </c>
      <c r="X28" t="str">
        <f t="shared" si="26"/>
        <v/>
      </c>
      <c r="Y28" t="str">
        <f t="shared" si="27"/>
        <v/>
      </c>
      <c r="Z28" t="str">
        <f t="shared" si="28"/>
        <v/>
      </c>
      <c r="AA28" t="str">
        <f t="shared" si="29"/>
        <v/>
      </c>
      <c r="AB28">
        <f t="shared" si="30"/>
        <v>0</v>
      </c>
      <c r="AD28" s="2792" t="e">
        <f>Table1[[#This Row],[TotalM]]/Table1[[#This Row],[Max]]</f>
        <v>#DIV/0!</v>
      </c>
    </row>
    <row r="29" spans="2:31" outlineLevel="1" x14ac:dyDescent="0.35">
      <c r="B29" s="105">
        <f t="shared" ca="1" si="22"/>
        <v>38</v>
      </c>
      <c r="C29" t="str">
        <f t="shared" ca="1" si="23"/>
        <v>Fri</v>
      </c>
      <c r="D29" s="1862">
        <f t="shared" ca="1" si="20"/>
        <v>45191</v>
      </c>
      <c r="E29" s="2784">
        <f ca="1">DAY(Table1[[#This Row],[Date]])</f>
        <v>22</v>
      </c>
      <c r="F29" t="str">
        <f ca="1">TEXT(Table1[[#This Row],[Date]],"MMMM")</f>
        <v>September</v>
      </c>
      <c r="G29" t="str">
        <f t="shared" ca="1" si="24"/>
        <v>2023</v>
      </c>
      <c r="H29" s="2783"/>
      <c r="I29" s="2365"/>
      <c r="J29" s="2365"/>
      <c r="K29" s="2365"/>
      <c r="L29" s="2365"/>
      <c r="M29" s="2365"/>
      <c r="N29" s="2365"/>
      <c r="O29" s="2365"/>
      <c r="P29" s="2365"/>
      <c r="Q29" s="2365"/>
      <c r="R29" s="2365"/>
      <c r="S29" s="2365"/>
      <c r="T29" s="2365"/>
      <c r="U29" s="2794"/>
      <c r="V29" s="2365"/>
      <c r="W29" s="105" t="str">
        <f t="shared" si="25"/>
        <v/>
      </c>
      <c r="X29" t="str">
        <f t="shared" si="26"/>
        <v/>
      </c>
      <c r="Y29" t="str">
        <f t="shared" si="27"/>
        <v/>
      </c>
      <c r="Z29" t="str">
        <f t="shared" si="28"/>
        <v/>
      </c>
      <c r="AA29" t="str">
        <f t="shared" si="29"/>
        <v/>
      </c>
      <c r="AB29">
        <f t="shared" si="30"/>
        <v>0</v>
      </c>
      <c r="AD29" s="2792" t="e">
        <f>Table1[[#This Row],[TotalM]]/Table1[[#This Row],[Max]]</f>
        <v>#DIV/0!</v>
      </c>
    </row>
    <row r="30" spans="2:31" ht="16" outlineLevel="1" thickBot="1" x14ac:dyDescent="0.4">
      <c r="B30" s="102">
        <f t="shared" ca="1" si="22"/>
        <v>38</v>
      </c>
      <c r="C30" s="40" t="str">
        <f t="shared" ca="1" si="23"/>
        <v>Sat</v>
      </c>
      <c r="D30" s="2820">
        <f t="shared" ca="1" si="20"/>
        <v>45192</v>
      </c>
      <c r="E30" s="2784">
        <f ca="1">DAY(Table1[[#This Row],[Date]])</f>
        <v>23</v>
      </c>
      <c r="F30" t="str">
        <f ca="1">TEXT(Table1[[#This Row],[Date]],"MMMM")</f>
        <v>September</v>
      </c>
      <c r="G30" t="str">
        <f t="shared" ca="1" si="24"/>
        <v>2023</v>
      </c>
      <c r="H30" s="2783"/>
      <c r="I30" s="2365"/>
      <c r="J30" s="2365"/>
      <c r="K30" s="2365"/>
      <c r="L30" s="2365"/>
      <c r="M30" s="2365"/>
      <c r="N30" s="2365"/>
      <c r="O30" s="2365"/>
      <c r="P30" s="2365"/>
      <c r="Q30" s="2365"/>
      <c r="R30" s="2365"/>
      <c r="S30" s="2365"/>
      <c r="T30" s="2365"/>
      <c r="U30" s="2794"/>
      <c r="V30" s="2365"/>
      <c r="W30" s="105" t="str">
        <f t="shared" si="25"/>
        <v/>
      </c>
      <c r="X30" t="str">
        <f t="shared" si="26"/>
        <v/>
      </c>
      <c r="Y30" t="str">
        <f t="shared" si="27"/>
        <v/>
      </c>
      <c r="Z30" t="str">
        <f t="shared" si="28"/>
        <v/>
      </c>
      <c r="AA30" t="str">
        <f t="shared" si="29"/>
        <v/>
      </c>
      <c r="AB30">
        <f t="shared" si="30"/>
        <v>0</v>
      </c>
      <c r="AD30" s="2792" t="e">
        <f>Table1[[#This Row],[TotalM]]/Table1[[#This Row],[Max]]</f>
        <v>#DIV/0!</v>
      </c>
    </row>
    <row r="31" spans="2:31" outlineLevel="1" x14ac:dyDescent="0.35">
      <c r="B31" s="105">
        <f t="shared" ca="1" si="22"/>
        <v>39</v>
      </c>
      <c r="C31" t="str">
        <f t="shared" ca="1" si="23"/>
        <v>Sun</v>
      </c>
      <c r="D31" s="1862">
        <f t="shared" ca="1" si="20"/>
        <v>45193</v>
      </c>
      <c r="E31" s="2789">
        <f ca="1">DAY(Table1[[#This Row],[Date]])</f>
        <v>24</v>
      </c>
      <c r="F31" s="64" t="str">
        <f ca="1">TEXT(Table1[[#This Row],[Date]],"MMMM")</f>
        <v>September</v>
      </c>
      <c r="G31" s="64" t="str">
        <f t="shared" ca="1" si="24"/>
        <v>2023</v>
      </c>
      <c r="H31" s="2790"/>
      <c r="I31" s="2791"/>
      <c r="J31" s="2791"/>
      <c r="K31" s="2791"/>
      <c r="L31" s="2791"/>
      <c r="M31" s="2791"/>
      <c r="N31" s="2791"/>
      <c r="O31" s="2791"/>
      <c r="P31" s="2791"/>
      <c r="Q31" s="2791"/>
      <c r="R31" s="2791"/>
      <c r="S31" s="2791"/>
      <c r="T31" s="2791"/>
      <c r="U31" s="2796"/>
      <c r="V31" s="2791"/>
      <c r="W31" s="62" t="str">
        <f t="shared" si="25"/>
        <v/>
      </c>
      <c r="X31" s="64" t="str">
        <f t="shared" si="26"/>
        <v/>
      </c>
      <c r="Y31" s="64" t="str">
        <f t="shared" si="27"/>
        <v/>
      </c>
      <c r="Z31" s="64" t="str">
        <f t="shared" si="28"/>
        <v/>
      </c>
      <c r="AA31" s="64" t="str">
        <f t="shared" si="29"/>
        <v/>
      </c>
      <c r="AB31" s="64">
        <f t="shared" si="30"/>
        <v>0</v>
      </c>
      <c r="AC31" s="64"/>
      <c r="AD31" s="2809" t="e">
        <f>Table1[[#This Row],[TotalM]]/Table1[[#This Row],[Max]]</f>
        <v>#DIV/0!</v>
      </c>
    </row>
    <row r="32" spans="2:31" outlineLevel="1" x14ac:dyDescent="0.35">
      <c r="B32" s="105">
        <f t="shared" ca="1" si="22"/>
        <v>39</v>
      </c>
      <c r="C32" t="str">
        <f t="shared" ca="1" si="23"/>
        <v>Mon</v>
      </c>
      <c r="D32" s="1862">
        <f t="shared" ca="1" si="20"/>
        <v>45194</v>
      </c>
      <c r="E32" s="2784">
        <f ca="1">DAY(Table1[[#This Row],[Date]])</f>
        <v>25</v>
      </c>
      <c r="F32" t="str">
        <f ca="1">TEXT(Table1[[#This Row],[Date]],"MMMM")</f>
        <v>September</v>
      </c>
      <c r="G32" t="str">
        <f t="shared" ca="1" si="24"/>
        <v>2023</v>
      </c>
      <c r="H32" s="2783"/>
      <c r="I32" s="2365"/>
      <c r="J32" s="2365"/>
      <c r="K32" s="2365"/>
      <c r="L32" s="2365"/>
      <c r="M32" s="2365"/>
      <c r="N32" s="2365"/>
      <c r="O32" s="2365"/>
      <c r="P32" s="2365"/>
      <c r="Q32" s="2365"/>
      <c r="R32" s="2365"/>
      <c r="S32" s="2365"/>
      <c r="T32" s="2365"/>
      <c r="U32" s="2794"/>
      <c r="V32" s="2365"/>
      <c r="W32" s="105" t="str">
        <f t="shared" si="25"/>
        <v/>
      </c>
      <c r="X32" t="str">
        <f t="shared" si="26"/>
        <v/>
      </c>
      <c r="Y32" t="str">
        <f t="shared" si="27"/>
        <v/>
      </c>
      <c r="Z32" t="str">
        <f t="shared" si="28"/>
        <v/>
      </c>
      <c r="AA32" t="str">
        <f t="shared" si="29"/>
        <v/>
      </c>
      <c r="AB32">
        <f t="shared" si="30"/>
        <v>0</v>
      </c>
      <c r="AD32" s="2792" t="e">
        <f>Table1[[#This Row],[TotalM]]/Table1[[#This Row],[Max]]</f>
        <v>#DIV/0!</v>
      </c>
    </row>
    <row r="33" spans="1:30" outlineLevel="1" x14ac:dyDescent="0.35">
      <c r="B33" s="105">
        <f t="shared" ca="1" si="22"/>
        <v>39</v>
      </c>
      <c r="C33" t="str">
        <f t="shared" ca="1" si="23"/>
        <v>Tue</v>
      </c>
      <c r="D33" s="1862">
        <f t="shared" ref="D33:D44" ca="1" si="31">D32+1</f>
        <v>45195</v>
      </c>
      <c r="E33" s="2784">
        <f ca="1">DAY(Table1[[#This Row],[Date]])</f>
        <v>26</v>
      </c>
      <c r="F33" t="str">
        <f ca="1">TEXT(Table1[[#This Row],[Date]],"MMMM")</f>
        <v>September</v>
      </c>
      <c r="G33" t="str">
        <f t="shared" ca="1" si="24"/>
        <v>2023</v>
      </c>
      <c r="H33" s="2783"/>
      <c r="I33" s="2365"/>
      <c r="J33" s="2365"/>
      <c r="K33" s="2365"/>
      <c r="L33" s="2365"/>
      <c r="M33" s="2365"/>
      <c r="N33" s="2365"/>
      <c r="O33" s="2365"/>
      <c r="P33" s="2365"/>
      <c r="Q33" s="2365"/>
      <c r="R33" s="2365"/>
      <c r="S33" s="2365"/>
      <c r="T33" s="2365"/>
      <c r="U33" s="2794"/>
      <c r="V33" s="2365"/>
      <c r="W33" s="105" t="str">
        <f t="shared" si="25"/>
        <v/>
      </c>
      <c r="X33" t="str">
        <f t="shared" si="26"/>
        <v/>
      </c>
      <c r="Y33" t="str">
        <f t="shared" si="27"/>
        <v/>
      </c>
      <c r="Z33" t="str">
        <f t="shared" si="28"/>
        <v/>
      </c>
      <c r="AA33" t="str">
        <f t="shared" si="29"/>
        <v/>
      </c>
      <c r="AB33">
        <f t="shared" si="30"/>
        <v>0</v>
      </c>
      <c r="AD33" s="2792" t="e">
        <f>Table1[[#This Row],[TotalM]]/Table1[[#This Row],[Max]]</f>
        <v>#DIV/0!</v>
      </c>
    </row>
    <row r="34" spans="1:30" outlineLevel="1" x14ac:dyDescent="0.35">
      <c r="B34" s="105">
        <f t="shared" ca="1" si="22"/>
        <v>39</v>
      </c>
      <c r="C34" t="str">
        <f t="shared" ca="1" si="23"/>
        <v>Wed</v>
      </c>
      <c r="D34" s="1862">
        <f t="shared" ca="1" si="31"/>
        <v>45196</v>
      </c>
      <c r="E34" s="2784">
        <f ca="1">DAY(Table1[[#This Row],[Date]])</f>
        <v>27</v>
      </c>
      <c r="F34" t="str">
        <f ca="1">TEXT(Table1[[#This Row],[Date]],"MMMM")</f>
        <v>September</v>
      </c>
      <c r="G34" t="str">
        <f t="shared" ca="1" si="24"/>
        <v>2023</v>
      </c>
      <c r="H34" s="2783"/>
      <c r="I34" s="2365"/>
      <c r="J34" s="2365"/>
      <c r="K34" s="2365"/>
      <c r="L34" s="2365"/>
      <c r="M34" s="2365"/>
      <c r="N34" s="2365"/>
      <c r="O34" s="2365"/>
      <c r="P34" s="2365"/>
      <c r="Q34" s="2365"/>
      <c r="R34" s="2365"/>
      <c r="S34" s="2365"/>
      <c r="T34" s="2365"/>
      <c r="U34" s="2794"/>
      <c r="V34" s="2365"/>
      <c r="W34" s="105" t="str">
        <f t="shared" si="25"/>
        <v/>
      </c>
      <c r="X34" t="str">
        <f t="shared" si="26"/>
        <v/>
      </c>
      <c r="Y34" t="str">
        <f t="shared" si="27"/>
        <v/>
      </c>
      <c r="Z34" t="str">
        <f t="shared" si="28"/>
        <v/>
      </c>
      <c r="AA34" t="str">
        <f t="shared" si="29"/>
        <v/>
      </c>
      <c r="AB34">
        <f t="shared" si="30"/>
        <v>0</v>
      </c>
      <c r="AD34" s="2792" t="e">
        <f>Table1[[#This Row],[TotalM]]/Table1[[#This Row],[Max]]</f>
        <v>#DIV/0!</v>
      </c>
    </row>
    <row r="35" spans="1:30" ht="16" outlineLevel="1" thickBot="1" x14ac:dyDescent="0.4">
      <c r="A35" s="40"/>
      <c r="B35" s="105">
        <f t="shared" ca="1" si="22"/>
        <v>39</v>
      </c>
      <c r="C35" t="str">
        <f t="shared" ca="1" si="23"/>
        <v>Thu</v>
      </c>
      <c r="D35" s="1862">
        <f t="shared" ca="1" si="31"/>
        <v>45197</v>
      </c>
      <c r="E35" s="2784">
        <f ca="1">DAY(Table1[[#This Row],[Date]])</f>
        <v>28</v>
      </c>
      <c r="F35" t="str">
        <f ca="1">TEXT(Table1[[#This Row],[Date]],"MMMM")</f>
        <v>September</v>
      </c>
      <c r="G35" t="str">
        <f t="shared" ca="1" si="24"/>
        <v>2023</v>
      </c>
      <c r="H35" s="2783"/>
      <c r="I35" s="2365"/>
      <c r="J35" s="2365"/>
      <c r="K35" s="2365"/>
      <c r="L35" s="2365"/>
      <c r="M35" s="2365"/>
      <c r="N35" s="2365"/>
      <c r="O35" s="2365"/>
      <c r="P35" s="2365"/>
      <c r="Q35" s="2365"/>
      <c r="R35" s="2365"/>
      <c r="S35" s="2365"/>
      <c r="T35" s="2365"/>
      <c r="U35" s="2794"/>
      <c r="V35" s="2365"/>
      <c r="W35" s="105" t="str">
        <f t="shared" si="25"/>
        <v/>
      </c>
      <c r="X35" t="str">
        <f t="shared" si="26"/>
        <v/>
      </c>
      <c r="Y35" t="str">
        <f t="shared" si="27"/>
        <v/>
      </c>
      <c r="Z35" t="str">
        <f t="shared" si="28"/>
        <v/>
      </c>
      <c r="AA35" t="str">
        <f t="shared" si="29"/>
        <v/>
      </c>
      <c r="AB35">
        <f t="shared" si="30"/>
        <v>0</v>
      </c>
      <c r="AD35" s="2792" t="e">
        <f>Table1[[#This Row],[TotalM]]/Table1[[#This Row],[Max]]</f>
        <v>#DIV/0!</v>
      </c>
    </row>
    <row r="36" spans="1:30" outlineLevel="1" x14ac:dyDescent="0.35">
      <c r="B36" s="105">
        <f t="shared" ca="1" si="22"/>
        <v>39</v>
      </c>
      <c r="C36" t="str">
        <f t="shared" ca="1" si="23"/>
        <v>Fri</v>
      </c>
      <c r="D36" s="1862">
        <f t="shared" ca="1" si="31"/>
        <v>45198</v>
      </c>
      <c r="E36" s="2784">
        <f ca="1">DAY(Table1[[#This Row],[Date]])</f>
        <v>29</v>
      </c>
      <c r="F36" t="str">
        <f ca="1">TEXT(Table1[[#This Row],[Date]],"MMMM")</f>
        <v>September</v>
      </c>
      <c r="G36" t="str">
        <f t="shared" ca="1" si="24"/>
        <v>2023</v>
      </c>
      <c r="H36" s="2783"/>
      <c r="I36" s="2365"/>
      <c r="J36" s="2365"/>
      <c r="K36" s="2365"/>
      <c r="L36" s="2365"/>
      <c r="M36" s="2365"/>
      <c r="N36" s="2365"/>
      <c r="O36" s="2365"/>
      <c r="P36" s="2365"/>
      <c r="Q36" s="2365"/>
      <c r="R36" s="2365"/>
      <c r="S36" s="2365"/>
      <c r="T36" s="2365"/>
      <c r="U36" s="2794"/>
      <c r="V36" s="2365"/>
      <c r="W36" s="105" t="str">
        <f t="shared" si="25"/>
        <v/>
      </c>
      <c r="X36" t="str">
        <f t="shared" si="26"/>
        <v/>
      </c>
      <c r="Y36" t="str">
        <f t="shared" si="27"/>
        <v/>
      </c>
      <c r="Z36" t="str">
        <f t="shared" si="28"/>
        <v/>
      </c>
      <c r="AA36" t="str">
        <f t="shared" si="29"/>
        <v/>
      </c>
      <c r="AB36">
        <f t="shared" si="30"/>
        <v>0</v>
      </c>
      <c r="AD36" s="2792" t="e">
        <f>Table1[[#This Row],[TotalM]]/Table1[[#This Row],[Max]]</f>
        <v>#DIV/0!</v>
      </c>
    </row>
    <row r="37" spans="1:30" ht="16" outlineLevel="1" thickBot="1" x14ac:dyDescent="0.4">
      <c r="B37" s="102">
        <f t="shared" ca="1" si="22"/>
        <v>39</v>
      </c>
      <c r="C37" s="40" t="str">
        <f t="shared" ca="1" si="23"/>
        <v>Sat</v>
      </c>
      <c r="D37" s="2820">
        <f t="shared" ca="1" si="31"/>
        <v>45199</v>
      </c>
      <c r="E37" s="2784">
        <f ca="1">DAY(Table1[[#This Row],[Date]])</f>
        <v>30</v>
      </c>
      <c r="F37" t="str">
        <f ca="1">TEXT(Table1[[#This Row],[Date]],"MMMM")</f>
        <v>September</v>
      </c>
      <c r="G37" t="str">
        <f t="shared" ca="1" si="24"/>
        <v>2023</v>
      </c>
      <c r="H37" s="2783"/>
      <c r="I37" s="2365"/>
      <c r="J37" s="2365"/>
      <c r="K37" s="2365"/>
      <c r="L37" s="2365"/>
      <c r="M37" s="2365"/>
      <c r="N37" s="2365"/>
      <c r="O37" s="2365"/>
      <c r="P37" s="2365"/>
      <c r="Q37" s="2365"/>
      <c r="R37" s="2365"/>
      <c r="S37" s="2365"/>
      <c r="T37" s="2365"/>
      <c r="U37" s="2794"/>
      <c r="V37" s="2365"/>
      <c r="W37" s="105" t="str">
        <f t="shared" si="25"/>
        <v/>
      </c>
      <c r="X37" t="str">
        <f t="shared" si="26"/>
        <v/>
      </c>
      <c r="Y37" t="str">
        <f t="shared" si="27"/>
        <v/>
      </c>
      <c r="Z37" t="str">
        <f t="shared" si="28"/>
        <v/>
      </c>
      <c r="AA37" t="str">
        <f t="shared" si="29"/>
        <v/>
      </c>
      <c r="AB37">
        <f t="shared" si="30"/>
        <v>0</v>
      </c>
      <c r="AD37" s="2792" t="e">
        <f>Table1[[#This Row],[TotalM]]/Table1[[#This Row],[Max]]</f>
        <v>#DIV/0!</v>
      </c>
    </row>
    <row r="38" spans="1:30" outlineLevel="1" x14ac:dyDescent="0.35">
      <c r="B38" s="105">
        <f t="shared" ca="1" si="22"/>
        <v>40</v>
      </c>
      <c r="C38" t="str">
        <f t="shared" ca="1" si="23"/>
        <v>Sun</v>
      </c>
      <c r="D38" s="1862">
        <f t="shared" ca="1" si="31"/>
        <v>45200</v>
      </c>
      <c r="E38" s="2789">
        <f ca="1">DAY(Table1[[#This Row],[Date]])</f>
        <v>1</v>
      </c>
      <c r="F38" s="64" t="str">
        <f ca="1">TEXT(Table1[[#This Row],[Date]],"MMMM")</f>
        <v>October</v>
      </c>
      <c r="G38" s="64" t="str">
        <f t="shared" ca="1" si="24"/>
        <v>2023</v>
      </c>
      <c r="H38" s="2790"/>
      <c r="I38" s="2791"/>
      <c r="J38" s="2791"/>
      <c r="K38" s="2791"/>
      <c r="L38" s="2791"/>
      <c r="M38" s="2791"/>
      <c r="N38" s="2791"/>
      <c r="O38" s="2791"/>
      <c r="P38" s="2791"/>
      <c r="Q38" s="2791"/>
      <c r="R38" s="2791"/>
      <c r="S38" s="2791"/>
      <c r="T38" s="2791"/>
      <c r="U38" s="2796"/>
      <c r="V38" s="2791"/>
      <c r="W38" s="62" t="str">
        <f t="shared" si="25"/>
        <v/>
      </c>
      <c r="X38" s="64" t="str">
        <f t="shared" si="26"/>
        <v/>
      </c>
      <c r="Y38" s="64" t="str">
        <f t="shared" si="27"/>
        <v/>
      </c>
      <c r="Z38" s="64" t="str">
        <f t="shared" si="28"/>
        <v/>
      </c>
      <c r="AA38" s="64" t="str">
        <f t="shared" si="29"/>
        <v/>
      </c>
      <c r="AB38" s="64">
        <f t="shared" si="30"/>
        <v>0</v>
      </c>
      <c r="AC38" s="64"/>
      <c r="AD38" s="2809" t="e">
        <f>Table1[[#This Row],[TotalM]]/Table1[[#This Row],[Max]]</f>
        <v>#DIV/0!</v>
      </c>
    </row>
    <row r="39" spans="1:30" outlineLevel="1" x14ac:dyDescent="0.35">
      <c r="B39" s="105">
        <f t="shared" ca="1" si="22"/>
        <v>40</v>
      </c>
      <c r="C39" t="str">
        <f t="shared" ca="1" si="23"/>
        <v>Mon</v>
      </c>
      <c r="D39" s="1862">
        <f t="shared" ca="1" si="31"/>
        <v>45201</v>
      </c>
      <c r="E39" s="2784">
        <f ca="1">DAY(Table1[[#This Row],[Date]])</f>
        <v>2</v>
      </c>
      <c r="F39" t="str">
        <f ca="1">TEXT(Table1[[#This Row],[Date]],"MMMM")</f>
        <v>October</v>
      </c>
      <c r="G39" t="str">
        <f t="shared" ca="1" si="24"/>
        <v>2023</v>
      </c>
      <c r="H39" s="2783"/>
      <c r="I39" s="2365"/>
      <c r="J39" s="2365"/>
      <c r="K39" s="2365"/>
      <c r="L39" s="2365"/>
      <c r="M39" s="2365"/>
      <c r="N39" s="2365"/>
      <c r="O39" s="2365"/>
      <c r="P39" s="2365"/>
      <c r="Q39" s="2365"/>
      <c r="R39" s="2365"/>
      <c r="S39" s="2365"/>
      <c r="T39" s="2365"/>
      <c r="U39" s="2794"/>
      <c r="V39" s="2365"/>
      <c r="W39" s="105" t="str">
        <f t="shared" si="25"/>
        <v/>
      </c>
      <c r="X39" t="str">
        <f t="shared" si="26"/>
        <v/>
      </c>
      <c r="Y39" t="str">
        <f t="shared" si="27"/>
        <v/>
      </c>
      <c r="Z39" t="str">
        <f t="shared" si="28"/>
        <v/>
      </c>
      <c r="AA39" t="str">
        <f t="shared" si="29"/>
        <v/>
      </c>
      <c r="AB39">
        <f t="shared" si="30"/>
        <v>0</v>
      </c>
      <c r="AD39" s="2792" t="e">
        <f>Table1[[#This Row],[TotalM]]/Table1[[#This Row],[Max]]</f>
        <v>#DIV/0!</v>
      </c>
    </row>
    <row r="40" spans="1:30" outlineLevel="1" x14ac:dyDescent="0.35">
      <c r="B40" s="105">
        <f t="shared" ca="1" si="22"/>
        <v>40</v>
      </c>
      <c r="C40" t="str">
        <f t="shared" ca="1" si="23"/>
        <v>Tue</v>
      </c>
      <c r="D40" s="1862">
        <f t="shared" ca="1" si="31"/>
        <v>45202</v>
      </c>
      <c r="E40" s="2784">
        <f ca="1">DAY(Table1[[#This Row],[Date]])</f>
        <v>3</v>
      </c>
      <c r="F40" t="str">
        <f ca="1">TEXT(Table1[[#This Row],[Date]],"MMMM")</f>
        <v>October</v>
      </c>
      <c r="G40" t="str">
        <f t="shared" ca="1" si="24"/>
        <v>2023</v>
      </c>
      <c r="H40" s="2783"/>
      <c r="I40" s="2365"/>
      <c r="J40" s="2365"/>
      <c r="K40" s="2365"/>
      <c r="L40" s="2365"/>
      <c r="M40" s="2365"/>
      <c r="N40" s="2365"/>
      <c r="O40" s="2365"/>
      <c r="P40" s="2365"/>
      <c r="Q40" s="2365"/>
      <c r="R40" s="2365"/>
      <c r="S40" s="2365"/>
      <c r="T40" s="2365"/>
      <c r="U40" s="2794"/>
      <c r="V40" s="2365"/>
      <c r="W40" s="105" t="str">
        <f t="shared" si="25"/>
        <v/>
      </c>
      <c r="X40" t="str">
        <f t="shared" si="26"/>
        <v/>
      </c>
      <c r="Y40" t="str">
        <f t="shared" si="27"/>
        <v/>
      </c>
      <c r="Z40" t="str">
        <f t="shared" si="28"/>
        <v/>
      </c>
      <c r="AA40" t="str">
        <f t="shared" si="29"/>
        <v/>
      </c>
      <c r="AB40">
        <f t="shared" si="30"/>
        <v>0</v>
      </c>
      <c r="AD40" s="2792" t="e">
        <f>Table1[[#This Row],[TotalM]]/Table1[[#This Row],[Max]]</f>
        <v>#DIV/0!</v>
      </c>
    </row>
    <row r="41" spans="1:30" outlineLevel="1" x14ac:dyDescent="0.35">
      <c r="B41" s="105">
        <f t="shared" ca="1" si="22"/>
        <v>40</v>
      </c>
      <c r="C41" t="str">
        <f t="shared" ca="1" si="23"/>
        <v>Wed</v>
      </c>
      <c r="D41" s="1862">
        <f t="shared" ca="1" si="31"/>
        <v>45203</v>
      </c>
      <c r="E41" s="2784">
        <f ca="1">DAY(Table1[[#This Row],[Date]])</f>
        <v>4</v>
      </c>
      <c r="F41" t="str">
        <f ca="1">TEXT(Table1[[#This Row],[Date]],"MMMM")</f>
        <v>October</v>
      </c>
      <c r="G41" t="str">
        <f t="shared" ca="1" si="24"/>
        <v>2023</v>
      </c>
      <c r="H41" s="2783"/>
      <c r="I41" s="2365"/>
      <c r="J41" s="2365"/>
      <c r="K41" s="2365"/>
      <c r="L41" s="2365"/>
      <c r="M41" s="2365"/>
      <c r="N41" s="2365"/>
      <c r="O41" s="2365"/>
      <c r="P41" s="2365"/>
      <c r="Q41" s="2365"/>
      <c r="R41" s="2365"/>
      <c r="S41" s="2365"/>
      <c r="T41" s="2365"/>
      <c r="U41" s="2794"/>
      <c r="V41" s="2365"/>
      <c r="W41" s="105" t="str">
        <f t="shared" si="25"/>
        <v/>
      </c>
      <c r="X41" t="str">
        <f t="shared" si="26"/>
        <v/>
      </c>
      <c r="Y41" t="str">
        <f t="shared" si="27"/>
        <v/>
      </c>
      <c r="Z41" t="str">
        <f t="shared" si="28"/>
        <v/>
      </c>
      <c r="AA41" t="str">
        <f t="shared" si="29"/>
        <v/>
      </c>
      <c r="AB41">
        <f t="shared" si="30"/>
        <v>0</v>
      </c>
      <c r="AD41" s="2792" t="e">
        <f>Table1[[#This Row],[TotalM]]/Table1[[#This Row],[Max]]</f>
        <v>#DIV/0!</v>
      </c>
    </row>
    <row r="42" spans="1:30" outlineLevel="1" x14ac:dyDescent="0.35">
      <c r="B42" s="105">
        <f t="shared" ca="1" si="22"/>
        <v>40</v>
      </c>
      <c r="C42" t="str">
        <f t="shared" ca="1" si="23"/>
        <v>Thu</v>
      </c>
      <c r="D42" s="1862">
        <f t="shared" ca="1" si="31"/>
        <v>45204</v>
      </c>
      <c r="E42" s="2784">
        <f ca="1">DAY(Table1[[#This Row],[Date]])</f>
        <v>5</v>
      </c>
      <c r="F42" t="str">
        <f ca="1">TEXT(Table1[[#This Row],[Date]],"MMMM")</f>
        <v>October</v>
      </c>
      <c r="G42" t="str">
        <f t="shared" ca="1" si="24"/>
        <v>2023</v>
      </c>
      <c r="H42" s="2783"/>
      <c r="I42" s="2365"/>
      <c r="J42" s="2365"/>
      <c r="K42" s="2365"/>
      <c r="L42" s="2365"/>
      <c r="M42" s="2365"/>
      <c r="N42" s="2365"/>
      <c r="O42" s="2365"/>
      <c r="P42" s="2365"/>
      <c r="Q42" s="2365"/>
      <c r="R42" s="2365"/>
      <c r="S42" s="2365"/>
      <c r="T42" s="2365"/>
      <c r="U42" s="2794"/>
      <c r="V42" s="2365"/>
      <c r="W42" s="105" t="str">
        <f t="shared" si="25"/>
        <v/>
      </c>
      <c r="X42" t="str">
        <f t="shared" si="26"/>
        <v/>
      </c>
      <c r="Y42" t="str">
        <f t="shared" si="27"/>
        <v/>
      </c>
      <c r="Z42" t="str">
        <f t="shared" si="28"/>
        <v/>
      </c>
      <c r="AA42" t="str">
        <f t="shared" si="29"/>
        <v/>
      </c>
      <c r="AB42">
        <f t="shared" si="30"/>
        <v>0</v>
      </c>
      <c r="AD42" s="2792" t="e">
        <f>Table1[[#This Row],[TotalM]]/Table1[[#This Row],[Max]]</f>
        <v>#DIV/0!</v>
      </c>
    </row>
    <row r="43" spans="1:30" outlineLevel="1" x14ac:dyDescent="0.35">
      <c r="B43" s="105">
        <f t="shared" ca="1" si="22"/>
        <v>40</v>
      </c>
      <c r="C43" t="str">
        <f t="shared" ca="1" si="23"/>
        <v>Fri</v>
      </c>
      <c r="D43" s="1862">
        <f t="shared" ca="1" si="31"/>
        <v>45205</v>
      </c>
      <c r="E43" s="2784">
        <f ca="1">DAY(Table1[[#This Row],[Date]])</f>
        <v>6</v>
      </c>
      <c r="F43" t="str">
        <f ca="1">TEXT(Table1[[#This Row],[Date]],"MMMM")</f>
        <v>October</v>
      </c>
      <c r="G43" t="str">
        <f t="shared" ca="1" si="24"/>
        <v>2023</v>
      </c>
      <c r="H43" s="2783"/>
      <c r="I43" s="2365"/>
      <c r="J43" s="2365"/>
      <c r="K43" s="2365"/>
      <c r="L43" s="2365"/>
      <c r="M43" s="2365"/>
      <c r="N43" s="2365"/>
      <c r="O43" s="2365"/>
      <c r="P43" s="2365"/>
      <c r="Q43" s="2365"/>
      <c r="R43" s="2365"/>
      <c r="S43" s="2365"/>
      <c r="T43" s="2365"/>
      <c r="U43" s="2794"/>
      <c r="V43" s="2365"/>
      <c r="W43" s="105" t="str">
        <f t="shared" si="25"/>
        <v/>
      </c>
      <c r="X43" t="str">
        <f t="shared" si="26"/>
        <v/>
      </c>
      <c r="Y43" t="str">
        <f t="shared" si="27"/>
        <v/>
      </c>
      <c r="Z43" t="str">
        <f t="shared" si="28"/>
        <v/>
      </c>
      <c r="AA43" t="str">
        <f t="shared" si="29"/>
        <v/>
      </c>
      <c r="AB43">
        <f t="shared" si="30"/>
        <v>0</v>
      </c>
      <c r="AD43" s="2792" t="e">
        <f>Table1[[#This Row],[TotalM]]/Table1[[#This Row],[Max]]</f>
        <v>#DIV/0!</v>
      </c>
    </row>
    <row r="44" spans="1:30" outlineLevel="1" x14ac:dyDescent="0.35">
      <c r="B44" s="105">
        <f t="shared" ca="1" si="22"/>
        <v>40</v>
      </c>
      <c r="C44" t="str">
        <f t="shared" ca="1" si="23"/>
        <v>Sat</v>
      </c>
      <c r="D44" s="1862">
        <f t="shared" ca="1" si="31"/>
        <v>45206</v>
      </c>
      <c r="E44" s="2784">
        <f ca="1">DAY(Table1[[#This Row],[Date]])</f>
        <v>7</v>
      </c>
      <c r="F44" t="str">
        <f ca="1">TEXT(Table1[[#This Row],[Date]],"MMMM")</f>
        <v>October</v>
      </c>
      <c r="G44" t="str">
        <f t="shared" ca="1" si="24"/>
        <v>2023</v>
      </c>
      <c r="H44" s="2783"/>
      <c r="I44" s="2365"/>
      <c r="J44" s="2365"/>
      <c r="K44" s="2365"/>
      <c r="L44" s="2365"/>
      <c r="M44" s="2365"/>
      <c r="N44" s="2365"/>
      <c r="O44" s="2365"/>
      <c r="P44" s="2365"/>
      <c r="Q44" s="2365"/>
      <c r="R44" s="2365"/>
      <c r="S44" s="2365"/>
      <c r="T44" s="2365"/>
      <c r="U44" s="2794"/>
      <c r="V44" s="2365"/>
      <c r="W44" s="105" t="str">
        <f t="shared" si="25"/>
        <v/>
      </c>
      <c r="X44" t="str">
        <f t="shared" si="26"/>
        <v/>
      </c>
      <c r="Y44" t="str">
        <f t="shared" si="27"/>
        <v/>
      </c>
      <c r="Z44" t="str">
        <f t="shared" si="28"/>
        <v/>
      </c>
      <c r="AA44" t="str">
        <f t="shared" si="29"/>
        <v/>
      </c>
      <c r="AB44">
        <f t="shared" si="30"/>
        <v>0</v>
      </c>
      <c r="AD44" s="2792" t="e">
        <f>Table1[[#This Row],[TotalM]]/Table1[[#This Row],[Max]]</f>
        <v>#DIV/0!</v>
      </c>
    </row>
    <row r="45" spans="1:30" outlineLevel="1" x14ac:dyDescent="0.35">
      <c r="D45"/>
    </row>
    <row r="46" spans="1:30" outlineLevel="1" x14ac:dyDescent="0.35">
      <c r="D46"/>
    </row>
    <row r="47" spans="1:30" outlineLevel="1" x14ac:dyDescent="0.35">
      <c r="D47"/>
    </row>
    <row r="48" spans="1:30" outlineLevel="1" x14ac:dyDescent="0.35">
      <c r="D48"/>
    </row>
    <row r="49" spans="4:4" outlineLevel="1" x14ac:dyDescent="0.35">
      <c r="D49"/>
    </row>
    <row r="50" spans="4:4" outlineLevel="1" x14ac:dyDescent="0.35">
      <c r="D50"/>
    </row>
    <row r="51" spans="4:4" outlineLevel="1" x14ac:dyDescent="0.35">
      <c r="D51"/>
    </row>
    <row r="52" spans="4:4" outlineLevel="1" x14ac:dyDescent="0.35">
      <c r="D52"/>
    </row>
    <row r="53" spans="4:4" outlineLevel="1" x14ac:dyDescent="0.35">
      <c r="D53"/>
    </row>
    <row r="54" spans="4:4" outlineLevel="1" x14ac:dyDescent="0.35">
      <c r="D54"/>
    </row>
    <row r="55" spans="4:4" outlineLevel="1" x14ac:dyDescent="0.35">
      <c r="D55"/>
    </row>
    <row r="56" spans="4:4" outlineLevel="1" x14ac:dyDescent="0.35">
      <c r="D56"/>
    </row>
    <row r="57" spans="4:4" outlineLevel="1" x14ac:dyDescent="0.35">
      <c r="D57"/>
    </row>
    <row r="58" spans="4:4" outlineLevel="1" x14ac:dyDescent="0.35">
      <c r="D58"/>
    </row>
    <row r="59" spans="4:4" outlineLevel="1" x14ac:dyDescent="0.35">
      <c r="D59"/>
    </row>
    <row r="60" spans="4:4" outlineLevel="1" x14ac:dyDescent="0.35">
      <c r="D60"/>
    </row>
    <row r="61" spans="4:4" outlineLevel="1" x14ac:dyDescent="0.35">
      <c r="D61"/>
    </row>
    <row r="62" spans="4:4" outlineLevel="1" x14ac:dyDescent="0.35">
      <c r="D62"/>
    </row>
    <row r="63" spans="4:4" outlineLevel="1" x14ac:dyDescent="0.35">
      <c r="D63"/>
    </row>
    <row r="64" spans="4:4" outlineLevel="1" x14ac:dyDescent="0.35">
      <c r="D64"/>
    </row>
    <row r="65" spans="4:4" outlineLevel="1" x14ac:dyDescent="0.35">
      <c r="D65"/>
    </row>
    <row r="66" spans="4:4" outlineLevel="1" x14ac:dyDescent="0.35">
      <c r="D66"/>
    </row>
    <row r="67" spans="4:4" outlineLevel="1" x14ac:dyDescent="0.35">
      <c r="D67"/>
    </row>
    <row r="68" spans="4:4" outlineLevel="1" x14ac:dyDescent="0.35">
      <c r="D68"/>
    </row>
    <row r="69" spans="4:4" outlineLevel="1" x14ac:dyDescent="0.35">
      <c r="D69"/>
    </row>
    <row r="70" spans="4:4" outlineLevel="1" x14ac:dyDescent="0.35">
      <c r="D70"/>
    </row>
    <row r="71" spans="4:4" outlineLevel="1" x14ac:dyDescent="0.35">
      <c r="D71"/>
    </row>
    <row r="72" spans="4:4" outlineLevel="1" x14ac:dyDescent="0.35">
      <c r="D72"/>
    </row>
    <row r="73" spans="4:4" outlineLevel="1" x14ac:dyDescent="0.35">
      <c r="D73"/>
    </row>
    <row r="74" spans="4:4" outlineLevel="1" x14ac:dyDescent="0.35">
      <c r="D74"/>
    </row>
    <row r="75" spans="4:4" outlineLevel="1" x14ac:dyDescent="0.35">
      <c r="D75"/>
    </row>
    <row r="76" spans="4:4" outlineLevel="1" x14ac:dyDescent="0.35">
      <c r="D76"/>
    </row>
    <row r="77" spans="4:4" outlineLevel="1" x14ac:dyDescent="0.35">
      <c r="D77"/>
    </row>
    <row r="78" spans="4:4" outlineLevel="1" x14ac:dyDescent="0.35">
      <c r="D78"/>
    </row>
    <row r="79" spans="4:4" outlineLevel="1" x14ac:dyDescent="0.35">
      <c r="D79"/>
    </row>
    <row r="80" spans="4:4" outlineLevel="1" x14ac:dyDescent="0.35">
      <c r="D80"/>
    </row>
    <row r="81" spans="4:4" outlineLevel="1" x14ac:dyDescent="0.35">
      <c r="D81"/>
    </row>
    <row r="82" spans="4:4" outlineLevel="1" x14ac:dyDescent="0.35">
      <c r="D82"/>
    </row>
    <row r="83" spans="4:4" outlineLevel="1" x14ac:dyDescent="0.35">
      <c r="D83"/>
    </row>
    <row r="84" spans="4:4" outlineLevel="1" x14ac:dyDescent="0.35">
      <c r="D84"/>
    </row>
    <row r="85" spans="4:4" outlineLevel="1" x14ac:dyDescent="0.35">
      <c r="D85"/>
    </row>
    <row r="86" spans="4:4" outlineLevel="1" x14ac:dyDescent="0.35">
      <c r="D86"/>
    </row>
    <row r="87" spans="4:4" outlineLevel="1" x14ac:dyDescent="0.35">
      <c r="D87"/>
    </row>
    <row r="88" spans="4:4" outlineLevel="1" x14ac:dyDescent="0.35">
      <c r="D88"/>
    </row>
    <row r="89" spans="4:4" outlineLevel="1" x14ac:dyDescent="0.35">
      <c r="D89"/>
    </row>
    <row r="90" spans="4:4" outlineLevel="1" x14ac:dyDescent="0.35">
      <c r="D90"/>
    </row>
    <row r="91" spans="4:4" outlineLevel="1" x14ac:dyDescent="0.35">
      <c r="D91"/>
    </row>
    <row r="92" spans="4:4" outlineLevel="1" x14ac:dyDescent="0.35">
      <c r="D92"/>
    </row>
    <row r="93" spans="4:4" outlineLevel="1" x14ac:dyDescent="0.35">
      <c r="D93"/>
    </row>
    <row r="94" spans="4:4" outlineLevel="1" x14ac:dyDescent="0.35">
      <c r="D94"/>
    </row>
    <row r="95" spans="4:4" outlineLevel="1" x14ac:dyDescent="0.35">
      <c r="D95"/>
    </row>
    <row r="96" spans="4:4" outlineLevel="1" x14ac:dyDescent="0.35">
      <c r="D96"/>
    </row>
    <row r="97" spans="4:4" outlineLevel="1" x14ac:dyDescent="0.35">
      <c r="D97"/>
    </row>
    <row r="98" spans="4:4" outlineLevel="1" x14ac:dyDescent="0.35">
      <c r="D98"/>
    </row>
    <row r="99" spans="4:4" outlineLevel="1" x14ac:dyDescent="0.35">
      <c r="D99"/>
    </row>
    <row r="100" spans="4:4" outlineLevel="1" x14ac:dyDescent="0.35">
      <c r="D100"/>
    </row>
    <row r="101" spans="4:4" outlineLevel="1" x14ac:dyDescent="0.35">
      <c r="D101"/>
    </row>
    <row r="102" spans="4:4" outlineLevel="1" x14ac:dyDescent="0.35">
      <c r="D102"/>
    </row>
    <row r="103" spans="4:4" outlineLevel="1" x14ac:dyDescent="0.35">
      <c r="D103"/>
    </row>
    <row r="104" spans="4:4" outlineLevel="1" x14ac:dyDescent="0.35">
      <c r="D104"/>
    </row>
    <row r="105" spans="4:4" outlineLevel="1" x14ac:dyDescent="0.35">
      <c r="D105"/>
    </row>
    <row r="106" spans="4:4" outlineLevel="1" x14ac:dyDescent="0.35">
      <c r="D106"/>
    </row>
    <row r="107" spans="4:4" outlineLevel="1" x14ac:dyDescent="0.35">
      <c r="D107"/>
    </row>
    <row r="108" spans="4:4" outlineLevel="1" x14ac:dyDescent="0.35">
      <c r="D108"/>
    </row>
    <row r="109" spans="4:4" outlineLevel="1" x14ac:dyDescent="0.35">
      <c r="D109"/>
    </row>
    <row r="110" spans="4:4" outlineLevel="1" x14ac:dyDescent="0.35">
      <c r="D110"/>
    </row>
    <row r="111" spans="4:4" outlineLevel="1" x14ac:dyDescent="0.35">
      <c r="D111"/>
    </row>
    <row r="112" spans="4:4" outlineLevel="1" x14ac:dyDescent="0.35">
      <c r="D112"/>
    </row>
    <row r="113" spans="4:4" outlineLevel="1" x14ac:dyDescent="0.35">
      <c r="D113"/>
    </row>
    <row r="114" spans="4:4" outlineLevel="1" x14ac:dyDescent="0.35">
      <c r="D114"/>
    </row>
    <row r="115" spans="4:4" outlineLevel="1" x14ac:dyDescent="0.35">
      <c r="D115"/>
    </row>
    <row r="116" spans="4:4" outlineLevel="1" x14ac:dyDescent="0.35">
      <c r="D116"/>
    </row>
    <row r="117" spans="4:4" outlineLevel="1" x14ac:dyDescent="0.35">
      <c r="D117"/>
    </row>
    <row r="118" spans="4:4" outlineLevel="1" x14ac:dyDescent="0.35">
      <c r="D118"/>
    </row>
    <row r="119" spans="4:4" outlineLevel="1" x14ac:dyDescent="0.35">
      <c r="D119"/>
    </row>
    <row r="120" spans="4:4" outlineLevel="1" x14ac:dyDescent="0.35">
      <c r="D120"/>
    </row>
    <row r="121" spans="4:4" outlineLevel="1" x14ac:dyDescent="0.35">
      <c r="D121"/>
    </row>
    <row r="122" spans="4:4" outlineLevel="1" x14ac:dyDescent="0.35">
      <c r="D122"/>
    </row>
    <row r="123" spans="4:4" outlineLevel="1" x14ac:dyDescent="0.35">
      <c r="D123"/>
    </row>
    <row r="124" spans="4:4" outlineLevel="1" x14ac:dyDescent="0.35">
      <c r="D124"/>
    </row>
    <row r="125" spans="4:4" outlineLevel="1" x14ac:dyDescent="0.35">
      <c r="D125"/>
    </row>
    <row r="126" spans="4:4" outlineLevel="1" x14ac:dyDescent="0.35">
      <c r="D126"/>
    </row>
    <row r="127" spans="4:4" outlineLevel="1" x14ac:dyDescent="0.35">
      <c r="D127"/>
    </row>
    <row r="128" spans="4:4" outlineLevel="1" x14ac:dyDescent="0.35">
      <c r="D128"/>
    </row>
    <row r="129" spans="1:4" outlineLevel="1" x14ac:dyDescent="0.35">
      <c r="D129"/>
    </row>
    <row r="130" spans="1:4" outlineLevel="1" x14ac:dyDescent="0.35">
      <c r="D130"/>
    </row>
    <row r="131" spans="1:4" outlineLevel="1" x14ac:dyDescent="0.35">
      <c r="D131"/>
    </row>
    <row r="132" spans="1:4" outlineLevel="1" x14ac:dyDescent="0.35">
      <c r="D132"/>
    </row>
    <row r="133" spans="1:4" outlineLevel="1" x14ac:dyDescent="0.35">
      <c r="D133"/>
    </row>
    <row r="134" spans="1:4" outlineLevel="1" x14ac:dyDescent="0.35">
      <c r="D134"/>
    </row>
    <row r="135" spans="1:4" outlineLevel="1" x14ac:dyDescent="0.35">
      <c r="D135"/>
    </row>
    <row r="136" spans="1:4" outlineLevel="1" x14ac:dyDescent="0.35">
      <c r="D136"/>
    </row>
    <row r="137" spans="1:4" x14ac:dyDescent="0.35">
      <c r="D137"/>
    </row>
    <row r="138" spans="1:4" x14ac:dyDescent="0.35">
      <c r="D138"/>
    </row>
    <row r="139" spans="1:4" x14ac:dyDescent="0.35">
      <c r="A139">
        <v>1</v>
      </c>
      <c r="D139"/>
    </row>
    <row r="140" spans="1:4" x14ac:dyDescent="0.35">
      <c r="A140">
        <v>2</v>
      </c>
      <c r="D140"/>
    </row>
    <row r="141" spans="1:4" x14ac:dyDescent="0.35">
      <c r="A141">
        <v>3</v>
      </c>
      <c r="D141"/>
    </row>
    <row r="142" spans="1:4" x14ac:dyDescent="0.35">
      <c r="A142">
        <v>4</v>
      </c>
      <c r="D142"/>
    </row>
    <row r="143" spans="1:4" x14ac:dyDescent="0.35">
      <c r="A143">
        <v>5</v>
      </c>
      <c r="D143"/>
    </row>
    <row r="144" spans="1:4" x14ac:dyDescent="0.35">
      <c r="A144">
        <v>6</v>
      </c>
      <c r="D144"/>
    </row>
    <row r="145" spans="1:4" x14ac:dyDescent="0.35">
      <c r="A145">
        <v>7</v>
      </c>
      <c r="D145"/>
    </row>
    <row r="146" spans="1:4" x14ac:dyDescent="0.35">
      <c r="A146">
        <v>8</v>
      </c>
      <c r="D146"/>
    </row>
    <row r="147" spans="1:4" x14ac:dyDescent="0.35">
      <c r="A147">
        <v>9</v>
      </c>
      <c r="D147"/>
    </row>
    <row r="148" spans="1:4" x14ac:dyDescent="0.35">
      <c r="A148">
        <v>10</v>
      </c>
      <c r="D148"/>
    </row>
    <row r="149" spans="1:4" x14ac:dyDescent="0.35">
      <c r="D149"/>
    </row>
    <row r="150" spans="1:4" x14ac:dyDescent="0.35">
      <c r="D150"/>
    </row>
    <row r="151" spans="1:4" x14ac:dyDescent="0.35">
      <c r="D151"/>
    </row>
    <row r="152" spans="1:4" x14ac:dyDescent="0.35">
      <c r="D152"/>
    </row>
    <row r="153" spans="1:4" x14ac:dyDescent="0.35">
      <c r="D153"/>
    </row>
    <row r="154" spans="1:4" x14ac:dyDescent="0.35">
      <c r="D154"/>
    </row>
    <row r="155" spans="1:4" x14ac:dyDescent="0.35">
      <c r="D155"/>
    </row>
    <row r="156" spans="1:4" x14ac:dyDescent="0.35">
      <c r="D156"/>
    </row>
    <row r="157" spans="1:4" x14ac:dyDescent="0.35">
      <c r="D157"/>
    </row>
    <row r="158" spans="1:4" x14ac:dyDescent="0.35">
      <c r="D158"/>
    </row>
    <row r="159" spans="1:4" x14ac:dyDescent="0.35">
      <c r="D159"/>
    </row>
    <row r="160" spans="1:4" x14ac:dyDescent="0.35">
      <c r="D160"/>
    </row>
    <row r="161" spans="4:4" x14ac:dyDescent="0.35">
      <c r="D161"/>
    </row>
    <row r="162" spans="4:4" x14ac:dyDescent="0.35">
      <c r="D162"/>
    </row>
    <row r="163" spans="4:4" x14ac:dyDescent="0.35">
      <c r="D163"/>
    </row>
    <row r="164" spans="4:4" x14ac:dyDescent="0.35">
      <c r="D164"/>
    </row>
    <row r="165" spans="4:4" x14ac:dyDescent="0.35">
      <c r="D165"/>
    </row>
    <row r="166" spans="4:4" x14ac:dyDescent="0.35">
      <c r="D166"/>
    </row>
    <row r="167" spans="4:4" x14ac:dyDescent="0.35">
      <c r="D167"/>
    </row>
    <row r="168" spans="4:4" x14ac:dyDescent="0.35">
      <c r="D168"/>
    </row>
    <row r="169" spans="4:4" x14ac:dyDescent="0.35">
      <c r="D169"/>
    </row>
    <row r="170" spans="4:4" x14ac:dyDescent="0.35">
      <c r="D170"/>
    </row>
    <row r="171" spans="4:4" x14ac:dyDescent="0.35">
      <c r="D171"/>
    </row>
    <row r="172" spans="4:4" x14ac:dyDescent="0.35">
      <c r="D172"/>
    </row>
    <row r="173" spans="4:4" x14ac:dyDescent="0.35">
      <c r="D173"/>
    </row>
    <row r="174" spans="4:4" x14ac:dyDescent="0.35">
      <c r="D174"/>
    </row>
    <row r="175" spans="4:4" x14ac:dyDescent="0.35">
      <c r="D175"/>
    </row>
    <row r="176" spans="4:4" x14ac:dyDescent="0.35">
      <c r="D176"/>
    </row>
    <row r="177" spans="4:4" x14ac:dyDescent="0.35">
      <c r="D177"/>
    </row>
    <row r="178" spans="4:4" x14ac:dyDescent="0.35">
      <c r="D178"/>
    </row>
    <row r="179" spans="4:4" x14ac:dyDescent="0.35">
      <c r="D179"/>
    </row>
    <row r="180" spans="4:4" x14ac:dyDescent="0.35">
      <c r="D180"/>
    </row>
    <row r="181" spans="4:4" x14ac:dyDescent="0.35">
      <c r="D181"/>
    </row>
    <row r="182" spans="4:4" x14ac:dyDescent="0.35">
      <c r="D182"/>
    </row>
    <row r="183" spans="4:4" x14ac:dyDescent="0.35">
      <c r="D183"/>
    </row>
    <row r="184" spans="4:4" x14ac:dyDescent="0.35">
      <c r="D184"/>
    </row>
    <row r="185" spans="4:4" x14ac:dyDescent="0.35">
      <c r="D185"/>
    </row>
    <row r="186" spans="4:4" x14ac:dyDescent="0.35">
      <c r="D186"/>
    </row>
    <row r="187" spans="4:4" x14ac:dyDescent="0.35">
      <c r="D187"/>
    </row>
    <row r="188" spans="4:4" x14ac:dyDescent="0.35">
      <c r="D188"/>
    </row>
    <row r="189" spans="4:4" x14ac:dyDescent="0.35">
      <c r="D189"/>
    </row>
    <row r="190" spans="4:4" x14ac:dyDescent="0.35">
      <c r="D190"/>
    </row>
    <row r="191" spans="4:4" x14ac:dyDescent="0.35">
      <c r="D191"/>
    </row>
    <row r="192" spans="4:4" x14ac:dyDescent="0.35">
      <c r="D192"/>
    </row>
    <row r="193" spans="4:4" x14ac:dyDescent="0.35">
      <c r="D193"/>
    </row>
    <row r="194" spans="4:4" x14ac:dyDescent="0.35">
      <c r="D194"/>
    </row>
    <row r="195" spans="4:4" x14ac:dyDescent="0.35">
      <c r="D195"/>
    </row>
    <row r="196" spans="4:4" x14ac:dyDescent="0.35">
      <c r="D196"/>
    </row>
    <row r="197" spans="4:4" x14ac:dyDescent="0.35">
      <c r="D197"/>
    </row>
    <row r="198" spans="4:4" x14ac:dyDescent="0.35">
      <c r="D198"/>
    </row>
    <row r="199" spans="4:4" x14ac:dyDescent="0.35">
      <c r="D199"/>
    </row>
    <row r="200" spans="4:4" x14ac:dyDescent="0.35">
      <c r="D200"/>
    </row>
    <row r="201" spans="4:4" x14ac:dyDescent="0.35">
      <c r="D201"/>
    </row>
    <row r="202" spans="4:4" x14ac:dyDescent="0.35">
      <c r="D202"/>
    </row>
    <row r="203" spans="4:4" x14ac:dyDescent="0.35">
      <c r="D203"/>
    </row>
    <row r="204" spans="4:4" x14ac:dyDescent="0.35">
      <c r="D204"/>
    </row>
    <row r="205" spans="4:4" x14ac:dyDescent="0.35">
      <c r="D205"/>
    </row>
    <row r="206" spans="4:4" x14ac:dyDescent="0.35">
      <c r="D206"/>
    </row>
    <row r="207" spans="4:4" x14ac:dyDescent="0.35">
      <c r="D207"/>
    </row>
    <row r="208" spans="4:4" x14ac:dyDescent="0.35">
      <c r="D208"/>
    </row>
    <row r="209" spans="4:4" x14ac:dyDescent="0.35">
      <c r="D209"/>
    </row>
    <row r="210" spans="4:4" x14ac:dyDescent="0.35">
      <c r="D210"/>
    </row>
    <row r="211" spans="4:4" x14ac:dyDescent="0.35">
      <c r="D211"/>
    </row>
    <row r="212" spans="4:4" x14ac:dyDescent="0.35">
      <c r="D212"/>
    </row>
    <row r="213" spans="4:4" x14ac:dyDescent="0.35">
      <c r="D213"/>
    </row>
    <row r="214" spans="4:4" x14ac:dyDescent="0.35">
      <c r="D214"/>
    </row>
    <row r="215" spans="4:4" x14ac:dyDescent="0.35">
      <c r="D215"/>
    </row>
    <row r="216" spans="4:4" x14ac:dyDescent="0.35">
      <c r="D216"/>
    </row>
    <row r="217" spans="4:4" x14ac:dyDescent="0.35">
      <c r="D217"/>
    </row>
    <row r="218" spans="4:4" x14ac:dyDescent="0.35">
      <c r="D218"/>
    </row>
    <row r="219" spans="4:4" x14ac:dyDescent="0.35">
      <c r="D219"/>
    </row>
    <row r="220" spans="4:4" x14ac:dyDescent="0.35">
      <c r="D220"/>
    </row>
    <row r="221" spans="4:4" x14ac:dyDescent="0.35">
      <c r="D221"/>
    </row>
    <row r="222" spans="4:4" x14ac:dyDescent="0.35">
      <c r="D222"/>
    </row>
    <row r="223" spans="4:4" x14ac:dyDescent="0.35">
      <c r="D223"/>
    </row>
    <row r="224" spans="4:4" x14ac:dyDescent="0.35">
      <c r="D224"/>
    </row>
    <row r="225" spans="4:4" x14ac:dyDescent="0.35">
      <c r="D225"/>
    </row>
    <row r="226" spans="4:4" x14ac:dyDescent="0.35">
      <c r="D226"/>
    </row>
    <row r="227" spans="4:4" x14ac:dyDescent="0.35">
      <c r="D227"/>
    </row>
    <row r="228" spans="4:4" x14ac:dyDescent="0.35">
      <c r="D228"/>
    </row>
    <row r="229" spans="4:4" x14ac:dyDescent="0.35">
      <c r="D229"/>
    </row>
    <row r="230" spans="4:4" x14ac:dyDescent="0.35">
      <c r="D230"/>
    </row>
    <row r="231" spans="4:4" x14ac:dyDescent="0.35">
      <c r="D231"/>
    </row>
    <row r="232" spans="4:4" x14ac:dyDescent="0.35">
      <c r="D232"/>
    </row>
    <row r="233" spans="4:4" x14ac:dyDescent="0.35">
      <c r="D233"/>
    </row>
    <row r="234" spans="4:4" x14ac:dyDescent="0.35">
      <c r="D234"/>
    </row>
    <row r="235" spans="4:4" x14ac:dyDescent="0.35">
      <c r="D235"/>
    </row>
    <row r="236" spans="4:4" x14ac:dyDescent="0.35">
      <c r="D236"/>
    </row>
    <row r="237" spans="4:4" x14ac:dyDescent="0.35">
      <c r="D237"/>
    </row>
    <row r="238" spans="4:4" x14ac:dyDescent="0.35">
      <c r="D238"/>
    </row>
    <row r="239" spans="4:4" x14ac:dyDescent="0.35">
      <c r="D239"/>
    </row>
    <row r="240" spans="4:4" x14ac:dyDescent="0.35">
      <c r="D240"/>
    </row>
    <row r="241" spans="4:4" x14ac:dyDescent="0.35">
      <c r="D241"/>
    </row>
    <row r="242" spans="4:4" x14ac:dyDescent="0.35">
      <c r="D242"/>
    </row>
    <row r="243" spans="4:4" x14ac:dyDescent="0.35">
      <c r="D243"/>
    </row>
    <row r="244" spans="4:4" x14ac:dyDescent="0.35">
      <c r="D244"/>
    </row>
    <row r="245" spans="4:4" x14ac:dyDescent="0.35">
      <c r="D245"/>
    </row>
    <row r="246" spans="4:4" x14ac:dyDescent="0.35">
      <c r="D246"/>
    </row>
    <row r="247" spans="4:4" x14ac:dyDescent="0.35">
      <c r="D247"/>
    </row>
    <row r="248" spans="4:4" x14ac:dyDescent="0.35">
      <c r="D248"/>
    </row>
    <row r="249" spans="4:4" x14ac:dyDescent="0.35">
      <c r="D249"/>
    </row>
    <row r="250" spans="4:4" x14ac:dyDescent="0.35">
      <c r="D250"/>
    </row>
    <row r="251" spans="4:4" x14ac:dyDescent="0.35">
      <c r="D251"/>
    </row>
    <row r="252" spans="4:4" x14ac:dyDescent="0.35">
      <c r="D252"/>
    </row>
    <row r="253" spans="4:4" x14ac:dyDescent="0.35">
      <c r="D253"/>
    </row>
    <row r="254" spans="4:4" x14ac:dyDescent="0.35">
      <c r="D254"/>
    </row>
    <row r="255" spans="4:4" x14ac:dyDescent="0.35">
      <c r="D255"/>
    </row>
    <row r="256" spans="4:4" x14ac:dyDescent="0.35">
      <c r="D256"/>
    </row>
    <row r="257" spans="4:4" x14ac:dyDescent="0.35">
      <c r="D257"/>
    </row>
    <row r="258" spans="4:4" x14ac:dyDescent="0.35">
      <c r="D258"/>
    </row>
    <row r="259" spans="4:4" x14ac:dyDescent="0.35">
      <c r="D259"/>
    </row>
    <row r="260" spans="4:4" x14ac:dyDescent="0.35">
      <c r="D260"/>
    </row>
    <row r="261" spans="4:4" x14ac:dyDescent="0.35">
      <c r="D261"/>
    </row>
    <row r="262" spans="4:4" x14ac:dyDescent="0.35">
      <c r="D262"/>
    </row>
    <row r="263" spans="4:4" x14ac:dyDescent="0.35">
      <c r="D263"/>
    </row>
    <row r="264" spans="4:4" x14ac:dyDescent="0.35">
      <c r="D264"/>
    </row>
    <row r="265" spans="4:4" x14ac:dyDescent="0.35">
      <c r="D265"/>
    </row>
    <row r="266" spans="4:4" x14ac:dyDescent="0.35">
      <c r="D266"/>
    </row>
    <row r="267" spans="4:4" x14ac:dyDescent="0.35">
      <c r="D267"/>
    </row>
    <row r="268" spans="4:4" x14ac:dyDescent="0.35">
      <c r="D268"/>
    </row>
    <row r="269" spans="4:4" x14ac:dyDescent="0.35">
      <c r="D269"/>
    </row>
    <row r="270" spans="4:4" x14ac:dyDescent="0.35">
      <c r="D270"/>
    </row>
    <row r="271" spans="4:4" x14ac:dyDescent="0.35">
      <c r="D271"/>
    </row>
    <row r="272" spans="4:4" x14ac:dyDescent="0.35">
      <c r="D272"/>
    </row>
    <row r="273" spans="4:4" x14ac:dyDescent="0.35">
      <c r="D273"/>
    </row>
    <row r="274" spans="4:4" x14ac:dyDescent="0.35">
      <c r="D274"/>
    </row>
    <row r="275" spans="4:4" x14ac:dyDescent="0.35">
      <c r="D275"/>
    </row>
    <row r="276" spans="4:4" x14ac:dyDescent="0.35">
      <c r="D276"/>
    </row>
    <row r="277" spans="4:4" x14ac:dyDescent="0.35">
      <c r="D277"/>
    </row>
    <row r="278" spans="4:4" x14ac:dyDescent="0.35">
      <c r="D278"/>
    </row>
    <row r="279" spans="4:4" x14ac:dyDescent="0.35">
      <c r="D279"/>
    </row>
    <row r="280" spans="4:4" x14ac:dyDescent="0.35">
      <c r="D280"/>
    </row>
    <row r="281" spans="4:4" x14ac:dyDescent="0.35">
      <c r="D281"/>
    </row>
    <row r="282" spans="4:4" x14ac:dyDescent="0.35">
      <c r="D282"/>
    </row>
    <row r="283" spans="4:4" x14ac:dyDescent="0.35">
      <c r="D283"/>
    </row>
    <row r="284" spans="4:4" x14ac:dyDescent="0.35">
      <c r="D284"/>
    </row>
    <row r="285" spans="4:4" x14ac:dyDescent="0.35">
      <c r="D285"/>
    </row>
    <row r="286" spans="4:4" x14ac:dyDescent="0.35">
      <c r="D286"/>
    </row>
    <row r="287" spans="4:4" x14ac:dyDescent="0.35">
      <c r="D287"/>
    </row>
    <row r="288" spans="4:4" x14ac:dyDescent="0.35">
      <c r="D288"/>
    </row>
    <row r="289" spans="4:4" x14ac:dyDescent="0.35">
      <c r="D289"/>
    </row>
    <row r="290" spans="4:4" x14ac:dyDescent="0.35">
      <c r="D290"/>
    </row>
    <row r="291" spans="4:4" x14ac:dyDescent="0.35">
      <c r="D291"/>
    </row>
    <row r="292" spans="4:4" x14ac:dyDescent="0.35">
      <c r="D292"/>
    </row>
    <row r="293" spans="4:4" x14ac:dyDescent="0.35">
      <c r="D293"/>
    </row>
    <row r="294" spans="4:4" x14ac:dyDescent="0.35">
      <c r="D294"/>
    </row>
    <row r="295" spans="4:4" x14ac:dyDescent="0.35">
      <c r="D295"/>
    </row>
    <row r="296" spans="4:4" x14ac:dyDescent="0.35">
      <c r="D296"/>
    </row>
    <row r="297" spans="4:4" x14ac:dyDescent="0.35">
      <c r="D297"/>
    </row>
    <row r="298" spans="4:4" x14ac:dyDescent="0.35">
      <c r="D298"/>
    </row>
    <row r="299" spans="4:4" x14ac:dyDescent="0.35">
      <c r="D299"/>
    </row>
    <row r="300" spans="4:4" x14ac:dyDescent="0.35">
      <c r="D300"/>
    </row>
    <row r="301" spans="4:4" x14ac:dyDescent="0.35">
      <c r="D301"/>
    </row>
    <row r="302" spans="4:4" x14ac:dyDescent="0.35">
      <c r="D302"/>
    </row>
    <row r="303" spans="4:4" x14ac:dyDescent="0.35">
      <c r="D303"/>
    </row>
    <row r="304" spans="4:4" x14ac:dyDescent="0.35">
      <c r="D304"/>
    </row>
    <row r="305" spans="4:4" x14ac:dyDescent="0.35">
      <c r="D305"/>
    </row>
    <row r="306" spans="4:4" x14ac:dyDescent="0.35">
      <c r="D306"/>
    </row>
    <row r="307" spans="4:4" x14ac:dyDescent="0.35">
      <c r="D307"/>
    </row>
    <row r="308" spans="4:4" x14ac:dyDescent="0.35">
      <c r="D308"/>
    </row>
    <row r="309" spans="4:4" x14ac:dyDescent="0.35">
      <c r="D309"/>
    </row>
    <row r="310" spans="4:4" x14ac:dyDescent="0.35">
      <c r="D310"/>
    </row>
    <row r="311" spans="4:4" x14ac:dyDescent="0.35">
      <c r="D311"/>
    </row>
    <row r="312" spans="4:4" x14ac:dyDescent="0.35">
      <c r="D312"/>
    </row>
    <row r="313" spans="4:4" x14ac:dyDescent="0.35">
      <c r="D313"/>
    </row>
    <row r="314" spans="4:4" x14ac:dyDescent="0.35">
      <c r="D314"/>
    </row>
    <row r="315" spans="4:4" x14ac:dyDescent="0.35">
      <c r="D315"/>
    </row>
    <row r="316" spans="4:4" x14ac:dyDescent="0.35">
      <c r="D316"/>
    </row>
    <row r="317" spans="4:4" x14ac:dyDescent="0.35">
      <c r="D317"/>
    </row>
    <row r="318" spans="4:4" x14ac:dyDescent="0.35">
      <c r="D318"/>
    </row>
  </sheetData>
  <mergeCells count="1">
    <mergeCell ref="W1:AB1"/>
  </mergeCells>
  <phoneticPr fontId="40" type="noConversion"/>
  <conditionalFormatting sqref="AF1:AF14 AE45:AE1048576">
    <cfRule type="cellIs" dxfId="877" priority="1" operator="equal">
      <formula>"D"</formula>
    </cfRule>
  </conditionalFormatting>
  <conditionalFormatting sqref="AD3:AD44">
    <cfRule type="iconSet" priority="14251">
      <iconSet iconSet="3Arrows">
        <cfvo type="percent" val="0"/>
        <cfvo type="percent" val="60"/>
        <cfvo type="percent" val="90"/>
      </iconSet>
    </cfRule>
  </conditionalFormatting>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9752D-2D4A-491B-A4B3-AD2B559F5A3D}">
  <sheetPr codeName="Sheet5"/>
  <dimension ref="A2:W5"/>
  <sheetViews>
    <sheetView workbookViewId="0">
      <selection activeCell="B5" sqref="B5"/>
    </sheetView>
  </sheetViews>
  <sheetFormatPr defaultRowHeight="15.5" x14ac:dyDescent="0.35"/>
  <cols>
    <col min="1" max="1" width="8.1640625" bestFit="1" customWidth="1"/>
    <col min="2" max="2" width="6.58203125" bestFit="1" customWidth="1"/>
    <col min="3" max="3" width="4.75" bestFit="1" customWidth="1"/>
    <col min="4" max="4" width="10.58203125" bestFit="1" customWidth="1"/>
    <col min="5" max="5" width="6.1640625" bestFit="1" customWidth="1"/>
    <col min="6" max="6" width="6.58203125" bestFit="1" customWidth="1"/>
    <col min="7" max="7" width="5.25" bestFit="1" customWidth="1"/>
    <col min="8" max="8" width="15" bestFit="1" customWidth="1"/>
    <col min="9" max="9" width="7.4140625" bestFit="1" customWidth="1"/>
    <col min="10" max="10" width="6.58203125" bestFit="1" customWidth="1"/>
    <col min="11" max="11" width="4.75" bestFit="1" customWidth="1"/>
    <col min="12" max="12" width="15" bestFit="1" customWidth="1"/>
    <col min="13" max="13" width="6.1640625" bestFit="1" customWidth="1"/>
    <col min="14" max="14" width="6.58203125" bestFit="1" customWidth="1"/>
    <col min="15" max="15" width="4.75" bestFit="1" customWidth="1"/>
    <col min="16" max="16" width="15" bestFit="1" customWidth="1"/>
    <col min="17" max="17" width="8.9140625" bestFit="1" customWidth="1"/>
    <col min="18" max="18" width="6.58203125" bestFit="1" customWidth="1"/>
    <col min="19" max="19" width="4.75" bestFit="1" customWidth="1"/>
    <col min="20" max="20" width="15" bestFit="1" customWidth="1"/>
    <col min="21" max="21" width="12.83203125" bestFit="1" customWidth="1"/>
    <col min="22" max="22" width="6.58203125" bestFit="1" customWidth="1"/>
    <col min="23" max="23" width="5.25" bestFit="1" customWidth="1"/>
    <col min="24" max="43" width="15" bestFit="1" customWidth="1"/>
    <col min="44" max="44" width="10.58203125" bestFit="1" customWidth="1"/>
  </cols>
  <sheetData>
    <row r="2" spans="1:23" x14ac:dyDescent="0.35">
      <c r="A2" s="2371" t="s">
        <v>894</v>
      </c>
      <c r="B2" s="2371" t="s">
        <v>22</v>
      </c>
      <c r="E2" s="2371" t="s">
        <v>892</v>
      </c>
      <c r="F2" s="2371" t="s">
        <v>22</v>
      </c>
      <c r="I2" s="2371" t="s">
        <v>863</v>
      </c>
      <c r="J2" s="2371" t="s">
        <v>22</v>
      </c>
      <c r="M2" s="2371" t="s">
        <v>893</v>
      </c>
      <c r="N2" s="2371" t="s">
        <v>22</v>
      </c>
      <c r="Q2" s="2371" t="s">
        <v>864</v>
      </c>
      <c r="R2" s="2371" t="s">
        <v>22</v>
      </c>
      <c r="U2" s="2371" t="s">
        <v>857</v>
      </c>
      <c r="V2" s="2371" t="s">
        <v>22</v>
      </c>
    </row>
    <row r="3" spans="1:23" x14ac:dyDescent="0.35">
      <c r="A3" s="2371" t="s">
        <v>891</v>
      </c>
      <c r="B3" t="s">
        <v>815</v>
      </c>
      <c r="C3" t="s">
        <v>826</v>
      </c>
      <c r="E3" s="2371" t="s">
        <v>891</v>
      </c>
      <c r="F3" t="s">
        <v>815</v>
      </c>
      <c r="G3" t="s">
        <v>826</v>
      </c>
      <c r="I3" s="2371" t="s">
        <v>891</v>
      </c>
      <c r="J3" t="s">
        <v>815</v>
      </c>
      <c r="K3" t="s">
        <v>826</v>
      </c>
      <c r="M3" s="2371" t="s">
        <v>891</v>
      </c>
      <c r="N3" t="s">
        <v>815</v>
      </c>
      <c r="O3" t="s">
        <v>826</v>
      </c>
      <c r="Q3" s="2371" t="s">
        <v>891</v>
      </c>
      <c r="R3" t="s">
        <v>815</v>
      </c>
      <c r="S3" t="s">
        <v>826</v>
      </c>
      <c r="U3" s="2371" t="s">
        <v>891</v>
      </c>
      <c r="V3" t="s">
        <v>815</v>
      </c>
      <c r="W3" t="s">
        <v>826</v>
      </c>
    </row>
    <row r="4" spans="1:23" x14ac:dyDescent="0.35">
      <c r="A4" s="2372">
        <v>31</v>
      </c>
      <c r="B4" s="2365">
        <v>0.14583333333333334</v>
      </c>
      <c r="C4" s="2365">
        <v>0.12797619047619049</v>
      </c>
      <c r="E4" s="2372">
        <v>31</v>
      </c>
      <c r="F4" s="2365">
        <v>0.83333333333333337</v>
      </c>
      <c r="G4" s="2365">
        <v>0.87946428571428581</v>
      </c>
      <c r="I4" s="2372">
        <v>31</v>
      </c>
      <c r="J4" s="2365">
        <v>0.22916666666666666</v>
      </c>
      <c r="K4" s="2365">
        <v>0.22023809523809529</v>
      </c>
      <c r="M4" s="2372">
        <v>31</v>
      </c>
      <c r="N4" s="2365">
        <v>0.14583333333333334</v>
      </c>
      <c r="O4" s="2365">
        <v>0.12797619047619049</v>
      </c>
      <c r="Q4" s="2372">
        <v>31</v>
      </c>
      <c r="R4" s="2365">
        <v>0.35416666666666669</v>
      </c>
      <c r="S4" s="2365">
        <v>0.34226190476190477</v>
      </c>
      <c r="U4" s="2372">
        <v>31</v>
      </c>
      <c r="V4" s="2365">
        <v>0.76</v>
      </c>
      <c r="W4" s="2365">
        <v>0.79142857142857148</v>
      </c>
    </row>
    <row r="5" spans="1:23" x14ac:dyDescent="0.35">
      <c r="A5" s="2372">
        <v>32</v>
      </c>
      <c r="B5" s="2365">
        <v>0.13541666666666666</v>
      </c>
      <c r="C5" s="2365">
        <v>0.13690476190476192</v>
      </c>
      <c r="E5" s="2372">
        <v>32</v>
      </c>
      <c r="F5" s="2365">
        <v>0.87499999999999989</v>
      </c>
      <c r="G5" s="2365">
        <v>0.86904761904761896</v>
      </c>
      <c r="I5" s="2372">
        <v>32</v>
      </c>
      <c r="J5" s="2365">
        <v>0.23263888888888887</v>
      </c>
      <c r="K5" s="2365">
        <v>0.23214285714285715</v>
      </c>
      <c r="M5" s="2372">
        <v>32</v>
      </c>
      <c r="N5" s="2365">
        <v>0.13541666666666666</v>
      </c>
      <c r="O5" s="2365">
        <v>0.13690476190476192</v>
      </c>
      <c r="Q5" s="2372">
        <v>32</v>
      </c>
      <c r="R5" s="2365">
        <v>0.3454861111111111</v>
      </c>
      <c r="S5" s="2365">
        <v>0.34672619047619041</v>
      </c>
      <c r="U5" s="2372">
        <v>32</v>
      </c>
      <c r="V5" s="2365">
        <v>0.77999999999999992</v>
      </c>
      <c r="W5" s="2365">
        <v>0.77714285714285702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CD0FF-D054-4B9A-9027-8F4038DE6651}">
  <sheetPr codeName="Sheet6"/>
  <dimension ref="A1:M37"/>
  <sheetViews>
    <sheetView workbookViewId="0">
      <pane ySplit="2" topLeftCell="A3" activePane="bottomLeft" state="frozen"/>
      <selection activeCell="D21" sqref="D21"/>
      <selection pane="bottomLeft" activeCell="A38" sqref="A38:XFD1652"/>
    </sheetView>
  </sheetViews>
  <sheetFormatPr defaultRowHeight="15.5" outlineLevelRow="1" x14ac:dyDescent="0.35"/>
  <cols>
    <col min="2" max="2" width="10.58203125" style="95" customWidth="1"/>
    <col min="3" max="3" width="8.25" style="95" customWidth="1"/>
    <col min="4" max="4" width="7.75" style="95" customWidth="1"/>
    <col min="5" max="5" width="5.75" style="95" customWidth="1"/>
    <col min="6" max="6" width="12.1640625" style="2778" customWidth="1"/>
    <col min="7" max="7" width="9.83203125" style="596" customWidth="1"/>
    <col min="8" max="8" width="29.25" style="95" customWidth="1"/>
    <col min="9" max="9" width="14.58203125" style="2746" bestFit="1" customWidth="1"/>
    <col min="10" max="10" width="21.9140625" style="2746" customWidth="1"/>
    <col min="11" max="11" width="8.6640625" customWidth="1"/>
    <col min="12" max="13" width="16.4140625" bestFit="1" customWidth="1"/>
  </cols>
  <sheetData>
    <row r="1" spans="1:13" x14ac:dyDescent="0.35">
      <c r="B1"/>
      <c r="C1"/>
      <c r="D1"/>
      <c r="F1" s="632">
        <f ca="1">TODAY()</f>
        <v>45172</v>
      </c>
      <c r="G1" s="2838">
        <f ca="1">VLOOKUP(F1,Stats[[#All],[RUN Begins]:[Start]],2,0)</f>
        <v>0</v>
      </c>
    </row>
    <row r="2" spans="1:13" x14ac:dyDescent="0.35">
      <c r="A2" t="s">
        <v>761</v>
      </c>
      <c r="B2" s="603" t="s">
        <v>821</v>
      </c>
      <c r="C2" s="603" t="s">
        <v>741</v>
      </c>
      <c r="D2" s="603" t="s">
        <v>22</v>
      </c>
      <c r="E2" s="2780" t="s">
        <v>822</v>
      </c>
      <c r="F2" s="2780" t="s">
        <v>823</v>
      </c>
      <c r="G2" s="2483" t="s">
        <v>824</v>
      </c>
      <c r="H2" s="2781" t="s">
        <v>42</v>
      </c>
      <c r="I2" s="2782" t="s">
        <v>825</v>
      </c>
      <c r="J2" s="2782" t="s">
        <v>855</v>
      </c>
    </row>
    <row r="3" spans="1:13" outlineLevel="1" x14ac:dyDescent="0.35">
      <c r="A3">
        <f ca="1">Table1[[#This Row],[Wk]]</f>
        <v>36</v>
      </c>
      <c r="B3" s="2779">
        <f ca="1">'Raw Data'!D10</f>
        <v>45172</v>
      </c>
      <c r="C3" s="2779" t="str">
        <f ca="1">TEXT(F3,"mmm")</f>
        <v>Sep</v>
      </c>
      <c r="D3" s="2779" t="str">
        <f ca="1">TEXT(Stats[[#This Row],[M/Y]],"yyyy")</f>
        <v>2023</v>
      </c>
      <c r="E3" s="2779" t="str">
        <f ca="1">TEXT(Stats[[#This Row],[M/Y]],"ddd")</f>
        <v>Sun</v>
      </c>
      <c r="F3" s="2779">
        <f ca="1">Stats[[#This Row],[M/Y]]</f>
        <v>45172</v>
      </c>
      <c r="G3" s="2886"/>
    </row>
    <row r="4" spans="1:13" outlineLevel="1" x14ac:dyDescent="0.35">
      <c r="A4">
        <f ca="1">Table1[[#This Row],[Wk]]</f>
        <v>37</v>
      </c>
      <c r="B4" s="2779">
        <f ca="1">'Raw Data'!D11</f>
        <v>45173</v>
      </c>
      <c r="C4" s="2779" t="str">
        <f t="shared" ref="C4:C37" ca="1" si="0">TEXT(F4,"mmm")</f>
        <v>Sep</v>
      </c>
      <c r="D4" s="2779" t="str">
        <f ca="1">TEXT(Stats[[#This Row],[M/Y]],"yyyy")</f>
        <v>2023</v>
      </c>
      <c r="E4" s="2779" t="str">
        <f ca="1">TEXT(Stats[[#This Row],[M/Y]],"ddd")</f>
        <v>Mon</v>
      </c>
      <c r="F4" s="2779">
        <f ca="1">Stats[[#This Row],[M/Y]]</f>
        <v>45173</v>
      </c>
      <c r="G4" s="2886"/>
    </row>
    <row r="5" spans="1:13" outlineLevel="1" x14ac:dyDescent="0.35">
      <c r="A5">
        <f ca="1">Table1[[#This Row],[Wk]]</f>
        <v>37</v>
      </c>
      <c r="B5" s="2779">
        <f ca="1">'Raw Data'!D12</f>
        <v>45174</v>
      </c>
      <c r="C5" s="2779" t="str">
        <f t="shared" ca="1" si="0"/>
        <v>Sep</v>
      </c>
      <c r="D5" s="2779" t="str">
        <f ca="1">TEXT(Stats[[#This Row],[M/Y]],"yyyy")</f>
        <v>2023</v>
      </c>
      <c r="E5" s="2779" t="str">
        <f ca="1">TEXT(Stats[[#This Row],[M/Y]],"ddd")</f>
        <v>Tue</v>
      </c>
      <c r="F5" s="2779">
        <f ca="1">Stats[[#This Row],[M/Y]]</f>
        <v>45174</v>
      </c>
      <c r="G5" s="2886"/>
    </row>
    <row r="6" spans="1:13" outlineLevel="1" x14ac:dyDescent="0.35">
      <c r="A6">
        <f ca="1">Table1[[#This Row],[Wk]]</f>
        <v>37</v>
      </c>
      <c r="B6" s="2779">
        <f ca="1">'Raw Data'!D13</f>
        <v>45175</v>
      </c>
      <c r="C6" s="2779" t="str">
        <f t="shared" ca="1" si="0"/>
        <v>Sep</v>
      </c>
      <c r="D6" s="2779" t="str">
        <f ca="1">TEXT(Stats[[#This Row],[M/Y]],"yyyy")</f>
        <v>2023</v>
      </c>
      <c r="E6" s="2779" t="str">
        <f ca="1">TEXT(Stats[[#This Row],[M/Y]],"ddd")</f>
        <v>Wed</v>
      </c>
      <c r="F6" s="2779">
        <f ca="1">Stats[[#This Row],[M/Y]]</f>
        <v>45175</v>
      </c>
      <c r="G6" s="2886"/>
    </row>
    <row r="7" spans="1:13" outlineLevel="1" x14ac:dyDescent="0.35">
      <c r="A7">
        <f ca="1">Table1[[#This Row],[Wk]]</f>
        <v>37</v>
      </c>
      <c r="B7" s="2779">
        <f ca="1">'Raw Data'!D14</f>
        <v>45176</v>
      </c>
      <c r="C7" s="2779" t="str">
        <f t="shared" ca="1" si="0"/>
        <v>Sep</v>
      </c>
      <c r="D7" s="2779" t="str">
        <f ca="1">TEXT(Stats[[#This Row],[M/Y]],"yyyy")</f>
        <v>2023</v>
      </c>
      <c r="E7" s="2779" t="str">
        <f ca="1">TEXT(Stats[[#This Row],[M/Y]],"ddd")</f>
        <v>Thu</v>
      </c>
      <c r="F7" s="2779">
        <f ca="1">Stats[[#This Row],[M/Y]]</f>
        <v>45176</v>
      </c>
      <c r="G7" s="2886"/>
    </row>
    <row r="8" spans="1:13" outlineLevel="1" x14ac:dyDescent="0.35">
      <c r="A8">
        <f ca="1">Table1[[#This Row],[Wk]]</f>
        <v>37</v>
      </c>
      <c r="B8" s="2779">
        <f ca="1">'Raw Data'!D15</f>
        <v>45177</v>
      </c>
      <c r="C8" s="2779" t="str">
        <f t="shared" ca="1" si="0"/>
        <v>Sep</v>
      </c>
      <c r="D8" s="2779" t="str">
        <f ca="1">TEXT(Stats[[#This Row],[M/Y]],"yyyy")</f>
        <v>2023</v>
      </c>
      <c r="E8" s="2779" t="str">
        <f ca="1">TEXT(Stats[[#This Row],[M/Y]],"ddd")</f>
        <v>Fri</v>
      </c>
      <c r="F8" s="2779">
        <f ca="1">Stats[[#This Row],[M/Y]]</f>
        <v>45177</v>
      </c>
      <c r="G8" s="2886"/>
    </row>
    <row r="9" spans="1:13" outlineLevel="1" x14ac:dyDescent="0.35">
      <c r="A9">
        <f ca="1">Table1[[#This Row],[Wk]]</f>
        <v>37</v>
      </c>
      <c r="B9" s="2779">
        <f ca="1">'Raw Data'!D16</f>
        <v>45178</v>
      </c>
      <c r="C9" s="2779" t="str">
        <f t="shared" ca="1" si="0"/>
        <v>Sep</v>
      </c>
      <c r="D9" s="2779" t="str">
        <f ca="1">TEXT(Stats[[#This Row],[M/Y]],"yyyy")</f>
        <v>2023</v>
      </c>
      <c r="E9" s="2779" t="str">
        <f ca="1">TEXT(Stats[[#This Row],[M/Y]],"ddd")</f>
        <v>Sat</v>
      </c>
      <c r="F9" s="2779">
        <f ca="1">Stats[[#This Row],[M/Y]]</f>
        <v>45178</v>
      </c>
      <c r="G9" s="2886"/>
    </row>
    <row r="10" spans="1:13" outlineLevel="1" x14ac:dyDescent="0.35">
      <c r="A10">
        <f ca="1">Table1[[#This Row],[Wk]]</f>
        <v>36</v>
      </c>
      <c r="B10" s="2779">
        <f ca="1">'Raw Data'!D17</f>
        <v>45179</v>
      </c>
      <c r="C10" s="2779" t="str">
        <f t="shared" ca="1" si="0"/>
        <v>Sep</v>
      </c>
      <c r="D10" s="2779" t="str">
        <f ca="1">TEXT(Stats[[#This Row],[M/Y]],"yyyy")</f>
        <v>2023</v>
      </c>
      <c r="E10" s="2779" t="str">
        <f ca="1">TEXT(Stats[[#This Row],[M/Y]],"ddd")</f>
        <v>Sun</v>
      </c>
      <c r="F10" s="2779">
        <f ca="1">Stats[[#This Row],[M/Y]]</f>
        <v>45179</v>
      </c>
      <c r="G10" s="2886"/>
    </row>
    <row r="11" spans="1:13" outlineLevel="1" x14ac:dyDescent="0.35">
      <c r="A11">
        <f ca="1">Table1[[#This Row],[Wk]]</f>
        <v>36</v>
      </c>
      <c r="B11" s="2779">
        <f ca="1">'Raw Data'!D18</f>
        <v>45180</v>
      </c>
      <c r="C11" s="2779" t="str">
        <f t="shared" ca="1" si="0"/>
        <v>Sep</v>
      </c>
      <c r="D11" s="2779" t="str">
        <f ca="1">TEXT(Stats[[#This Row],[M/Y]],"yyyy")</f>
        <v>2023</v>
      </c>
      <c r="E11" s="2779" t="str">
        <f ca="1">TEXT(Stats[[#This Row],[M/Y]],"ddd")</f>
        <v>Mon</v>
      </c>
      <c r="F11" s="2779">
        <f ca="1">Stats[[#This Row],[M/Y]]</f>
        <v>45180</v>
      </c>
      <c r="G11" s="2886"/>
    </row>
    <row r="12" spans="1:13" outlineLevel="1" x14ac:dyDescent="0.35">
      <c r="A12">
        <f ca="1">Table1[[#This Row],[Wk]]</f>
        <v>36</v>
      </c>
      <c r="B12" s="2779">
        <f ca="1">'Raw Data'!D19</f>
        <v>45181</v>
      </c>
      <c r="C12" s="2779" t="str">
        <f t="shared" ca="1" si="0"/>
        <v>Sep</v>
      </c>
      <c r="D12" s="2779" t="str">
        <f ca="1">TEXT(Stats[[#This Row],[M/Y]],"yyyy")</f>
        <v>2023</v>
      </c>
      <c r="E12" s="2779" t="str">
        <f ca="1">TEXT(Stats[[#This Row],[M/Y]],"ddd")</f>
        <v>Tue</v>
      </c>
      <c r="F12" s="2779">
        <f ca="1">Stats[[#This Row],[M/Y]]</f>
        <v>45181</v>
      </c>
      <c r="G12" s="2886"/>
      <c r="M12" s="93"/>
    </row>
    <row r="13" spans="1:13" outlineLevel="1" x14ac:dyDescent="0.35">
      <c r="A13">
        <f ca="1">Table1[[#This Row],[Wk]]</f>
        <v>36</v>
      </c>
      <c r="B13" s="2779">
        <f ca="1">'Raw Data'!D20</f>
        <v>45182</v>
      </c>
      <c r="C13" s="2779" t="str">
        <f t="shared" ca="1" si="0"/>
        <v>Sep</v>
      </c>
      <c r="D13" s="2779" t="str">
        <f ca="1">TEXT(Stats[[#This Row],[M/Y]],"yyyy")</f>
        <v>2023</v>
      </c>
      <c r="E13" s="2779" t="str">
        <f ca="1">TEXT(Stats[[#This Row],[M/Y]],"ddd")</f>
        <v>Wed</v>
      </c>
      <c r="F13" s="2779">
        <f ca="1">Stats[[#This Row],[M/Y]]</f>
        <v>45182</v>
      </c>
      <c r="G13" s="2886"/>
      <c r="M13" s="93"/>
    </row>
    <row r="14" spans="1:13" outlineLevel="1" x14ac:dyDescent="0.35">
      <c r="A14">
        <f ca="1">Table1[[#This Row],[Wk]]</f>
        <v>36</v>
      </c>
      <c r="B14" s="2779">
        <f ca="1">'Raw Data'!D21</f>
        <v>45183</v>
      </c>
      <c r="C14" s="2779" t="str">
        <f t="shared" ca="1" si="0"/>
        <v>Sep</v>
      </c>
      <c r="D14" s="2779" t="str">
        <f ca="1">TEXT(Stats[[#This Row],[M/Y]],"yyyy")</f>
        <v>2023</v>
      </c>
      <c r="E14" s="2779" t="str">
        <f ca="1">TEXT(Stats[[#This Row],[M/Y]],"ddd")</f>
        <v>Thu</v>
      </c>
      <c r="F14" s="2779">
        <f ca="1">Stats[[#This Row],[M/Y]]</f>
        <v>45183</v>
      </c>
      <c r="G14" s="2886"/>
      <c r="M14" s="93"/>
    </row>
    <row r="15" spans="1:13" outlineLevel="1" x14ac:dyDescent="0.35">
      <c r="A15">
        <f ca="1">Table1[[#This Row],[Wk]]</f>
        <v>36</v>
      </c>
      <c r="B15" s="2779">
        <f ca="1">'Raw Data'!D22</f>
        <v>45184</v>
      </c>
      <c r="C15" s="2779" t="str">
        <f t="shared" ca="1" si="0"/>
        <v>Sep</v>
      </c>
      <c r="D15" s="2779" t="str">
        <f ca="1">TEXT(Stats[[#This Row],[M/Y]],"yyyy")</f>
        <v>2023</v>
      </c>
      <c r="E15" s="2779" t="str">
        <f ca="1">TEXT(Stats[[#This Row],[M/Y]],"ddd")</f>
        <v>Fri</v>
      </c>
      <c r="F15" s="2779">
        <f ca="1">Stats[[#This Row],[M/Y]]</f>
        <v>45184</v>
      </c>
      <c r="G15" s="2886"/>
      <c r="M15" s="93"/>
    </row>
    <row r="16" spans="1:13" outlineLevel="1" x14ac:dyDescent="0.35">
      <c r="A16">
        <f ca="1">Table1[[#This Row],[Wk]]</f>
        <v>36</v>
      </c>
      <c r="B16" s="2779">
        <f ca="1">'Raw Data'!D23</f>
        <v>45185</v>
      </c>
      <c r="C16" s="2779" t="str">
        <f t="shared" ca="1" si="0"/>
        <v>Sep</v>
      </c>
      <c r="D16" s="2779" t="str">
        <f ca="1">TEXT(Stats[[#This Row],[M/Y]],"yyyy")</f>
        <v>2023</v>
      </c>
      <c r="E16" s="2779" t="str">
        <f ca="1">TEXT(Stats[[#This Row],[M/Y]],"ddd")</f>
        <v>Sat</v>
      </c>
      <c r="F16" s="2779">
        <f ca="1">Stats[[#This Row],[M/Y]]</f>
        <v>45185</v>
      </c>
      <c r="G16" s="2886"/>
      <c r="M16" s="93"/>
    </row>
    <row r="17" spans="1:13" outlineLevel="1" x14ac:dyDescent="0.35">
      <c r="A17">
        <f ca="1">Table1[[#This Row],[Wk]]</f>
        <v>37</v>
      </c>
      <c r="B17" s="2779">
        <f ca="1">'Raw Data'!D24</f>
        <v>45186</v>
      </c>
      <c r="C17" s="2779" t="str">
        <f t="shared" ca="1" si="0"/>
        <v>Sep</v>
      </c>
      <c r="D17" s="2779" t="str">
        <f ca="1">TEXT(Stats[[#This Row],[M/Y]],"yyyy")</f>
        <v>2023</v>
      </c>
      <c r="E17" s="2779" t="str">
        <f ca="1">TEXT(Stats[[#This Row],[M/Y]],"ddd")</f>
        <v>Sun</v>
      </c>
      <c r="F17" s="2779">
        <f ca="1">Stats[[#This Row],[M/Y]]</f>
        <v>45186</v>
      </c>
      <c r="G17" s="2886"/>
      <c r="M17" s="93"/>
    </row>
    <row r="18" spans="1:13" outlineLevel="1" x14ac:dyDescent="0.35">
      <c r="A18">
        <f ca="1">Table1[[#This Row],[Wk]]</f>
        <v>37</v>
      </c>
      <c r="B18" s="2779">
        <f ca="1">'Raw Data'!D25</f>
        <v>45187</v>
      </c>
      <c r="C18" s="2779" t="str">
        <f t="shared" ca="1" si="0"/>
        <v>Sep</v>
      </c>
      <c r="D18" s="2779" t="str">
        <f ca="1">TEXT(Stats[[#This Row],[M/Y]],"yyyy")</f>
        <v>2023</v>
      </c>
      <c r="E18" s="2779" t="str">
        <f ca="1">TEXT(Stats[[#This Row],[M/Y]],"ddd")</f>
        <v>Mon</v>
      </c>
      <c r="F18" s="2779">
        <f ca="1">Stats[[#This Row],[M/Y]]</f>
        <v>45187</v>
      </c>
      <c r="G18" s="2886"/>
      <c r="M18" s="93"/>
    </row>
    <row r="19" spans="1:13" outlineLevel="1" x14ac:dyDescent="0.35">
      <c r="A19">
        <f ca="1">Table1[[#This Row],[Wk]]</f>
        <v>37</v>
      </c>
      <c r="B19" s="2779">
        <f ca="1">'Raw Data'!D26</f>
        <v>45188</v>
      </c>
      <c r="C19" s="2779" t="str">
        <f t="shared" ca="1" si="0"/>
        <v>Sep</v>
      </c>
      <c r="D19" s="2779" t="str">
        <f ca="1">TEXT(Stats[[#This Row],[M/Y]],"yyyy")</f>
        <v>2023</v>
      </c>
      <c r="E19" s="2779" t="str">
        <f ca="1">TEXT(Stats[[#This Row],[M/Y]],"ddd")</f>
        <v>Tue</v>
      </c>
      <c r="F19" s="2779">
        <f ca="1">Stats[[#This Row],[M/Y]]</f>
        <v>45188</v>
      </c>
      <c r="G19" s="2886"/>
      <c r="M19" s="93"/>
    </row>
    <row r="20" spans="1:13" outlineLevel="1" x14ac:dyDescent="0.35">
      <c r="A20">
        <f ca="1">Table1[[#This Row],[Wk]]</f>
        <v>37</v>
      </c>
      <c r="B20" s="2779">
        <f ca="1">'Raw Data'!D27</f>
        <v>45189</v>
      </c>
      <c r="C20" s="2779" t="str">
        <f t="shared" ca="1" si="0"/>
        <v>Sep</v>
      </c>
      <c r="D20" s="2779" t="str">
        <f ca="1">TEXT(Stats[[#This Row],[M/Y]],"yyyy")</f>
        <v>2023</v>
      </c>
      <c r="E20" s="2779" t="str">
        <f ca="1">TEXT(Stats[[#This Row],[M/Y]],"ddd")</f>
        <v>Wed</v>
      </c>
      <c r="F20" s="2779">
        <f ca="1">Stats[[#This Row],[M/Y]]</f>
        <v>45189</v>
      </c>
      <c r="G20" s="2886"/>
      <c r="M20" s="93"/>
    </row>
    <row r="21" spans="1:13" outlineLevel="1" x14ac:dyDescent="0.35">
      <c r="A21">
        <f ca="1">Table1[[#This Row],[Wk]]</f>
        <v>37</v>
      </c>
      <c r="B21" s="2779">
        <f ca="1">'Raw Data'!D28</f>
        <v>45190</v>
      </c>
      <c r="C21" s="2779" t="str">
        <f t="shared" ca="1" si="0"/>
        <v>Sep</v>
      </c>
      <c r="D21" s="2779" t="str">
        <f ca="1">TEXT(Stats[[#This Row],[M/Y]],"yyyy")</f>
        <v>2023</v>
      </c>
      <c r="E21" s="2779" t="str">
        <f ca="1">TEXT(Stats[[#This Row],[M/Y]],"ddd")</f>
        <v>Thu</v>
      </c>
      <c r="F21" s="2779">
        <f ca="1">Stats[[#This Row],[M/Y]]</f>
        <v>45190</v>
      </c>
      <c r="G21" s="2886"/>
      <c r="M21" s="93"/>
    </row>
    <row r="22" spans="1:13" outlineLevel="1" x14ac:dyDescent="0.35">
      <c r="A22">
        <f ca="1">Table1[[#This Row],[Wk]]</f>
        <v>37</v>
      </c>
      <c r="B22" s="2779">
        <f ca="1">'Raw Data'!D29</f>
        <v>45191</v>
      </c>
      <c r="C22" s="2779" t="str">
        <f t="shared" ca="1" si="0"/>
        <v>Sep</v>
      </c>
      <c r="D22" s="2779" t="str">
        <f ca="1">TEXT(Stats[[#This Row],[M/Y]],"yyyy")</f>
        <v>2023</v>
      </c>
      <c r="E22" s="2779" t="str">
        <f ca="1">TEXT(Stats[[#This Row],[M/Y]],"ddd")</f>
        <v>Fri</v>
      </c>
      <c r="F22" s="2779">
        <f ca="1">Stats[[#This Row],[M/Y]]</f>
        <v>45191</v>
      </c>
      <c r="G22" s="2886"/>
      <c r="M22" s="93"/>
    </row>
    <row r="23" spans="1:13" outlineLevel="1" x14ac:dyDescent="0.35">
      <c r="A23">
        <f ca="1">Table1[[#This Row],[Wk]]</f>
        <v>37</v>
      </c>
      <c r="B23" s="2779">
        <f ca="1">'Raw Data'!D30</f>
        <v>45192</v>
      </c>
      <c r="C23" s="2779" t="str">
        <f t="shared" ca="1" si="0"/>
        <v>Sep</v>
      </c>
      <c r="D23" s="2779" t="str">
        <f ca="1">TEXT(Stats[[#This Row],[M/Y]],"yyyy")</f>
        <v>2023</v>
      </c>
      <c r="E23" s="2779" t="str">
        <f ca="1">TEXT(Stats[[#This Row],[M/Y]],"ddd")</f>
        <v>Sat</v>
      </c>
      <c r="F23" s="2779">
        <f ca="1">Stats[[#This Row],[M/Y]]</f>
        <v>45192</v>
      </c>
      <c r="G23" s="2886"/>
      <c r="M23" s="93"/>
    </row>
    <row r="24" spans="1:13" outlineLevel="1" x14ac:dyDescent="0.35">
      <c r="A24">
        <f ca="1">Table1[[#This Row],[Wk]]</f>
        <v>38</v>
      </c>
      <c r="B24" s="2779">
        <f ca="1">'Raw Data'!D31</f>
        <v>45193</v>
      </c>
      <c r="C24" s="2779" t="str">
        <f t="shared" ca="1" si="0"/>
        <v>Sep</v>
      </c>
      <c r="D24" s="2779" t="str">
        <f ca="1">TEXT(Stats[[#This Row],[M/Y]],"yyyy")</f>
        <v>2023</v>
      </c>
      <c r="E24" s="2779" t="str">
        <f ca="1">TEXT(Stats[[#This Row],[M/Y]],"ddd")</f>
        <v>Sun</v>
      </c>
      <c r="F24" s="2779">
        <f ca="1">Stats[[#This Row],[M/Y]]</f>
        <v>45193</v>
      </c>
      <c r="G24" s="2886"/>
      <c r="M24" s="93"/>
    </row>
    <row r="25" spans="1:13" outlineLevel="1" x14ac:dyDescent="0.35">
      <c r="A25">
        <f ca="1">Table1[[#This Row],[Wk]]</f>
        <v>38</v>
      </c>
      <c r="B25" s="2779">
        <f ca="1">'Raw Data'!D32</f>
        <v>45194</v>
      </c>
      <c r="C25" s="2779" t="str">
        <f t="shared" ca="1" si="0"/>
        <v>Sep</v>
      </c>
      <c r="D25" s="2779" t="str">
        <f ca="1">TEXT(Stats[[#This Row],[M/Y]],"yyyy")</f>
        <v>2023</v>
      </c>
      <c r="E25" s="2779" t="str">
        <f ca="1">TEXT(Stats[[#This Row],[M/Y]],"ddd")</f>
        <v>Mon</v>
      </c>
      <c r="F25" s="2779">
        <f ca="1">Stats[[#This Row],[M/Y]]</f>
        <v>45194</v>
      </c>
      <c r="G25" s="2886"/>
      <c r="M25" s="93"/>
    </row>
    <row r="26" spans="1:13" outlineLevel="1" x14ac:dyDescent="0.35">
      <c r="A26">
        <f ca="1">Table1[[#This Row],[Wk]]</f>
        <v>38</v>
      </c>
      <c r="B26" s="2779">
        <f ca="1">'Raw Data'!D33</f>
        <v>45195</v>
      </c>
      <c r="C26" s="2779" t="str">
        <f t="shared" ca="1" si="0"/>
        <v>Sep</v>
      </c>
      <c r="D26" s="2779" t="str">
        <f ca="1">TEXT(Stats[[#This Row],[M/Y]],"yyyy")</f>
        <v>2023</v>
      </c>
      <c r="E26" s="2779" t="str">
        <f ca="1">TEXT(Stats[[#This Row],[M/Y]],"ddd")</f>
        <v>Tue</v>
      </c>
      <c r="F26" s="2779">
        <f ca="1">Stats[[#This Row],[M/Y]]</f>
        <v>45195</v>
      </c>
      <c r="G26" s="2886"/>
      <c r="M26" s="93"/>
    </row>
    <row r="27" spans="1:13" outlineLevel="1" x14ac:dyDescent="0.35">
      <c r="A27">
        <f ca="1">Table1[[#This Row],[Wk]]</f>
        <v>38</v>
      </c>
      <c r="B27" s="2779">
        <f ca="1">'Raw Data'!D34</f>
        <v>45196</v>
      </c>
      <c r="C27" s="2779" t="str">
        <f t="shared" ca="1" si="0"/>
        <v>Sep</v>
      </c>
      <c r="D27" s="2779" t="str">
        <f ca="1">TEXT(Stats[[#This Row],[M/Y]],"yyyy")</f>
        <v>2023</v>
      </c>
      <c r="E27" s="2779" t="str">
        <f ca="1">TEXT(Stats[[#This Row],[M/Y]],"ddd")</f>
        <v>Wed</v>
      </c>
      <c r="F27" s="2779">
        <f ca="1">Stats[[#This Row],[M/Y]]</f>
        <v>45196</v>
      </c>
      <c r="G27" s="2886"/>
      <c r="M27" s="93"/>
    </row>
    <row r="28" spans="1:13" outlineLevel="1" x14ac:dyDescent="0.35">
      <c r="A28">
        <f ca="1">Table1[[#This Row],[Wk]]</f>
        <v>38</v>
      </c>
      <c r="B28" s="2779">
        <f ca="1">'Raw Data'!D35</f>
        <v>45197</v>
      </c>
      <c r="C28" s="2779" t="str">
        <f t="shared" ca="1" si="0"/>
        <v>Sep</v>
      </c>
      <c r="D28" s="2779" t="str">
        <f ca="1">TEXT(Stats[[#This Row],[M/Y]],"yyyy")</f>
        <v>2023</v>
      </c>
      <c r="E28" s="2779" t="str">
        <f ca="1">TEXT(Stats[[#This Row],[M/Y]],"ddd")</f>
        <v>Thu</v>
      </c>
      <c r="F28" s="2779">
        <f ca="1">Stats[[#This Row],[M/Y]]</f>
        <v>45197</v>
      </c>
      <c r="G28" s="2886"/>
      <c r="M28" s="93"/>
    </row>
    <row r="29" spans="1:13" outlineLevel="1" x14ac:dyDescent="0.35">
      <c r="A29">
        <f ca="1">Table1[[#This Row],[Wk]]</f>
        <v>38</v>
      </c>
      <c r="B29" s="2779">
        <f ca="1">'Raw Data'!D36</f>
        <v>45198</v>
      </c>
      <c r="C29" s="2779" t="str">
        <f t="shared" ca="1" si="0"/>
        <v>Sep</v>
      </c>
      <c r="D29" s="2779" t="str">
        <f ca="1">TEXT(Stats[[#This Row],[M/Y]],"yyyy")</f>
        <v>2023</v>
      </c>
      <c r="E29" s="2779" t="str">
        <f ca="1">TEXT(Stats[[#This Row],[M/Y]],"ddd")</f>
        <v>Fri</v>
      </c>
      <c r="F29" s="2779">
        <f ca="1">Stats[[#This Row],[M/Y]]</f>
        <v>45198</v>
      </c>
      <c r="G29" s="2886"/>
      <c r="M29" s="93"/>
    </row>
    <row r="30" spans="1:13" outlineLevel="1" x14ac:dyDescent="0.35">
      <c r="A30">
        <f ca="1">Table1[[#This Row],[Wk]]</f>
        <v>38</v>
      </c>
      <c r="B30" s="2779">
        <f ca="1">'Raw Data'!D37</f>
        <v>45199</v>
      </c>
      <c r="C30" s="2779" t="str">
        <f t="shared" ca="1" si="0"/>
        <v>Sep</v>
      </c>
      <c r="D30" s="2779" t="str">
        <f ca="1">TEXT(Stats[[#This Row],[M/Y]],"yyyy")</f>
        <v>2023</v>
      </c>
      <c r="E30" s="2779" t="str">
        <f ca="1">TEXT(Stats[[#This Row],[M/Y]],"ddd")</f>
        <v>Sat</v>
      </c>
      <c r="F30" s="2779">
        <f ca="1">Stats[[#This Row],[M/Y]]</f>
        <v>45199</v>
      </c>
      <c r="G30" s="2886"/>
      <c r="M30" s="93"/>
    </row>
    <row r="31" spans="1:13" outlineLevel="1" x14ac:dyDescent="0.35">
      <c r="A31">
        <f ca="1">Table1[[#This Row],[Wk]]</f>
        <v>39</v>
      </c>
      <c r="B31" s="2779">
        <f ca="1">'Raw Data'!D38</f>
        <v>45200</v>
      </c>
      <c r="C31" s="2779" t="str">
        <f t="shared" ca="1" si="0"/>
        <v>Oct</v>
      </c>
      <c r="D31" s="2779" t="str">
        <f ca="1">TEXT(Stats[[#This Row],[M/Y]],"yyyy")</f>
        <v>2023</v>
      </c>
      <c r="E31" s="2779" t="str">
        <f ca="1">TEXT(Stats[[#This Row],[M/Y]],"ddd")</f>
        <v>Sun</v>
      </c>
      <c r="F31" s="2779">
        <f ca="1">Stats[[#This Row],[M/Y]]</f>
        <v>45200</v>
      </c>
      <c r="G31" s="2886"/>
      <c r="M31" s="93"/>
    </row>
    <row r="32" spans="1:13" outlineLevel="1" x14ac:dyDescent="0.35">
      <c r="A32">
        <f ca="1">Table1[[#This Row],[Wk]]</f>
        <v>39</v>
      </c>
      <c r="B32" s="2779">
        <f ca="1">'Raw Data'!D39</f>
        <v>45201</v>
      </c>
      <c r="C32" s="2779" t="str">
        <f t="shared" ca="1" si="0"/>
        <v>Oct</v>
      </c>
      <c r="D32" s="2779" t="str">
        <f ca="1">TEXT(Stats[[#This Row],[M/Y]],"yyyy")</f>
        <v>2023</v>
      </c>
      <c r="E32" s="2779" t="str">
        <f ca="1">TEXT(Stats[[#This Row],[M/Y]],"ddd")</f>
        <v>Mon</v>
      </c>
      <c r="F32" s="2779">
        <f ca="1">Stats[[#This Row],[M/Y]]</f>
        <v>45201</v>
      </c>
      <c r="G32" s="2886"/>
      <c r="M32" s="93"/>
    </row>
    <row r="33" spans="1:13" outlineLevel="1" x14ac:dyDescent="0.35">
      <c r="A33">
        <f ca="1">Table1[[#This Row],[Wk]]</f>
        <v>39</v>
      </c>
      <c r="B33" s="2779">
        <f ca="1">'Raw Data'!D40</f>
        <v>45202</v>
      </c>
      <c r="C33" s="2779" t="str">
        <f t="shared" ca="1" si="0"/>
        <v>Oct</v>
      </c>
      <c r="D33" s="2779" t="str">
        <f ca="1">TEXT(Stats[[#This Row],[M/Y]],"yyyy")</f>
        <v>2023</v>
      </c>
      <c r="E33" s="2779" t="str">
        <f ca="1">TEXT(Stats[[#This Row],[M/Y]],"ddd")</f>
        <v>Tue</v>
      </c>
      <c r="F33" s="2779">
        <f ca="1">Stats[[#This Row],[M/Y]]</f>
        <v>45202</v>
      </c>
      <c r="G33" s="2886"/>
      <c r="M33" s="93"/>
    </row>
    <row r="34" spans="1:13" outlineLevel="1" x14ac:dyDescent="0.35">
      <c r="A34">
        <f ca="1">Table1[[#This Row],[Wk]]</f>
        <v>39</v>
      </c>
      <c r="B34" s="2779">
        <f ca="1">'Raw Data'!D41</f>
        <v>45203</v>
      </c>
      <c r="C34" s="2779" t="str">
        <f t="shared" ca="1" si="0"/>
        <v>Oct</v>
      </c>
      <c r="D34" s="2779" t="str">
        <f ca="1">TEXT(Stats[[#This Row],[M/Y]],"yyyy")</f>
        <v>2023</v>
      </c>
      <c r="E34" s="2779" t="str">
        <f ca="1">TEXT(Stats[[#This Row],[M/Y]],"ddd")</f>
        <v>Wed</v>
      </c>
      <c r="F34" s="2779">
        <f ca="1">Stats[[#This Row],[M/Y]]</f>
        <v>45203</v>
      </c>
      <c r="G34" s="2886"/>
      <c r="M34" s="93"/>
    </row>
    <row r="35" spans="1:13" outlineLevel="1" x14ac:dyDescent="0.35">
      <c r="A35">
        <f ca="1">Table1[[#This Row],[Wk]]</f>
        <v>39</v>
      </c>
      <c r="B35" s="2779">
        <f ca="1">'Raw Data'!D42</f>
        <v>45204</v>
      </c>
      <c r="C35" s="2779" t="str">
        <f t="shared" ca="1" si="0"/>
        <v>Oct</v>
      </c>
      <c r="D35" s="2779" t="str">
        <f ca="1">TEXT(Stats[[#This Row],[M/Y]],"yyyy")</f>
        <v>2023</v>
      </c>
      <c r="E35" s="2779" t="str">
        <f ca="1">TEXT(Stats[[#This Row],[M/Y]],"ddd")</f>
        <v>Thu</v>
      </c>
      <c r="F35" s="2779">
        <f ca="1">Stats[[#This Row],[M/Y]]</f>
        <v>45204</v>
      </c>
      <c r="G35" s="2886"/>
      <c r="M35" s="93"/>
    </row>
    <row r="36" spans="1:13" outlineLevel="1" x14ac:dyDescent="0.35">
      <c r="A36">
        <f ca="1">Table1[[#This Row],[Wk]]</f>
        <v>39</v>
      </c>
      <c r="B36" s="2779">
        <f ca="1">'Raw Data'!D43</f>
        <v>45205</v>
      </c>
      <c r="C36" s="2779" t="str">
        <f t="shared" ca="1" si="0"/>
        <v>Oct</v>
      </c>
      <c r="D36" s="2779" t="str">
        <f ca="1">TEXT(Stats[[#This Row],[M/Y]],"yyyy")</f>
        <v>2023</v>
      </c>
      <c r="E36" s="2779" t="str">
        <f ca="1">TEXT(Stats[[#This Row],[M/Y]],"ddd")</f>
        <v>Fri</v>
      </c>
      <c r="F36" s="2779">
        <f ca="1">Stats[[#This Row],[M/Y]]</f>
        <v>45205</v>
      </c>
      <c r="G36" s="2886"/>
      <c r="M36" s="93"/>
    </row>
    <row r="37" spans="1:13" outlineLevel="1" x14ac:dyDescent="0.35">
      <c r="A37">
        <f ca="1">Table1[[#This Row],[Wk]]</f>
        <v>39</v>
      </c>
      <c r="B37" s="2779">
        <f ca="1">'Raw Data'!D44</f>
        <v>45206</v>
      </c>
      <c r="C37" s="2779" t="str">
        <f t="shared" ca="1" si="0"/>
        <v>Oct</v>
      </c>
      <c r="D37" s="2779" t="str">
        <f ca="1">TEXT(Stats[[#This Row],[M/Y]],"yyyy")</f>
        <v>2023</v>
      </c>
      <c r="E37" s="2779" t="str">
        <f ca="1">TEXT(Stats[[#This Row],[M/Y]],"ddd")</f>
        <v>Sat</v>
      </c>
      <c r="F37" s="2779">
        <f ca="1">Stats[[#This Row],[M/Y]]</f>
        <v>45206</v>
      </c>
      <c r="G37" s="2886"/>
      <c r="M37" s="93"/>
    </row>
  </sheetData>
  <conditionalFormatting sqref="F1:F1048576">
    <cfRule type="cellIs" dxfId="818" priority="13" operator="equal">
      <formula>TODAY()</formula>
    </cfRule>
  </conditionalFormatting>
  <pageMargins left="0.7" right="0.7" top="0.75" bottom="0.75" header="0.3" footer="0.3"/>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17EEF-3CDA-4FD0-A233-846D61A55875}">
  <sheetPr codeName="Sheet16"/>
  <dimension ref="A1:M44"/>
  <sheetViews>
    <sheetView workbookViewId="0">
      <selection activeCell="A4" sqref="A4"/>
    </sheetView>
  </sheetViews>
  <sheetFormatPr defaultRowHeight="15.5" x14ac:dyDescent="0.35"/>
  <cols>
    <col min="1" max="1" width="10.5" customWidth="1"/>
    <col min="2" max="2" width="44.6640625" customWidth="1"/>
    <col min="3" max="3" width="17" bestFit="1" customWidth="1"/>
    <col min="4" max="4" width="18.08203125" customWidth="1"/>
    <col min="5" max="5" width="2" customWidth="1"/>
    <col min="6" max="6" width="9.33203125" bestFit="1" customWidth="1"/>
    <col min="7" max="7" width="19" customWidth="1"/>
    <col min="8" max="8" width="17" bestFit="1" customWidth="1"/>
    <col min="9" max="9" width="22.58203125" bestFit="1" customWidth="1"/>
    <col min="10" max="10" width="10" bestFit="1" customWidth="1"/>
  </cols>
  <sheetData>
    <row r="1" spans="1:10" s="6" customFormat="1" ht="21.5" thickBot="1" x14ac:dyDescent="0.55000000000000004">
      <c r="A1" s="2979" t="s">
        <v>11</v>
      </c>
      <c r="B1" s="2980"/>
      <c r="C1" s="2980"/>
      <c r="D1" s="2980"/>
      <c r="E1" s="2468"/>
      <c r="F1" s="2981" t="s">
        <v>12</v>
      </c>
      <c r="G1" s="2982"/>
      <c r="H1" s="2982"/>
      <c r="I1" s="2982"/>
      <c r="J1" s="2982"/>
    </row>
    <row r="2" spans="1:10" ht="4" customHeight="1" x14ac:dyDescent="0.35">
      <c r="E2" s="2469"/>
    </row>
    <row r="3" spans="1:10" s="149" customFormat="1" ht="18.5" x14ac:dyDescent="0.45">
      <c r="A3" s="2466" t="s">
        <v>13</v>
      </c>
      <c r="B3" s="2466" t="s">
        <v>14</v>
      </c>
      <c r="C3" s="2466" t="s">
        <v>15</v>
      </c>
      <c r="D3" s="2466" t="s">
        <v>16</v>
      </c>
      <c r="E3" s="2470"/>
      <c r="F3" s="2466" t="s">
        <v>13</v>
      </c>
      <c r="G3" s="2466" t="s">
        <v>17</v>
      </c>
      <c r="H3" s="2466" t="s">
        <v>15</v>
      </c>
      <c r="I3" s="2466" t="s">
        <v>18</v>
      </c>
      <c r="J3" s="2467" t="s">
        <v>19</v>
      </c>
    </row>
    <row r="4" spans="1:10" x14ac:dyDescent="0.35">
      <c r="A4" s="7"/>
      <c r="B4" s="3"/>
      <c r="C4" s="3"/>
      <c r="D4" s="7"/>
      <c r="E4" s="2469"/>
      <c r="F4" s="7"/>
      <c r="G4" s="3"/>
      <c r="H4" s="3"/>
      <c r="I4" s="7"/>
      <c r="J4" s="7"/>
    </row>
    <row r="5" spans="1:10" x14ac:dyDescent="0.35">
      <c r="A5" s="1087"/>
      <c r="B5" s="2465"/>
      <c r="C5" s="2465"/>
      <c r="D5" s="2465"/>
      <c r="E5" s="2469"/>
      <c r="F5" s="1087"/>
      <c r="G5" s="2465"/>
      <c r="H5" s="2465"/>
      <c r="I5" s="2465"/>
      <c r="J5" s="1087"/>
    </row>
    <row r="6" spans="1:10" x14ac:dyDescent="0.35">
      <c r="A6" s="7"/>
      <c r="B6" s="3"/>
      <c r="C6" s="3"/>
      <c r="D6" s="7"/>
      <c r="E6" s="2469"/>
      <c r="F6" s="7"/>
      <c r="G6" s="3"/>
      <c r="H6" s="3"/>
      <c r="I6" s="7"/>
      <c r="J6" s="7"/>
    </row>
    <row r="7" spans="1:10" x14ac:dyDescent="0.35">
      <c r="A7" s="1087"/>
      <c r="B7" s="2465"/>
      <c r="C7" s="2465"/>
      <c r="D7" s="2465"/>
      <c r="E7" s="2469"/>
      <c r="F7" s="1087"/>
      <c r="G7" s="2465"/>
      <c r="H7" s="2465"/>
      <c r="I7" s="2465"/>
      <c r="J7" s="1087"/>
    </row>
    <row r="8" spans="1:10" x14ac:dyDescent="0.35">
      <c r="A8" s="7"/>
      <c r="B8" s="3"/>
      <c r="C8" s="3"/>
      <c r="D8" s="7"/>
      <c r="E8" s="2469"/>
      <c r="F8" s="7"/>
      <c r="G8" s="3"/>
      <c r="H8" s="3"/>
      <c r="I8" s="7"/>
      <c r="J8" s="7"/>
    </row>
    <row r="9" spans="1:10" x14ac:dyDescent="0.35">
      <c r="A9" s="1087"/>
      <c r="B9" s="2465"/>
      <c r="C9" s="2465"/>
      <c r="D9" s="2465"/>
      <c r="E9" s="2469"/>
      <c r="F9" s="1087"/>
      <c r="G9" s="2465"/>
      <c r="H9" s="2465"/>
      <c r="I9" s="2465"/>
      <c r="J9" s="1087"/>
    </row>
    <row r="10" spans="1:10" x14ac:dyDescent="0.35">
      <c r="A10" s="7"/>
      <c r="B10" s="3"/>
      <c r="C10" s="3"/>
      <c r="D10" s="7"/>
      <c r="E10" s="2469"/>
      <c r="F10" s="7"/>
      <c r="G10" s="3"/>
      <c r="H10" s="3"/>
      <c r="I10" s="7"/>
      <c r="J10" s="7"/>
    </row>
    <row r="11" spans="1:10" x14ac:dyDescent="0.35">
      <c r="A11" s="1087"/>
      <c r="B11" s="2465"/>
      <c r="C11" s="2465"/>
      <c r="D11" s="2465"/>
      <c r="E11" s="2469"/>
      <c r="F11" s="1087"/>
      <c r="G11" s="2465"/>
      <c r="H11" s="2465"/>
      <c r="I11" s="2465"/>
      <c r="J11" s="1087"/>
    </row>
    <row r="12" spans="1:10" x14ac:dyDescent="0.35">
      <c r="A12" s="7"/>
      <c r="B12" s="3"/>
      <c r="C12" s="3"/>
      <c r="D12" s="7"/>
      <c r="E12" s="2469"/>
      <c r="F12" s="7"/>
      <c r="G12" s="3"/>
      <c r="H12" s="3"/>
      <c r="I12" s="7"/>
      <c r="J12" s="7"/>
    </row>
    <row r="13" spans="1:10" x14ac:dyDescent="0.35">
      <c r="A13" s="1087"/>
      <c r="B13" s="2465"/>
      <c r="C13" s="2465"/>
      <c r="D13" s="2465"/>
      <c r="E13" s="2469"/>
      <c r="F13" s="1087"/>
      <c r="G13" s="2465"/>
      <c r="H13" s="2465"/>
      <c r="I13" s="2465"/>
      <c r="J13" s="1087"/>
    </row>
    <row r="14" spans="1:10" x14ac:dyDescent="0.35">
      <c r="A14" s="7"/>
      <c r="B14" s="3"/>
      <c r="C14" s="3"/>
      <c r="D14" s="7"/>
      <c r="E14" s="2469"/>
      <c r="F14" s="7"/>
      <c r="G14" s="3"/>
      <c r="H14" s="3"/>
      <c r="I14" s="7"/>
      <c r="J14" s="7"/>
    </row>
    <row r="15" spans="1:10" x14ac:dyDescent="0.35">
      <c r="A15" s="1087"/>
      <c r="B15" s="2465"/>
      <c r="C15" s="2465"/>
      <c r="D15" s="2465"/>
      <c r="E15" s="2469"/>
      <c r="F15" s="1087"/>
      <c r="G15" s="2465"/>
      <c r="H15" s="2465"/>
      <c r="I15" s="2465"/>
      <c r="J15" s="1087"/>
    </row>
    <row r="16" spans="1:10" x14ac:dyDescent="0.35">
      <c r="A16" s="7"/>
      <c r="B16" s="3"/>
      <c r="C16" s="3"/>
      <c r="D16" s="7"/>
      <c r="E16" s="2469"/>
      <c r="F16" s="7"/>
      <c r="G16" s="3"/>
      <c r="H16" s="3"/>
      <c r="I16" s="7"/>
      <c r="J16" s="7"/>
    </row>
    <row r="17" spans="1:13" x14ac:dyDescent="0.35">
      <c r="A17" s="1087"/>
      <c r="B17" s="2465"/>
      <c r="C17" s="2465"/>
      <c r="D17" s="2465"/>
      <c r="E17" s="2469"/>
      <c r="F17" s="1087"/>
      <c r="G17" s="2465"/>
      <c r="H17" s="2465"/>
      <c r="I17" s="2465"/>
      <c r="J17" s="1087"/>
    </row>
    <row r="18" spans="1:13" x14ac:dyDescent="0.35">
      <c r="A18" s="7"/>
      <c r="B18" s="3"/>
      <c r="C18" s="3"/>
      <c r="D18" s="7"/>
      <c r="E18" s="2469"/>
      <c r="F18" s="7"/>
      <c r="G18" s="3"/>
      <c r="H18" s="3"/>
      <c r="I18" s="7"/>
      <c r="J18" s="7"/>
      <c r="K18" s="603"/>
      <c r="L18" s="603"/>
      <c r="M18" s="603"/>
    </row>
    <row r="19" spans="1:13" x14ac:dyDescent="0.35">
      <c r="A19" s="1087"/>
      <c r="B19" s="2465"/>
      <c r="C19" s="2465"/>
      <c r="D19" s="2465"/>
      <c r="E19" s="2469"/>
      <c r="F19" s="1087"/>
      <c r="G19" s="2465"/>
      <c r="H19" s="2465"/>
      <c r="I19" s="2465"/>
      <c r="J19" s="1087"/>
      <c r="K19" s="2464"/>
      <c r="L19" s="2464"/>
      <c r="M19" s="2464"/>
    </row>
    <row r="20" spans="1:13" x14ac:dyDescent="0.35">
      <c r="A20" s="7"/>
      <c r="B20" s="3"/>
      <c r="C20" s="3"/>
      <c r="D20" s="7"/>
      <c r="E20" s="2469"/>
      <c r="F20" s="7"/>
      <c r="G20" s="3"/>
      <c r="H20" s="3"/>
      <c r="I20" s="7"/>
      <c r="J20" s="7"/>
      <c r="K20" s="2372"/>
      <c r="L20" s="2372"/>
      <c r="M20" s="2372"/>
    </row>
    <row r="21" spans="1:13" x14ac:dyDescent="0.35">
      <c r="A21" s="1087"/>
      <c r="B21" s="2465"/>
      <c r="C21" s="2465"/>
      <c r="D21" s="2465"/>
      <c r="E21" s="2469"/>
      <c r="F21" s="1087"/>
      <c r="G21" s="2465"/>
      <c r="H21" s="2465"/>
      <c r="I21" s="2465"/>
      <c r="J21" s="1087"/>
      <c r="K21" s="2372"/>
      <c r="L21" s="2372"/>
      <c r="M21" s="2372"/>
    </row>
    <row r="22" spans="1:13" x14ac:dyDescent="0.35">
      <c r="A22" s="7"/>
      <c r="B22" s="3"/>
      <c r="C22" s="3"/>
      <c r="D22" s="7"/>
      <c r="E22" s="2469"/>
      <c r="F22" s="7"/>
      <c r="G22" s="3"/>
      <c r="H22" s="3"/>
      <c r="I22" s="7"/>
      <c r="J22" s="7"/>
      <c r="K22" s="2372"/>
      <c r="L22" s="2372"/>
      <c r="M22" s="2372"/>
    </row>
    <row r="23" spans="1:13" x14ac:dyDescent="0.35">
      <c r="A23" s="1087"/>
      <c r="B23" s="2465"/>
      <c r="C23" s="2465"/>
      <c r="D23" s="2465"/>
      <c r="E23" s="2469"/>
      <c r="F23" s="1087"/>
      <c r="G23" s="2465"/>
      <c r="H23" s="2465"/>
      <c r="I23" s="2465"/>
      <c r="J23" s="1087"/>
      <c r="K23" s="2372"/>
      <c r="L23" s="2372"/>
      <c r="M23" s="2372"/>
    </row>
    <row r="24" spans="1:13" x14ac:dyDescent="0.35">
      <c r="A24" s="7"/>
      <c r="B24" s="3"/>
      <c r="C24" s="3"/>
      <c r="D24" s="7"/>
      <c r="E24" s="2469"/>
      <c r="F24" s="7"/>
      <c r="G24" s="3"/>
      <c r="H24" s="3"/>
      <c r="I24" s="7"/>
      <c r="J24" s="7"/>
      <c r="K24" s="2372"/>
      <c r="L24" s="2372"/>
      <c r="M24" s="2372"/>
    </row>
    <row r="25" spans="1:13" x14ac:dyDescent="0.35">
      <c r="A25" s="1087"/>
      <c r="B25" s="2465"/>
      <c r="C25" s="2465"/>
      <c r="D25" s="2465"/>
      <c r="E25" s="2469"/>
      <c r="F25" s="1087"/>
      <c r="G25" s="2465"/>
      <c r="H25" s="2465"/>
      <c r="I25" s="2465"/>
      <c r="J25" s="1087"/>
      <c r="K25" s="2372"/>
      <c r="L25" s="2372"/>
      <c r="M25" s="2372"/>
    </row>
    <row r="26" spans="1:13" x14ac:dyDescent="0.35">
      <c r="A26" s="7"/>
      <c r="B26" s="3"/>
      <c r="C26" s="3"/>
      <c r="D26" s="7"/>
      <c r="E26" s="2469"/>
      <c r="F26" s="7"/>
      <c r="G26" s="3"/>
      <c r="H26" s="3"/>
      <c r="I26" s="7"/>
      <c r="J26" s="7"/>
      <c r="K26" s="2372"/>
      <c r="L26" s="2372"/>
      <c r="M26" s="2372"/>
    </row>
    <row r="27" spans="1:13" x14ac:dyDescent="0.35">
      <c r="A27" s="1087"/>
      <c r="B27" s="2465"/>
      <c r="C27" s="2465"/>
      <c r="D27" s="2465"/>
      <c r="E27" s="2469"/>
      <c r="F27" s="1087"/>
      <c r="G27" s="2465"/>
      <c r="H27" s="2465"/>
      <c r="I27" s="2465"/>
      <c r="J27" s="1087"/>
      <c r="K27" s="2372"/>
      <c r="L27" s="2372"/>
      <c r="M27" s="2372"/>
    </row>
    <row r="28" spans="1:13" x14ac:dyDescent="0.35">
      <c r="A28" s="7"/>
      <c r="B28" s="3"/>
      <c r="C28" s="3"/>
      <c r="D28" s="7"/>
      <c r="E28" s="2469"/>
      <c r="F28" s="7"/>
      <c r="G28" s="3"/>
      <c r="H28" s="3"/>
      <c r="I28" s="7"/>
      <c r="J28" s="7"/>
      <c r="K28" s="2372"/>
      <c r="L28" s="2372"/>
      <c r="M28" s="2372"/>
    </row>
    <row r="29" spans="1:13" x14ac:dyDescent="0.35">
      <c r="A29" s="1087"/>
      <c r="B29" s="2465"/>
      <c r="C29" s="2465"/>
      <c r="D29" s="2465"/>
      <c r="E29" s="2469"/>
      <c r="F29" s="1087"/>
      <c r="G29" s="2465"/>
      <c r="H29" s="2465"/>
      <c r="I29" s="2465"/>
      <c r="J29" s="1087"/>
      <c r="K29" s="2372"/>
      <c r="L29" s="2372"/>
      <c r="M29" s="2372"/>
    </row>
    <row r="30" spans="1:13" x14ac:dyDescent="0.35">
      <c r="A30" s="7"/>
      <c r="B30" s="3"/>
      <c r="C30" s="3"/>
      <c r="D30" s="7"/>
      <c r="E30" s="2469"/>
      <c r="F30" s="7"/>
      <c r="G30" s="3"/>
      <c r="H30" s="3"/>
      <c r="I30" s="7"/>
      <c r="J30" s="7"/>
      <c r="K30" s="2372"/>
      <c r="L30" s="2372"/>
      <c r="M30" s="2372"/>
    </row>
    <row r="31" spans="1:13" x14ac:dyDescent="0.35">
      <c r="A31" s="1087"/>
      <c r="B31" s="2465"/>
      <c r="C31" s="2465"/>
      <c r="D31" s="2465"/>
      <c r="E31" s="2469"/>
      <c r="F31" s="1087"/>
      <c r="G31" s="2465"/>
      <c r="H31" s="2465"/>
      <c r="I31" s="2465"/>
      <c r="J31" s="1087"/>
      <c r="K31" s="2372"/>
      <c r="L31" s="2372"/>
      <c r="M31" s="2372"/>
    </row>
    <row r="32" spans="1:13" x14ac:dyDescent="0.35">
      <c r="A32" s="7"/>
      <c r="B32" s="3"/>
      <c r="C32" s="3"/>
      <c r="D32" s="7"/>
      <c r="E32" s="2469"/>
      <c r="F32" s="7"/>
      <c r="G32" s="3"/>
      <c r="H32" s="3"/>
      <c r="I32" s="7"/>
      <c r="J32" s="7"/>
      <c r="K32" s="2372"/>
      <c r="L32" s="2372"/>
      <c r="M32" s="2372"/>
    </row>
    <row r="33" spans="1:13" x14ac:dyDescent="0.35">
      <c r="A33" s="1087"/>
      <c r="B33" s="2465"/>
      <c r="C33" s="2465"/>
      <c r="D33" s="2465"/>
      <c r="E33" s="2469"/>
      <c r="F33" s="1087"/>
      <c r="G33" s="2465"/>
      <c r="H33" s="2465"/>
      <c r="I33" s="2465"/>
      <c r="J33" s="1087"/>
      <c r="K33" s="2372"/>
      <c r="L33" s="2372"/>
      <c r="M33" s="2372"/>
    </row>
    <row r="34" spans="1:13" x14ac:dyDescent="0.35">
      <c r="A34" s="7"/>
      <c r="B34" s="3"/>
      <c r="C34" s="3"/>
      <c r="D34" s="7"/>
      <c r="E34" s="2469"/>
      <c r="F34" s="7"/>
      <c r="G34" s="3"/>
      <c r="H34" s="3"/>
      <c r="I34" s="7"/>
      <c r="J34" s="7"/>
      <c r="K34" s="2372"/>
      <c r="L34" s="2372"/>
      <c r="M34" s="2372"/>
    </row>
    <row r="35" spans="1:13" x14ac:dyDescent="0.35">
      <c r="F35" s="261"/>
      <c r="I35" s="2372"/>
      <c r="J35" s="2372"/>
      <c r="K35" s="2372"/>
      <c r="L35" s="2372"/>
      <c r="M35" s="2372"/>
    </row>
    <row r="36" spans="1:13" x14ac:dyDescent="0.35">
      <c r="F36" s="261"/>
      <c r="I36" s="2372"/>
      <c r="J36" s="2372"/>
      <c r="K36" s="2372"/>
      <c r="L36" s="2372"/>
      <c r="M36" s="2372"/>
    </row>
    <row r="37" spans="1:13" x14ac:dyDescent="0.35">
      <c r="F37" s="261"/>
      <c r="I37" s="2372"/>
      <c r="J37" s="2372"/>
      <c r="K37" s="2372"/>
      <c r="L37" s="2372"/>
      <c r="M37" s="2372"/>
    </row>
    <row r="38" spans="1:13" x14ac:dyDescent="0.35">
      <c r="F38" s="261"/>
      <c r="I38" s="2372"/>
      <c r="J38" s="2372"/>
      <c r="K38" s="2372"/>
      <c r="L38" s="2372"/>
      <c r="M38" s="2372"/>
    </row>
    <row r="39" spans="1:13" x14ac:dyDescent="0.35">
      <c r="F39" s="261"/>
      <c r="I39" s="2372"/>
      <c r="J39" s="2372"/>
      <c r="K39" s="2372"/>
      <c r="L39" s="2372"/>
      <c r="M39" s="2372"/>
    </row>
    <row r="40" spans="1:13" x14ac:dyDescent="0.35">
      <c r="I40" s="2372"/>
      <c r="J40" s="2372"/>
      <c r="K40" s="2372"/>
      <c r="L40" s="2372"/>
      <c r="M40" s="2372"/>
    </row>
    <row r="41" spans="1:13" x14ac:dyDescent="0.35">
      <c r="I41" s="2372"/>
      <c r="J41" s="2372"/>
      <c r="K41" s="2372"/>
      <c r="L41" s="2372"/>
      <c r="M41" s="2372"/>
    </row>
    <row r="42" spans="1:13" x14ac:dyDescent="0.35">
      <c r="I42" s="2372"/>
      <c r="J42" s="2372"/>
      <c r="K42" s="2372"/>
      <c r="L42" s="2372"/>
      <c r="M42" s="2372"/>
    </row>
    <row r="43" spans="1:13" x14ac:dyDescent="0.35">
      <c r="I43" s="2372"/>
      <c r="J43" s="2372"/>
      <c r="K43" s="2372"/>
      <c r="L43" s="2372"/>
      <c r="M43" s="2372"/>
    </row>
    <row r="44" spans="1:13" x14ac:dyDescent="0.35">
      <c r="K44" s="2372"/>
      <c r="L44" s="2372"/>
      <c r="M44" s="2372"/>
    </row>
  </sheetData>
  <mergeCells count="2">
    <mergeCell ref="A1:D1"/>
    <mergeCell ref="F1:J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34DFF-43E9-41B8-AE30-8F8099ADD73E}">
  <sheetPr codeName="Sheet9">
    <pageSetUpPr autoPageBreaks="0"/>
  </sheetPr>
  <dimension ref="A1:XFC3381"/>
  <sheetViews>
    <sheetView topLeftCell="R626" zoomScaleNormal="96" workbookViewId="0">
      <selection activeCell="AO620" sqref="AO620"/>
    </sheetView>
  </sheetViews>
  <sheetFormatPr defaultColWidth="10.83203125" defaultRowHeight="15.5" outlineLevelRow="2" outlineLevelCol="1" x14ac:dyDescent="0.35"/>
  <cols>
    <col min="1" max="1" width="14.83203125" customWidth="1"/>
    <col min="2" max="2" width="10.08203125" style="106" customWidth="1"/>
    <col min="3" max="3" width="9.08203125" customWidth="1"/>
    <col min="4" max="4" width="13.58203125" customWidth="1"/>
    <col min="5" max="5" width="11.5" bestFit="1" customWidth="1"/>
    <col min="6" max="6" width="8.4140625" style="117" customWidth="1"/>
    <col min="7" max="7" width="7" style="93" customWidth="1"/>
    <col min="8" max="8" width="14.83203125" style="118" customWidth="1"/>
    <col min="9" max="9" width="8.5" customWidth="1"/>
    <col min="10" max="10" width="8.1640625" style="118" customWidth="1"/>
    <col min="11" max="11" width="9.08203125" customWidth="1"/>
    <col min="12" max="12" width="11.83203125" customWidth="1"/>
    <col min="13" max="13" width="1.33203125" hidden="1" customWidth="1"/>
    <col min="14" max="14" width="13.33203125" hidden="1" customWidth="1" outlineLevel="1"/>
    <col min="15" max="15" width="12.58203125" hidden="1" customWidth="1" outlineLevel="1"/>
    <col min="16" max="16" width="10.83203125" hidden="1" customWidth="1" outlineLevel="1"/>
    <col min="17" max="17" width="11" hidden="1" customWidth="1" outlineLevel="1"/>
    <col min="18" max="18" width="12" customWidth="1" collapsed="1"/>
    <col min="19" max="19" width="11.58203125" customWidth="1"/>
    <col min="20" max="20" width="10.5" customWidth="1"/>
    <col min="21" max="21" width="9.08203125" customWidth="1"/>
    <col min="22" max="22" width="12.33203125" customWidth="1"/>
    <col min="23" max="23" width="10.75" customWidth="1"/>
    <col min="24" max="24" width="10.58203125" customWidth="1"/>
    <col min="25" max="25" width="7.5" customWidth="1"/>
    <col min="26" max="26" width="11.58203125" customWidth="1"/>
    <col min="27" max="27" width="11.75" customWidth="1"/>
    <col min="40" max="40" width="11.83203125" customWidth="1"/>
  </cols>
  <sheetData>
    <row r="1" spans="1:10" hidden="1" outlineLevel="2" x14ac:dyDescent="0.35">
      <c r="A1" s="113" t="s">
        <v>25</v>
      </c>
      <c r="B1" s="114"/>
      <c r="C1" s="115"/>
      <c r="D1" s="115"/>
      <c r="E1" s="116"/>
    </row>
    <row r="2" spans="1:10" ht="16" hidden="1" outlineLevel="2" thickBot="1" x14ac:dyDescent="0.4">
      <c r="A2" s="119" t="s">
        <v>25</v>
      </c>
      <c r="B2" s="120" t="s">
        <v>26</v>
      </c>
      <c r="C2" s="121" t="s">
        <v>27</v>
      </c>
      <c r="D2" s="122">
        <v>42763</v>
      </c>
      <c r="E2" s="122">
        <f>D2+7</f>
        <v>42770</v>
      </c>
      <c r="F2" s="123" t="s">
        <v>91</v>
      </c>
      <c r="H2" s="118">
        <f>1125-C3</f>
        <v>289.23</v>
      </c>
    </row>
    <row r="3" spans="1:10" hidden="1" outlineLevel="2" x14ac:dyDescent="0.35">
      <c r="A3" s="124" t="s">
        <v>92</v>
      </c>
      <c r="B3" s="125">
        <v>203</v>
      </c>
      <c r="C3" s="126">
        <f>D3/B3</f>
        <v>835.77</v>
      </c>
      <c r="D3" s="127">
        <f>835.77*B3</f>
        <v>169661.31</v>
      </c>
      <c r="E3" s="127"/>
      <c r="F3" s="128">
        <f>D3/$D$8</f>
        <v>0.76006535633533956</v>
      </c>
      <c r="H3" s="118">
        <f>B3*H2</f>
        <v>58713.69</v>
      </c>
      <c r="I3">
        <f>203*3401</f>
        <v>690403</v>
      </c>
    </row>
    <row r="4" spans="1:10" hidden="1" outlineLevel="2" x14ac:dyDescent="0.35">
      <c r="A4" s="129" t="s">
        <v>93</v>
      </c>
      <c r="B4" s="130">
        <v>58</v>
      </c>
      <c r="C4" s="131">
        <f>D4/B4</f>
        <v>845.03</v>
      </c>
      <c r="D4" s="132">
        <f>B4*845.03</f>
        <v>49011.74</v>
      </c>
      <c r="E4" s="133"/>
      <c r="F4" s="128">
        <f>D4/$D$8</f>
        <v>0.21956759397717143</v>
      </c>
      <c r="H4" s="118">
        <f>D3+H3</f>
        <v>228375</v>
      </c>
      <c r="I4">
        <f>58*1644</f>
        <v>95352</v>
      </c>
    </row>
    <row r="5" spans="1:10" hidden="1" outlineLevel="2" x14ac:dyDescent="0.35">
      <c r="A5" s="124" t="s">
        <v>94</v>
      </c>
      <c r="B5" s="125">
        <v>37</v>
      </c>
      <c r="C5" s="126">
        <f>D5/B5</f>
        <v>19.489999999999998</v>
      </c>
      <c r="D5" s="127">
        <f>B5*19.49</f>
        <v>721.13</v>
      </c>
      <c r="E5" s="134"/>
      <c r="F5" s="128">
        <f>D5/$D$8</f>
        <v>3.230588814940209E-3</v>
      </c>
      <c r="H5" s="118">
        <f>SUM(D4:D7)</f>
        <v>53558.06</v>
      </c>
    </row>
    <row r="6" spans="1:10" hidden="1" outlineLevel="2" x14ac:dyDescent="0.35">
      <c r="A6" s="129" t="s">
        <v>95</v>
      </c>
      <c r="B6" s="130">
        <v>22</v>
      </c>
      <c r="C6" s="131">
        <f>D6/B6</f>
        <v>142.44999999999999</v>
      </c>
      <c r="D6" s="132">
        <f>B6*142.45</f>
        <v>3133.8999999999996</v>
      </c>
      <c r="E6" s="133"/>
      <c r="F6" s="128">
        <f>D6/$D$8</f>
        <v>1.4039552212695519E-2</v>
      </c>
      <c r="H6" s="118">
        <f>H4+H5</f>
        <v>281933.06</v>
      </c>
    </row>
    <row r="7" spans="1:10" ht="16" hidden="1" outlineLevel="2" thickBot="1" x14ac:dyDescent="0.4">
      <c r="A7" s="135" t="s">
        <v>96</v>
      </c>
      <c r="B7" s="136">
        <v>1</v>
      </c>
      <c r="C7" s="137">
        <f>D7/B7</f>
        <v>691.29</v>
      </c>
      <c r="D7" s="138">
        <f>B7*691.29</f>
        <v>691.29</v>
      </c>
      <c r="E7" s="139"/>
      <c r="F7" s="140">
        <f>D7/$D$8</f>
        <v>3.0969086598533094E-3</v>
      </c>
    </row>
    <row r="8" spans="1:10" s="149" customFormat="1" ht="19" hidden="1" outlineLevel="2" thickBot="1" x14ac:dyDescent="0.5">
      <c r="A8" s="141" t="s">
        <v>62</v>
      </c>
      <c r="B8" s="142"/>
      <c r="C8" s="143"/>
      <c r="D8" s="144">
        <f>SUM(D3:D7)</f>
        <v>223219.37</v>
      </c>
      <c r="E8" s="145"/>
      <c r="F8" s="146"/>
      <c r="G8" s="147"/>
      <c r="H8" s="148"/>
      <c r="J8" s="148"/>
    </row>
    <row r="9" spans="1:10" hidden="1" outlineLevel="2" x14ac:dyDescent="0.35">
      <c r="H9" s="118">
        <f>B3*1460</f>
        <v>296380</v>
      </c>
    </row>
    <row r="10" spans="1:10" ht="16" hidden="1" outlineLevel="2" thickBot="1" x14ac:dyDescent="0.4">
      <c r="A10" s="119" t="s">
        <v>25</v>
      </c>
      <c r="B10" s="120" t="s">
        <v>26</v>
      </c>
      <c r="C10" s="121" t="s">
        <v>27</v>
      </c>
      <c r="D10" s="122">
        <f>E2+28</f>
        <v>42798</v>
      </c>
      <c r="E10" s="122"/>
      <c r="F10" s="150" t="s">
        <v>37</v>
      </c>
    </row>
    <row r="11" spans="1:10" hidden="1" outlineLevel="2" x14ac:dyDescent="0.35">
      <c r="A11" s="124" t="s">
        <v>92</v>
      </c>
      <c r="B11" s="125">
        <v>203</v>
      </c>
      <c r="C11" s="126">
        <f t="shared" ref="C11:C16" si="0">D11/B11</f>
        <v>845.24</v>
      </c>
      <c r="D11" s="127">
        <f>845.24*B11</f>
        <v>171583.72</v>
      </c>
      <c r="E11" s="127"/>
      <c r="F11" s="128">
        <f t="shared" ref="F11:F16" si="1">D11/$D$48</f>
        <v>0.84922474657936819</v>
      </c>
    </row>
    <row r="12" spans="1:10" hidden="1" outlineLevel="2" x14ac:dyDescent="0.35">
      <c r="A12" s="129" t="s">
        <v>97</v>
      </c>
      <c r="B12" s="130">
        <v>130</v>
      </c>
      <c r="C12" s="131">
        <f t="shared" si="0"/>
        <v>135.44</v>
      </c>
      <c r="D12" s="132">
        <f>135.44*B12</f>
        <v>17607.2</v>
      </c>
      <c r="E12" s="133"/>
      <c r="F12" s="128">
        <f t="shared" si="1"/>
        <v>8.7143873311362252E-2</v>
      </c>
    </row>
    <row r="13" spans="1:10" hidden="1" outlineLevel="2" x14ac:dyDescent="0.35">
      <c r="A13" s="124" t="s">
        <v>94</v>
      </c>
      <c r="B13" s="125">
        <v>37</v>
      </c>
      <c r="C13" s="126">
        <f t="shared" si="0"/>
        <v>21</v>
      </c>
      <c r="D13" s="127">
        <f>B13*21</f>
        <v>777</v>
      </c>
      <c r="E13" s="134"/>
      <c r="F13" s="128">
        <f t="shared" si="1"/>
        <v>3.8456307398637185E-3</v>
      </c>
    </row>
    <row r="14" spans="1:10" hidden="1" outlineLevel="2" x14ac:dyDescent="0.35">
      <c r="A14" s="129" t="s">
        <v>95</v>
      </c>
      <c r="B14" s="130">
        <v>122</v>
      </c>
      <c r="C14" s="131">
        <f t="shared" si="0"/>
        <v>143</v>
      </c>
      <c r="D14" s="132">
        <f>143*B14</f>
        <v>17446</v>
      </c>
      <c r="E14" s="133"/>
      <c r="F14" s="128">
        <f t="shared" si="1"/>
        <v>8.6346041039462584E-2</v>
      </c>
    </row>
    <row r="15" spans="1:10" hidden="1" outlineLevel="2" x14ac:dyDescent="0.35">
      <c r="A15" s="135" t="s">
        <v>96</v>
      </c>
      <c r="B15" s="136">
        <v>24</v>
      </c>
      <c r="C15" s="137">
        <f t="shared" si="0"/>
        <v>786.36</v>
      </c>
      <c r="D15" s="138">
        <f>786.36*B15</f>
        <v>18872.64</v>
      </c>
      <c r="E15" s="139"/>
      <c r="F15" s="128">
        <f t="shared" si="1"/>
        <v>9.3406955632408764E-2</v>
      </c>
    </row>
    <row r="16" spans="1:10" ht="16" hidden="1" outlineLevel="2" thickBot="1" x14ac:dyDescent="0.4">
      <c r="A16" s="151" t="s">
        <v>98</v>
      </c>
      <c r="B16" s="152">
        <v>42</v>
      </c>
      <c r="C16" s="153">
        <f t="shared" si="0"/>
        <v>14.12</v>
      </c>
      <c r="D16" s="154">
        <f>14.12*B16</f>
        <v>593.04</v>
      </c>
      <c r="E16" s="155"/>
      <c r="F16" s="140">
        <f t="shared" si="1"/>
        <v>2.9351516782094972E-3</v>
      </c>
    </row>
    <row r="17" spans="1:10" hidden="1" outlineLevel="2" x14ac:dyDescent="0.35">
      <c r="A17" s="156" t="s">
        <v>7</v>
      </c>
      <c r="B17" s="157"/>
      <c r="C17" s="158"/>
      <c r="D17" s="159">
        <v>1550.39</v>
      </c>
      <c r="E17" s="160"/>
      <c r="F17" s="117">
        <f>SUM(F12:F16)</f>
        <v>0.27367765240130681</v>
      </c>
    </row>
    <row r="18" spans="1:10" hidden="1" outlineLevel="2" x14ac:dyDescent="0.35">
      <c r="A18" s="129" t="s">
        <v>60</v>
      </c>
      <c r="B18" s="161"/>
      <c r="C18" s="162"/>
      <c r="D18" s="163">
        <v>18.62</v>
      </c>
      <c r="E18" s="164"/>
    </row>
    <row r="19" spans="1:10" s="149" customFormat="1" ht="16" hidden="1" customHeight="1" outlineLevel="2" thickBot="1" x14ac:dyDescent="0.5">
      <c r="A19" s="165" t="s">
        <v>62</v>
      </c>
      <c r="B19" s="166"/>
      <c r="C19" s="167"/>
      <c r="D19" s="167">
        <f>SUM(D11:D18)</f>
        <v>228448.61000000002</v>
      </c>
      <c r="E19" s="168"/>
      <c r="F19" s="146"/>
      <c r="G19" s="147"/>
      <c r="H19" s="148"/>
      <c r="J19" s="148"/>
    </row>
    <row r="20" spans="1:10" hidden="1" outlineLevel="2" x14ac:dyDescent="0.35">
      <c r="A20" s="169"/>
      <c r="B20" s="170"/>
      <c r="C20" s="169"/>
      <c r="D20" s="171">
        <f>D19-D8-D17</f>
        <v>3678.8500000000195</v>
      </c>
      <c r="E20" s="169"/>
    </row>
    <row r="21" spans="1:10" hidden="1" outlineLevel="2" x14ac:dyDescent="0.35">
      <c r="A21" s="169"/>
      <c r="B21" s="170"/>
      <c r="C21" s="169"/>
      <c r="D21" s="171"/>
      <c r="E21" s="169"/>
      <c r="F21" s="172"/>
      <c r="G21" s="173"/>
      <c r="H21" s="174"/>
    </row>
    <row r="22" spans="1:10" ht="16" hidden="1" outlineLevel="2" thickBot="1" x14ac:dyDescent="0.4">
      <c r="A22" s="175" t="s">
        <v>25</v>
      </c>
      <c r="B22" s="176" t="s">
        <v>26</v>
      </c>
      <c r="C22" s="177" t="s">
        <v>27</v>
      </c>
      <c r="D22" s="178">
        <f>D10+7</f>
        <v>42805</v>
      </c>
      <c r="E22" s="179" t="s">
        <v>28</v>
      </c>
      <c r="F22" s="180"/>
      <c r="G22" s="181"/>
      <c r="H22" s="182"/>
    </row>
    <row r="23" spans="1:10" hidden="1" outlineLevel="2" x14ac:dyDescent="0.35">
      <c r="A23" s="183" t="s">
        <v>32</v>
      </c>
      <c r="B23" s="184"/>
      <c r="C23" s="185">
        <v>20903</v>
      </c>
      <c r="D23" s="186"/>
      <c r="E23" s="187"/>
      <c r="F23" s="180"/>
      <c r="G23" s="181"/>
      <c r="H23" s="182"/>
    </row>
    <row r="24" spans="1:10" ht="16" hidden="1" outlineLevel="2" thickBot="1" x14ac:dyDescent="0.4">
      <c r="A24" s="183" t="s">
        <v>36</v>
      </c>
      <c r="B24" s="184"/>
      <c r="C24" s="185">
        <v>5863</v>
      </c>
      <c r="D24" s="186"/>
      <c r="E24" s="188"/>
      <c r="F24" s="150" t="s">
        <v>37</v>
      </c>
      <c r="G24" s="181"/>
      <c r="H24" s="182"/>
    </row>
    <row r="25" spans="1:10" hidden="1" outlineLevel="2" x14ac:dyDescent="0.35">
      <c r="A25" s="124" t="s">
        <v>92</v>
      </c>
      <c r="B25" s="189">
        <v>203</v>
      </c>
      <c r="C25" s="158">
        <v>852.46</v>
      </c>
      <c r="D25" s="190">
        <f>C25*B25</f>
        <v>173049.38</v>
      </c>
      <c r="E25" s="191">
        <f>D25-D11</f>
        <v>1465.6600000000035</v>
      </c>
      <c r="F25" s="192">
        <f t="shared" ref="F25:F31" si="2">D25/$D$48</f>
        <v>0.85647878409569855</v>
      </c>
      <c r="G25" s="173"/>
      <c r="H25" s="174">
        <v>2000</v>
      </c>
      <c r="I25" s="193">
        <f>B25*H25</f>
        <v>406000</v>
      </c>
    </row>
    <row r="26" spans="1:10" hidden="1" outlineLevel="2" x14ac:dyDescent="0.35">
      <c r="A26" s="129" t="s">
        <v>97</v>
      </c>
      <c r="B26" s="194">
        <v>110</v>
      </c>
      <c r="C26" s="162">
        <v>138.79</v>
      </c>
      <c r="D26" s="195">
        <f>C26*B26</f>
        <v>15266.9</v>
      </c>
      <c r="E26" s="133">
        <f>D26-D12</f>
        <v>-2340.3000000000011</v>
      </c>
      <c r="F26" s="192">
        <f t="shared" si="2"/>
        <v>7.5560952306853793E-2</v>
      </c>
      <c r="G26" s="173"/>
      <c r="H26" s="174"/>
    </row>
    <row r="27" spans="1:10" hidden="1" outlineLevel="2" x14ac:dyDescent="0.35">
      <c r="A27" s="156" t="s">
        <v>95</v>
      </c>
      <c r="B27" s="189">
        <v>122</v>
      </c>
      <c r="C27" s="158">
        <v>140.88999999999999</v>
      </c>
      <c r="D27" s="190">
        <f>C27*B27</f>
        <v>17188.579999999998</v>
      </c>
      <c r="E27" s="196">
        <f>D27-D14</f>
        <v>-257.42000000000189</v>
      </c>
      <c r="F27" s="192">
        <f t="shared" si="2"/>
        <v>8.5071984070278897E-2</v>
      </c>
    </row>
    <row r="28" spans="1:10" hidden="1" outlineLevel="2" x14ac:dyDescent="0.35">
      <c r="A28" s="197" t="s">
        <v>99</v>
      </c>
      <c r="B28" s="194">
        <v>108</v>
      </c>
      <c r="C28" s="162">
        <v>22.07</v>
      </c>
      <c r="D28" s="195"/>
      <c r="E28" s="198">
        <v>2384</v>
      </c>
      <c r="F28" s="192">
        <f t="shared" si="2"/>
        <v>0</v>
      </c>
    </row>
    <row r="29" spans="1:10" hidden="1" outlineLevel="2" x14ac:dyDescent="0.35">
      <c r="A29" s="135" t="s">
        <v>98</v>
      </c>
      <c r="B29" s="199">
        <v>42</v>
      </c>
      <c r="C29" s="200">
        <v>13.91</v>
      </c>
      <c r="D29" s="201">
        <f>C29*B29</f>
        <v>584.22</v>
      </c>
      <c r="E29" s="139">
        <f>D29-D16</f>
        <v>-8.8199999999999363</v>
      </c>
      <c r="F29" s="192">
        <f t="shared" si="2"/>
        <v>2.8914985725137475E-3</v>
      </c>
    </row>
    <row r="30" spans="1:10" hidden="1" outlineLevel="2" x14ac:dyDescent="0.35">
      <c r="A30" s="129" t="s">
        <v>94</v>
      </c>
      <c r="B30" s="202">
        <v>36</v>
      </c>
      <c r="C30" s="153">
        <v>18.7</v>
      </c>
      <c r="D30" s="203"/>
      <c r="E30" s="155">
        <f>D30-D13</f>
        <v>-777</v>
      </c>
      <c r="F30" s="192">
        <f t="shared" si="2"/>
        <v>0</v>
      </c>
    </row>
    <row r="31" spans="1:10" ht="16" hidden="1" outlineLevel="2" thickBot="1" x14ac:dyDescent="0.4">
      <c r="A31" s="135" t="s">
        <v>96</v>
      </c>
      <c r="B31" s="199">
        <v>24</v>
      </c>
      <c r="C31" s="200">
        <v>734.16</v>
      </c>
      <c r="D31" s="204">
        <f>C31*B31</f>
        <v>17619.84</v>
      </c>
      <c r="E31" s="139">
        <f>D31-D15</f>
        <v>-1252.7999999999993</v>
      </c>
      <c r="F31" s="205">
        <f t="shared" si="2"/>
        <v>8.7206432864196062E-2</v>
      </c>
    </row>
    <row r="32" spans="1:10" hidden="1" outlineLevel="2" x14ac:dyDescent="0.35">
      <c r="A32" s="206" t="s">
        <v>7</v>
      </c>
      <c r="B32" s="202"/>
      <c r="C32" s="153"/>
      <c r="D32" s="207">
        <v>1531.6</v>
      </c>
      <c r="E32" s="208"/>
      <c r="F32" s="117">
        <f>SUM(F26:F31)</f>
        <v>0.25073086781384252</v>
      </c>
    </row>
    <row r="33" spans="1:12" ht="16" hidden="1" outlineLevel="2" thickBot="1" x14ac:dyDescent="0.4">
      <c r="A33" s="209" t="s">
        <v>60</v>
      </c>
      <c r="B33" s="210"/>
      <c r="C33" s="211"/>
      <c r="D33" s="212">
        <v>64.34</v>
      </c>
      <c r="E33" s="213"/>
    </row>
    <row r="34" spans="1:12" ht="16" hidden="1" outlineLevel="2" thickBot="1" x14ac:dyDescent="0.4">
      <c r="A34" s="214" t="s">
        <v>62</v>
      </c>
      <c r="B34" s="215"/>
      <c r="C34" s="216"/>
      <c r="D34" s="217">
        <f>SUM(D25:D33)</f>
        <v>225304.86</v>
      </c>
      <c r="E34" s="218">
        <f>D34-D19</f>
        <v>-3143.7500000000291</v>
      </c>
      <c r="K34" s="219"/>
    </row>
    <row r="35" spans="1:12" hidden="1" outlineLevel="2" x14ac:dyDescent="0.35">
      <c r="A35" s="220"/>
      <c r="B35" s="221"/>
      <c r="C35" s="220"/>
      <c r="D35" s="220"/>
      <c r="E35" s="220"/>
      <c r="K35" s="118"/>
    </row>
    <row r="36" spans="1:12" ht="16" hidden="1" outlineLevel="2" thickBot="1" x14ac:dyDescent="0.4">
      <c r="A36" s="175" t="s">
        <v>25</v>
      </c>
      <c r="B36" s="176" t="s">
        <v>26</v>
      </c>
      <c r="C36" s="177" t="s">
        <v>27</v>
      </c>
      <c r="D36" s="222">
        <f>D22+7</f>
        <v>42812</v>
      </c>
      <c r="E36" s="179" t="s">
        <v>28</v>
      </c>
    </row>
    <row r="37" spans="1:12" hidden="1" outlineLevel="2" x14ac:dyDescent="0.35">
      <c r="A37" s="183" t="s">
        <v>32</v>
      </c>
      <c r="B37" s="184"/>
      <c r="C37" s="185">
        <v>20915</v>
      </c>
      <c r="D37" s="223">
        <f>C37-C23</f>
        <v>12</v>
      </c>
      <c r="E37" s="224">
        <f>C37-C23</f>
        <v>12</v>
      </c>
    </row>
    <row r="38" spans="1:12" hidden="1" outlineLevel="2" x14ac:dyDescent="0.35">
      <c r="A38" s="183" t="s">
        <v>36</v>
      </c>
      <c r="B38" s="184"/>
      <c r="C38" s="185">
        <v>5901</v>
      </c>
      <c r="D38" s="223">
        <f>C38-C24</f>
        <v>38</v>
      </c>
      <c r="E38" s="225">
        <f>C38-C24</f>
        <v>38</v>
      </c>
      <c r="F38" s="226" t="s">
        <v>37</v>
      </c>
      <c r="G38" s="227"/>
      <c r="H38" s="228"/>
      <c r="I38" s="229"/>
      <c r="J38" s="228"/>
      <c r="K38" s="229"/>
    </row>
    <row r="39" spans="1:12" hidden="1" outlineLevel="2" x14ac:dyDescent="0.35">
      <c r="A39" s="124" t="s">
        <v>92</v>
      </c>
      <c r="B39" s="230">
        <v>173</v>
      </c>
      <c r="C39" s="158">
        <v>852.31</v>
      </c>
      <c r="D39" s="190">
        <f>C39*B39</f>
        <v>147449.63</v>
      </c>
      <c r="E39" s="231">
        <f>D39-D25</f>
        <v>-25599.75</v>
      </c>
      <c r="F39" s="232">
        <f t="shared" ref="F39:F45" si="3">D39/$D$48</f>
        <v>0.72977712961329666</v>
      </c>
      <c r="G39" s="233"/>
      <c r="I39" s="234"/>
      <c r="K39" s="235"/>
      <c r="L39" s="219"/>
    </row>
    <row r="40" spans="1:12" hidden="1" outlineLevel="2" x14ac:dyDescent="0.35">
      <c r="A40" s="129" t="s">
        <v>97</v>
      </c>
      <c r="B40" s="194">
        <v>110</v>
      </c>
      <c r="C40" s="162">
        <v>139.84</v>
      </c>
      <c r="D40" s="195">
        <f>C40*B40</f>
        <v>15382.4</v>
      </c>
      <c r="E40" s="198">
        <f>D40-D26</f>
        <v>115.5</v>
      </c>
      <c r="F40" s="232">
        <f t="shared" si="3"/>
        <v>7.6132600119536237E-2</v>
      </c>
      <c r="G40" s="236"/>
      <c r="I40" s="234"/>
      <c r="K40" s="118"/>
    </row>
    <row r="41" spans="1:12" hidden="1" outlineLevel="2" x14ac:dyDescent="0.35">
      <c r="A41" s="156" t="s">
        <v>95</v>
      </c>
      <c r="B41" s="189">
        <v>122</v>
      </c>
      <c r="C41" s="158">
        <v>145.11000000000001</v>
      </c>
      <c r="D41" s="190">
        <f>C41*B41</f>
        <v>17703.420000000002</v>
      </c>
      <c r="E41" s="237">
        <f>D41-D27</f>
        <v>514.84000000000378</v>
      </c>
      <c r="F41" s="232">
        <f t="shared" si="3"/>
        <v>8.7620098008646272E-2</v>
      </c>
      <c r="G41" s="236"/>
      <c r="I41" s="234"/>
      <c r="K41" s="118"/>
    </row>
    <row r="42" spans="1:12" hidden="1" outlineLevel="2" x14ac:dyDescent="0.35">
      <c r="A42" s="197" t="s">
        <v>49</v>
      </c>
      <c r="B42" s="194">
        <v>255</v>
      </c>
      <c r="C42" s="162">
        <v>106.07</v>
      </c>
      <c r="D42" s="195"/>
      <c r="E42" s="198"/>
      <c r="F42" s="232">
        <f t="shared" si="3"/>
        <v>0</v>
      </c>
      <c r="G42" s="233"/>
      <c r="H42" s="238"/>
      <c r="I42" s="234"/>
      <c r="K42" s="118"/>
      <c r="L42" s="219"/>
    </row>
    <row r="43" spans="1:12" hidden="1" outlineLevel="2" x14ac:dyDescent="0.35">
      <c r="A43" s="135" t="s">
        <v>98</v>
      </c>
      <c r="B43" s="199">
        <v>90</v>
      </c>
      <c r="C43" s="200">
        <v>13.49</v>
      </c>
      <c r="D43" s="201">
        <f>C43*B43</f>
        <v>1214.0999999999999</v>
      </c>
      <c r="E43" s="139">
        <f>D43-D30</f>
        <v>1214.0999999999999</v>
      </c>
      <c r="F43" s="232">
        <f t="shared" si="3"/>
        <v>6.0089836309762425E-3</v>
      </c>
      <c r="I43" s="234"/>
      <c r="K43" s="118"/>
    </row>
    <row r="44" spans="1:12" hidden="1" outlineLevel="2" x14ac:dyDescent="0.35">
      <c r="A44" s="129" t="s">
        <v>94</v>
      </c>
      <c r="B44" s="202">
        <v>36</v>
      </c>
      <c r="C44" s="153">
        <v>19.100000000000001</v>
      </c>
      <c r="D44" s="201">
        <f>C44*B44</f>
        <v>687.6</v>
      </c>
      <c r="E44" s="239">
        <f>D44-D30</f>
        <v>687.6</v>
      </c>
      <c r="F44" s="232">
        <f t="shared" si="3"/>
        <v>3.4031604848523719E-3</v>
      </c>
      <c r="G44" s="233"/>
      <c r="I44" s="234"/>
      <c r="K44" s="118"/>
    </row>
    <row r="45" spans="1:12" ht="16" hidden="1" outlineLevel="2" thickBot="1" x14ac:dyDescent="0.4">
      <c r="A45" s="135" t="s">
        <v>96</v>
      </c>
      <c r="B45" s="199">
        <v>24</v>
      </c>
      <c r="C45" s="200">
        <v>749.83</v>
      </c>
      <c r="D45" s="204">
        <f>C45*B45</f>
        <v>17995.920000000002</v>
      </c>
      <c r="E45" s="240">
        <f>D45-D31</f>
        <v>376.08000000000175</v>
      </c>
      <c r="F45" s="241">
        <f t="shared" si="3"/>
        <v>8.9067777534270656E-2</v>
      </c>
      <c r="G45" s="242"/>
      <c r="I45" s="234"/>
      <c r="K45" s="118"/>
      <c r="L45" s="219"/>
    </row>
    <row r="46" spans="1:12" hidden="1" outlineLevel="2" x14ac:dyDescent="0.35">
      <c r="A46" s="206" t="s">
        <v>7</v>
      </c>
      <c r="B46" s="202"/>
      <c r="C46" s="153"/>
      <c r="D46" s="207">
        <v>1550.07</v>
      </c>
      <c r="E46" s="208"/>
      <c r="F46" s="117">
        <f>SUM(F40:F45)</f>
        <v>0.26223261977828177</v>
      </c>
      <c r="G46" s="233"/>
      <c r="I46" s="243">
        <f>17555*(1+0.173)</f>
        <v>20592.014999999999</v>
      </c>
    </row>
    <row r="47" spans="1:12" ht="16" hidden="1" outlineLevel="2" thickBot="1" x14ac:dyDescent="0.4">
      <c r="A47" s="244" t="s">
        <v>60</v>
      </c>
      <c r="B47" s="210"/>
      <c r="C47" s="211"/>
      <c r="D47" s="212">
        <v>64.34</v>
      </c>
      <c r="E47" s="213"/>
      <c r="G47" s="236"/>
    </row>
    <row r="48" spans="1:12" ht="16" hidden="1" outlineLevel="2" thickBot="1" x14ac:dyDescent="0.4">
      <c r="A48" s="245" t="s">
        <v>62</v>
      </c>
      <c r="B48" s="215"/>
      <c r="C48" s="216"/>
      <c r="D48" s="217">
        <f>SUM(D39:D47)</f>
        <v>202047.48000000004</v>
      </c>
      <c r="E48" s="246">
        <f>D48-D34</f>
        <v>-23257.379999999946</v>
      </c>
      <c r="G48" s="236"/>
      <c r="I48" s="247"/>
    </row>
    <row r="49" spans="1:11" hidden="1" outlineLevel="2" x14ac:dyDescent="0.35"/>
    <row r="50" spans="1:11" hidden="1" outlineLevel="2" x14ac:dyDescent="0.35">
      <c r="A50" s="113" t="s">
        <v>25</v>
      </c>
      <c r="B50" s="248" t="s">
        <v>26</v>
      </c>
      <c r="C50" s="249" t="s">
        <v>27</v>
      </c>
      <c r="D50" s="250">
        <f>D36+7</f>
        <v>42819</v>
      </c>
      <c r="E50" s="122" t="s">
        <v>100</v>
      </c>
      <c r="F50" s="251" t="s">
        <v>101</v>
      </c>
      <c r="G50" s="252">
        <v>17555</v>
      </c>
      <c r="H50" s="253">
        <f>(C51-G50)/G50</f>
        <v>0.17328396468242666</v>
      </c>
    </row>
    <row r="51" spans="1:11" ht="16" hidden="1" outlineLevel="2" thickBot="1" x14ac:dyDescent="0.4">
      <c r="A51" s="254" t="s">
        <v>32</v>
      </c>
      <c r="B51" s="255"/>
      <c r="C51" s="256">
        <v>20597</v>
      </c>
      <c r="D51" s="257">
        <f>C51-C37</f>
        <v>-318</v>
      </c>
      <c r="E51" s="122"/>
      <c r="F51" s="258"/>
      <c r="G51" s="259">
        <v>4766</v>
      </c>
      <c r="H51" s="260">
        <f>(C52-G51)/G51</f>
        <v>0.22282836760386068</v>
      </c>
      <c r="I51" s="261"/>
    </row>
    <row r="52" spans="1:11" hidden="1" outlineLevel="2" x14ac:dyDescent="0.35">
      <c r="A52" s="262" t="s">
        <v>36</v>
      </c>
      <c r="B52" s="263"/>
      <c r="C52" s="185">
        <v>5828</v>
      </c>
      <c r="D52" s="264">
        <f>C52-C38</f>
        <v>-73</v>
      </c>
      <c r="E52" s="265">
        <f>(C52-C38)/C38</f>
        <v>-1.2370784612777495E-2</v>
      </c>
      <c r="F52" s="266" t="s">
        <v>37</v>
      </c>
      <c r="G52" s="267" t="s">
        <v>38</v>
      </c>
      <c r="H52" s="268" t="s">
        <v>102</v>
      </c>
    </row>
    <row r="53" spans="1:11" hidden="1" outlineLevel="2" x14ac:dyDescent="0.35">
      <c r="A53" s="269" t="s">
        <v>92</v>
      </c>
      <c r="B53" s="270">
        <v>103</v>
      </c>
      <c r="C53" s="271">
        <v>845.61</v>
      </c>
      <c r="D53" s="272">
        <f>C53*B53</f>
        <v>87097.83</v>
      </c>
      <c r="E53" s="273">
        <f>(C53-C39)/C39</f>
        <v>-7.8609895460571063E-3</v>
      </c>
      <c r="F53" s="274">
        <f t="shared" ref="F53:F60" si="4">D53/$D$63</f>
        <v>0.38166288923463859</v>
      </c>
      <c r="G53" s="275">
        <v>172</v>
      </c>
      <c r="H53" s="276">
        <v>0.46</v>
      </c>
      <c r="I53" s="261"/>
      <c r="J53" s="277"/>
      <c r="K53" s="278"/>
    </row>
    <row r="54" spans="1:11" hidden="1" outlineLevel="2" x14ac:dyDescent="0.35">
      <c r="A54" s="206" t="s">
        <v>96</v>
      </c>
      <c r="B54" s="279">
        <v>77</v>
      </c>
      <c r="C54" s="280">
        <v>758</v>
      </c>
      <c r="D54" s="203">
        <f t="shared" ref="D54:D60" si="5">C54*B54</f>
        <v>58366</v>
      </c>
      <c r="E54" s="281">
        <f>(C54- C45)/ C45</f>
        <v>1.0895803048690981E-2</v>
      </c>
      <c r="F54" s="266">
        <f t="shared" si="4"/>
        <v>0.25575994480079373</v>
      </c>
      <c r="G54" s="282">
        <v>40</v>
      </c>
      <c r="H54" s="283">
        <v>0.3</v>
      </c>
      <c r="J54" s="277"/>
      <c r="K54" s="278"/>
    </row>
    <row r="55" spans="1:11" hidden="1" outlineLevel="2" x14ac:dyDescent="0.35">
      <c r="A55" s="284" t="s">
        <v>49</v>
      </c>
      <c r="B55" s="285">
        <v>255</v>
      </c>
      <c r="C55" s="286">
        <v>107.47</v>
      </c>
      <c r="D55" s="287">
        <f t="shared" si="5"/>
        <v>27404.85</v>
      </c>
      <c r="E55" s="288">
        <f>(C55-C42)/C42</f>
        <v>1.3198830960686393E-2</v>
      </c>
      <c r="F55" s="266">
        <f t="shared" si="4"/>
        <v>0.12008811505455284</v>
      </c>
      <c r="G55" s="282">
        <v>42</v>
      </c>
      <c r="H55" s="283">
        <v>2.09</v>
      </c>
    </row>
    <row r="56" spans="1:11" hidden="1" outlineLevel="2" x14ac:dyDescent="0.35">
      <c r="A56" s="197" t="s">
        <v>95</v>
      </c>
      <c r="B56" s="289">
        <v>122</v>
      </c>
      <c r="C56" s="290">
        <v>142.02000000000001</v>
      </c>
      <c r="D56" s="291">
        <f t="shared" si="5"/>
        <v>17326.440000000002</v>
      </c>
      <c r="E56" s="292">
        <f>(C56-C41)/C41</f>
        <v>-2.1294190614016974E-2</v>
      </c>
      <c r="F56" s="266">
        <f t="shared" si="4"/>
        <v>7.5924499503037118E-2</v>
      </c>
      <c r="G56" s="282">
        <v>330</v>
      </c>
      <c r="H56" s="283">
        <v>0.4</v>
      </c>
    </row>
    <row r="57" spans="1:11" hidden="1" outlineLevel="2" x14ac:dyDescent="0.35">
      <c r="A57" s="284" t="s">
        <v>97</v>
      </c>
      <c r="B57" s="285">
        <v>110</v>
      </c>
      <c r="C57" s="286">
        <v>140.34</v>
      </c>
      <c r="D57" s="287">
        <f t="shared" si="5"/>
        <v>15437.4</v>
      </c>
      <c r="E57" s="288">
        <f>(C57-C40)/C40</f>
        <v>3.5755148741418762E-3</v>
      </c>
      <c r="F57" s="266">
        <f t="shared" si="4"/>
        <v>6.7646721924883885E-2</v>
      </c>
      <c r="G57" s="282">
        <v>40</v>
      </c>
      <c r="H57" s="283">
        <v>0.23</v>
      </c>
    </row>
    <row r="58" spans="1:11" hidden="1" outlineLevel="2" x14ac:dyDescent="0.35">
      <c r="A58" s="293" t="s">
        <v>103</v>
      </c>
      <c r="B58" s="279">
        <v>100</v>
      </c>
      <c r="C58" s="280">
        <v>127.7</v>
      </c>
      <c r="D58" s="203">
        <f t="shared" si="5"/>
        <v>12770</v>
      </c>
      <c r="E58" s="294"/>
      <c r="F58" s="266">
        <f t="shared" si="4"/>
        <v>5.5958169055719695E-2</v>
      </c>
      <c r="G58" s="282">
        <v>49</v>
      </c>
      <c r="H58" s="283">
        <v>0.38</v>
      </c>
    </row>
    <row r="59" spans="1:11" hidden="1" outlineLevel="2" x14ac:dyDescent="0.35">
      <c r="A59" s="295" t="s">
        <v>104</v>
      </c>
      <c r="B59" s="285">
        <v>100</v>
      </c>
      <c r="C59" s="286">
        <v>62.49</v>
      </c>
      <c r="D59" s="287">
        <f>C59*B59</f>
        <v>6249</v>
      </c>
      <c r="E59" s="296"/>
      <c r="F59" s="266">
        <f t="shared" si="4"/>
        <v>2.738313221841757E-2</v>
      </c>
      <c r="G59" s="297">
        <v>42</v>
      </c>
      <c r="H59" s="283">
        <v>0.85</v>
      </c>
    </row>
    <row r="60" spans="1:11" ht="16" hidden="1" outlineLevel="2" thickBot="1" x14ac:dyDescent="0.4">
      <c r="A60" s="298" t="s">
        <v>98</v>
      </c>
      <c r="B60" s="299">
        <v>90</v>
      </c>
      <c r="C60" s="300">
        <v>13.7</v>
      </c>
      <c r="D60" s="301">
        <f t="shared" si="5"/>
        <v>1233</v>
      </c>
      <c r="E60" s="302">
        <f>(C60-C43)/C43</f>
        <v>1.5567086730911717E-2</v>
      </c>
      <c r="F60" s="303">
        <f t="shared" si="4"/>
        <v>5.403008805458292E-3</v>
      </c>
      <c r="G60" s="282">
        <v>-22</v>
      </c>
      <c r="H60" s="283">
        <v>3.92</v>
      </c>
    </row>
    <row r="61" spans="1:11" ht="17.149999999999999" hidden="1" customHeight="1" outlineLevel="2" thickBot="1" x14ac:dyDescent="0.4">
      <c r="A61" s="304" t="s">
        <v>7</v>
      </c>
      <c r="B61" s="285"/>
      <c r="C61" s="286"/>
      <c r="D61" s="287">
        <v>1545.18</v>
      </c>
      <c r="E61" s="305"/>
      <c r="F61" s="117">
        <f>SUM(F55:F60)</f>
        <v>0.35240364656206946</v>
      </c>
      <c r="G61" s="306">
        <f>AVERAGE(G53:G60)</f>
        <v>86.625</v>
      </c>
      <c r="H61" s="307">
        <f>AVERAGE(H53:H60)</f>
        <v>1.0787499999999999</v>
      </c>
    </row>
    <row r="62" spans="1:11" ht="16" hidden="1" outlineLevel="2" thickBot="1" x14ac:dyDescent="0.4">
      <c r="A62" s="298" t="s">
        <v>60</v>
      </c>
      <c r="B62" s="308"/>
      <c r="C62" s="309"/>
      <c r="D62" s="310">
        <v>776.48</v>
      </c>
      <c r="E62" s="246"/>
      <c r="G62" s="236"/>
    </row>
    <row r="63" spans="1:11" ht="16" hidden="1" outlineLevel="2" thickBot="1" x14ac:dyDescent="0.4">
      <c r="A63" s="311" t="s">
        <v>62</v>
      </c>
      <c r="B63" s="312"/>
      <c r="C63" s="313"/>
      <c r="D63" s="314">
        <f>SUM(D53:D62)</f>
        <v>228206.18000000002</v>
      </c>
      <c r="E63" s="315">
        <f>D63-D48</f>
        <v>26158.699999999983</v>
      </c>
      <c r="F63" s="316">
        <f>(D63-D48)/D48</f>
        <v>0.12946808344256497</v>
      </c>
      <c r="G63" s="236"/>
    </row>
    <row r="64" spans="1:11" hidden="1" outlineLevel="2" x14ac:dyDescent="0.35">
      <c r="A64" s="317"/>
      <c r="B64" s="221"/>
      <c r="C64" s="318"/>
      <c r="D64" s="319"/>
      <c r="E64" s="320"/>
      <c r="G64" s="236"/>
    </row>
    <row r="65" spans="1:10" hidden="1" outlineLevel="2" x14ac:dyDescent="0.35">
      <c r="A65" s="113" t="s">
        <v>25</v>
      </c>
      <c r="B65" s="248" t="s">
        <v>26</v>
      </c>
      <c r="C65" s="249" t="s">
        <v>27</v>
      </c>
      <c r="D65" s="250">
        <f>D50+7</f>
        <v>42826</v>
      </c>
      <c r="E65" s="321" t="s">
        <v>28</v>
      </c>
      <c r="F65" s="251" t="s">
        <v>101</v>
      </c>
      <c r="G65" s="252">
        <v>17555</v>
      </c>
      <c r="H65" s="253">
        <f>(C66-G65)/G65</f>
        <v>0.17704357732839646</v>
      </c>
    </row>
    <row r="66" spans="1:10" ht="16" hidden="1" outlineLevel="2" thickBot="1" x14ac:dyDescent="0.4">
      <c r="A66" s="254" t="s">
        <v>32</v>
      </c>
      <c r="B66" s="255"/>
      <c r="C66" s="256">
        <v>20663</v>
      </c>
      <c r="D66" s="322">
        <f>C66-C51</f>
        <v>66</v>
      </c>
      <c r="E66" s="321"/>
      <c r="F66" s="258"/>
      <c r="G66" s="259">
        <v>4766</v>
      </c>
      <c r="H66" s="260">
        <f>(C67-G66)/G66</f>
        <v>0.24024339068401174</v>
      </c>
    </row>
    <row r="67" spans="1:10" hidden="1" outlineLevel="2" x14ac:dyDescent="0.35">
      <c r="A67" s="262" t="s">
        <v>36</v>
      </c>
      <c r="B67" s="263"/>
      <c r="C67" s="185">
        <v>5911</v>
      </c>
      <c r="D67" s="223">
        <f>C67-C52</f>
        <v>83</v>
      </c>
      <c r="E67" s="323">
        <f>(C67-C52)/C52</f>
        <v>1.4241592312971859E-2</v>
      </c>
      <c r="F67" s="266" t="s">
        <v>37</v>
      </c>
      <c r="G67" s="267" t="s">
        <v>38</v>
      </c>
      <c r="H67" s="268" t="s">
        <v>102</v>
      </c>
    </row>
    <row r="68" spans="1:10" hidden="1" outlineLevel="2" x14ac:dyDescent="0.35">
      <c r="A68" s="269" t="s">
        <v>92</v>
      </c>
      <c r="B68" s="270">
        <v>103</v>
      </c>
      <c r="C68" s="271">
        <v>886.54</v>
      </c>
      <c r="D68" s="272">
        <f t="shared" ref="D68:D75" si="6">C68*B68</f>
        <v>91313.62</v>
      </c>
      <c r="E68" s="273">
        <f t="shared" ref="E68:E75" si="7">(C68-C53)/C53</f>
        <v>4.8402928063764561E-2</v>
      </c>
      <c r="F68" s="274">
        <f t="shared" ref="F68:F75" si="8">D68/$D$63</f>
        <v>0.40013649060687134</v>
      </c>
      <c r="G68" s="275">
        <v>172</v>
      </c>
      <c r="H68" s="324">
        <v>0.46</v>
      </c>
      <c r="I68" s="325">
        <f>D68-D53</f>
        <v>4215.7899999999936</v>
      </c>
      <c r="J68" s="118">
        <f>I68</f>
        <v>4215.7899999999936</v>
      </c>
    </row>
    <row r="69" spans="1:10" hidden="1" outlineLevel="2" x14ac:dyDescent="0.35">
      <c r="A69" s="206" t="s">
        <v>96</v>
      </c>
      <c r="B69" s="279">
        <v>77</v>
      </c>
      <c r="C69" s="280">
        <v>766.47</v>
      </c>
      <c r="D69" s="203">
        <f t="shared" si="6"/>
        <v>59018.19</v>
      </c>
      <c r="E69" s="281">
        <f t="shared" si="7"/>
        <v>1.1174142480211117E-2</v>
      </c>
      <c r="F69" s="266">
        <f t="shared" si="8"/>
        <v>0.25861784286472872</v>
      </c>
      <c r="G69" s="282">
        <v>40</v>
      </c>
      <c r="H69" s="326">
        <v>0.3</v>
      </c>
      <c r="I69" s="327">
        <f t="shared" ref="I69:I75" si="9">D69-D54</f>
        <v>652.19000000000233</v>
      </c>
    </row>
    <row r="70" spans="1:10" hidden="1" outlineLevel="2" x14ac:dyDescent="0.35">
      <c r="A70" s="284" t="s">
        <v>49</v>
      </c>
      <c r="B70" s="285">
        <v>255</v>
      </c>
      <c r="C70" s="286">
        <v>108.93</v>
      </c>
      <c r="D70" s="287">
        <f t="shared" si="6"/>
        <v>27777.15</v>
      </c>
      <c r="E70" s="288">
        <f t="shared" si="7"/>
        <v>1.3585186563692267E-2</v>
      </c>
      <c r="F70" s="266">
        <f t="shared" si="8"/>
        <v>0.12171953450165109</v>
      </c>
      <c r="G70" s="282">
        <v>42</v>
      </c>
      <c r="H70" s="326">
        <v>2.09</v>
      </c>
      <c r="I70" s="327">
        <f t="shared" si="9"/>
        <v>372.30000000000291</v>
      </c>
    </row>
    <row r="71" spans="1:10" hidden="1" outlineLevel="2" x14ac:dyDescent="0.35">
      <c r="A71" s="197" t="s">
        <v>95</v>
      </c>
      <c r="B71" s="289">
        <v>122</v>
      </c>
      <c r="C71" s="290">
        <v>147.81</v>
      </c>
      <c r="D71" s="291">
        <f t="shared" si="6"/>
        <v>18032.82</v>
      </c>
      <c r="E71" s="328">
        <f t="shared" si="7"/>
        <v>4.0768905787917135E-2</v>
      </c>
      <c r="F71" s="266">
        <f t="shared" si="8"/>
        <v>7.9019858270271193E-2</v>
      </c>
      <c r="G71" s="282">
        <v>330</v>
      </c>
      <c r="H71" s="326">
        <v>0.4</v>
      </c>
      <c r="I71" s="327">
        <f t="shared" si="9"/>
        <v>706.37999999999738</v>
      </c>
    </row>
    <row r="72" spans="1:10" hidden="1" outlineLevel="2" x14ac:dyDescent="0.35">
      <c r="A72" s="284" t="s">
        <v>97</v>
      </c>
      <c r="B72" s="285">
        <v>110</v>
      </c>
      <c r="C72" s="286">
        <v>142.05000000000001</v>
      </c>
      <c r="D72" s="287">
        <f t="shared" si="6"/>
        <v>15625.500000000002</v>
      </c>
      <c r="E72" s="288">
        <f t="shared" si="7"/>
        <v>1.2184694313809377E-2</v>
      </c>
      <c r="F72" s="266">
        <f t="shared" si="8"/>
        <v>6.8470976552869864E-2</v>
      </c>
      <c r="G72" s="282">
        <v>40</v>
      </c>
      <c r="H72" s="326">
        <v>0.23</v>
      </c>
      <c r="I72" s="327">
        <f t="shared" si="9"/>
        <v>188.10000000000218</v>
      </c>
    </row>
    <row r="73" spans="1:10" hidden="1" outlineLevel="2" x14ac:dyDescent="0.35">
      <c r="A73" s="293" t="s">
        <v>103</v>
      </c>
      <c r="B73" s="279">
        <v>100</v>
      </c>
      <c r="C73" s="280">
        <v>130.13</v>
      </c>
      <c r="D73" s="203">
        <f t="shared" si="6"/>
        <v>13013</v>
      </c>
      <c r="E73" s="281">
        <f t="shared" si="7"/>
        <v>1.9028974158183182E-2</v>
      </c>
      <c r="F73" s="266">
        <f t="shared" si="8"/>
        <v>5.7022995608620237E-2</v>
      </c>
      <c r="G73" s="282">
        <v>49</v>
      </c>
      <c r="H73" s="326">
        <v>0.38</v>
      </c>
      <c r="I73" s="327">
        <f t="shared" si="9"/>
        <v>243</v>
      </c>
    </row>
    <row r="74" spans="1:10" hidden="1" outlineLevel="2" x14ac:dyDescent="0.35">
      <c r="A74" s="295" t="s">
        <v>104</v>
      </c>
      <c r="B74" s="285">
        <v>100</v>
      </c>
      <c r="C74" s="286">
        <v>66.14</v>
      </c>
      <c r="D74" s="287">
        <f t="shared" si="6"/>
        <v>6614</v>
      </c>
      <c r="E74" s="288">
        <f t="shared" si="7"/>
        <v>5.8409345495279222E-2</v>
      </c>
      <c r="F74" s="266">
        <f t="shared" si="8"/>
        <v>2.8982563048906035E-2</v>
      </c>
      <c r="G74" s="297">
        <v>42</v>
      </c>
      <c r="H74" s="326">
        <v>0.85</v>
      </c>
      <c r="I74" s="327">
        <f t="shared" si="9"/>
        <v>365</v>
      </c>
    </row>
    <row r="75" spans="1:10" ht="16" hidden="1" outlineLevel="2" thickBot="1" x14ac:dyDescent="0.4">
      <c r="A75" s="298" t="s">
        <v>98</v>
      </c>
      <c r="B75" s="299">
        <v>90</v>
      </c>
      <c r="C75" s="300">
        <v>14.55</v>
      </c>
      <c r="D75" s="301">
        <f t="shared" si="6"/>
        <v>1309.5</v>
      </c>
      <c r="E75" s="302">
        <f t="shared" si="7"/>
        <v>6.2043795620438061E-2</v>
      </c>
      <c r="F75" s="303">
        <f t="shared" si="8"/>
        <v>5.7382319795195721E-3</v>
      </c>
      <c r="G75" s="282">
        <v>-22</v>
      </c>
      <c r="H75" s="326">
        <v>3.92</v>
      </c>
      <c r="I75" s="329">
        <f t="shared" si="9"/>
        <v>76.5</v>
      </c>
      <c r="J75" s="118">
        <f>SUM(I69:I75)</f>
        <v>2603.4700000000048</v>
      </c>
    </row>
    <row r="76" spans="1:10" ht="16" hidden="1" outlineLevel="2" thickBot="1" x14ac:dyDescent="0.4">
      <c r="A76" s="304" t="s">
        <v>7</v>
      </c>
      <c r="B76" s="285"/>
      <c r="C76" s="286"/>
      <c r="D76" s="287">
        <v>1552.6</v>
      </c>
      <c r="E76" s="305"/>
      <c r="F76" s="117">
        <f>SUM(F70:F75)</f>
        <v>0.36095415996183794</v>
      </c>
      <c r="G76" s="306">
        <f>AVERAGE(G68:G75)</f>
        <v>86.625</v>
      </c>
      <c r="H76" s="330">
        <f>AVERAGE(H68:H75)</f>
        <v>1.0787499999999999</v>
      </c>
      <c r="I76" s="331">
        <f>SUM(I68:I75)</f>
        <v>6819.2599999999984</v>
      </c>
    </row>
    <row r="77" spans="1:10" ht="16" hidden="1" outlineLevel="2" thickBot="1" x14ac:dyDescent="0.4">
      <c r="A77" s="298" t="s">
        <v>60</v>
      </c>
      <c r="B77" s="308"/>
      <c r="C77" s="309"/>
      <c r="D77" s="310">
        <v>776.48</v>
      </c>
      <c r="E77" s="246"/>
      <c r="G77" s="236"/>
    </row>
    <row r="78" spans="1:10" ht="16" hidden="1" outlineLevel="2" thickBot="1" x14ac:dyDescent="0.4">
      <c r="A78" s="311" t="s">
        <v>62</v>
      </c>
      <c r="B78" s="312"/>
      <c r="C78" s="313"/>
      <c r="D78" s="314">
        <f>SUM(D68:D77)</f>
        <v>235032.86000000002</v>
      </c>
      <c r="E78" s="332">
        <f>D78-D63</f>
        <v>6826.679999999993</v>
      </c>
      <c r="F78" s="117">
        <f>(D78-D63)/D63</f>
        <v>2.9914527292819119E-2</v>
      </c>
      <c r="G78" s="236"/>
    </row>
    <row r="79" spans="1:10" hidden="1" outlineLevel="2" x14ac:dyDescent="0.35"/>
    <row r="80" spans="1:10" hidden="1" outlineLevel="2" x14ac:dyDescent="0.35">
      <c r="A80" s="113" t="s">
        <v>25</v>
      </c>
      <c r="B80" s="248" t="s">
        <v>26</v>
      </c>
      <c r="C80" s="249" t="s">
        <v>27</v>
      </c>
      <c r="D80" s="250">
        <f>D65+7</f>
        <v>42833</v>
      </c>
      <c r="E80" s="321" t="s">
        <v>28</v>
      </c>
      <c r="F80" s="251" t="s">
        <v>101</v>
      </c>
      <c r="G80" s="252">
        <v>17555</v>
      </c>
      <c r="H80" s="253">
        <f>(C81-G80)/G80</f>
        <v>0.17664483053261179</v>
      </c>
    </row>
    <row r="81" spans="1:10" ht="16" hidden="1" outlineLevel="2" thickBot="1" x14ac:dyDescent="0.4">
      <c r="A81" s="254" t="s">
        <v>32</v>
      </c>
      <c r="B81" s="255"/>
      <c r="C81" s="256">
        <v>20656</v>
      </c>
      <c r="D81" s="257">
        <f>C81-C66</f>
        <v>-7</v>
      </c>
      <c r="E81" s="321"/>
      <c r="F81" s="258"/>
      <c r="G81" s="259">
        <v>4766</v>
      </c>
      <c r="H81" s="260">
        <f>(C82-G81)/G81</f>
        <v>0.23331934536298782</v>
      </c>
      <c r="I81" s="118"/>
    </row>
    <row r="82" spans="1:10" hidden="1" outlineLevel="2" x14ac:dyDescent="0.35">
      <c r="A82" s="262" t="s">
        <v>36</v>
      </c>
      <c r="B82" s="263"/>
      <c r="C82" s="185">
        <v>5878</v>
      </c>
      <c r="D82" s="264">
        <f>C82-C67</f>
        <v>-33</v>
      </c>
      <c r="E82" s="265">
        <f>(C82-C67)/C67</f>
        <v>-5.5828117069869733E-3</v>
      </c>
      <c r="F82" s="266" t="s">
        <v>37</v>
      </c>
      <c r="G82" s="267" t="s">
        <v>38</v>
      </c>
      <c r="H82" s="268" t="s">
        <v>102</v>
      </c>
      <c r="I82" s="118"/>
    </row>
    <row r="83" spans="1:10" hidden="1" outlineLevel="2" x14ac:dyDescent="0.35">
      <c r="A83" s="269" t="s">
        <v>92</v>
      </c>
      <c r="B83" s="270">
        <v>185</v>
      </c>
      <c r="C83" s="271">
        <v>894.88</v>
      </c>
      <c r="D83" s="272">
        <f t="shared" ref="D83:D89" si="10">C83*B83</f>
        <v>165552.79999999999</v>
      </c>
      <c r="E83" s="333">
        <f>(C83-C68)/C68</f>
        <v>9.4073589460148804E-3</v>
      </c>
      <c r="F83" s="274">
        <f>D83/$D$92</f>
        <v>0.71148069758223997</v>
      </c>
      <c r="G83" s="275">
        <v>172</v>
      </c>
      <c r="H83" s="324">
        <v>0.46</v>
      </c>
      <c r="I83" s="334">
        <f>(C83-C68)*B68</f>
        <v>859.02000000000328</v>
      </c>
      <c r="J83" s="118">
        <f>I83</f>
        <v>859.02000000000328</v>
      </c>
    </row>
    <row r="84" spans="1:10" hidden="1" outlineLevel="2" x14ac:dyDescent="0.35">
      <c r="A84" s="197" t="s">
        <v>49</v>
      </c>
      <c r="B84" s="289">
        <v>105</v>
      </c>
      <c r="C84" s="290">
        <v>100.33</v>
      </c>
      <c r="D84" s="291">
        <f t="shared" si="10"/>
        <v>10534.65</v>
      </c>
      <c r="E84" s="292">
        <f t="shared" ref="E84:E89" si="11">(C84-C70)/C70</f>
        <v>-7.8949784265124459E-2</v>
      </c>
      <c r="F84" s="266">
        <f t="shared" ref="F84:F89" si="12">D84/$D$92</f>
        <v>4.5273774474274942E-2</v>
      </c>
      <c r="G84" s="282">
        <v>42</v>
      </c>
      <c r="H84" s="326">
        <v>2.09</v>
      </c>
      <c r="I84" s="335">
        <f>(C84-C70)*B70</f>
        <v>-2193.0000000000023</v>
      </c>
    </row>
    <row r="85" spans="1:10" hidden="1" outlineLevel="2" x14ac:dyDescent="0.35">
      <c r="A85" s="284" t="s">
        <v>95</v>
      </c>
      <c r="B85" s="285">
        <v>130</v>
      </c>
      <c r="C85" s="286">
        <v>143.11000000000001</v>
      </c>
      <c r="D85" s="287">
        <f t="shared" si="10"/>
        <v>18604.300000000003</v>
      </c>
      <c r="E85" s="296">
        <f t="shared" si="11"/>
        <v>-3.1797577971720371E-2</v>
      </c>
      <c r="F85" s="266">
        <f t="shared" si="12"/>
        <v>7.9953950292772274E-2</v>
      </c>
      <c r="G85" s="282">
        <v>330</v>
      </c>
      <c r="H85" s="326">
        <v>0.4</v>
      </c>
      <c r="I85" s="335">
        <f>(C85-C71)*B85</f>
        <v>-610.99999999999852</v>
      </c>
    </row>
    <row r="86" spans="1:10" hidden="1" outlineLevel="2" x14ac:dyDescent="0.35">
      <c r="A86" s="197" t="s">
        <v>97</v>
      </c>
      <c r="B86" s="289">
        <v>110</v>
      </c>
      <c r="C86" s="290">
        <v>140.78</v>
      </c>
      <c r="D86" s="291">
        <f t="shared" si="10"/>
        <v>15485.8</v>
      </c>
      <c r="E86" s="292">
        <f t="shared" si="11"/>
        <v>-8.9405139035551584E-3</v>
      </c>
      <c r="F86" s="266">
        <f t="shared" si="12"/>
        <v>6.6551866151578543E-2</v>
      </c>
      <c r="G86" s="282">
        <v>40</v>
      </c>
      <c r="H86" s="326">
        <v>0.23</v>
      </c>
      <c r="I86" s="335">
        <f>(C86-C72)*B86</f>
        <v>-139.70000000000113</v>
      </c>
    </row>
    <row r="87" spans="1:10" hidden="1" outlineLevel="2" x14ac:dyDescent="0.35">
      <c r="A87" s="336" t="s">
        <v>103</v>
      </c>
      <c r="B87" s="337">
        <v>100</v>
      </c>
      <c r="C87" s="338">
        <v>130.22</v>
      </c>
      <c r="D87" s="339">
        <f t="shared" si="10"/>
        <v>13022</v>
      </c>
      <c r="E87" s="340">
        <f t="shared" si="11"/>
        <v>6.9161607623148709E-4</v>
      </c>
      <c r="F87" s="266">
        <f t="shared" si="12"/>
        <v>5.5963424622935583E-2</v>
      </c>
      <c r="G87" s="282">
        <v>49</v>
      </c>
      <c r="H87" s="326">
        <v>0.38</v>
      </c>
      <c r="I87" s="335">
        <f>(C87-C73)*B87</f>
        <v>9.0000000000003411</v>
      </c>
    </row>
    <row r="88" spans="1:10" hidden="1" outlineLevel="2" x14ac:dyDescent="0.35">
      <c r="A88" s="341" t="s">
        <v>104</v>
      </c>
      <c r="B88" s="289">
        <v>100</v>
      </c>
      <c r="C88" s="290">
        <v>66.45</v>
      </c>
      <c r="D88" s="291">
        <f t="shared" si="10"/>
        <v>6645</v>
      </c>
      <c r="E88" s="328">
        <f t="shared" si="11"/>
        <v>4.6870275173873941E-3</v>
      </c>
      <c r="F88" s="266">
        <f t="shared" si="12"/>
        <v>2.8557591508171321E-2</v>
      </c>
      <c r="G88" s="297">
        <v>42</v>
      </c>
      <c r="H88" s="326">
        <v>0.85</v>
      </c>
      <c r="I88" s="335">
        <f>(C88-C74)*B88</f>
        <v>31.000000000000227</v>
      </c>
    </row>
    <row r="89" spans="1:10" ht="16" hidden="1" outlineLevel="2" thickBot="1" x14ac:dyDescent="0.4">
      <c r="A89" s="342" t="s">
        <v>98</v>
      </c>
      <c r="B89" s="343">
        <v>90</v>
      </c>
      <c r="C89" s="344">
        <v>13.52</v>
      </c>
      <c r="D89" s="345">
        <f t="shared" si="10"/>
        <v>1216.8</v>
      </c>
      <c r="E89" s="346">
        <f t="shared" si="11"/>
        <v>-7.0790378006872934E-2</v>
      </c>
      <c r="F89" s="303">
        <f t="shared" si="12"/>
        <v>5.2293269145436963E-3</v>
      </c>
      <c r="G89" s="282">
        <v>-22</v>
      </c>
      <c r="H89" s="326">
        <v>3.92</v>
      </c>
      <c r="I89" s="335">
        <f>(C89-C75)*B89</f>
        <v>-92.700000000000102</v>
      </c>
      <c r="J89" s="118">
        <f>SUM(I84:I89)</f>
        <v>-2996.4000000000019</v>
      </c>
    </row>
    <row r="90" spans="1:10" ht="16" hidden="1" outlineLevel="2" thickBot="1" x14ac:dyDescent="0.4">
      <c r="A90" s="347" t="s">
        <v>7</v>
      </c>
      <c r="B90" s="289"/>
      <c r="C90" s="290"/>
      <c r="D90" s="291">
        <v>1550.07</v>
      </c>
      <c r="E90" s="348"/>
      <c r="F90" s="117">
        <f>SUM(F84:F89)</f>
        <v>0.28152993396427634</v>
      </c>
      <c r="G90" s="306">
        <f>AVERAGE(G83:G89)</f>
        <v>93.285714285714292</v>
      </c>
      <c r="H90" s="330">
        <f>AVERAGE(H83:H89)</f>
        <v>1.1899999999999997</v>
      </c>
      <c r="I90" s="349">
        <f>SUM(I83:I89)</f>
        <v>-2137.3799999999983</v>
      </c>
    </row>
    <row r="91" spans="1:10" ht="16" hidden="1" outlineLevel="2" thickBot="1" x14ac:dyDescent="0.4">
      <c r="A91" s="342" t="s">
        <v>60</v>
      </c>
      <c r="B91" s="350"/>
      <c r="C91" s="351"/>
      <c r="D91" s="352">
        <v>76.27</v>
      </c>
      <c r="E91" s="332"/>
      <c r="G91" s="236"/>
      <c r="H91" s="353">
        <f>(D92-$D$8)/$D$8</f>
        <v>4.2417107440093471E-2</v>
      </c>
    </row>
    <row r="92" spans="1:10" ht="16" hidden="1" outlineLevel="2" thickBot="1" x14ac:dyDescent="0.4">
      <c r="A92" s="311" t="s">
        <v>62</v>
      </c>
      <c r="B92" s="312"/>
      <c r="C92" s="313"/>
      <c r="D92" s="314">
        <f>SUM(D83:D91)</f>
        <v>232687.68999999997</v>
      </c>
      <c r="E92" s="354">
        <f>D92-D78</f>
        <v>-2345.1700000000419</v>
      </c>
      <c r="F92" s="355">
        <f>(D92-D78)/D78</f>
        <v>-9.9780515796814191E-3</v>
      </c>
      <c r="G92" s="236"/>
      <c r="I92" s="247"/>
    </row>
    <row r="93" spans="1:10" hidden="1" outlineLevel="2" x14ac:dyDescent="0.35"/>
    <row r="94" spans="1:10" hidden="1" outlineLevel="2" x14ac:dyDescent="0.35">
      <c r="A94" s="113" t="s">
        <v>25</v>
      </c>
      <c r="B94" s="248" t="s">
        <v>26</v>
      </c>
      <c r="C94" s="249" t="s">
        <v>27</v>
      </c>
      <c r="D94" s="250">
        <f>D80+7</f>
        <v>42840</v>
      </c>
      <c r="E94" s="321" t="s">
        <v>28</v>
      </c>
      <c r="F94" s="251" t="s">
        <v>101</v>
      </c>
      <c r="G94" s="252">
        <v>17555</v>
      </c>
      <c r="H94" s="253">
        <f>(C95-G94)/G94</f>
        <v>0.16508117345485618</v>
      </c>
    </row>
    <row r="95" spans="1:10" ht="16" hidden="1" outlineLevel="2" thickBot="1" x14ac:dyDescent="0.4">
      <c r="A95" s="254" t="s">
        <v>32</v>
      </c>
      <c r="B95" s="255" t="str">
        <f ca="1">TEXT(TODAY(),"ddd")</f>
        <v>Sun</v>
      </c>
      <c r="C95" s="256">
        <v>20453</v>
      </c>
      <c r="D95" s="257">
        <f>C95-C81</f>
        <v>-203</v>
      </c>
      <c r="E95" s="356"/>
      <c r="F95" s="258"/>
      <c r="G95" s="259">
        <v>4766</v>
      </c>
      <c r="H95" s="357">
        <f>(C96-G95)/G95</f>
        <v>0.21800251783466218</v>
      </c>
      <c r="I95" s="358" t="s">
        <v>105</v>
      </c>
    </row>
    <row r="96" spans="1:10" ht="16" hidden="1" outlineLevel="2" thickBot="1" x14ac:dyDescent="0.4">
      <c r="A96" s="262" t="s">
        <v>36</v>
      </c>
      <c r="B96" s="263"/>
      <c r="C96" s="185">
        <v>5805</v>
      </c>
      <c r="D96" s="264">
        <f>C96-C82</f>
        <v>-73</v>
      </c>
      <c r="E96" s="265">
        <f t="shared" ref="E96:E103" si="13">(C96-C82)/C82</f>
        <v>-1.2419190200748553E-2</v>
      </c>
      <c r="F96" s="266" t="s">
        <v>37</v>
      </c>
      <c r="G96" s="267" t="s">
        <v>38</v>
      </c>
      <c r="H96" s="359" t="s">
        <v>102</v>
      </c>
      <c r="I96" s="360" t="s">
        <v>106</v>
      </c>
    </row>
    <row r="97" spans="1:10" hidden="1" outlineLevel="2" x14ac:dyDescent="0.35">
      <c r="A97" s="269" t="s">
        <v>92</v>
      </c>
      <c r="B97" s="270">
        <v>185</v>
      </c>
      <c r="C97" s="271">
        <v>884.67</v>
      </c>
      <c r="D97" s="272">
        <f t="shared" ref="D97:D103" si="14">C97*B97</f>
        <v>163663.94999999998</v>
      </c>
      <c r="E97" s="361">
        <f t="shared" si="13"/>
        <v>-1.1409350974432367E-2</v>
      </c>
      <c r="F97" s="274">
        <f t="shared" ref="F97:F102" si="15">D97/$D$63</f>
        <v>0.71717580128636294</v>
      </c>
      <c r="G97" s="275">
        <v>172</v>
      </c>
      <c r="H97" s="324">
        <v>0.46</v>
      </c>
      <c r="I97" s="362">
        <f>D97-D83</f>
        <v>-1888.8500000000058</v>
      </c>
      <c r="J97" s="118">
        <f>I97</f>
        <v>-1888.8500000000058</v>
      </c>
    </row>
    <row r="98" spans="1:10" hidden="1" outlineLevel="2" x14ac:dyDescent="0.35">
      <c r="A98" s="197" t="s">
        <v>49</v>
      </c>
      <c r="B98" s="289">
        <v>105</v>
      </c>
      <c r="C98" s="290">
        <v>95.49</v>
      </c>
      <c r="D98" s="291">
        <f t="shared" si="14"/>
        <v>10026.449999999999</v>
      </c>
      <c r="E98" s="292">
        <f t="shared" si="13"/>
        <v>-4.8240805342370213E-2</v>
      </c>
      <c r="F98" s="266">
        <f t="shared" si="15"/>
        <v>4.393592671329058E-2</v>
      </c>
      <c r="G98" s="282">
        <v>38</v>
      </c>
      <c r="H98" s="326">
        <v>2.09</v>
      </c>
      <c r="I98" s="362">
        <f t="shared" ref="I98:I103" si="16">D98-D84</f>
        <v>-508.20000000000073</v>
      </c>
    </row>
    <row r="99" spans="1:10" hidden="1" outlineLevel="2" x14ac:dyDescent="0.35">
      <c r="A99" s="284" t="s">
        <v>95</v>
      </c>
      <c r="B99" s="285">
        <v>130</v>
      </c>
      <c r="C99" s="286">
        <v>142.91999999999999</v>
      </c>
      <c r="D99" s="287">
        <f t="shared" si="14"/>
        <v>18579.599999999999</v>
      </c>
      <c r="E99" s="296">
        <f t="shared" si="13"/>
        <v>-1.3276500593950536E-3</v>
      </c>
      <c r="F99" s="266">
        <f t="shared" si="15"/>
        <v>8.141584947436567E-2</v>
      </c>
      <c r="G99" s="282">
        <v>330</v>
      </c>
      <c r="H99" s="326">
        <v>0.4</v>
      </c>
      <c r="I99" s="362">
        <f t="shared" si="16"/>
        <v>-24.700000000004366</v>
      </c>
    </row>
    <row r="100" spans="1:10" hidden="1" outlineLevel="2" x14ac:dyDescent="0.35">
      <c r="A100" s="197" t="s">
        <v>97</v>
      </c>
      <c r="B100" s="289">
        <v>110</v>
      </c>
      <c r="C100" s="290">
        <v>139.38999999999999</v>
      </c>
      <c r="D100" s="291">
        <f t="shared" si="14"/>
        <v>15332.899999999998</v>
      </c>
      <c r="E100" s="292">
        <f t="shared" si="13"/>
        <v>-9.8735615854525834E-3</v>
      </c>
      <c r="F100" s="266">
        <f t="shared" si="15"/>
        <v>6.7188802687113885E-2</v>
      </c>
      <c r="G100" s="282">
        <v>40</v>
      </c>
      <c r="H100" s="326">
        <v>0.23</v>
      </c>
      <c r="I100" s="362">
        <f t="shared" si="16"/>
        <v>-152.90000000000146</v>
      </c>
    </row>
    <row r="101" spans="1:10" hidden="1" outlineLevel="2" x14ac:dyDescent="0.35">
      <c r="A101" s="336" t="s">
        <v>103</v>
      </c>
      <c r="B101" s="337">
        <v>100</v>
      </c>
      <c r="C101" s="338">
        <v>129.05000000000001</v>
      </c>
      <c r="D101" s="339">
        <f t="shared" si="14"/>
        <v>12905.000000000002</v>
      </c>
      <c r="E101" s="363">
        <f t="shared" si="13"/>
        <v>-8.9847949623712755E-3</v>
      </c>
      <c r="F101" s="266">
        <f t="shared" si="15"/>
        <v>5.6549739362886667E-2</v>
      </c>
      <c r="G101" s="282">
        <v>49</v>
      </c>
      <c r="H101" s="326">
        <v>0.38</v>
      </c>
      <c r="I101" s="362">
        <f t="shared" si="16"/>
        <v>-116.99999999999818</v>
      </c>
    </row>
    <row r="102" spans="1:10" hidden="1" outlineLevel="2" x14ac:dyDescent="0.35">
      <c r="A102" s="341" t="s">
        <v>104</v>
      </c>
      <c r="B102" s="289">
        <v>100</v>
      </c>
      <c r="C102" s="290">
        <v>65.13</v>
      </c>
      <c r="D102" s="291">
        <f t="shared" si="14"/>
        <v>6513</v>
      </c>
      <c r="E102" s="292">
        <f t="shared" si="13"/>
        <v>-1.9864559819413204E-2</v>
      </c>
      <c r="F102" s="266">
        <f t="shared" si="15"/>
        <v>2.8539980819099638E-2</v>
      </c>
      <c r="G102" s="297">
        <v>42</v>
      </c>
      <c r="H102" s="326">
        <v>0.85</v>
      </c>
      <c r="I102" s="362">
        <f t="shared" si="16"/>
        <v>-132</v>
      </c>
    </row>
    <row r="103" spans="1:10" ht="16" hidden="1" outlineLevel="2" thickBot="1" x14ac:dyDescent="0.4">
      <c r="A103" s="342" t="s">
        <v>98</v>
      </c>
      <c r="B103" s="343">
        <v>90</v>
      </c>
      <c r="C103" s="344">
        <v>12.31</v>
      </c>
      <c r="D103" s="345">
        <f t="shared" si="14"/>
        <v>1107.9000000000001</v>
      </c>
      <c r="E103" s="346">
        <f t="shared" si="13"/>
        <v>-8.9497041420118273E-2</v>
      </c>
      <c r="F103" s="303">
        <f>D103/$D$63</f>
        <v>4.8548203208169036E-3</v>
      </c>
      <c r="G103" s="282">
        <v>-22</v>
      </c>
      <c r="H103" s="326">
        <v>3.92</v>
      </c>
      <c r="I103" s="362">
        <f t="shared" si="16"/>
        <v>-108.89999999999986</v>
      </c>
      <c r="J103" s="118">
        <f>SUM(I98:I103)</f>
        <v>-1043.7000000000046</v>
      </c>
    </row>
    <row r="104" spans="1:10" ht="16" hidden="1" outlineLevel="2" thickBot="1" x14ac:dyDescent="0.4">
      <c r="A104" s="347" t="s">
        <v>7</v>
      </c>
      <c r="B104" s="289"/>
      <c r="C104" s="290"/>
      <c r="D104" s="291">
        <v>1550.07</v>
      </c>
      <c r="E104" s="348"/>
      <c r="F104" s="117">
        <f>SUM(F98:F103)</f>
        <v>0.28248511937757337</v>
      </c>
      <c r="G104" s="306">
        <f>AVERAGE(G97:G103)</f>
        <v>92.714285714285708</v>
      </c>
      <c r="H104" s="330">
        <f>AVERAGE(H97:H103)</f>
        <v>1.1899999999999997</v>
      </c>
      <c r="I104" s="364">
        <f>SUM(I97:I103)</f>
        <v>-2932.5500000000102</v>
      </c>
    </row>
    <row r="105" spans="1:10" ht="16" hidden="1" outlineLevel="2" thickBot="1" x14ac:dyDescent="0.4">
      <c r="A105" s="342" t="s">
        <v>60</v>
      </c>
      <c r="B105" s="350"/>
      <c r="C105" s="351"/>
      <c r="D105" s="352">
        <v>76.48</v>
      </c>
      <c r="E105" s="332"/>
      <c r="G105" s="236"/>
      <c r="H105" s="353">
        <f>(D106-$D$8)/$D$8</f>
        <v>2.9280523459948887E-2</v>
      </c>
    </row>
    <row r="106" spans="1:10" ht="16" hidden="1" outlineLevel="2" thickBot="1" x14ac:dyDescent="0.4">
      <c r="A106" s="311" t="s">
        <v>62</v>
      </c>
      <c r="B106" s="312"/>
      <c r="C106" s="313"/>
      <c r="D106" s="314">
        <f>SUM(D97:D105)</f>
        <v>229755.35</v>
      </c>
      <c r="E106" s="354">
        <f>D106-D92</f>
        <v>-2932.3399999999674</v>
      </c>
      <c r="F106" s="355">
        <f>(D106-D92)/D92</f>
        <v>-1.2602041818370227E-2</v>
      </c>
      <c r="G106" s="236"/>
    </row>
    <row r="107" spans="1:10" hidden="1" outlineLevel="2" x14ac:dyDescent="0.35"/>
    <row r="108" spans="1:10" hidden="1" outlineLevel="2" x14ac:dyDescent="0.35">
      <c r="A108" s="113" t="s">
        <v>25</v>
      </c>
      <c r="B108" s="248" t="s">
        <v>26</v>
      </c>
      <c r="C108" s="249" t="s">
        <v>27</v>
      </c>
      <c r="D108" s="250">
        <f>D94+7</f>
        <v>42847</v>
      </c>
      <c r="E108" s="321" t="s">
        <v>28</v>
      </c>
      <c r="F108" s="251" t="s">
        <v>101</v>
      </c>
      <c r="G108" s="252">
        <v>17555</v>
      </c>
      <c r="H108" s="253">
        <f>(C109-G108)/G108</f>
        <v>0.17049273711193391</v>
      </c>
    </row>
    <row r="109" spans="1:10" ht="16" hidden="1" outlineLevel="2" thickBot="1" x14ac:dyDescent="0.4">
      <c r="A109" s="254" t="s">
        <v>32</v>
      </c>
      <c r="B109" s="255" t="str">
        <f ca="1">TEXT(TODAY(),"ddd")</f>
        <v>Sun</v>
      </c>
      <c r="C109" s="256">
        <v>20548</v>
      </c>
      <c r="D109" s="322">
        <f>C109-C95</f>
        <v>95</v>
      </c>
      <c r="E109" s="356"/>
      <c r="F109" s="258"/>
      <c r="G109" s="259">
        <v>4766</v>
      </c>
      <c r="H109" s="260">
        <f>(C110-G109)/G109</f>
        <v>0.24024339068401174</v>
      </c>
    </row>
    <row r="110" spans="1:10" hidden="1" outlineLevel="2" x14ac:dyDescent="0.35">
      <c r="A110" s="262" t="s">
        <v>36</v>
      </c>
      <c r="B110" s="263"/>
      <c r="C110" s="185">
        <v>5911</v>
      </c>
      <c r="D110" s="223">
        <f>C110-C96</f>
        <v>106</v>
      </c>
      <c r="E110" s="323">
        <f t="shared" ref="E110:E117" si="17">(C110-C96)/C96</f>
        <v>1.8260120585701981E-2</v>
      </c>
      <c r="F110" s="266" t="s">
        <v>37</v>
      </c>
      <c r="G110" s="267" t="s">
        <v>38</v>
      </c>
      <c r="H110" s="268" t="s">
        <v>102</v>
      </c>
    </row>
    <row r="111" spans="1:10" hidden="1" outlineLevel="2" x14ac:dyDescent="0.35">
      <c r="A111" s="269" t="s">
        <v>92</v>
      </c>
      <c r="B111" s="270">
        <v>185</v>
      </c>
      <c r="C111" s="271">
        <v>898.53</v>
      </c>
      <c r="D111" s="272">
        <f t="shared" ref="D111:D117" si="18">C111*B111</f>
        <v>166228.04999999999</v>
      </c>
      <c r="E111" s="273">
        <f t="shared" si="17"/>
        <v>1.566685882871581E-2</v>
      </c>
      <c r="F111" s="365">
        <f t="shared" ref="F111:F116" si="19">D111/$D$63</f>
        <v>0.7284116933204875</v>
      </c>
      <c r="G111" s="275">
        <v>184</v>
      </c>
      <c r="H111" s="324">
        <v>0.46</v>
      </c>
      <c r="I111" s="366">
        <f>D111-D97</f>
        <v>2564.1000000000058</v>
      </c>
      <c r="J111" s="118">
        <f>I111</f>
        <v>2564.1000000000058</v>
      </c>
    </row>
    <row r="112" spans="1:10" hidden="1" outlineLevel="2" x14ac:dyDescent="0.35">
      <c r="A112" s="197" t="s">
        <v>49</v>
      </c>
      <c r="B112" s="289">
        <v>105</v>
      </c>
      <c r="C112" s="290">
        <v>101.68</v>
      </c>
      <c r="D112" s="291">
        <f t="shared" si="18"/>
        <v>10676.400000000001</v>
      </c>
      <c r="E112" s="328">
        <f t="shared" si="17"/>
        <v>6.482354173211867E-2</v>
      </c>
      <c r="F112" s="367">
        <f t="shared" si="19"/>
        <v>4.6784009092128882E-2</v>
      </c>
      <c r="G112" s="282">
        <v>38</v>
      </c>
      <c r="H112" s="326">
        <v>2.09</v>
      </c>
      <c r="I112" s="368">
        <f t="shared" ref="I112:I117" si="20">D112-D98</f>
        <v>649.95000000000255</v>
      </c>
    </row>
    <row r="113" spans="1:11" hidden="1" outlineLevel="2" x14ac:dyDescent="0.35">
      <c r="A113" s="284" t="s">
        <v>95</v>
      </c>
      <c r="B113" s="285">
        <v>130</v>
      </c>
      <c r="C113" s="286">
        <v>142.87</v>
      </c>
      <c r="D113" s="287">
        <f t="shared" si="18"/>
        <v>18573.100000000002</v>
      </c>
      <c r="E113" s="288">
        <f t="shared" si="17"/>
        <v>-3.4984606773007942E-4</v>
      </c>
      <c r="F113" s="367">
        <f t="shared" si="19"/>
        <v>8.1387366459576158E-2</v>
      </c>
      <c r="G113" s="282">
        <v>342</v>
      </c>
      <c r="H113" s="326">
        <v>0.4</v>
      </c>
      <c r="I113" s="362">
        <f t="shared" si="20"/>
        <v>-6.499999999996362</v>
      </c>
    </row>
    <row r="114" spans="1:11" hidden="1" outlineLevel="2" x14ac:dyDescent="0.35">
      <c r="A114" s="197" t="s">
        <v>97</v>
      </c>
      <c r="B114" s="289">
        <v>110</v>
      </c>
      <c r="C114" s="290">
        <v>143.68</v>
      </c>
      <c r="D114" s="291">
        <f t="shared" si="18"/>
        <v>15804.800000000001</v>
      </c>
      <c r="E114" s="328">
        <f t="shared" si="17"/>
        <v>3.0776956740081934E-2</v>
      </c>
      <c r="F114" s="367">
        <f t="shared" si="19"/>
        <v>6.9256669560833095E-2</v>
      </c>
      <c r="G114" s="282">
        <v>40</v>
      </c>
      <c r="H114" s="326">
        <v>0.23</v>
      </c>
      <c r="I114" s="368">
        <f t="shared" si="20"/>
        <v>471.90000000000327</v>
      </c>
    </row>
    <row r="115" spans="1:11" hidden="1" outlineLevel="2" x14ac:dyDescent="0.35">
      <c r="A115" s="336" t="s">
        <v>103</v>
      </c>
      <c r="B115" s="337">
        <v>100</v>
      </c>
      <c r="C115" s="338">
        <v>131.52000000000001</v>
      </c>
      <c r="D115" s="339">
        <f t="shared" si="18"/>
        <v>13152.000000000002</v>
      </c>
      <c r="E115" s="340">
        <f t="shared" si="17"/>
        <v>1.9139868268113123E-2</v>
      </c>
      <c r="F115" s="367">
        <f t="shared" si="19"/>
        <v>5.7632093924888453E-2</v>
      </c>
      <c r="G115" s="282">
        <v>49</v>
      </c>
      <c r="H115" s="326">
        <v>0.38</v>
      </c>
      <c r="I115" s="368">
        <f t="shared" si="20"/>
        <v>247</v>
      </c>
    </row>
    <row r="116" spans="1:11" hidden="1" outlineLevel="2" x14ac:dyDescent="0.35">
      <c r="A116" s="341" t="s">
        <v>104</v>
      </c>
      <c r="B116" s="289">
        <v>100</v>
      </c>
      <c r="C116" s="290">
        <v>67.61</v>
      </c>
      <c r="D116" s="291">
        <f t="shared" si="18"/>
        <v>6761</v>
      </c>
      <c r="E116" s="328">
        <f t="shared" si="17"/>
        <v>3.8077690772301616E-2</v>
      </c>
      <c r="F116" s="367">
        <f t="shared" si="19"/>
        <v>2.962671738337673E-2</v>
      </c>
      <c r="G116" s="297">
        <v>44</v>
      </c>
      <c r="H116" s="326">
        <v>0.85</v>
      </c>
      <c r="I116" s="368">
        <f t="shared" si="20"/>
        <v>248</v>
      </c>
    </row>
    <row r="117" spans="1:11" ht="16" hidden="1" outlineLevel="2" thickBot="1" x14ac:dyDescent="0.4">
      <c r="A117" s="342" t="s">
        <v>98</v>
      </c>
      <c r="B117" s="343">
        <v>90</v>
      </c>
      <c r="C117" s="344">
        <v>13</v>
      </c>
      <c r="D117" s="345">
        <f t="shared" si="18"/>
        <v>1170</v>
      </c>
      <c r="E117" s="369">
        <f t="shared" si="17"/>
        <v>5.6051990251827742E-2</v>
      </c>
      <c r="F117" s="370">
        <f>D117/$D$63</f>
        <v>5.1269426621137074E-3</v>
      </c>
      <c r="G117" s="282">
        <v>-22</v>
      </c>
      <c r="H117" s="326">
        <v>3.92</v>
      </c>
      <c r="I117" s="368">
        <f t="shared" si="20"/>
        <v>62.099999999999909</v>
      </c>
      <c r="J117" s="118">
        <f>SUM(I112:I117)</f>
        <v>1672.4500000000094</v>
      </c>
    </row>
    <row r="118" spans="1:11" ht="16" hidden="1" outlineLevel="2" thickBot="1" x14ac:dyDescent="0.4">
      <c r="A118" s="347" t="s">
        <v>7</v>
      </c>
      <c r="B118" s="289"/>
      <c r="C118" s="290"/>
      <c r="D118" s="291">
        <v>1558.3</v>
      </c>
      <c r="E118" s="348"/>
      <c r="F118" s="117">
        <f>SUM(F112:F117)</f>
        <v>0.28981379908291705</v>
      </c>
      <c r="G118" s="306">
        <f>AVERAGE(G111:G117)</f>
        <v>96.428571428571431</v>
      </c>
      <c r="H118" s="371">
        <f>AVERAGE(H111:H117)</f>
        <v>1.1899999999999997</v>
      </c>
      <c r="I118" s="366">
        <f>SUM(I111:I117)</f>
        <v>4236.5500000000156</v>
      </c>
      <c r="J118" s="118">
        <f>I118</f>
        <v>4236.5500000000156</v>
      </c>
      <c r="K118" s="193">
        <f>J118</f>
        <v>4236.5500000000156</v>
      </c>
    </row>
    <row r="119" spans="1:11" ht="16" hidden="1" outlineLevel="2" thickBot="1" x14ac:dyDescent="0.4">
      <c r="A119" s="342" t="s">
        <v>60</v>
      </c>
      <c r="B119" s="350"/>
      <c r="C119" s="351"/>
      <c r="D119" s="352">
        <v>76.48</v>
      </c>
      <c r="E119" s="332"/>
      <c r="G119" s="236"/>
      <c r="H119" s="372">
        <f>(D120-$D$8)/$D$8</f>
        <v>4.8296704716978549E-2</v>
      </c>
      <c r="I119" s="373"/>
      <c r="K119" s="193"/>
    </row>
    <row r="120" spans="1:11" ht="16" hidden="1" outlineLevel="2" thickBot="1" x14ac:dyDescent="0.4">
      <c r="A120" s="311" t="s">
        <v>62</v>
      </c>
      <c r="B120" s="312"/>
      <c r="C120" s="313"/>
      <c r="D120" s="314">
        <f>SUM(D111:D119)</f>
        <v>234000.12999999998</v>
      </c>
      <c r="E120" s="332">
        <f>D120-D106</f>
        <v>4244.7799999999697</v>
      </c>
      <c r="F120" s="374">
        <f>(D120-D106)/D106</f>
        <v>1.847521722562704E-2</v>
      </c>
      <c r="G120" s="236"/>
      <c r="H120" s="375">
        <f>D8*(1+H119)</f>
        <v>234000.12999999995</v>
      </c>
      <c r="I120" s="376">
        <f>D120-D8</f>
        <v>10780.75999999998</v>
      </c>
      <c r="K120" s="193"/>
    </row>
    <row r="121" spans="1:11" hidden="1" outlineLevel="2" x14ac:dyDescent="0.35">
      <c r="K121" s="193"/>
    </row>
    <row r="122" spans="1:11" hidden="1" outlineLevel="2" x14ac:dyDescent="0.35">
      <c r="A122" s="113" t="s">
        <v>25</v>
      </c>
      <c r="B122" s="248" t="s">
        <v>26</v>
      </c>
      <c r="C122" s="249" t="s">
        <v>27</v>
      </c>
      <c r="D122" s="250">
        <f>D108+7</f>
        <v>42854</v>
      </c>
      <c r="E122" s="321" t="s">
        <v>28</v>
      </c>
      <c r="F122" s="251" t="s">
        <v>101</v>
      </c>
      <c r="G122" s="252">
        <v>17555</v>
      </c>
      <c r="H122" s="253">
        <f>(C123-G122)/G122</f>
        <v>0.19287952150384505</v>
      </c>
      <c r="K122" s="193"/>
    </row>
    <row r="123" spans="1:11" ht="16" hidden="1" outlineLevel="2" thickBot="1" x14ac:dyDescent="0.4">
      <c r="A123" s="254" t="s">
        <v>32</v>
      </c>
      <c r="B123" s="255" t="str">
        <f ca="1">TEXT(TODAY(),"ddd")</f>
        <v>Sun</v>
      </c>
      <c r="C123" s="256">
        <v>20941</v>
      </c>
      <c r="D123" s="322">
        <f>C123-C109</f>
        <v>393</v>
      </c>
      <c r="E123" s="321"/>
      <c r="F123" s="258"/>
      <c r="G123" s="259">
        <v>4766</v>
      </c>
      <c r="H123" s="260">
        <f>(C124-G123)/G123</f>
        <v>0.26898866974402014</v>
      </c>
      <c r="K123" s="193"/>
    </row>
    <row r="124" spans="1:11" hidden="1" outlineLevel="2" x14ac:dyDescent="0.35">
      <c r="A124" s="262" t="s">
        <v>36</v>
      </c>
      <c r="B124" s="263"/>
      <c r="C124" s="185">
        <v>6048</v>
      </c>
      <c r="D124" s="223">
        <f>C124-C110</f>
        <v>137</v>
      </c>
      <c r="E124" s="323">
        <f t="shared" ref="E124:E131" si="21">(C124-C110)/C110</f>
        <v>2.3177127389612587E-2</v>
      </c>
      <c r="F124" s="266" t="s">
        <v>37</v>
      </c>
      <c r="G124" s="267" t="s">
        <v>38</v>
      </c>
      <c r="H124" s="268" t="s">
        <v>102</v>
      </c>
      <c r="I124" t="s">
        <v>107</v>
      </c>
      <c r="K124" s="193"/>
    </row>
    <row r="125" spans="1:11" hidden="1" outlineLevel="2" x14ac:dyDescent="0.35">
      <c r="A125" s="269" t="s">
        <v>92</v>
      </c>
      <c r="B125" s="270">
        <v>185</v>
      </c>
      <c r="C125" s="271">
        <v>924.99</v>
      </c>
      <c r="D125" s="272">
        <f t="shared" ref="D125:D131" si="22">C125*B125</f>
        <v>171123.15</v>
      </c>
      <c r="E125" s="273">
        <f t="shared" si="21"/>
        <v>2.9448098560982981E-2</v>
      </c>
      <c r="F125" s="365">
        <f>D125/D134</f>
        <v>0.7054323723684357</v>
      </c>
      <c r="G125" s="275">
        <v>188</v>
      </c>
      <c r="H125" s="324">
        <v>0.46</v>
      </c>
      <c r="I125" s="366">
        <f>D125-D111</f>
        <v>4895.1000000000058</v>
      </c>
      <c r="J125" s="118">
        <f>I125</f>
        <v>4895.1000000000058</v>
      </c>
      <c r="K125" s="193"/>
    </row>
    <row r="126" spans="1:11" hidden="1" outlineLevel="2" x14ac:dyDescent="0.35">
      <c r="A126" s="197" t="s">
        <v>49</v>
      </c>
      <c r="B126" s="289">
        <v>105</v>
      </c>
      <c r="C126" s="290">
        <v>104.3</v>
      </c>
      <c r="D126" s="291">
        <f t="shared" si="22"/>
        <v>10951.5</v>
      </c>
      <c r="E126" s="328">
        <f t="shared" si="21"/>
        <v>2.576711250983468E-2</v>
      </c>
      <c r="F126" s="367">
        <f>D126/D134</f>
        <v>4.5146098736453387E-2</v>
      </c>
      <c r="G126" s="282">
        <v>50</v>
      </c>
      <c r="H126" s="326">
        <v>2.09</v>
      </c>
      <c r="I126" s="368">
        <f t="shared" ref="I126:I131" si="23">D126-D112</f>
        <v>275.09999999999854</v>
      </c>
      <c r="K126" s="193"/>
    </row>
    <row r="127" spans="1:11" hidden="1" outlineLevel="2" x14ac:dyDescent="0.35">
      <c r="A127" s="284" t="s">
        <v>95</v>
      </c>
      <c r="B127" s="285">
        <v>130</v>
      </c>
      <c r="C127" s="286">
        <v>152.19999999999999</v>
      </c>
      <c r="D127" s="287">
        <f t="shared" si="22"/>
        <v>19786</v>
      </c>
      <c r="E127" s="288">
        <f t="shared" si="21"/>
        <v>6.5304122628963276E-2</v>
      </c>
      <c r="F127" s="367">
        <f>D127/D134</f>
        <v>8.1565147203530725E-2</v>
      </c>
      <c r="G127" s="282">
        <v>196</v>
      </c>
      <c r="H127" s="326">
        <v>0.4</v>
      </c>
      <c r="I127" s="368">
        <f t="shared" si="23"/>
        <v>1212.8999999999978</v>
      </c>
      <c r="K127" s="193"/>
    </row>
    <row r="128" spans="1:11" hidden="1" outlineLevel="2" x14ac:dyDescent="0.35">
      <c r="A128" s="197" t="s">
        <v>97</v>
      </c>
      <c r="B128" s="289">
        <v>110</v>
      </c>
      <c r="C128" s="290">
        <v>150.25</v>
      </c>
      <c r="D128" s="291">
        <f t="shared" si="22"/>
        <v>16527.5</v>
      </c>
      <c r="E128" s="328">
        <f t="shared" si="21"/>
        <v>4.57266146993318E-2</v>
      </c>
      <c r="F128" s="367">
        <f>D128/D134</f>
        <v>6.8132415364720214E-2</v>
      </c>
      <c r="G128" s="282">
        <v>43</v>
      </c>
      <c r="H128" s="326">
        <v>0.23</v>
      </c>
      <c r="I128" s="368">
        <f t="shared" si="23"/>
        <v>722.69999999999891</v>
      </c>
      <c r="K128" s="193"/>
    </row>
    <row r="129" spans="1:11" hidden="1" outlineLevel="2" x14ac:dyDescent="0.35">
      <c r="A129" s="336" t="s">
        <v>103</v>
      </c>
      <c r="B129" s="337">
        <v>100</v>
      </c>
      <c r="C129" s="338">
        <v>133.74</v>
      </c>
      <c r="D129" s="339">
        <f t="shared" si="22"/>
        <v>13374</v>
      </c>
      <c r="E129" s="340">
        <f t="shared" si="21"/>
        <v>1.687956204379561E-2</v>
      </c>
      <c r="F129" s="367">
        <f>D129/D134</f>
        <v>5.5132532027697356E-2</v>
      </c>
      <c r="G129" s="282">
        <v>51</v>
      </c>
      <c r="H129" s="326">
        <v>0.38</v>
      </c>
      <c r="I129" s="368">
        <f t="shared" si="23"/>
        <v>221.99999999999818</v>
      </c>
      <c r="K129" s="193"/>
    </row>
    <row r="130" spans="1:11" hidden="1" outlineLevel="2" x14ac:dyDescent="0.35">
      <c r="A130" s="341" t="s">
        <v>104</v>
      </c>
      <c r="B130" s="289">
        <v>100</v>
      </c>
      <c r="C130" s="290">
        <v>79.739999999999995</v>
      </c>
      <c r="D130" s="291">
        <f t="shared" si="22"/>
        <v>7973.9999999999991</v>
      </c>
      <c r="E130" s="328">
        <f t="shared" si="21"/>
        <v>0.17941132968495779</v>
      </c>
      <c r="F130" s="367">
        <f>D130/D134</f>
        <v>3.2871751935760328E-2</v>
      </c>
      <c r="G130" s="297">
        <v>41</v>
      </c>
      <c r="H130" s="326">
        <v>0.85</v>
      </c>
      <c r="I130" s="368">
        <f t="shared" si="23"/>
        <v>1212.9999999999991</v>
      </c>
      <c r="K130" s="193"/>
    </row>
    <row r="131" spans="1:11" ht="16" hidden="1" outlineLevel="2" thickBot="1" x14ac:dyDescent="0.4">
      <c r="A131" s="342" t="s">
        <v>98</v>
      </c>
      <c r="B131" s="343">
        <v>90</v>
      </c>
      <c r="C131" s="344">
        <v>13.3</v>
      </c>
      <c r="D131" s="345">
        <f t="shared" si="22"/>
        <v>1197</v>
      </c>
      <c r="E131" s="369">
        <f t="shared" si="21"/>
        <v>2.307692307692313E-2</v>
      </c>
      <c r="F131" s="370">
        <f>D131/D134</f>
        <v>4.9344729203793731E-3</v>
      </c>
      <c r="G131" s="282">
        <v>-22</v>
      </c>
      <c r="H131" s="326">
        <v>3.92</v>
      </c>
      <c r="I131" s="368">
        <f t="shared" si="23"/>
        <v>27</v>
      </c>
      <c r="J131" s="118">
        <f>SUM(I126:I131)</f>
        <v>3672.6999999999925</v>
      </c>
      <c r="K131" s="193"/>
    </row>
    <row r="132" spans="1:11" ht="16" hidden="1" outlineLevel="2" thickBot="1" x14ac:dyDescent="0.4">
      <c r="A132" s="347" t="s">
        <v>7</v>
      </c>
      <c r="B132" s="289"/>
      <c r="C132" s="290"/>
      <c r="D132" s="291">
        <v>1569.47</v>
      </c>
      <c r="E132" s="348"/>
      <c r="F132" s="117">
        <f>SUM(F126:F131)</f>
        <v>0.28778241818854133</v>
      </c>
      <c r="G132" s="306">
        <f>AVERAGE(G125:G131)</f>
        <v>78.142857142857139</v>
      </c>
      <c r="H132" s="330">
        <f>AVERAGE(H125:H131)</f>
        <v>1.1899999999999997</v>
      </c>
      <c r="I132" s="377">
        <f>SUM(I125:I131)</f>
        <v>8567.7999999999993</v>
      </c>
      <c r="J132" s="118">
        <f>I132+I118</f>
        <v>12804.350000000015</v>
      </c>
      <c r="K132" s="193">
        <f>J132/2</f>
        <v>6402.1750000000075</v>
      </c>
    </row>
    <row r="133" spans="1:11" ht="16" hidden="1" outlineLevel="2" thickBot="1" x14ac:dyDescent="0.4">
      <c r="A133" s="342" t="s">
        <v>60</v>
      </c>
      <c r="B133" s="350"/>
      <c r="C133" s="351"/>
      <c r="D133" s="352">
        <v>76.48</v>
      </c>
      <c r="E133" s="332"/>
      <c r="G133" s="236"/>
      <c r="H133" s="372">
        <f>(D134-$D$8)/$D$8</f>
        <v>8.6729614907523525E-2</v>
      </c>
      <c r="I133" s="373"/>
      <c r="K133" s="193"/>
    </row>
    <row r="134" spans="1:11" ht="16" hidden="1" outlineLevel="2" thickBot="1" x14ac:dyDescent="0.4">
      <c r="A134" s="311" t="s">
        <v>62</v>
      </c>
      <c r="B134" s="312"/>
      <c r="C134" s="313"/>
      <c r="D134" s="314">
        <f>SUM(D125:D133)</f>
        <v>242579.1</v>
      </c>
      <c r="E134" s="332">
        <f>D134-D120</f>
        <v>8578.9700000000303</v>
      </c>
      <c r="F134" s="378">
        <f>(D134-D120)/D120</f>
        <v>3.6662244589351432E-2</v>
      </c>
      <c r="G134" s="236"/>
      <c r="H134" s="375">
        <f>$D$8*(1+H133)</f>
        <v>242579.10000000003</v>
      </c>
      <c r="I134" s="376">
        <f>D134-$D$8</f>
        <v>19359.73000000001</v>
      </c>
      <c r="K134" s="193"/>
    </row>
    <row r="135" spans="1:11" hidden="1" outlineLevel="2" x14ac:dyDescent="0.35">
      <c r="K135" s="193"/>
    </row>
    <row r="136" spans="1:11" hidden="1" outlineLevel="2" x14ac:dyDescent="0.35">
      <c r="A136" s="113" t="s">
        <v>25</v>
      </c>
      <c r="B136" s="248" t="s">
        <v>26</v>
      </c>
      <c r="C136" s="249" t="s">
        <v>27</v>
      </c>
      <c r="D136" s="250">
        <f>D122+7</f>
        <v>42861</v>
      </c>
      <c r="E136" s="321" t="s">
        <v>28</v>
      </c>
      <c r="F136" s="251" t="s">
        <v>101</v>
      </c>
      <c r="G136" s="252">
        <v>17555</v>
      </c>
      <c r="H136" s="253">
        <f>(C137-G136)/G136</f>
        <v>0.19624038735403018</v>
      </c>
      <c r="K136" s="193"/>
    </row>
    <row r="137" spans="1:11" ht="16" hidden="1" outlineLevel="2" thickBot="1" x14ac:dyDescent="0.4">
      <c r="A137" s="254" t="s">
        <v>32</v>
      </c>
      <c r="B137" s="255" t="str">
        <f ca="1">TEXT(TODAY(),"ddd")</f>
        <v>Sun</v>
      </c>
      <c r="C137" s="256">
        <v>21000</v>
      </c>
      <c r="D137" s="322">
        <f>C137-C123</f>
        <v>59</v>
      </c>
      <c r="E137" s="356"/>
      <c r="F137" s="258"/>
      <c r="G137" s="259">
        <v>4766</v>
      </c>
      <c r="H137" s="260">
        <f>(C138-G137)/G137</f>
        <v>0.27989928661351238</v>
      </c>
      <c r="K137" s="193"/>
    </row>
    <row r="138" spans="1:11" hidden="1" outlineLevel="2" x14ac:dyDescent="0.35">
      <c r="A138" s="262" t="s">
        <v>36</v>
      </c>
      <c r="B138" s="263"/>
      <c r="C138" s="185">
        <v>6100</v>
      </c>
      <c r="D138" s="223">
        <f>C138-C124</f>
        <v>52</v>
      </c>
      <c r="E138" s="323">
        <f t="shared" ref="E138:E144" si="24">(C138-C124)/C124</f>
        <v>8.5978835978835974E-3</v>
      </c>
      <c r="F138" s="266" t="s">
        <v>37</v>
      </c>
      <c r="G138" s="267" t="s">
        <v>38</v>
      </c>
      <c r="H138" s="268" t="s">
        <v>102</v>
      </c>
      <c r="K138" s="193"/>
    </row>
    <row r="139" spans="1:11" hidden="1" outlineLevel="2" x14ac:dyDescent="0.35">
      <c r="A139" s="269" t="s">
        <v>92</v>
      </c>
      <c r="B139" s="270">
        <v>185</v>
      </c>
      <c r="C139" s="271">
        <v>934.15</v>
      </c>
      <c r="D139" s="272">
        <f t="shared" ref="D139:D144" si="25">C139*B139</f>
        <v>172817.75</v>
      </c>
      <c r="E139" s="273">
        <f t="shared" si="24"/>
        <v>9.9028097601054806E-3</v>
      </c>
      <c r="F139" s="274">
        <f>D139/D147</f>
        <v>0.70442750803629295</v>
      </c>
      <c r="G139" s="275">
        <v>184</v>
      </c>
      <c r="H139" s="324">
        <v>0.46</v>
      </c>
      <c r="I139" s="366">
        <f>D139-D125</f>
        <v>1694.6000000000058</v>
      </c>
      <c r="K139" s="193"/>
    </row>
    <row r="140" spans="1:11" hidden="1" outlineLevel="2" x14ac:dyDescent="0.35">
      <c r="A140" s="197" t="s">
        <v>49</v>
      </c>
      <c r="B140" s="289">
        <v>105</v>
      </c>
      <c r="C140" s="290">
        <v>103.86</v>
      </c>
      <c r="D140" s="291">
        <f t="shared" si="25"/>
        <v>10905.3</v>
      </c>
      <c r="E140" s="328">
        <f t="shared" si="24"/>
        <v>-4.2186001917545327E-3</v>
      </c>
      <c r="F140" s="266">
        <f>D140/D147</f>
        <v>4.4451413719876487E-2</v>
      </c>
      <c r="G140" s="282">
        <v>38</v>
      </c>
      <c r="H140" s="326">
        <v>2.09</v>
      </c>
      <c r="I140" s="362">
        <f>D140-D126</f>
        <v>-46.200000000000728</v>
      </c>
      <c r="K140" s="193"/>
    </row>
    <row r="141" spans="1:11" hidden="1" outlineLevel="2" x14ac:dyDescent="0.35">
      <c r="A141" s="284" t="s">
        <v>95</v>
      </c>
      <c r="B141" s="285">
        <v>130</v>
      </c>
      <c r="C141" s="286">
        <v>156.6</v>
      </c>
      <c r="D141" s="287">
        <f t="shared" si="25"/>
        <v>20358</v>
      </c>
      <c r="E141" s="288">
        <f t="shared" si="24"/>
        <v>2.890932982917218E-2</v>
      </c>
      <c r="F141" s="266">
        <f>D141/D147</f>
        <v>8.2981841903408946E-2</v>
      </c>
      <c r="G141" s="282">
        <v>342</v>
      </c>
      <c r="H141" s="326">
        <v>0.4</v>
      </c>
      <c r="I141" s="368">
        <f>D141-D127</f>
        <v>572</v>
      </c>
      <c r="K141" s="193"/>
    </row>
    <row r="142" spans="1:11" hidden="1" outlineLevel="2" x14ac:dyDescent="0.35">
      <c r="A142" s="197" t="s">
        <v>97</v>
      </c>
      <c r="B142" s="289">
        <v>110</v>
      </c>
      <c r="C142" s="290">
        <v>150.24</v>
      </c>
      <c r="D142" s="291">
        <f t="shared" si="25"/>
        <v>16526.400000000001</v>
      </c>
      <c r="E142" s="328">
        <f t="shared" si="24"/>
        <v>-6.6555740432551781E-5</v>
      </c>
      <c r="F142" s="266">
        <f>D142/D147</f>
        <v>6.7363744573754686E-2</v>
      </c>
      <c r="G142" s="282">
        <v>40</v>
      </c>
      <c r="H142" s="326">
        <v>0.23</v>
      </c>
      <c r="I142" s="362">
        <f>D142-D128</f>
        <v>-1.0999999999985448</v>
      </c>
      <c r="K142" s="193"/>
    </row>
    <row r="143" spans="1:11" hidden="1" outlineLevel="2" x14ac:dyDescent="0.35">
      <c r="A143" s="336" t="s">
        <v>103</v>
      </c>
      <c r="B143" s="337">
        <v>100</v>
      </c>
      <c r="C143" s="338">
        <v>134.84</v>
      </c>
      <c r="D143" s="339">
        <f t="shared" si="25"/>
        <v>13484</v>
      </c>
      <c r="E143" s="340">
        <f t="shared" si="24"/>
        <v>8.2249140122625554E-3</v>
      </c>
      <c r="F143" s="266">
        <f>D143/D147</f>
        <v>5.4962528550229213E-2</v>
      </c>
      <c r="G143" s="282">
        <v>49</v>
      </c>
      <c r="H143" s="326">
        <v>0.38</v>
      </c>
      <c r="I143" s="368">
        <f>D143-D129</f>
        <v>110</v>
      </c>
      <c r="K143" s="193"/>
    </row>
    <row r="144" spans="1:11" hidden="1" outlineLevel="2" x14ac:dyDescent="0.35">
      <c r="A144" s="341" t="s">
        <v>104</v>
      </c>
      <c r="B144" s="289">
        <v>112</v>
      </c>
      <c r="C144" s="290">
        <v>85.9</v>
      </c>
      <c r="D144" s="291">
        <f t="shared" si="25"/>
        <v>9620.8000000000011</v>
      </c>
      <c r="E144" s="328">
        <f t="shared" si="24"/>
        <v>7.7251065964384386E-2</v>
      </c>
      <c r="F144" s="266">
        <f>D144/D147</f>
        <v>3.921562553218965E-2</v>
      </c>
      <c r="G144" s="297">
        <v>44</v>
      </c>
      <c r="H144" s="326">
        <v>0.85</v>
      </c>
      <c r="I144" s="368">
        <f>B130*(C144-C130)</f>
        <v>616.00000000000114</v>
      </c>
      <c r="K144" s="193"/>
    </row>
    <row r="145" spans="1:11" ht="16" hidden="1" outlineLevel="2" thickBot="1" x14ac:dyDescent="0.4">
      <c r="A145" s="304" t="s">
        <v>7</v>
      </c>
      <c r="B145" s="285"/>
      <c r="C145" s="286"/>
      <c r="D145" s="287">
        <v>1567.99</v>
      </c>
      <c r="E145" s="305"/>
      <c r="F145" s="117">
        <f>SUM(F142:F144)</f>
        <v>0.16154189865617355</v>
      </c>
      <c r="G145" s="306">
        <f>AVERAGE(G139:G144)</f>
        <v>116.16666666666667</v>
      </c>
      <c r="H145" s="330">
        <f>AVERAGE(H139:H144)</f>
        <v>0.73499999999999988</v>
      </c>
      <c r="I145" s="377">
        <f>SUM(I139:I144)</f>
        <v>2945.3000000000075</v>
      </c>
      <c r="J145" s="118">
        <f>I145+J132</f>
        <v>15749.650000000023</v>
      </c>
      <c r="K145" s="193">
        <f>J145/3</f>
        <v>5249.8833333333414</v>
      </c>
    </row>
    <row r="146" spans="1:11" ht="16" hidden="1" outlineLevel="2" thickBot="1" x14ac:dyDescent="0.4">
      <c r="A146" s="379" t="s">
        <v>60</v>
      </c>
      <c r="B146" s="380"/>
      <c r="C146" s="381"/>
      <c r="D146" s="382">
        <v>50.54</v>
      </c>
      <c r="E146" s="383"/>
      <c r="G146" s="236"/>
      <c r="K146" s="193"/>
    </row>
    <row r="147" spans="1:11" ht="16" hidden="1" outlineLevel="2" thickBot="1" x14ac:dyDescent="0.4">
      <c r="A147" s="311" t="s">
        <v>62</v>
      </c>
      <c r="B147" s="312"/>
      <c r="C147" s="313"/>
      <c r="D147" s="314">
        <f>SUM(D139:D146)</f>
        <v>245330.77999999997</v>
      </c>
      <c r="E147" s="332">
        <f>D147-D134</f>
        <v>2751.6799999999639</v>
      </c>
      <c r="F147" s="374">
        <f>(D147-D134)/D134</f>
        <v>1.1343433956181566E-2</v>
      </c>
      <c r="G147" s="236"/>
      <c r="K147" s="193"/>
    </row>
    <row r="148" spans="1:11" hidden="1" outlineLevel="2" x14ac:dyDescent="0.35">
      <c r="K148" s="193"/>
    </row>
    <row r="149" spans="1:11" hidden="1" outlineLevel="2" x14ac:dyDescent="0.35">
      <c r="A149" s="113" t="s">
        <v>25</v>
      </c>
      <c r="B149" s="248" t="s">
        <v>26</v>
      </c>
      <c r="C149" s="249" t="s">
        <v>27</v>
      </c>
      <c r="D149" s="250">
        <f>D136+7</f>
        <v>42868</v>
      </c>
      <c r="E149" s="321" t="s">
        <v>28</v>
      </c>
      <c r="F149" s="251" t="s">
        <v>101</v>
      </c>
      <c r="G149" s="252">
        <v>17555</v>
      </c>
      <c r="H149" s="253">
        <f>(C150-G149)/G149</f>
        <v>0.19037311307319851</v>
      </c>
      <c r="K149" s="193"/>
    </row>
    <row r="150" spans="1:11" ht="16" hidden="1" outlineLevel="2" thickBot="1" x14ac:dyDescent="0.4">
      <c r="A150" s="254" t="s">
        <v>32</v>
      </c>
      <c r="B150" s="255" t="str">
        <f ca="1">TEXT(TODAY(),"ddd")</f>
        <v>Sun</v>
      </c>
      <c r="C150" s="256">
        <v>20897</v>
      </c>
      <c r="D150" s="257">
        <f>C150-C137</f>
        <v>-103</v>
      </c>
      <c r="E150" s="356"/>
      <c r="F150" s="258"/>
      <c r="G150" s="259">
        <v>4766</v>
      </c>
      <c r="H150" s="260">
        <f>(C151-G150)/G150</f>
        <v>0.28430549727234578</v>
      </c>
      <c r="K150" s="193"/>
    </row>
    <row r="151" spans="1:11" hidden="1" outlineLevel="2" x14ac:dyDescent="0.35">
      <c r="A151" s="262" t="s">
        <v>36</v>
      </c>
      <c r="B151" s="263"/>
      <c r="C151" s="185">
        <v>6121</v>
      </c>
      <c r="D151" s="223">
        <f>C151-C138</f>
        <v>21</v>
      </c>
      <c r="E151" s="323">
        <f>(C151-C138)/C138</f>
        <v>3.4426229508196723E-3</v>
      </c>
      <c r="F151" s="266" t="s">
        <v>37</v>
      </c>
      <c r="G151" s="267" t="s">
        <v>38</v>
      </c>
      <c r="H151" s="268" t="s">
        <v>102</v>
      </c>
      <c r="K151" s="193"/>
    </row>
    <row r="152" spans="1:11" hidden="1" outlineLevel="2" x14ac:dyDescent="0.35">
      <c r="A152" s="269" t="s">
        <v>92</v>
      </c>
      <c r="B152" s="270">
        <v>185</v>
      </c>
      <c r="C152" s="271">
        <v>961.35</v>
      </c>
      <c r="D152" s="272">
        <f>C152*B152</f>
        <v>177849.75</v>
      </c>
      <c r="E152" s="273">
        <f>(C152-C139)/C139</f>
        <v>2.9117379435850823E-2</v>
      </c>
      <c r="F152" s="274">
        <f>D152/D159</f>
        <v>0.70032542634560624</v>
      </c>
      <c r="G152" s="275">
        <v>184</v>
      </c>
      <c r="H152" s="324">
        <v>0.46</v>
      </c>
      <c r="I152" s="366">
        <f>D152-D139</f>
        <v>5032</v>
      </c>
      <c r="K152" s="193"/>
    </row>
    <row r="153" spans="1:11" hidden="1" outlineLevel="2" x14ac:dyDescent="0.35">
      <c r="A153" s="197" t="s">
        <v>49</v>
      </c>
      <c r="B153" s="289">
        <f>105+127</f>
        <v>232</v>
      </c>
      <c r="C153" s="290">
        <v>127.89</v>
      </c>
      <c r="D153" s="291">
        <f>C153*B153</f>
        <v>29670.48</v>
      </c>
      <c r="E153" s="384">
        <f>((C153-C140)/C140)</f>
        <v>0.23136915077989603</v>
      </c>
      <c r="F153" s="266">
        <f>D153/D159</f>
        <v>0.11683452777346486</v>
      </c>
      <c r="G153" s="282">
        <v>48</v>
      </c>
      <c r="H153" s="326">
        <v>2.34</v>
      </c>
      <c r="I153" s="366">
        <f>D153-D140</f>
        <v>18765.18</v>
      </c>
      <c r="K153" s="193"/>
    </row>
    <row r="154" spans="1:11" hidden="1" outlineLevel="2" x14ac:dyDescent="0.35">
      <c r="A154" s="284" t="s">
        <v>95</v>
      </c>
      <c r="B154" s="285">
        <v>130</v>
      </c>
      <c r="C154" s="286">
        <v>160.81</v>
      </c>
      <c r="D154" s="287">
        <f>C154*B154</f>
        <v>20905.3</v>
      </c>
      <c r="E154" s="288">
        <f>(C154-C142)/C142</f>
        <v>7.0354100106496217E-2</v>
      </c>
      <c r="F154" s="266">
        <f>D154/D159</f>
        <v>8.2319559827229452E-2</v>
      </c>
      <c r="G154" s="282">
        <v>342</v>
      </c>
      <c r="H154" s="326">
        <v>0.4</v>
      </c>
      <c r="I154" s="385">
        <f>D154-D141</f>
        <v>547.29999999999927</v>
      </c>
      <c r="K154" s="193"/>
    </row>
    <row r="155" spans="1:11" hidden="1" outlineLevel="2" x14ac:dyDescent="0.35">
      <c r="A155" s="386" t="s">
        <v>103</v>
      </c>
      <c r="B155" s="387">
        <v>100</v>
      </c>
      <c r="C155" s="388">
        <v>136.84</v>
      </c>
      <c r="D155" s="389">
        <f>C155*B155</f>
        <v>13684</v>
      </c>
      <c r="E155" s="390">
        <f>(C155-C143)/C143</f>
        <v>1.4832393948383269E-2</v>
      </c>
      <c r="F155" s="266">
        <f>D155/D159</f>
        <v>5.388398428512424E-2</v>
      </c>
      <c r="G155" s="282">
        <v>49</v>
      </c>
      <c r="H155" s="326">
        <v>0.38</v>
      </c>
      <c r="I155" s="368">
        <f>D155-D143</f>
        <v>200</v>
      </c>
      <c r="K155" s="193"/>
    </row>
    <row r="156" spans="1:11" hidden="1" outlineLevel="2" x14ac:dyDescent="0.35">
      <c r="A156" s="295" t="s">
        <v>104</v>
      </c>
      <c r="B156" s="285">
        <v>112</v>
      </c>
      <c r="C156" s="286">
        <v>89.99</v>
      </c>
      <c r="D156" s="287">
        <f>C156*B156</f>
        <v>10078.879999999999</v>
      </c>
      <c r="E156" s="288">
        <f>(C156-C144)/C144</f>
        <v>4.7613504074505111E-2</v>
      </c>
      <c r="F156" s="266">
        <f>D156/D159</f>
        <v>3.9687972196116118E-2</v>
      </c>
      <c r="G156" s="297">
        <v>44</v>
      </c>
      <c r="H156" s="326">
        <v>0.85</v>
      </c>
      <c r="I156" s="368">
        <f>D156-D144</f>
        <v>458.07999999999811</v>
      </c>
      <c r="K156" s="193"/>
    </row>
    <row r="157" spans="1:11" ht="16" hidden="1" outlineLevel="2" thickBot="1" x14ac:dyDescent="0.4">
      <c r="A157" s="391" t="s">
        <v>7</v>
      </c>
      <c r="B157" s="392"/>
      <c r="C157" s="393"/>
      <c r="D157" s="394">
        <v>1572.4</v>
      </c>
      <c r="E157" s="395"/>
      <c r="F157" s="117">
        <f>SUM(F154:F156)</f>
        <v>0.1758915163084698</v>
      </c>
      <c r="G157" s="306">
        <f>AVERAGE(G152:G156)</f>
        <v>133.4</v>
      </c>
      <c r="H157" s="330">
        <f>AVERAGE(H152:H156)</f>
        <v>0.8859999999999999</v>
      </c>
      <c r="I157" s="377">
        <f>SUM(I152:I156)</f>
        <v>25002.559999999998</v>
      </c>
      <c r="J157" s="118">
        <f>I157+J145</f>
        <v>40752.210000000021</v>
      </c>
      <c r="K157" s="193">
        <f>J157/4</f>
        <v>10188.052500000005</v>
      </c>
    </row>
    <row r="158" spans="1:11" ht="16" hidden="1" outlineLevel="2" thickBot="1" x14ac:dyDescent="0.4">
      <c r="A158" s="342" t="s">
        <v>60</v>
      </c>
      <c r="B158" s="350"/>
      <c r="C158" s="351"/>
      <c r="D158" s="352">
        <v>192.2</v>
      </c>
      <c r="E158" s="332"/>
      <c r="G158" s="236"/>
      <c r="K158" s="193"/>
    </row>
    <row r="159" spans="1:11" ht="16" hidden="1" outlineLevel="2" thickBot="1" x14ac:dyDescent="0.4">
      <c r="A159" s="311" t="s">
        <v>62</v>
      </c>
      <c r="B159" s="312"/>
      <c r="C159" s="313"/>
      <c r="D159" s="314">
        <f>SUM(D152:D158)</f>
        <v>253953.01</v>
      </c>
      <c r="E159" s="332">
        <f>D159-D147</f>
        <v>8622.2300000000396</v>
      </c>
      <c r="F159" s="374">
        <f>(D159-D147)/D147</f>
        <v>3.5145325017920871E-2</v>
      </c>
      <c r="G159" s="236"/>
      <c r="I159" s="396">
        <f>(I118+I132+I145+I157)</f>
        <v>40752.210000000021</v>
      </c>
      <c r="K159" s="193"/>
    </row>
    <row r="160" spans="1:11" hidden="1" outlineLevel="2" x14ac:dyDescent="0.35">
      <c r="I160">
        <f>I159/4</f>
        <v>10188.052500000005</v>
      </c>
      <c r="K160" s="193"/>
    </row>
    <row r="161" spans="1:11" hidden="1" outlineLevel="2" x14ac:dyDescent="0.35">
      <c r="A161" s="113" t="s">
        <v>25</v>
      </c>
      <c r="B161" s="248" t="s">
        <v>26</v>
      </c>
      <c r="C161" s="249" t="s">
        <v>27</v>
      </c>
      <c r="D161" s="250">
        <f>D149+7</f>
        <v>42875</v>
      </c>
      <c r="E161" s="321" t="s">
        <v>28</v>
      </c>
      <c r="F161" s="251" t="s">
        <v>101</v>
      </c>
      <c r="G161" s="252">
        <v>17555</v>
      </c>
      <c r="H161" s="253">
        <f>(C162-G161)/G161</f>
        <v>0.18513244090002848</v>
      </c>
      <c r="K161" s="193"/>
    </row>
    <row r="162" spans="1:11" ht="16" hidden="1" outlineLevel="2" thickBot="1" x14ac:dyDescent="0.4">
      <c r="A162" s="254" t="s">
        <v>32</v>
      </c>
      <c r="B162" s="255" t="str">
        <f ca="1">TEXT(TODAY(),"ddd")</f>
        <v>Sun</v>
      </c>
      <c r="C162" s="256">
        <v>20805</v>
      </c>
      <c r="D162" s="257">
        <f>C162-C150</f>
        <v>-92</v>
      </c>
      <c r="E162" s="356"/>
      <c r="F162" s="258"/>
      <c r="G162" s="259">
        <v>4766</v>
      </c>
      <c r="H162" s="260">
        <f>(C163-G162)/G162</f>
        <v>0.27633235417540913</v>
      </c>
      <c r="K162" s="193"/>
    </row>
    <row r="163" spans="1:11" hidden="1" outlineLevel="2" x14ac:dyDescent="0.35">
      <c r="A163" s="262" t="s">
        <v>36</v>
      </c>
      <c r="B163" s="263"/>
      <c r="C163" s="185">
        <v>6083</v>
      </c>
      <c r="D163" s="264">
        <f>C163-C151</f>
        <v>-38</v>
      </c>
      <c r="E163" s="265">
        <f>(C163-C151)/C151</f>
        <v>-6.2081359255023692E-3</v>
      </c>
      <c r="F163" s="266" t="s">
        <v>37</v>
      </c>
      <c r="G163" s="267" t="s">
        <v>38</v>
      </c>
      <c r="H163" s="268" t="s">
        <v>102</v>
      </c>
      <c r="K163" s="193"/>
    </row>
    <row r="164" spans="1:11" hidden="1" outlineLevel="2" x14ac:dyDescent="0.35">
      <c r="A164" s="269" t="s">
        <v>92</v>
      </c>
      <c r="B164" s="270">
        <v>185</v>
      </c>
      <c r="C164" s="271">
        <v>959.84</v>
      </c>
      <c r="D164" s="272">
        <f>C164*B164</f>
        <v>177570.4</v>
      </c>
      <c r="E164" s="397">
        <f>(C164-C152)/C152</f>
        <v>-1.5707078587403037E-3</v>
      </c>
      <c r="F164" s="274">
        <f>D164/D170</f>
        <v>0.69545712465765741</v>
      </c>
      <c r="G164" s="275">
        <v>184</v>
      </c>
      <c r="H164" s="324">
        <v>0.46</v>
      </c>
      <c r="I164" s="398">
        <f>D164-D152</f>
        <v>-279.35000000000582</v>
      </c>
      <c r="K164" s="193"/>
    </row>
    <row r="165" spans="1:11" hidden="1" outlineLevel="2" x14ac:dyDescent="0.35">
      <c r="A165" s="197" t="s">
        <v>49</v>
      </c>
      <c r="B165" s="289">
        <f>105+127</f>
        <v>232</v>
      </c>
      <c r="C165" s="290">
        <v>136</v>
      </c>
      <c r="D165" s="291">
        <f>C165*B165</f>
        <v>31552</v>
      </c>
      <c r="E165" s="384">
        <f>(C165-C153)/C153</f>
        <v>6.3413871295644686E-2</v>
      </c>
      <c r="F165" s="266">
        <f>D165/D170</f>
        <v>0.12357387941457815</v>
      </c>
      <c r="G165" s="282">
        <v>48</v>
      </c>
      <c r="H165" s="326">
        <v>2.34</v>
      </c>
      <c r="I165" s="399">
        <f>D165-D153</f>
        <v>1881.5200000000004</v>
      </c>
      <c r="K165" s="193"/>
    </row>
    <row r="166" spans="1:11" hidden="1" outlineLevel="2" x14ac:dyDescent="0.35">
      <c r="A166" s="284" t="s">
        <v>95</v>
      </c>
      <c r="B166" s="285">
        <v>130</v>
      </c>
      <c r="C166" s="286">
        <v>157.02000000000001</v>
      </c>
      <c r="D166" s="287">
        <f>C166*B166</f>
        <v>20412.600000000002</v>
      </c>
      <c r="E166" s="296">
        <f>(C166-C154)/C154</f>
        <v>-2.3568186058080916E-2</v>
      </c>
      <c r="F166" s="266">
        <f>D166/D170</f>
        <v>7.9946252882163352E-2</v>
      </c>
      <c r="G166" s="282">
        <v>342</v>
      </c>
      <c r="H166" s="326">
        <v>0.4</v>
      </c>
      <c r="I166" s="400">
        <f>D166-D154</f>
        <v>-492.69999999999709</v>
      </c>
      <c r="K166" s="193"/>
    </row>
    <row r="167" spans="1:11" hidden="1" outlineLevel="2" x14ac:dyDescent="0.35">
      <c r="A167" s="401" t="s">
        <v>104</v>
      </c>
      <c r="B167" s="392">
        <v>257</v>
      </c>
      <c r="C167" s="393">
        <v>93.22</v>
      </c>
      <c r="D167" s="394">
        <f>C167*B167</f>
        <v>23957.54</v>
      </c>
      <c r="E167" s="402">
        <f>(C167-C156)/C156</f>
        <v>3.5892876986331861E-2</v>
      </c>
      <c r="F167" s="266">
        <f>D167/D170</f>
        <v>9.38300633566789E-2</v>
      </c>
      <c r="G167" s="297">
        <v>48</v>
      </c>
      <c r="H167" s="326">
        <v>0.85</v>
      </c>
      <c r="I167" s="399">
        <f>D167-D156</f>
        <v>13878.660000000002</v>
      </c>
      <c r="K167" s="193"/>
    </row>
    <row r="168" spans="1:11" ht="16" hidden="1" outlineLevel="2" thickBot="1" x14ac:dyDescent="0.4">
      <c r="A168" s="304" t="s">
        <v>7</v>
      </c>
      <c r="B168" s="285"/>
      <c r="C168" s="286"/>
      <c r="D168" s="287">
        <v>1571.74</v>
      </c>
      <c r="E168" s="305"/>
      <c r="F168" s="117">
        <f>SUM(F165:F167)</f>
        <v>0.29735019565342036</v>
      </c>
      <c r="G168" s="306">
        <f>AVERAGE(G164:G167)</f>
        <v>155.5</v>
      </c>
      <c r="H168" s="330">
        <f>AVERAGE(H164:H167)</f>
        <v>1.0125</v>
      </c>
      <c r="I168" s="403">
        <f>D170-D159</f>
        <v>1376.0299999999988</v>
      </c>
      <c r="J168" s="118">
        <f>I168+J157</f>
        <v>42128.24000000002</v>
      </c>
      <c r="K168" s="193">
        <f>J168/5</f>
        <v>8425.6480000000047</v>
      </c>
    </row>
    <row r="169" spans="1:11" ht="16" hidden="1" outlineLevel="2" thickBot="1" x14ac:dyDescent="0.4">
      <c r="A169" s="379" t="s">
        <v>60</v>
      </c>
      <c r="B169" s="380"/>
      <c r="C169" s="381"/>
      <c r="D169" s="382">
        <v>264.76</v>
      </c>
      <c r="E169" s="404"/>
      <c r="G169" s="236"/>
      <c r="K169" s="193"/>
    </row>
    <row r="170" spans="1:11" ht="16" hidden="1" outlineLevel="2" thickBot="1" x14ac:dyDescent="0.4">
      <c r="A170" s="311" t="s">
        <v>62</v>
      </c>
      <c r="B170" s="312"/>
      <c r="C170" s="313"/>
      <c r="D170" s="314">
        <f>SUM(D164:D169)</f>
        <v>255329.04</v>
      </c>
      <c r="E170" s="405">
        <f>D170-D159</f>
        <v>1376.0299999999988</v>
      </c>
      <c r="F170" s="406">
        <f>(D170-D159)/D159</f>
        <v>5.418443356902912E-3</v>
      </c>
      <c r="G170" s="236"/>
      <c r="I170" s="407">
        <f>I159+E170</f>
        <v>42128.24000000002</v>
      </c>
      <c r="J170" s="408" t="s">
        <v>108</v>
      </c>
      <c r="K170" s="409"/>
    </row>
    <row r="171" spans="1:11" ht="16" hidden="1" outlineLevel="2" thickBot="1" x14ac:dyDescent="0.4">
      <c r="I171" s="410">
        <f>I170/5</f>
        <v>8425.6480000000047</v>
      </c>
      <c r="J171" s="411">
        <f>I171*4</f>
        <v>33702.592000000019</v>
      </c>
      <c r="K171" s="412"/>
    </row>
    <row r="172" spans="1:11" hidden="1" outlineLevel="2" x14ac:dyDescent="0.35">
      <c r="A172" s="113" t="s">
        <v>25</v>
      </c>
      <c r="B172" s="248" t="s">
        <v>26</v>
      </c>
      <c r="C172" s="249" t="s">
        <v>27</v>
      </c>
      <c r="D172" s="250">
        <f>D161+7</f>
        <v>42882</v>
      </c>
      <c r="E172" s="321" t="s">
        <v>28</v>
      </c>
      <c r="F172" s="251" t="s">
        <v>101</v>
      </c>
      <c r="G172" s="252">
        <v>17555</v>
      </c>
      <c r="H172" s="253">
        <f>(C173-G172)/G172</f>
        <v>0.20079749359156934</v>
      </c>
      <c r="K172" s="193"/>
    </row>
    <row r="173" spans="1:11" ht="16" hidden="1" outlineLevel="2" thickBot="1" x14ac:dyDescent="0.4">
      <c r="A173" s="254" t="s">
        <v>32</v>
      </c>
      <c r="B173" s="255" t="str">
        <f ca="1">TEXT(TODAY(),"ddd")</f>
        <v>Sun</v>
      </c>
      <c r="C173" s="256">
        <v>21080</v>
      </c>
      <c r="D173" s="322">
        <f>C173-C162</f>
        <v>275</v>
      </c>
      <c r="E173" s="356"/>
      <c r="F173" s="258"/>
      <c r="G173" s="259">
        <v>4766</v>
      </c>
      <c r="H173" s="260">
        <f>(C174-G173)/G173</f>
        <v>0.30297943768359209</v>
      </c>
      <c r="K173" s="193"/>
    </row>
    <row r="174" spans="1:11" hidden="1" outlineLevel="2" x14ac:dyDescent="0.35">
      <c r="A174" s="262" t="s">
        <v>36</v>
      </c>
      <c r="B174" s="263"/>
      <c r="C174" s="185">
        <v>6210</v>
      </c>
      <c r="D174" s="223">
        <f>C174-C163</f>
        <v>127</v>
      </c>
      <c r="E174" s="323">
        <f>(C174-C163)/C163</f>
        <v>2.0877856320894294E-2</v>
      </c>
      <c r="F174" s="266" t="s">
        <v>37</v>
      </c>
      <c r="G174" s="267" t="s">
        <v>38</v>
      </c>
      <c r="H174" s="268" t="s">
        <v>102</v>
      </c>
      <c r="K174" s="193"/>
    </row>
    <row r="175" spans="1:11" hidden="1" outlineLevel="2" x14ac:dyDescent="0.35">
      <c r="A175" s="269" t="s">
        <v>92</v>
      </c>
      <c r="B175" s="270">
        <v>185</v>
      </c>
      <c r="C175" s="271">
        <v>995.78</v>
      </c>
      <c r="D175" s="272">
        <f>C175*B175</f>
        <v>184219.3</v>
      </c>
      <c r="E175" s="413">
        <f>(C175-C164)/C164</f>
        <v>3.744374062343718E-2</v>
      </c>
      <c r="F175" s="274">
        <f>D175/D181</f>
        <v>0.69500776387966556</v>
      </c>
      <c r="G175" s="275">
        <v>184</v>
      </c>
      <c r="H175" s="324">
        <v>0.46</v>
      </c>
      <c r="I175" s="414">
        <f>D175-D164</f>
        <v>6648.8999999999942</v>
      </c>
      <c r="K175" s="193"/>
    </row>
    <row r="176" spans="1:11" hidden="1" outlineLevel="2" x14ac:dyDescent="0.35">
      <c r="A176" s="197" t="s">
        <v>49</v>
      </c>
      <c r="B176" s="289">
        <f>105+127</f>
        <v>232</v>
      </c>
      <c r="C176" s="290">
        <v>141.84</v>
      </c>
      <c r="D176" s="291">
        <f>C176*B176</f>
        <v>32906.879999999997</v>
      </c>
      <c r="E176" s="384">
        <f>(C176-C165)/C165</f>
        <v>4.294117647058826E-2</v>
      </c>
      <c r="F176" s="266">
        <f>D176/D181</f>
        <v>0.12414843116359951</v>
      </c>
      <c r="G176" s="282">
        <v>48</v>
      </c>
      <c r="H176" s="326">
        <v>2.34</v>
      </c>
      <c r="I176" s="415">
        <f>D176-D165</f>
        <v>1354.8799999999974</v>
      </c>
      <c r="K176" s="193"/>
    </row>
    <row r="177" spans="1:11" hidden="1" outlineLevel="2" x14ac:dyDescent="0.35">
      <c r="A177" s="284" t="s">
        <v>95</v>
      </c>
      <c r="B177" s="285">
        <v>130</v>
      </c>
      <c r="C177" s="286">
        <v>162.43</v>
      </c>
      <c r="D177" s="287">
        <f>C177*B177</f>
        <v>21115.9</v>
      </c>
      <c r="E177" s="288">
        <f>(C177-C166)/C166</f>
        <v>3.4454209654821016E-2</v>
      </c>
      <c r="F177" s="266">
        <f>D177/D181</f>
        <v>7.9664369809822486E-2</v>
      </c>
      <c r="G177" s="282">
        <v>342</v>
      </c>
      <c r="H177" s="326">
        <v>0.4</v>
      </c>
      <c r="I177" s="416">
        <f>D177-D166</f>
        <v>703.29999999999927</v>
      </c>
      <c r="K177" s="193"/>
    </row>
    <row r="178" spans="1:11" hidden="1" outlineLevel="2" x14ac:dyDescent="0.35">
      <c r="A178" s="401" t="s">
        <v>104</v>
      </c>
      <c r="B178" s="392">
        <v>257</v>
      </c>
      <c r="C178" s="393">
        <v>97.14</v>
      </c>
      <c r="D178" s="394">
        <f>C178*B178</f>
        <v>24964.98</v>
      </c>
      <c r="E178" s="402">
        <f>(C178-C167)/C167</f>
        <v>4.2051062003861849E-2</v>
      </c>
      <c r="F178" s="266">
        <f>D178/D181</f>
        <v>9.4185869369282013E-2</v>
      </c>
      <c r="G178" s="297">
        <v>44</v>
      </c>
      <c r="H178" s="326">
        <v>0.85</v>
      </c>
      <c r="I178" s="417">
        <f>D178-D167</f>
        <v>1007.4399999999987</v>
      </c>
      <c r="K178" s="193"/>
    </row>
    <row r="179" spans="1:11" ht="16" hidden="1" outlineLevel="2" thickBot="1" x14ac:dyDescent="0.4">
      <c r="A179" s="304" t="s">
        <v>7</v>
      </c>
      <c r="B179" s="285"/>
      <c r="C179" s="286"/>
      <c r="D179" s="287">
        <v>1588.96</v>
      </c>
      <c r="E179" s="305"/>
      <c r="F179" s="117">
        <f>SUM(F176:F178)</f>
        <v>0.297998670342704</v>
      </c>
      <c r="G179" s="306">
        <f>AVERAGE(G175:G178)</f>
        <v>154.5</v>
      </c>
      <c r="H179" s="330">
        <f>AVERAGE(H175:H178)</f>
        <v>1.0125</v>
      </c>
      <c r="I179" s="418">
        <f>D181-D170</f>
        <v>9731.7400000000198</v>
      </c>
      <c r="J179" s="118">
        <f>I179+J168</f>
        <v>51859.98000000004</v>
      </c>
      <c r="K179" s="193">
        <f>J179/6</f>
        <v>8643.3300000000072</v>
      </c>
    </row>
    <row r="180" spans="1:11" ht="16" hidden="1" outlineLevel="2" thickBot="1" x14ac:dyDescent="0.4">
      <c r="A180" s="379" t="s">
        <v>60</v>
      </c>
      <c r="B180" s="380"/>
      <c r="C180" s="381"/>
      <c r="D180" s="382">
        <v>264.76</v>
      </c>
      <c r="E180" s="383"/>
      <c r="G180" s="236"/>
      <c r="K180" s="193"/>
    </row>
    <row r="181" spans="1:11" ht="16" hidden="1" outlineLevel="2" thickBot="1" x14ac:dyDescent="0.4">
      <c r="A181" s="311" t="s">
        <v>62</v>
      </c>
      <c r="B181" s="312"/>
      <c r="C181" s="313"/>
      <c r="D181" s="314">
        <f>SUM(D175:D180)</f>
        <v>265060.78000000003</v>
      </c>
      <c r="E181" s="332">
        <f>D181-D170</f>
        <v>9731.7400000000198</v>
      </c>
      <c r="F181" s="374">
        <f>(D181-D170)/D170</f>
        <v>3.8114505110738751E-2</v>
      </c>
      <c r="G181" s="236"/>
      <c r="I181" s="407">
        <f>(I170+E181)</f>
        <v>51859.98000000004</v>
      </c>
      <c r="J181" s="408" t="s">
        <v>109</v>
      </c>
      <c r="K181" s="409"/>
    </row>
    <row r="182" spans="1:11" ht="16" hidden="1" outlineLevel="2" thickBot="1" x14ac:dyDescent="0.4">
      <c r="I182" s="410">
        <f>I181/6</f>
        <v>8643.3300000000072</v>
      </c>
      <c r="J182" s="411">
        <f>I182*4</f>
        <v>34573.320000000029</v>
      </c>
      <c r="K182" s="412"/>
    </row>
    <row r="183" spans="1:11" hidden="1" outlineLevel="2" x14ac:dyDescent="0.35">
      <c r="A183" s="113" t="s">
        <v>25</v>
      </c>
      <c r="B183" s="248" t="s">
        <v>26</v>
      </c>
      <c r="C183" s="249" t="s">
        <v>27</v>
      </c>
      <c r="D183" s="250">
        <f>D172+7</f>
        <v>42889</v>
      </c>
      <c r="E183" s="321" t="s">
        <v>28</v>
      </c>
      <c r="F183" s="251" t="s">
        <v>101</v>
      </c>
      <c r="G183" s="252">
        <v>17555</v>
      </c>
      <c r="H183" s="253">
        <f>(C184-G183)/G183</f>
        <v>0.20797493591569355</v>
      </c>
    </row>
    <row r="184" spans="1:11" ht="16" hidden="1" outlineLevel="2" thickBot="1" x14ac:dyDescent="0.4">
      <c r="A184" s="254" t="s">
        <v>32</v>
      </c>
      <c r="B184" s="255" t="str">
        <f ca="1">TEXT(TODAY(),"ddd")</f>
        <v>Sun</v>
      </c>
      <c r="C184" s="256">
        <v>21206</v>
      </c>
      <c r="D184" s="322">
        <f>C184-C173</f>
        <v>126</v>
      </c>
      <c r="E184" s="356"/>
      <c r="F184" s="258"/>
      <c r="G184" s="259">
        <v>4766</v>
      </c>
      <c r="H184" s="260">
        <f>(C185-G184)/G184</f>
        <v>0.32312211498111626</v>
      </c>
    </row>
    <row r="185" spans="1:11" hidden="1" outlineLevel="2" x14ac:dyDescent="0.35">
      <c r="A185" s="262" t="s">
        <v>36</v>
      </c>
      <c r="B185" s="263"/>
      <c r="C185" s="419">
        <v>6306</v>
      </c>
      <c r="D185" s="223">
        <f>C185-C174</f>
        <v>96</v>
      </c>
      <c r="E185" s="420">
        <f>(C185-C174)/C174</f>
        <v>1.5458937198067632E-2</v>
      </c>
      <c r="F185" s="266" t="s">
        <v>37</v>
      </c>
      <c r="G185" s="267" t="s">
        <v>38</v>
      </c>
      <c r="H185" s="268" t="s">
        <v>102</v>
      </c>
    </row>
    <row r="186" spans="1:11" hidden="1" outlineLevel="2" x14ac:dyDescent="0.35">
      <c r="A186" s="269" t="s">
        <v>92</v>
      </c>
      <c r="B186" s="270">
        <v>185</v>
      </c>
      <c r="C186" s="271">
        <v>1006.73</v>
      </c>
      <c r="D186" s="272">
        <f>C186*B186</f>
        <v>186245.05000000002</v>
      </c>
      <c r="E186" s="413">
        <f>(C186-C175)/C175</f>
        <v>1.0996404828375791E-2</v>
      </c>
      <c r="F186" s="274">
        <f>D186/D192</f>
        <v>0.69507622903006572</v>
      </c>
      <c r="G186" s="275">
        <v>187</v>
      </c>
      <c r="H186" s="324">
        <v>0.46</v>
      </c>
      <c r="I186" s="414">
        <f>D186-D175</f>
        <v>2025.7500000000291</v>
      </c>
    </row>
    <row r="187" spans="1:11" hidden="1" outlineLevel="2" x14ac:dyDescent="0.35">
      <c r="A187" s="197" t="s">
        <v>49</v>
      </c>
      <c r="B187" s="289">
        <f>105+127</f>
        <v>232</v>
      </c>
      <c r="C187" s="290">
        <v>143.63999999999999</v>
      </c>
      <c r="D187" s="291">
        <f>C187*B187</f>
        <v>33324.479999999996</v>
      </c>
      <c r="E187" s="384">
        <f>(C187-C176)/C176</f>
        <v>1.2690355329949119E-2</v>
      </c>
      <c r="F187" s="266">
        <f>D187/D192</f>
        <v>0.12436869539774528</v>
      </c>
      <c r="G187" s="282">
        <v>48</v>
      </c>
      <c r="H187" s="326">
        <v>2.34</v>
      </c>
      <c r="I187" s="415">
        <f>D187-D176</f>
        <v>417.59999999999854</v>
      </c>
    </row>
    <row r="188" spans="1:11" hidden="1" outlineLevel="2" x14ac:dyDescent="0.35">
      <c r="A188" s="284" t="s">
        <v>95</v>
      </c>
      <c r="B188" s="285">
        <v>130</v>
      </c>
      <c r="C188" s="286">
        <v>165.18</v>
      </c>
      <c r="D188" s="287">
        <f>C188*B188</f>
        <v>21473.4</v>
      </c>
      <c r="E188" s="288">
        <f>(C188-C177)/C177</f>
        <v>1.6930370005540849E-2</v>
      </c>
      <c r="F188" s="266">
        <f>D188/D192</f>
        <v>8.013984745610267E-2</v>
      </c>
      <c r="G188" s="282">
        <v>211</v>
      </c>
      <c r="H188" s="326">
        <v>0.4</v>
      </c>
      <c r="I188" s="416">
        <f>D188-D177</f>
        <v>357.5</v>
      </c>
    </row>
    <row r="189" spans="1:11" hidden="1" outlineLevel="2" x14ac:dyDescent="0.35">
      <c r="A189" s="401" t="s">
        <v>104</v>
      </c>
      <c r="B189" s="392">
        <v>257</v>
      </c>
      <c r="C189" s="393">
        <v>97.46</v>
      </c>
      <c r="D189" s="394">
        <f>C189*B189</f>
        <v>25047.219999999998</v>
      </c>
      <c r="E189" s="402">
        <f>(C189-C178)/C178</f>
        <v>3.2942145357215688E-3</v>
      </c>
      <c r="F189" s="266">
        <f>D189/D192</f>
        <v>9.3477529874143983E-2</v>
      </c>
      <c r="G189" s="297">
        <v>48</v>
      </c>
      <c r="H189" s="326">
        <v>0.85</v>
      </c>
      <c r="I189" s="417">
        <f>D189-D178</f>
        <v>82.239999999997963</v>
      </c>
    </row>
    <row r="190" spans="1:11" ht="16" hidden="1" outlineLevel="2" thickBot="1" x14ac:dyDescent="0.4">
      <c r="A190" s="304" t="s">
        <v>7</v>
      </c>
      <c r="B190" s="285"/>
      <c r="C190" s="286"/>
      <c r="D190" s="287">
        <v>1594.19</v>
      </c>
      <c r="E190" s="305"/>
      <c r="F190" s="117">
        <f>SUM(F187:F189)</f>
        <v>0.29798607272799194</v>
      </c>
      <c r="G190" s="306">
        <f>AVERAGE(G186:G189)</f>
        <v>123.5</v>
      </c>
      <c r="H190" s="330">
        <f>AVERAGE(H186:H189)</f>
        <v>1.0125</v>
      </c>
      <c r="I190" s="418">
        <f>D192-D181</f>
        <v>2888.320000000007</v>
      </c>
    </row>
    <row r="191" spans="1:11" ht="16" hidden="1" outlineLevel="2" thickBot="1" x14ac:dyDescent="0.4">
      <c r="A191" s="379" t="s">
        <v>60</v>
      </c>
      <c r="B191" s="380"/>
      <c r="C191" s="381"/>
      <c r="D191" s="382">
        <v>264.76</v>
      </c>
      <c r="E191" s="383"/>
      <c r="G191" s="236"/>
    </row>
    <row r="192" spans="1:11" ht="16" hidden="1" outlineLevel="2" thickBot="1" x14ac:dyDescent="0.4">
      <c r="A192" s="311" t="s">
        <v>62</v>
      </c>
      <c r="B192" s="312"/>
      <c r="C192" s="313"/>
      <c r="D192" s="314">
        <f>SUM(D186:D191)</f>
        <v>267949.10000000003</v>
      </c>
      <c r="E192" s="332">
        <f>D192-D181</f>
        <v>2888.320000000007</v>
      </c>
      <c r="F192" s="374">
        <f>(D192-D181)/D181</f>
        <v>1.0896821476191259E-2</v>
      </c>
      <c r="G192" s="236"/>
      <c r="I192" s="407">
        <f>I181+I190</f>
        <v>54748.300000000047</v>
      </c>
      <c r="J192" s="408" t="s">
        <v>110</v>
      </c>
      <c r="K192" s="409"/>
    </row>
    <row r="193" spans="1:11" ht="16" hidden="1" outlineLevel="2" thickBot="1" x14ac:dyDescent="0.4">
      <c r="I193" s="410">
        <f>I192/7</f>
        <v>7821.1857142857207</v>
      </c>
      <c r="J193" s="411">
        <f>I193*4</f>
        <v>31284.742857142883</v>
      </c>
      <c r="K193" s="412"/>
    </row>
    <row r="194" spans="1:11" hidden="1" outlineLevel="2" x14ac:dyDescent="0.35">
      <c r="A194" s="113" t="s">
        <v>25</v>
      </c>
      <c r="B194" s="248" t="s">
        <v>26</v>
      </c>
      <c r="C194" s="249" t="s">
        <v>27</v>
      </c>
      <c r="D194" s="250">
        <f>D183+7</f>
        <v>42896</v>
      </c>
      <c r="E194" s="321" t="s">
        <v>28</v>
      </c>
      <c r="F194" s="251" t="s">
        <v>101</v>
      </c>
      <c r="G194" s="252">
        <v>17555</v>
      </c>
      <c r="H194" s="253">
        <f>(C195-G194)/G194</f>
        <v>0.21173454856166335</v>
      </c>
    </row>
    <row r="195" spans="1:11" ht="16" hidden="1" outlineLevel="2" thickBot="1" x14ac:dyDescent="0.4">
      <c r="A195" s="254" t="s">
        <v>32</v>
      </c>
      <c r="B195" s="255" t="str">
        <f ca="1">TEXT(TODAY(),"ddd")</f>
        <v>Sun</v>
      </c>
      <c r="C195" s="256">
        <v>21272</v>
      </c>
      <c r="D195" s="322">
        <f>C195-C184</f>
        <v>66</v>
      </c>
      <c r="E195" s="356"/>
      <c r="F195" s="258"/>
      <c r="G195" s="259">
        <v>4766</v>
      </c>
      <c r="H195" s="260">
        <f>(C196-G195)/G195</f>
        <v>0.3023499790180445</v>
      </c>
    </row>
    <row r="196" spans="1:11" hidden="1" outlineLevel="2" x14ac:dyDescent="0.35">
      <c r="A196" s="262" t="s">
        <v>36</v>
      </c>
      <c r="B196" s="263"/>
      <c r="C196" s="419">
        <v>6207</v>
      </c>
      <c r="D196" s="264">
        <f>C196-C185</f>
        <v>-99</v>
      </c>
      <c r="E196" s="421">
        <f>(C196-C185)/C185</f>
        <v>-1.5699333967649859E-2</v>
      </c>
      <c r="F196" s="266" t="s">
        <v>37</v>
      </c>
      <c r="G196" s="267" t="s">
        <v>38</v>
      </c>
      <c r="H196" s="268" t="s">
        <v>102</v>
      </c>
    </row>
    <row r="197" spans="1:11" hidden="1" outlineLevel="2" x14ac:dyDescent="0.35">
      <c r="A197" s="269" t="s">
        <v>92</v>
      </c>
      <c r="B197" s="270">
        <v>185</v>
      </c>
      <c r="C197" s="271">
        <v>978.31</v>
      </c>
      <c r="D197" s="272">
        <f>C197*B197</f>
        <v>180987.34999999998</v>
      </c>
      <c r="E197" s="422">
        <f>(C197-C186)/C186</f>
        <v>-2.8230012019111451E-2</v>
      </c>
      <c r="F197" s="274">
        <f>D197/D203</f>
        <v>0.68876798537913553</v>
      </c>
      <c r="G197" s="275">
        <v>184</v>
      </c>
      <c r="H197" s="324">
        <v>0.46</v>
      </c>
      <c r="I197" s="423">
        <f>D197-D186</f>
        <v>-5257.7000000000407</v>
      </c>
    </row>
    <row r="198" spans="1:11" hidden="1" outlineLevel="2" x14ac:dyDescent="0.35">
      <c r="A198" s="197" t="s">
        <v>49</v>
      </c>
      <c r="B198" s="289">
        <f>105+127</f>
        <v>232</v>
      </c>
      <c r="C198" s="290">
        <v>149.6</v>
      </c>
      <c r="D198" s="291">
        <f>C198*B198</f>
        <v>34707.199999999997</v>
      </c>
      <c r="E198" s="384">
        <f>(C198-C187)/C187</f>
        <v>4.1492620439988921E-2</v>
      </c>
      <c r="F198" s="266">
        <f>D198/D203</f>
        <v>0.13208220476265736</v>
      </c>
      <c r="G198" s="282">
        <v>48</v>
      </c>
      <c r="H198" s="326">
        <v>2.34</v>
      </c>
      <c r="I198" s="415">
        <f>D198-D187</f>
        <v>1382.7200000000012</v>
      </c>
    </row>
    <row r="199" spans="1:11" hidden="1" outlineLevel="2" x14ac:dyDescent="0.35">
      <c r="A199" s="284" t="s">
        <v>95</v>
      </c>
      <c r="B199" s="285">
        <v>130</v>
      </c>
      <c r="C199" s="286">
        <v>158.03</v>
      </c>
      <c r="D199" s="287">
        <f>C199*B199</f>
        <v>20543.900000000001</v>
      </c>
      <c r="E199" s="296">
        <f>(C199-C188)/C188</f>
        <v>-4.3286112120111429E-2</v>
      </c>
      <c r="F199" s="266">
        <f>D199/D203</f>
        <v>7.8182152591495621E-2</v>
      </c>
      <c r="G199" s="282">
        <v>342</v>
      </c>
      <c r="H199" s="326">
        <v>0.4</v>
      </c>
      <c r="I199" s="424">
        <f>D199-D188</f>
        <v>-929.5</v>
      </c>
    </row>
    <row r="200" spans="1:11" hidden="1" outlineLevel="2" x14ac:dyDescent="0.35">
      <c r="A200" s="401" t="s">
        <v>104</v>
      </c>
      <c r="B200" s="392">
        <v>257</v>
      </c>
      <c r="C200" s="393">
        <v>95.99</v>
      </c>
      <c r="D200" s="394">
        <f>C200*B200</f>
        <v>24669.43</v>
      </c>
      <c r="E200" s="425">
        <f>(C200-C189)/C189</f>
        <v>-1.5083111019905591E-2</v>
      </c>
      <c r="F200" s="266">
        <f>D200/D203</f>
        <v>9.3882327143591029E-2</v>
      </c>
      <c r="G200" s="297">
        <v>44</v>
      </c>
      <c r="H200" s="326">
        <v>0.85</v>
      </c>
      <c r="I200" s="426">
        <f>D200-D189</f>
        <v>-377.78999999999724</v>
      </c>
    </row>
    <row r="201" spans="1:11" ht="16" hidden="1" outlineLevel="2" thickBot="1" x14ac:dyDescent="0.4">
      <c r="A201" s="304" t="s">
        <v>7</v>
      </c>
      <c r="B201" s="285"/>
      <c r="C201" s="286"/>
      <c r="D201" s="287">
        <v>1597.05</v>
      </c>
      <c r="E201" s="305"/>
      <c r="F201" s="117">
        <f>SUM(F198:F200)</f>
        <v>0.30414668449774401</v>
      </c>
      <c r="G201" s="306">
        <f>AVERAGE(G197:G200)</f>
        <v>154.5</v>
      </c>
      <c r="H201" s="330">
        <f>AVERAGE(H197:H200)</f>
        <v>1.0125</v>
      </c>
      <c r="I201" s="427">
        <f>D203-D192</f>
        <v>-5179.4100000000326</v>
      </c>
    </row>
    <row r="202" spans="1:11" ht="16" hidden="1" outlineLevel="2" thickBot="1" x14ac:dyDescent="0.4">
      <c r="A202" s="379" t="s">
        <v>60</v>
      </c>
      <c r="B202" s="380"/>
      <c r="C202" s="381"/>
      <c r="D202" s="382">
        <v>264.76</v>
      </c>
      <c r="E202" s="383"/>
      <c r="G202" s="236"/>
    </row>
    <row r="203" spans="1:11" ht="16" hidden="1" outlineLevel="2" thickBot="1" x14ac:dyDescent="0.4">
      <c r="A203" s="311" t="s">
        <v>62</v>
      </c>
      <c r="B203" s="312"/>
      <c r="C203" s="313"/>
      <c r="D203" s="314">
        <f>SUM(D197:D202)</f>
        <v>262769.69</v>
      </c>
      <c r="E203" s="354">
        <f>D203-D192</f>
        <v>-5179.4100000000326</v>
      </c>
      <c r="F203" s="428">
        <f>(D203-D192)/D192</f>
        <v>-1.9329827941202384E-2</v>
      </c>
      <c r="G203" s="236"/>
      <c r="I203" s="407">
        <f>I192+I201</f>
        <v>49568.890000000014</v>
      </c>
      <c r="J203" s="408" t="s">
        <v>111</v>
      </c>
      <c r="K203" s="409"/>
    </row>
    <row r="204" spans="1:11" ht="16" hidden="1" outlineLevel="2" thickBot="1" x14ac:dyDescent="0.4">
      <c r="I204" s="410">
        <f>I203/8</f>
        <v>6196.1112500000017</v>
      </c>
      <c r="J204" s="411">
        <f>I204*4</f>
        <v>24784.445000000007</v>
      </c>
      <c r="K204" s="412"/>
    </row>
    <row r="205" spans="1:11" hidden="1" outlineLevel="2" x14ac:dyDescent="0.35">
      <c r="A205" s="113" t="s">
        <v>25</v>
      </c>
      <c r="B205" s="248" t="s">
        <v>26</v>
      </c>
      <c r="C205" s="249" t="s">
        <v>27</v>
      </c>
      <c r="D205" s="250">
        <f>D194+7</f>
        <v>42903</v>
      </c>
      <c r="E205" s="321" t="s">
        <v>28</v>
      </c>
      <c r="F205" s="251" t="s">
        <v>101</v>
      </c>
      <c r="G205" s="252">
        <v>17555</v>
      </c>
      <c r="H205" s="253">
        <f>(C206-G205)/G205</f>
        <v>0.21811449729421817</v>
      </c>
    </row>
    <row r="206" spans="1:11" ht="16" hidden="1" outlineLevel="2" thickBot="1" x14ac:dyDescent="0.4">
      <c r="A206" s="254" t="s">
        <v>32</v>
      </c>
      <c r="B206" s="255" t="str">
        <f ca="1">TEXT(TODAY(),"ddd")</f>
        <v>Sun</v>
      </c>
      <c r="C206" s="256">
        <v>21384</v>
      </c>
      <c r="D206" s="322">
        <f>C206-C195</f>
        <v>112</v>
      </c>
      <c r="E206" s="356"/>
      <c r="F206" s="258"/>
      <c r="G206" s="259">
        <v>4766</v>
      </c>
      <c r="H206" s="260">
        <f>(C207-G206)/G206</f>
        <v>0.29060008392782205</v>
      </c>
    </row>
    <row r="207" spans="1:11" hidden="1" outlineLevel="2" x14ac:dyDescent="0.35">
      <c r="A207" s="262" t="s">
        <v>36</v>
      </c>
      <c r="B207" s="263"/>
      <c r="C207" s="419">
        <v>6151</v>
      </c>
      <c r="D207" s="264">
        <f>C207-C196</f>
        <v>-56</v>
      </c>
      <c r="E207" s="421">
        <f>(C207-C196)/C196</f>
        <v>-9.0220718543579832E-3</v>
      </c>
      <c r="F207" s="266" t="s">
        <v>37</v>
      </c>
      <c r="G207" s="267" t="s">
        <v>38</v>
      </c>
      <c r="H207" s="268" t="s">
        <v>102</v>
      </c>
    </row>
    <row r="208" spans="1:11" hidden="1" outlineLevel="2" x14ac:dyDescent="0.35">
      <c r="A208" s="269" t="s">
        <v>92</v>
      </c>
      <c r="B208" s="270">
        <v>175</v>
      </c>
      <c r="C208" s="271">
        <v>987.71</v>
      </c>
      <c r="D208" s="272">
        <f>C208*B208</f>
        <v>172849.25</v>
      </c>
      <c r="E208" s="413">
        <f>(C208-C197)/C197</f>
        <v>9.6084063333709072E-3</v>
      </c>
      <c r="F208" s="274">
        <f>D208/D214</f>
        <v>0.65909583616867806</v>
      </c>
      <c r="G208" s="275">
        <v>184</v>
      </c>
      <c r="H208" s="324">
        <v>0.46</v>
      </c>
      <c r="I208" s="429">
        <f>(D208-D197)+10000</f>
        <v>1861.9000000000233</v>
      </c>
    </row>
    <row r="209" spans="1:12" hidden="1" outlineLevel="2" x14ac:dyDescent="0.35">
      <c r="A209" s="197" t="s">
        <v>49</v>
      </c>
      <c r="B209" s="289">
        <f>105+127+0.2</f>
        <v>232.2</v>
      </c>
      <c r="C209" s="290">
        <v>151.62</v>
      </c>
      <c r="D209" s="291">
        <f>C209*B209</f>
        <v>35206.163999999997</v>
      </c>
      <c r="E209" s="384">
        <f>(C209-C198)/C198</f>
        <v>1.3502673796791513E-2</v>
      </c>
      <c r="F209" s="266">
        <f>D209/D214</f>
        <v>0.13424551220136396</v>
      </c>
      <c r="G209" s="282">
        <v>48</v>
      </c>
      <c r="H209" s="326">
        <v>2.34</v>
      </c>
      <c r="I209" s="430">
        <f>D209-D198</f>
        <v>498.96399999999994</v>
      </c>
    </row>
    <row r="210" spans="1:12" hidden="1" outlineLevel="2" x14ac:dyDescent="0.35">
      <c r="A210" s="284" t="s">
        <v>95</v>
      </c>
      <c r="B210" s="285">
        <v>130</v>
      </c>
      <c r="C210" s="286">
        <v>152.38</v>
      </c>
      <c r="D210" s="287">
        <f>C210*B210</f>
        <v>19809.399999999998</v>
      </c>
      <c r="E210" s="296">
        <f>(C210-C199)/C199</f>
        <v>-3.575270518256031E-2</v>
      </c>
      <c r="F210" s="266">
        <f>D210/D214</f>
        <v>7.5535722931975746E-2</v>
      </c>
      <c r="G210" s="282">
        <v>342</v>
      </c>
      <c r="H210" s="326">
        <v>0.4</v>
      </c>
      <c r="I210" s="431">
        <f>D210-D199</f>
        <v>-734.50000000000364</v>
      </c>
    </row>
    <row r="211" spans="1:12" hidden="1" outlineLevel="2" x14ac:dyDescent="0.35">
      <c r="A211" s="401" t="s">
        <v>104</v>
      </c>
      <c r="B211" s="392">
        <v>257</v>
      </c>
      <c r="C211" s="393">
        <v>96.27</v>
      </c>
      <c r="D211" s="394">
        <f>C211*B211</f>
        <v>24741.39</v>
      </c>
      <c r="E211" s="402">
        <f>(C211-C200)/C200</f>
        <v>2.9169705177622789E-3</v>
      </c>
      <c r="F211" s="266">
        <f>D211/D214</f>
        <v>9.4342018435286057E-2</v>
      </c>
      <c r="G211" s="297">
        <v>44</v>
      </c>
      <c r="H211" s="326">
        <v>0.85</v>
      </c>
      <c r="I211" s="432">
        <f>D211-D200</f>
        <v>71.959999999999127</v>
      </c>
    </row>
    <row r="212" spans="1:12" ht="16" hidden="1" outlineLevel="2" thickBot="1" x14ac:dyDescent="0.4">
      <c r="A212" s="304" t="s">
        <v>7</v>
      </c>
      <c r="B212" s="285"/>
      <c r="C212" s="286"/>
      <c r="D212" s="287">
        <v>1597.37</v>
      </c>
      <c r="E212" s="305"/>
      <c r="F212" s="117">
        <f>SUM(F209:F211)</f>
        <v>0.3041232535686258</v>
      </c>
      <c r="G212" s="306">
        <f>AVERAGE(G208:G211)</f>
        <v>154.5</v>
      </c>
      <c r="H212" s="330">
        <f>AVERAGE(H208:H211)</f>
        <v>1.0125</v>
      </c>
      <c r="I212" s="433">
        <f>D214-D203</f>
        <v>-517.61600000003818</v>
      </c>
    </row>
    <row r="213" spans="1:12" ht="16" hidden="1" outlineLevel="2" thickBot="1" x14ac:dyDescent="0.4">
      <c r="A213" s="379" t="s">
        <v>60</v>
      </c>
      <c r="B213" s="380"/>
      <c r="C213" s="381"/>
      <c r="D213" s="382">
        <v>8048.5</v>
      </c>
      <c r="E213" s="383"/>
      <c r="G213" s="236"/>
    </row>
    <row r="214" spans="1:12" ht="16" hidden="1" outlineLevel="2" thickBot="1" x14ac:dyDescent="0.4">
      <c r="A214" s="311" t="s">
        <v>62</v>
      </c>
      <c r="B214" s="312"/>
      <c r="C214" s="313"/>
      <c r="D214" s="314">
        <f>SUM(D208:D213)</f>
        <v>262252.07399999996</v>
      </c>
      <c r="E214" s="354">
        <f>D214-D203</f>
        <v>-517.61600000003818</v>
      </c>
      <c r="F214" s="374">
        <f>(D214-D203)/D203</f>
        <v>-1.9698466744777075E-3</v>
      </c>
      <c r="G214" s="236"/>
      <c r="I214" s="407">
        <f>E214+I203</f>
        <v>49051.273999999976</v>
      </c>
      <c r="J214" s="408" t="s">
        <v>112</v>
      </c>
      <c r="K214" s="409"/>
    </row>
    <row r="215" spans="1:12" ht="16" hidden="1" outlineLevel="2" thickBot="1" x14ac:dyDescent="0.4">
      <c r="D215" s="169"/>
      <c r="I215" s="410">
        <f>I214/9</f>
        <v>5450.1415555555532</v>
      </c>
      <c r="J215" s="411">
        <f>I215*4</f>
        <v>21800.566222222213</v>
      </c>
      <c r="K215" s="412"/>
    </row>
    <row r="216" spans="1:12" hidden="1" outlineLevel="2" x14ac:dyDescent="0.35">
      <c r="A216" s="113" t="s">
        <v>25</v>
      </c>
      <c r="B216" s="248" t="s">
        <v>26</v>
      </c>
      <c r="C216" s="249" t="s">
        <v>27</v>
      </c>
      <c r="D216" s="250">
        <f>D205+7</f>
        <v>42910</v>
      </c>
      <c r="E216" s="321" t="s">
        <v>28</v>
      </c>
      <c r="F216" s="251" t="s">
        <v>101</v>
      </c>
      <c r="G216" s="252">
        <v>17555</v>
      </c>
      <c r="H216" s="253">
        <f>(C217-G216)/G216</f>
        <v>0.21868413557391056</v>
      </c>
    </row>
    <row r="217" spans="1:12" ht="16" hidden="1" outlineLevel="2" thickBot="1" x14ac:dyDescent="0.4">
      <c r="A217" s="254" t="s">
        <v>32</v>
      </c>
      <c r="B217" s="255" t="str">
        <f ca="1">TEXT(TODAY(),"ddd")</f>
        <v>Sun</v>
      </c>
      <c r="C217" s="256">
        <v>21394</v>
      </c>
      <c r="D217" s="322">
        <f>C217-C206</f>
        <v>10</v>
      </c>
      <c r="E217" s="356"/>
      <c r="F217" s="258"/>
      <c r="G217" s="259">
        <v>4766</v>
      </c>
      <c r="H217" s="260">
        <f>(C218-G217)/G217</f>
        <v>0.31451951321863197</v>
      </c>
    </row>
    <row r="218" spans="1:12" hidden="1" outlineLevel="2" x14ac:dyDescent="0.35">
      <c r="A218" s="262" t="s">
        <v>36</v>
      </c>
      <c r="B218" s="263"/>
      <c r="C218" s="419">
        <v>6265</v>
      </c>
      <c r="D218" s="223">
        <f>C218-C207</f>
        <v>114</v>
      </c>
      <c r="E218" s="420">
        <f>(C218-C207)/C207</f>
        <v>1.8533571776946839E-2</v>
      </c>
      <c r="F218" s="266" t="s">
        <v>37</v>
      </c>
      <c r="G218" s="267" t="s">
        <v>38</v>
      </c>
      <c r="H218" s="268" t="s">
        <v>102</v>
      </c>
      <c r="I218" s="434" t="s">
        <v>113</v>
      </c>
      <c r="J218" s="435"/>
      <c r="K218" s="434"/>
      <c r="L218" s="434"/>
    </row>
    <row r="219" spans="1:12" hidden="1" outlineLevel="2" x14ac:dyDescent="0.35">
      <c r="A219" s="269" t="s">
        <v>92</v>
      </c>
      <c r="B219" s="270">
        <v>175</v>
      </c>
      <c r="C219" s="271">
        <v>1003.74</v>
      </c>
      <c r="D219" s="272">
        <f>C219*B219</f>
        <v>175654.5</v>
      </c>
      <c r="E219" s="413">
        <f>(C219-C208)/C208</f>
        <v>1.6229460064188853E-2</v>
      </c>
      <c r="F219" s="274">
        <f>D219/D225</f>
        <v>0.65901528193463477</v>
      </c>
      <c r="G219" s="275">
        <v>184</v>
      </c>
      <c r="H219" s="324">
        <v>0.46</v>
      </c>
      <c r="I219" s="414">
        <f>D219-D208</f>
        <v>2805.25</v>
      </c>
    </row>
    <row r="220" spans="1:12" hidden="1" outlineLevel="2" x14ac:dyDescent="0.35">
      <c r="A220" s="197" t="s">
        <v>49</v>
      </c>
      <c r="B220" s="289">
        <f>105+127</f>
        <v>232</v>
      </c>
      <c r="C220" s="290">
        <v>153.83000000000001</v>
      </c>
      <c r="D220" s="291">
        <f>C220*B220</f>
        <v>35688.560000000005</v>
      </c>
      <c r="E220" s="384">
        <f>(C220-C209)/C209</f>
        <v>1.4575913467880279E-2</v>
      </c>
      <c r="F220" s="266">
        <f>D220/D225</f>
        <v>0.13389526844026844</v>
      </c>
      <c r="G220" s="282">
        <v>48</v>
      </c>
      <c r="H220" s="326">
        <v>2.34</v>
      </c>
      <c r="I220" s="415">
        <f>D220-D209</f>
        <v>482.39600000000792</v>
      </c>
    </row>
    <row r="221" spans="1:12" hidden="1" outlineLevel="2" x14ac:dyDescent="0.35">
      <c r="A221" s="284" t="s">
        <v>95</v>
      </c>
      <c r="B221" s="285">
        <v>130</v>
      </c>
      <c r="C221" s="286">
        <v>158.02000000000001</v>
      </c>
      <c r="D221" s="287">
        <f>C221*B221</f>
        <v>20542.600000000002</v>
      </c>
      <c r="E221" s="288">
        <f>(C221-C210)/C210</f>
        <v>3.7012731329570905E-2</v>
      </c>
      <c r="F221" s="266">
        <f>D221/D225</f>
        <v>7.7071110223025485E-2</v>
      </c>
      <c r="G221" s="282">
        <v>342</v>
      </c>
      <c r="H221" s="326">
        <v>0.4</v>
      </c>
      <c r="I221" s="416">
        <f>D221-D210</f>
        <v>733.20000000000437</v>
      </c>
    </row>
    <row r="222" spans="1:12" hidden="1" outlineLevel="2" x14ac:dyDescent="0.35">
      <c r="A222" s="401" t="s">
        <v>104</v>
      </c>
      <c r="B222" s="392">
        <v>257</v>
      </c>
      <c r="C222" s="393">
        <v>101.2</v>
      </c>
      <c r="D222" s="394">
        <f>C222*B222</f>
        <v>26008.400000000001</v>
      </c>
      <c r="E222" s="402">
        <f>(C222-C211)/C211</f>
        <v>5.1210138153111116E-2</v>
      </c>
      <c r="F222" s="266">
        <f>D222/D225</f>
        <v>9.7577534641405464E-2</v>
      </c>
      <c r="G222" s="297">
        <v>44</v>
      </c>
      <c r="H222" s="326">
        <v>0.85</v>
      </c>
      <c r="I222" s="417">
        <f>D222-D211</f>
        <v>1267.010000000002</v>
      </c>
    </row>
    <row r="223" spans="1:12" ht="16" hidden="1" outlineLevel="2" thickBot="1" x14ac:dyDescent="0.4">
      <c r="A223" s="304" t="s">
        <v>7</v>
      </c>
      <c r="B223" s="285"/>
      <c r="C223" s="286"/>
      <c r="D223" s="287">
        <v>1598.3</v>
      </c>
      <c r="E223" s="305"/>
      <c r="F223" s="117">
        <f>SUM(F220:F222)</f>
        <v>0.30854391330469938</v>
      </c>
      <c r="G223" s="306">
        <f>AVERAGE(G219:G222)</f>
        <v>154.5</v>
      </c>
      <c r="H223" s="330">
        <f>AVERAGE(H219:H222)</f>
        <v>1.0125</v>
      </c>
      <c r="I223" s="418">
        <f>D225-D214</f>
        <v>4288.7860000000219</v>
      </c>
    </row>
    <row r="224" spans="1:12" ht="16" hidden="1" outlineLevel="2" thickBot="1" x14ac:dyDescent="0.4">
      <c r="A224" s="379" t="s">
        <v>60</v>
      </c>
      <c r="B224" s="380"/>
      <c r="C224" s="381"/>
      <c r="D224" s="382">
        <v>7048.5</v>
      </c>
      <c r="E224" s="383"/>
      <c r="G224" s="236"/>
    </row>
    <row r="225" spans="1:11" ht="16" hidden="1" outlineLevel="2" thickBot="1" x14ac:dyDescent="0.4">
      <c r="A225" s="311" t="s">
        <v>62</v>
      </c>
      <c r="B225" s="312"/>
      <c r="C225" s="313"/>
      <c r="D225" s="314">
        <f>SUM(D219:D224)</f>
        <v>266540.86</v>
      </c>
      <c r="E225" s="332">
        <f>D225-D214</f>
        <v>4288.7860000000219</v>
      </c>
      <c r="F225" s="374">
        <f>(D225-D214)/D214</f>
        <v>1.6353678102847043E-2</v>
      </c>
      <c r="G225" s="236"/>
      <c r="I225" s="407">
        <f>I214+E225</f>
        <v>53340.06</v>
      </c>
      <c r="J225" s="408" t="s">
        <v>114</v>
      </c>
      <c r="K225" s="409"/>
    </row>
    <row r="226" spans="1:11" ht="16" hidden="1" outlineLevel="2" thickBot="1" x14ac:dyDescent="0.4">
      <c r="I226" s="410">
        <f>I225/10</f>
        <v>5334.0059999999994</v>
      </c>
      <c r="J226" s="411">
        <f>I226*4</f>
        <v>21336.023999999998</v>
      </c>
      <c r="K226" s="412"/>
    </row>
    <row r="227" spans="1:11" hidden="1" outlineLevel="2" x14ac:dyDescent="0.35">
      <c r="A227" s="113" t="s">
        <v>25</v>
      </c>
      <c r="B227" s="248" t="s">
        <v>26</v>
      </c>
      <c r="C227" s="249" t="s">
        <v>27</v>
      </c>
      <c r="D227" s="250">
        <f>D216+7</f>
        <v>42917</v>
      </c>
      <c r="E227" s="321" t="s">
        <v>28</v>
      </c>
      <c r="F227" s="251" t="s">
        <v>101</v>
      </c>
      <c r="G227" s="252">
        <v>17555</v>
      </c>
      <c r="H227" s="253">
        <f>(C228-G227)/G227</f>
        <v>0.21617772714326403</v>
      </c>
    </row>
    <row r="228" spans="1:11" ht="16" hidden="1" outlineLevel="2" thickBot="1" x14ac:dyDescent="0.4">
      <c r="A228" s="254" t="s">
        <v>32</v>
      </c>
      <c r="B228" s="255" t="str">
        <f ca="1">TEXT(TODAY(),"ddd")</f>
        <v>Sun</v>
      </c>
      <c r="C228" s="256">
        <v>21350</v>
      </c>
      <c r="D228" s="257">
        <f>C228-C217</f>
        <v>-44</v>
      </c>
      <c r="E228" s="356"/>
      <c r="F228" s="258"/>
      <c r="G228" s="259">
        <v>4766</v>
      </c>
      <c r="H228" s="260">
        <f>(C229-G228)/G228</f>
        <v>0.2882920688208141</v>
      </c>
    </row>
    <row r="229" spans="1:11" hidden="1" outlineLevel="2" x14ac:dyDescent="0.35">
      <c r="A229" s="262" t="s">
        <v>36</v>
      </c>
      <c r="B229" s="263"/>
      <c r="C229" s="419">
        <v>6140</v>
      </c>
      <c r="D229" s="264">
        <f>C229-C218</f>
        <v>-125</v>
      </c>
      <c r="E229" s="421">
        <f>(C229-C218)/C218</f>
        <v>-1.9952114924181964E-2</v>
      </c>
      <c r="F229" s="266" t="s">
        <v>37</v>
      </c>
      <c r="G229" s="267" t="s">
        <v>38</v>
      </c>
      <c r="H229" s="268" t="s">
        <v>102</v>
      </c>
    </row>
    <row r="230" spans="1:11" hidden="1" outlineLevel="2" x14ac:dyDescent="0.35">
      <c r="A230" s="269" t="s">
        <v>92</v>
      </c>
      <c r="B230" s="270">
        <v>175</v>
      </c>
      <c r="C230" s="271">
        <v>968</v>
      </c>
      <c r="D230" s="272">
        <f>C230*B230</f>
        <v>169400</v>
      </c>
      <c r="E230" s="422">
        <f>(C230-C219)/C219</f>
        <v>-3.5606830454101672E-2</v>
      </c>
      <c r="F230" s="365">
        <f>D230/D236</f>
        <v>0.67055145811493744</v>
      </c>
      <c r="G230" s="275">
        <v>182</v>
      </c>
      <c r="H230" s="324">
        <v>0.46</v>
      </c>
      <c r="I230" s="423">
        <f>D230-D219</f>
        <v>-6254.5</v>
      </c>
    </row>
    <row r="231" spans="1:11" hidden="1" outlineLevel="2" x14ac:dyDescent="0.35">
      <c r="A231" s="197" t="s">
        <v>49</v>
      </c>
      <c r="B231" s="289">
        <f>105+127</f>
        <v>232</v>
      </c>
      <c r="C231" s="290">
        <v>144.56</v>
      </c>
      <c r="D231" s="291">
        <f>C231*B231</f>
        <v>33537.919999999998</v>
      </c>
      <c r="E231" s="436">
        <f>(C231-C220)/C220</f>
        <v>-6.0261327439381195E-2</v>
      </c>
      <c r="F231" s="367">
        <f>D231/D236</f>
        <v>0.13275620518383777</v>
      </c>
      <c r="G231" s="282">
        <v>48</v>
      </c>
      <c r="H231" s="326">
        <v>2.34</v>
      </c>
      <c r="I231" s="437">
        <f>D231-D220</f>
        <v>-2150.6400000000067</v>
      </c>
    </row>
    <row r="232" spans="1:11" hidden="1" outlineLevel="2" x14ac:dyDescent="0.35">
      <c r="A232" s="284" t="s">
        <v>95</v>
      </c>
      <c r="B232" s="285">
        <v>130</v>
      </c>
      <c r="C232" s="286">
        <v>149.41</v>
      </c>
      <c r="D232" s="287">
        <f>C232*B232</f>
        <v>19423.3</v>
      </c>
      <c r="E232" s="296">
        <f>(C232-C221)/C221</f>
        <v>-5.4486773826098046E-2</v>
      </c>
      <c r="F232" s="367">
        <f>D232/D236</f>
        <v>7.6885018514780773E-2</v>
      </c>
      <c r="G232" s="282">
        <v>193</v>
      </c>
      <c r="H232" s="326">
        <v>0.4</v>
      </c>
      <c r="I232" s="424">
        <f>D232-D221</f>
        <v>-1119.3000000000029</v>
      </c>
    </row>
    <row r="233" spans="1:11" hidden="1" outlineLevel="2" x14ac:dyDescent="0.35">
      <c r="A233" s="401" t="s">
        <v>104</v>
      </c>
      <c r="B233" s="392">
        <v>257</v>
      </c>
      <c r="C233" s="393">
        <v>84.14</v>
      </c>
      <c r="D233" s="394">
        <f>C233*B233</f>
        <v>21623.98</v>
      </c>
      <c r="E233" s="438">
        <f>(C233-C222)/C222</f>
        <v>-0.16857707509881426</v>
      </c>
      <c r="F233" s="367">
        <f>D233/D236</f>
        <v>8.5596170715751138E-2</v>
      </c>
      <c r="G233" s="297">
        <v>44</v>
      </c>
      <c r="H233" s="326">
        <v>0.85</v>
      </c>
      <c r="I233" s="439">
        <f>D233-D222</f>
        <v>-4384.4200000000019</v>
      </c>
      <c r="J233" s="334" t="s">
        <v>115</v>
      </c>
    </row>
    <row r="234" spans="1:11" ht="16" hidden="1" outlineLevel="2" thickBot="1" x14ac:dyDescent="0.4">
      <c r="A234" s="304" t="s">
        <v>7</v>
      </c>
      <c r="B234" s="285"/>
      <c r="C234" s="286"/>
      <c r="D234" s="287">
        <v>1594.19</v>
      </c>
      <c r="E234" s="305"/>
      <c r="F234" s="440">
        <f>SUM(F231:F233)</f>
        <v>0.29523739441436969</v>
      </c>
      <c r="G234" s="441">
        <f>AVERAGE(G230:G233)</f>
        <v>116.75</v>
      </c>
      <c r="H234" s="330">
        <f>AVERAGE(H230:H233)</f>
        <v>1.0125</v>
      </c>
      <c r="I234" s="442">
        <f>D236-D225</f>
        <v>-13912.970000000001</v>
      </c>
      <c r="J234" s="443">
        <f>D236-D181</f>
        <v>-12432.890000000043</v>
      </c>
    </row>
    <row r="235" spans="1:11" ht="16" hidden="1" outlineLevel="2" thickBot="1" x14ac:dyDescent="0.4">
      <c r="A235" s="379" t="s">
        <v>60</v>
      </c>
      <c r="B235" s="380"/>
      <c r="C235" s="381"/>
      <c r="D235" s="382">
        <v>7048.5</v>
      </c>
      <c r="E235" s="383"/>
      <c r="G235" s="444" t="s">
        <v>116</v>
      </c>
    </row>
    <row r="236" spans="1:11" ht="16" hidden="1" outlineLevel="2" thickBot="1" x14ac:dyDescent="0.4">
      <c r="A236" s="311" t="s">
        <v>62</v>
      </c>
      <c r="B236" s="312"/>
      <c r="C236" s="313"/>
      <c r="D236" s="314">
        <f>SUM(D230:D235)</f>
        <v>252627.88999999998</v>
      </c>
      <c r="E236" s="354">
        <f>D236-D225</f>
        <v>-13912.970000000001</v>
      </c>
      <c r="F236" s="428">
        <f>(D236-D225)/D225</f>
        <v>-5.2198263335685197E-2</v>
      </c>
      <c r="G236" s="445">
        <v>0.33</v>
      </c>
      <c r="I236" s="407">
        <f>I225+E236</f>
        <v>39427.089999999997</v>
      </c>
      <c r="J236" s="408" t="s">
        <v>117</v>
      </c>
      <c r="K236" s="409"/>
    </row>
    <row r="237" spans="1:11" ht="16" hidden="1" outlineLevel="2" thickBot="1" x14ac:dyDescent="0.4">
      <c r="I237" s="410">
        <f>I236/11</f>
        <v>3584.2809090909086</v>
      </c>
      <c r="J237" s="411">
        <f>I237*4</f>
        <v>14337.123636363634</v>
      </c>
      <c r="K237" s="412"/>
    </row>
    <row r="238" spans="1:11" hidden="1" outlineLevel="2" x14ac:dyDescent="0.35">
      <c r="A238" s="113" t="s">
        <v>25</v>
      </c>
      <c r="B238" s="248" t="s">
        <v>26</v>
      </c>
      <c r="C238" s="249" t="s">
        <v>27</v>
      </c>
      <c r="D238" s="250">
        <f>D227+7</f>
        <v>42924</v>
      </c>
      <c r="E238" s="321" t="s">
        <v>28</v>
      </c>
      <c r="F238" s="251" t="s">
        <v>101</v>
      </c>
      <c r="G238" s="252">
        <v>17555</v>
      </c>
      <c r="H238" s="253">
        <f>(C239-G238)/G238</f>
        <v>0.21982341213329537</v>
      </c>
    </row>
    <row r="239" spans="1:11" ht="16" hidden="1" outlineLevel="2" thickBot="1" x14ac:dyDescent="0.4">
      <c r="A239" s="446" t="s">
        <v>32</v>
      </c>
      <c r="B239" s="447" t="str">
        <f ca="1">TEXT(TODAY(),"ddd")</f>
        <v>Sun</v>
      </c>
      <c r="C239" s="448">
        <v>21414</v>
      </c>
      <c r="D239" s="449">
        <f>C239-C228</f>
        <v>64</v>
      </c>
      <c r="E239" s="450"/>
      <c r="F239" s="451"/>
      <c r="G239" s="259">
        <v>4766</v>
      </c>
      <c r="H239" s="260">
        <f>(C240-G239)/G239</f>
        <v>0.29101972303818718</v>
      </c>
    </row>
    <row r="240" spans="1:11" ht="16" hidden="1" outlineLevel="2" thickBot="1" x14ac:dyDescent="0.4">
      <c r="A240" s="452" t="s">
        <v>36</v>
      </c>
      <c r="B240" s="453"/>
      <c r="C240" s="454">
        <v>6153</v>
      </c>
      <c r="D240" s="455">
        <f>C240-C229</f>
        <v>13</v>
      </c>
      <c r="E240" s="456">
        <f>(C240-C229)/C229</f>
        <v>2.1172638436482085E-3</v>
      </c>
      <c r="F240" s="457" t="s">
        <v>37</v>
      </c>
      <c r="G240" s="267" t="s">
        <v>38</v>
      </c>
      <c r="H240" s="268" t="s">
        <v>102</v>
      </c>
    </row>
    <row r="241" spans="1:12" hidden="1" outlineLevel="2" x14ac:dyDescent="0.35">
      <c r="A241" s="458" t="s">
        <v>92</v>
      </c>
      <c r="B241" s="459">
        <v>175</v>
      </c>
      <c r="C241" s="460">
        <v>978.76</v>
      </c>
      <c r="D241" s="461">
        <f>C241*B241</f>
        <v>171283</v>
      </c>
      <c r="E241" s="462">
        <f>(C241-C230)/C230</f>
        <v>1.1115702479338834E-2</v>
      </c>
      <c r="F241" s="365">
        <f>D241/D247</f>
        <v>0.67164841098290307</v>
      </c>
      <c r="G241" s="275">
        <v>184</v>
      </c>
      <c r="H241" s="324">
        <v>0.46</v>
      </c>
      <c r="I241" s="463">
        <f>D241-D230</f>
        <v>1883</v>
      </c>
      <c r="J241" s="464"/>
      <c r="K241" s="465"/>
      <c r="L241" s="466"/>
    </row>
    <row r="242" spans="1:12" hidden="1" outlineLevel="2" x14ac:dyDescent="0.35">
      <c r="A242" s="197" t="s">
        <v>49</v>
      </c>
      <c r="B242" s="289">
        <f>105+127+0.2</f>
        <v>232.2</v>
      </c>
      <c r="C242" s="290">
        <v>146.76</v>
      </c>
      <c r="D242" s="291">
        <f>C242*B242</f>
        <v>34077.671999999999</v>
      </c>
      <c r="E242" s="384">
        <f>(C242-C231)/C231</f>
        <v>1.5218594355284923E-2</v>
      </c>
      <c r="F242" s="367">
        <f>D242/D247</f>
        <v>0.13362805560853422</v>
      </c>
      <c r="G242" s="282">
        <v>48</v>
      </c>
      <c r="H242" s="326">
        <v>2.34</v>
      </c>
      <c r="I242" s="467">
        <f>D242-D231</f>
        <v>539.75200000000041</v>
      </c>
      <c r="J242" s="464"/>
      <c r="K242" s="465"/>
      <c r="L242" s="466"/>
    </row>
    <row r="243" spans="1:12" ht="16" hidden="1" outlineLevel="2" thickBot="1" x14ac:dyDescent="0.4">
      <c r="A243" s="284" t="s">
        <v>95</v>
      </c>
      <c r="B243" s="285">
        <v>130</v>
      </c>
      <c r="C243" s="286">
        <v>150.18</v>
      </c>
      <c r="D243" s="287">
        <f>C243*B243</f>
        <v>19523.400000000001</v>
      </c>
      <c r="E243" s="288">
        <f>(C243-C232)/C232</f>
        <v>5.1536041764273493E-3</v>
      </c>
      <c r="F243" s="367">
        <f>D243/D247</f>
        <v>7.6556696151886705E-2</v>
      </c>
      <c r="G243" s="282">
        <v>342</v>
      </c>
      <c r="H243" s="326">
        <v>0.4</v>
      </c>
      <c r="I243" s="468">
        <f>D243-D232</f>
        <v>100.10000000000218</v>
      </c>
      <c r="J243" s="469"/>
      <c r="K243" s="470"/>
      <c r="L243" s="471"/>
    </row>
    <row r="244" spans="1:12" ht="16" hidden="1" outlineLevel="2" thickBot="1" x14ac:dyDescent="0.4">
      <c r="A244" s="401" t="s">
        <v>104</v>
      </c>
      <c r="B244" s="392">
        <v>257</v>
      </c>
      <c r="C244" s="393">
        <v>83.65</v>
      </c>
      <c r="D244" s="389">
        <f>C244*B244</f>
        <v>21498.050000000003</v>
      </c>
      <c r="E244" s="438">
        <f>(C244-C233)/C233</f>
        <v>-5.8236272878535167E-3</v>
      </c>
      <c r="F244" s="472">
        <f>D244/D247</f>
        <v>8.4299849498963714E-2</v>
      </c>
      <c r="G244" s="297">
        <v>44</v>
      </c>
      <c r="H244" s="326">
        <v>0.85</v>
      </c>
      <c r="I244" s="439">
        <f>D244-D233</f>
        <v>-125.92999999999665</v>
      </c>
      <c r="J244" s="473" t="s">
        <v>118</v>
      </c>
      <c r="K244" s="474"/>
      <c r="L244" s="475"/>
    </row>
    <row r="245" spans="1:12" ht="16" hidden="1" outlineLevel="2" thickBot="1" x14ac:dyDescent="0.4">
      <c r="A245" s="304" t="s">
        <v>7</v>
      </c>
      <c r="B245" s="285"/>
      <c r="C245" s="476"/>
      <c r="D245" s="477">
        <v>1588.18</v>
      </c>
      <c r="E245" s="305"/>
      <c r="F245" s="440">
        <f>SUM(F242:F244)</f>
        <v>0.29448460125938464</v>
      </c>
      <c r="G245" s="306">
        <f>AVERAGE(G241:G244)</f>
        <v>154.5</v>
      </c>
      <c r="H245" s="330">
        <f>AVERAGE(H241:H244)</f>
        <v>1.0125</v>
      </c>
      <c r="I245" s="418">
        <f>D247-D236</f>
        <v>2390.9519999999902</v>
      </c>
    </row>
    <row r="246" spans="1:12" ht="16" hidden="1" outlineLevel="2" thickBot="1" x14ac:dyDescent="0.4">
      <c r="A246" s="379" t="s">
        <v>60</v>
      </c>
      <c r="B246" s="380"/>
      <c r="C246" s="381"/>
      <c r="D246" s="382">
        <v>7048.54</v>
      </c>
      <c r="E246" s="383"/>
      <c r="G246" s="236"/>
    </row>
    <row r="247" spans="1:12" ht="16" hidden="1" outlineLevel="2" thickBot="1" x14ac:dyDescent="0.4">
      <c r="A247" s="311" t="s">
        <v>62</v>
      </c>
      <c r="B247" s="312"/>
      <c r="C247" s="313"/>
      <c r="D247" s="314">
        <f>SUM(D241:D246)</f>
        <v>255018.84199999998</v>
      </c>
      <c r="E247" s="332">
        <f>D247-D236</f>
        <v>2390.9519999999902</v>
      </c>
      <c r="F247" s="374">
        <f>(D247-D236)/D236</f>
        <v>9.4643231988360051E-3</v>
      </c>
      <c r="G247" s="236"/>
      <c r="I247" s="407">
        <f>I236+E247</f>
        <v>41818.041999999987</v>
      </c>
      <c r="J247" s="408" t="s">
        <v>119</v>
      </c>
      <c r="K247" s="409"/>
    </row>
    <row r="248" spans="1:12" ht="16" hidden="1" outlineLevel="2" thickBot="1" x14ac:dyDescent="0.4">
      <c r="I248" s="410">
        <f>I247/12</f>
        <v>3484.8368333333324</v>
      </c>
      <c r="J248" s="411">
        <f>I248*4</f>
        <v>13939.34733333333</v>
      </c>
      <c r="K248" s="478"/>
    </row>
    <row r="249" spans="1:12" hidden="1" outlineLevel="2" x14ac:dyDescent="0.35">
      <c r="A249" s="113" t="s">
        <v>25</v>
      </c>
      <c r="B249" s="248" t="s">
        <v>26</v>
      </c>
      <c r="C249" s="249" t="s">
        <v>27</v>
      </c>
      <c r="D249" s="250">
        <f>D238+7</f>
        <v>42931</v>
      </c>
      <c r="E249" s="321" t="s">
        <v>28</v>
      </c>
      <c r="F249" s="251" t="s">
        <v>101</v>
      </c>
      <c r="G249" s="252">
        <v>17555</v>
      </c>
      <c r="H249" s="253">
        <f>(C250-G249)/G249</f>
        <v>0.23258330959840501</v>
      </c>
    </row>
    <row r="250" spans="1:12" ht="16" hidden="1" outlineLevel="2" thickBot="1" x14ac:dyDescent="0.4">
      <c r="A250" s="479" t="s">
        <v>32</v>
      </c>
      <c r="B250" s="480" t="str">
        <f ca="1">TEXT(TODAY(),"ddd")</f>
        <v>Sun</v>
      </c>
      <c r="C250" s="448">
        <v>21638</v>
      </c>
      <c r="D250" s="449">
        <f>C250-C239</f>
        <v>224</v>
      </c>
      <c r="E250" s="450"/>
      <c r="F250" s="451"/>
      <c r="G250" s="259">
        <v>4766</v>
      </c>
      <c r="H250" s="260">
        <f>(C251-G250)/G250</f>
        <v>0.32438103231221149</v>
      </c>
    </row>
    <row r="251" spans="1:12" hidden="1" outlineLevel="2" x14ac:dyDescent="0.35">
      <c r="A251" s="183" t="s">
        <v>36</v>
      </c>
      <c r="B251" s="481"/>
      <c r="C251" s="419">
        <v>6312</v>
      </c>
      <c r="D251" s="223">
        <f>C251-C240</f>
        <v>159</v>
      </c>
      <c r="E251" s="482">
        <f>(C251-C240)/C240</f>
        <v>2.5841053144807412E-2</v>
      </c>
      <c r="F251" s="457" t="s">
        <v>37</v>
      </c>
      <c r="G251" s="267" t="s">
        <v>38</v>
      </c>
      <c r="H251" s="268" t="s">
        <v>102</v>
      </c>
      <c r="I251" s="483" t="s">
        <v>120</v>
      </c>
      <c r="J251" s="484"/>
      <c r="K251" s="483"/>
      <c r="L251" s="483"/>
    </row>
    <row r="252" spans="1:12" hidden="1" outlineLevel="2" x14ac:dyDescent="0.35">
      <c r="A252" s="269" t="s">
        <v>92</v>
      </c>
      <c r="B252" s="485">
        <v>175</v>
      </c>
      <c r="C252" s="271">
        <v>1001.81</v>
      </c>
      <c r="D252" s="272">
        <f>C252*B252</f>
        <v>175316.75</v>
      </c>
      <c r="E252" s="486">
        <f>(C252-C241)/C241</f>
        <v>2.355020638358735E-2</v>
      </c>
      <c r="F252" s="487">
        <f>D252/D258</f>
        <v>0.66479186526058121</v>
      </c>
      <c r="G252" s="275">
        <v>184</v>
      </c>
      <c r="H252" s="488">
        <v>0.46</v>
      </c>
      <c r="I252" s="489">
        <f>D252-D241</f>
        <v>4033.75</v>
      </c>
    </row>
    <row r="253" spans="1:12" hidden="1" outlineLevel="2" x14ac:dyDescent="0.35">
      <c r="A253" s="197" t="s">
        <v>49</v>
      </c>
      <c r="B253" s="490">
        <v>367.20400000000001</v>
      </c>
      <c r="C253" s="290">
        <v>164.95</v>
      </c>
      <c r="D253" s="291">
        <f>C253*B253</f>
        <v>60570.299800000001</v>
      </c>
      <c r="E253" s="491">
        <f>(C253-C242)/C242</f>
        <v>0.12394385391114744</v>
      </c>
      <c r="F253" s="457">
        <f>D253/D258</f>
        <v>0.22967938079752567</v>
      </c>
      <c r="G253" s="282">
        <v>48</v>
      </c>
      <c r="H253" s="492">
        <v>2.34</v>
      </c>
      <c r="I253" s="493">
        <f>D253-D242</f>
        <v>26492.627800000002</v>
      </c>
    </row>
    <row r="254" spans="1:12" hidden="1" outlineLevel="2" x14ac:dyDescent="0.35">
      <c r="A254" s="284" t="s">
        <v>95</v>
      </c>
      <c r="B254" s="494">
        <v>130</v>
      </c>
      <c r="C254" s="286">
        <v>161.12</v>
      </c>
      <c r="D254" s="287">
        <f>C254*B254</f>
        <v>20945.600000000002</v>
      </c>
      <c r="E254" s="495">
        <f>(C254-C243)/C243</f>
        <v>7.2845918231455573E-2</v>
      </c>
      <c r="F254" s="457">
        <f>D254/D258</f>
        <v>7.9424609987363046E-2</v>
      </c>
      <c r="G254" s="282">
        <v>342</v>
      </c>
      <c r="H254" s="492">
        <v>0.4</v>
      </c>
      <c r="I254" s="496">
        <f>D254-D243</f>
        <v>1422.2000000000007</v>
      </c>
    </row>
    <row r="255" spans="1:12" ht="16" hidden="1" outlineLevel="2" thickBot="1" x14ac:dyDescent="0.4">
      <c r="A255" s="497" t="s">
        <v>96</v>
      </c>
      <c r="B255" s="494">
        <v>3</v>
      </c>
      <c r="C255" s="286">
        <v>951.75</v>
      </c>
      <c r="D255" s="287">
        <f>B255*C255</f>
        <v>2855.25</v>
      </c>
      <c r="E255" s="495"/>
      <c r="F255" s="457">
        <f>D255/D258</f>
        <v>1.0826957340272817E-2</v>
      </c>
      <c r="G255" s="282">
        <v>47</v>
      </c>
      <c r="H255" s="498">
        <v>0.13400000000000001</v>
      </c>
      <c r="I255" s="496"/>
    </row>
    <row r="256" spans="1:12" ht="16" hidden="1" outlineLevel="2" thickBot="1" x14ac:dyDescent="0.4">
      <c r="A256" s="391" t="s">
        <v>7</v>
      </c>
      <c r="B256" s="499"/>
      <c r="C256" s="393"/>
      <c r="D256" s="394">
        <v>1608.83</v>
      </c>
      <c r="E256" s="500"/>
      <c r="F256" s="117">
        <f>SUM(F253:F254)</f>
        <v>0.3091039907848887</v>
      </c>
      <c r="G256" s="306"/>
      <c r="H256" s="501">
        <f>AVERAGE(H252:H255)</f>
        <v>0.83349999999999991</v>
      </c>
      <c r="I256" s="502">
        <f>D258-D247</f>
        <v>8697.9078000000154</v>
      </c>
    </row>
    <row r="257" spans="1:11" ht="16" hidden="1" outlineLevel="2" thickBot="1" x14ac:dyDescent="0.4">
      <c r="A257" s="342" t="s">
        <v>60</v>
      </c>
      <c r="B257" s="503"/>
      <c r="C257" s="351"/>
      <c r="D257" s="352">
        <f>D246-2000-3000+371.48</f>
        <v>2420.02</v>
      </c>
      <c r="E257" s="504"/>
      <c r="G257" s="236"/>
    </row>
    <row r="258" spans="1:11" ht="16" hidden="1" outlineLevel="2" thickBot="1" x14ac:dyDescent="0.4">
      <c r="A258" s="505" t="s">
        <v>62</v>
      </c>
      <c r="B258" s="506"/>
      <c r="C258" s="507"/>
      <c r="D258" s="508">
        <f>SUM(D252:D257)</f>
        <v>263716.74979999999</v>
      </c>
      <c r="E258" s="509">
        <f>D258-D247</f>
        <v>8697.9078000000154</v>
      </c>
      <c r="F258" s="374">
        <f>(D258-D247)/D247</f>
        <v>3.4106922185773304E-2</v>
      </c>
      <c r="G258" s="236"/>
      <c r="I258" s="407">
        <f>I247+E258</f>
        <v>50515.949800000002</v>
      </c>
      <c r="J258" s="408" t="s">
        <v>121</v>
      </c>
      <c r="K258" s="409"/>
    </row>
    <row r="259" spans="1:11" ht="16" hidden="1" outlineLevel="2" thickBot="1" x14ac:dyDescent="0.4">
      <c r="I259" s="410">
        <f>I258/13</f>
        <v>3885.8422923076923</v>
      </c>
      <c r="J259" s="411">
        <f>I259*4</f>
        <v>15543.369169230769</v>
      </c>
      <c r="K259" s="478"/>
    </row>
    <row r="260" spans="1:11" hidden="1" outlineLevel="2" x14ac:dyDescent="0.35">
      <c r="A260" s="113" t="s">
        <v>25</v>
      </c>
      <c r="B260" s="248" t="s">
        <v>26</v>
      </c>
      <c r="C260" s="249" t="s">
        <v>27</v>
      </c>
      <c r="D260" s="250">
        <f>D249+7</f>
        <v>42938</v>
      </c>
      <c r="E260" s="510" t="s">
        <v>28</v>
      </c>
      <c r="F260" s="511" t="s">
        <v>101</v>
      </c>
      <c r="G260" s="252">
        <v>17555</v>
      </c>
      <c r="H260" s="253">
        <f>(C261-G260)/G260</f>
        <v>0.22927940757618911</v>
      </c>
    </row>
    <row r="261" spans="1:11" ht="16" hidden="1" outlineLevel="2" thickBot="1" x14ac:dyDescent="0.4">
      <c r="A261" s="254" t="s">
        <v>32</v>
      </c>
      <c r="B261" s="255" t="str">
        <f ca="1">TEXT(TODAY(),"ddd")</f>
        <v>Sun</v>
      </c>
      <c r="C261" s="256">
        <v>21580</v>
      </c>
      <c r="D261" s="322">
        <f>C261-C250</f>
        <v>-58</v>
      </c>
      <c r="E261" s="512"/>
      <c r="F261" s="451"/>
      <c r="G261" s="259">
        <v>4766</v>
      </c>
      <c r="H261" s="260">
        <f>(C262-G261)/G261</f>
        <v>0.34011749895090221</v>
      </c>
    </row>
    <row r="262" spans="1:11" hidden="1" outlineLevel="2" x14ac:dyDescent="0.35">
      <c r="A262" s="262" t="s">
        <v>36</v>
      </c>
      <c r="B262" s="263"/>
      <c r="C262" s="419">
        <v>6387</v>
      </c>
      <c r="D262" s="223">
        <f>C262-C251</f>
        <v>75</v>
      </c>
      <c r="E262" s="513">
        <f>(C262-C251)/C251</f>
        <v>1.1882129277566539E-2</v>
      </c>
      <c r="F262" s="457" t="s">
        <v>37</v>
      </c>
      <c r="G262" s="267" t="s">
        <v>38</v>
      </c>
      <c r="H262" s="268" t="s">
        <v>102</v>
      </c>
      <c r="I262" s="483" t="s">
        <v>120</v>
      </c>
    </row>
    <row r="263" spans="1:11" hidden="1" outlineLevel="2" x14ac:dyDescent="0.35">
      <c r="A263" s="269" t="s">
        <v>92</v>
      </c>
      <c r="B263" s="270">
        <v>175</v>
      </c>
      <c r="C263" s="271">
        <v>1025.67</v>
      </c>
      <c r="D263" s="514">
        <f>C263*B263</f>
        <v>179492.25</v>
      </c>
      <c r="E263" s="515">
        <f>(C263-C252)/C252</f>
        <v>2.381689142651813E-2</v>
      </c>
      <c r="F263" s="487">
        <f>D263/D269</f>
        <v>0.66148283146646913</v>
      </c>
      <c r="G263" s="516">
        <v>184</v>
      </c>
      <c r="H263" s="517">
        <v>0.46</v>
      </c>
      <c r="I263" s="518">
        <f>D263-D252</f>
        <v>4175.5</v>
      </c>
    </row>
    <row r="264" spans="1:11" hidden="1" outlineLevel="2" x14ac:dyDescent="0.35">
      <c r="A264" s="197" t="s">
        <v>49</v>
      </c>
      <c r="B264" s="289">
        <v>367.20400000000001</v>
      </c>
      <c r="C264" s="290">
        <v>168.1</v>
      </c>
      <c r="D264" s="195">
        <f>C264*B264</f>
        <v>61726.992400000003</v>
      </c>
      <c r="E264" s="519">
        <f>(C264-C253)/C253</f>
        <v>1.9096695968475332E-2</v>
      </c>
      <c r="F264" s="457">
        <f>D264/D269</f>
        <v>0.22748249972163823</v>
      </c>
      <c r="G264" s="520">
        <v>48</v>
      </c>
      <c r="H264" s="521">
        <v>2.34</v>
      </c>
      <c r="I264" s="399">
        <f>D264-D253</f>
        <v>1156.6926000000021</v>
      </c>
    </row>
    <row r="265" spans="1:11" hidden="1" outlineLevel="2" x14ac:dyDescent="0.35">
      <c r="A265" s="284" t="s">
        <v>95</v>
      </c>
      <c r="B265" s="285">
        <v>130</v>
      </c>
      <c r="C265" s="286">
        <v>188.54</v>
      </c>
      <c r="D265" s="190">
        <f>C265*B265</f>
        <v>24510.2</v>
      </c>
      <c r="E265" s="522">
        <f>(C265-C254)/C254</f>
        <v>0.17018371400198601</v>
      </c>
      <c r="F265" s="457">
        <f>D265/D269</f>
        <v>9.0327445869163997E-2</v>
      </c>
      <c r="G265" s="520">
        <v>342</v>
      </c>
      <c r="H265" s="521">
        <v>0.4</v>
      </c>
      <c r="I265" s="523">
        <f>D265-D254</f>
        <v>3564.5999999999985</v>
      </c>
    </row>
    <row r="266" spans="1:11" ht="16" hidden="1" outlineLevel="2" thickBot="1" x14ac:dyDescent="0.4">
      <c r="A266" s="524" t="s">
        <v>104</v>
      </c>
      <c r="B266" s="392"/>
      <c r="C266" s="393"/>
      <c r="D266" s="525">
        <f>C266*B266</f>
        <v>0</v>
      </c>
      <c r="E266" s="526"/>
      <c r="F266" s="457">
        <f>D266/D269</f>
        <v>0</v>
      </c>
      <c r="G266" s="527"/>
      <c r="H266" s="521"/>
      <c r="I266" s="523"/>
    </row>
    <row r="267" spans="1:11" ht="16" hidden="1" outlineLevel="2" thickBot="1" x14ac:dyDescent="0.4">
      <c r="A267" s="304" t="s">
        <v>7</v>
      </c>
      <c r="B267" s="285"/>
      <c r="C267" s="286"/>
      <c r="D267" s="190">
        <v>1618.87</v>
      </c>
      <c r="E267" s="528"/>
      <c r="F267" s="117">
        <f>SUM(F264:F266)</f>
        <v>0.31780994559080222</v>
      </c>
      <c r="G267" s="529">
        <f>AVERAGE(G263:G265)</f>
        <v>191.33333333333334</v>
      </c>
      <c r="H267" s="330">
        <f>AVERAGE(H263:H265)</f>
        <v>1.0666666666666667</v>
      </c>
      <c r="I267" s="502">
        <f>D269-D258</f>
        <v>7631.5626000000047</v>
      </c>
    </row>
    <row r="268" spans="1:11" ht="16" hidden="1" outlineLevel="2" thickBot="1" x14ac:dyDescent="0.4">
      <c r="A268" s="379" t="s">
        <v>60</v>
      </c>
      <c r="B268" s="380"/>
      <c r="C268" s="381"/>
      <c r="D268" s="382">
        <v>4000</v>
      </c>
      <c r="E268" s="530"/>
      <c r="G268" s="236"/>
    </row>
    <row r="269" spans="1:11" ht="16" hidden="1" outlineLevel="2" thickBot="1" x14ac:dyDescent="0.4">
      <c r="A269" s="311" t="s">
        <v>62</v>
      </c>
      <c r="B269" s="312"/>
      <c r="C269" s="313"/>
      <c r="D269" s="531">
        <f>SUM(D263:D268)</f>
        <v>271348.3124</v>
      </c>
      <c r="E269" s="532">
        <f>D269-D258</f>
        <v>7631.5626000000047</v>
      </c>
      <c r="F269" s="374">
        <f>(D269-D258)/D258</f>
        <v>2.8938482693221804E-2</v>
      </c>
      <c r="G269" s="236"/>
      <c r="I269" s="407">
        <f>I258+E269</f>
        <v>58147.512400000007</v>
      </c>
      <c r="J269" s="408" t="s">
        <v>122</v>
      </c>
      <c r="K269" s="409"/>
    </row>
    <row r="270" spans="1:11" ht="16" hidden="1" outlineLevel="2" thickBot="1" x14ac:dyDescent="0.4">
      <c r="D270" s="533">
        <f>D269*0.7</f>
        <v>189943.81868</v>
      </c>
      <c r="E270">
        <v>0.7</v>
      </c>
      <c r="I270" s="410">
        <f>I269/14</f>
        <v>4153.3937428571435</v>
      </c>
      <c r="J270" s="411">
        <f>I270*4</f>
        <v>16613.574971428574</v>
      </c>
      <c r="K270" s="478"/>
    </row>
    <row r="271" spans="1:11" hidden="1" outlineLevel="2" x14ac:dyDescent="0.35">
      <c r="A271" s="113" t="s">
        <v>25</v>
      </c>
      <c r="B271" s="248" t="s">
        <v>26</v>
      </c>
      <c r="C271" s="249" t="s">
        <v>27</v>
      </c>
      <c r="D271" s="250">
        <f>D260+7</f>
        <v>42945</v>
      </c>
      <c r="E271" s="510" t="s">
        <v>28</v>
      </c>
      <c r="F271" s="511" t="s">
        <v>101</v>
      </c>
      <c r="G271" s="252">
        <v>17555</v>
      </c>
      <c r="H271" s="253">
        <f>(C272-G271)/G271</f>
        <v>0.24352036456849901</v>
      </c>
    </row>
    <row r="272" spans="1:11" ht="16" hidden="1" outlineLevel="2" thickBot="1" x14ac:dyDescent="0.4">
      <c r="A272" s="254" t="s">
        <v>32</v>
      </c>
      <c r="B272" s="255" t="str">
        <f ca="1">TEXT(TODAY(),"ddd")</f>
        <v>Sun</v>
      </c>
      <c r="C272" s="256">
        <v>21830</v>
      </c>
      <c r="D272" s="322">
        <f>C272-C261</f>
        <v>250</v>
      </c>
      <c r="E272" s="512"/>
      <c r="F272" s="451"/>
      <c r="G272" s="259">
        <v>4766</v>
      </c>
      <c r="H272" s="357">
        <f>(C273-G272)/G272</f>
        <v>0.33738984473352918</v>
      </c>
      <c r="I272" s="534" t="s">
        <v>123</v>
      </c>
      <c r="J272" s="535"/>
      <c r="K272" s="536"/>
    </row>
    <row r="273" spans="1:11" ht="16" hidden="1" outlineLevel="2" thickBot="1" x14ac:dyDescent="0.4">
      <c r="A273" s="262" t="s">
        <v>36</v>
      </c>
      <c r="B273" s="263"/>
      <c r="C273" s="419">
        <v>6374</v>
      </c>
      <c r="D273" s="264">
        <f>C273-C262</f>
        <v>-13</v>
      </c>
      <c r="E273" s="537">
        <f>(C273-C262)/C262</f>
        <v>-2.0353843745107248E-3</v>
      </c>
      <c r="F273" s="457" t="s">
        <v>37</v>
      </c>
      <c r="G273" s="267" t="s">
        <v>38</v>
      </c>
      <c r="H273" s="359" t="s">
        <v>102</v>
      </c>
      <c r="I273" s="538" t="s">
        <v>124</v>
      </c>
      <c r="J273" s="539"/>
      <c r="K273" s="540"/>
    </row>
    <row r="274" spans="1:11" hidden="1" outlineLevel="2" x14ac:dyDescent="0.35">
      <c r="A274" s="269" t="s">
        <v>92</v>
      </c>
      <c r="B274" s="270">
        <v>175</v>
      </c>
      <c r="C274" s="271">
        <v>1020.04</v>
      </c>
      <c r="D274" s="514">
        <f>C274*B274</f>
        <v>178507</v>
      </c>
      <c r="E274" s="541">
        <f>(C274-C263)/C263</f>
        <v>-5.4890949330682467E-3</v>
      </c>
      <c r="F274" s="487">
        <f>D274/D280</f>
        <v>0.66408405623344824</v>
      </c>
      <c r="G274" s="516">
        <v>184</v>
      </c>
      <c r="H274" s="517">
        <v>0.46</v>
      </c>
      <c r="I274" s="542">
        <f>D274-D263</f>
        <v>-985.25</v>
      </c>
    </row>
    <row r="275" spans="1:11" hidden="1" outlineLevel="2" x14ac:dyDescent="0.35">
      <c r="A275" s="197" t="s">
        <v>49</v>
      </c>
      <c r="B275" s="289">
        <v>267.20400000000001</v>
      </c>
      <c r="C275" s="290">
        <v>164.39</v>
      </c>
      <c r="D275" s="195">
        <f>C275*B275</f>
        <v>43925.665559999994</v>
      </c>
      <c r="E275" s="543">
        <f>(C275-C264)/C264</f>
        <v>-2.2070196311719262E-2</v>
      </c>
      <c r="F275" s="457">
        <f>D275/D280</f>
        <v>0.16341283063318904</v>
      </c>
      <c r="G275" s="520">
        <v>48</v>
      </c>
      <c r="H275" s="521">
        <v>2.34</v>
      </c>
      <c r="I275" s="542">
        <f>D275-D264</f>
        <v>-17801.326840000009</v>
      </c>
    </row>
    <row r="276" spans="1:11" hidden="1" outlineLevel="2" x14ac:dyDescent="0.35">
      <c r="A276" s="284" t="s">
        <v>95</v>
      </c>
      <c r="B276" s="285">
        <v>130</v>
      </c>
      <c r="C276" s="286">
        <v>184.04</v>
      </c>
      <c r="D276" s="190">
        <f>C276*B276</f>
        <v>23925.200000000001</v>
      </c>
      <c r="E276" s="544">
        <f>(C276-C265)/C265</f>
        <v>-2.3867614299352923E-2</v>
      </c>
      <c r="F276" s="457">
        <f>D276/D280</f>
        <v>8.900683929591835E-2</v>
      </c>
      <c r="G276" s="520">
        <v>342</v>
      </c>
      <c r="H276" s="521">
        <v>0.4</v>
      </c>
      <c r="I276" s="400">
        <f>D276-D265</f>
        <v>-585</v>
      </c>
      <c r="J276" s="118">
        <f>SUM(I274:I276)</f>
        <v>-19371.576840000009</v>
      </c>
    </row>
    <row r="277" spans="1:11" ht="16" hidden="1" outlineLevel="2" thickBot="1" x14ac:dyDescent="0.4">
      <c r="A277" s="524" t="s">
        <v>104</v>
      </c>
      <c r="B277" s="392">
        <v>153</v>
      </c>
      <c r="C277" s="393">
        <v>107.25</v>
      </c>
      <c r="D277" s="525">
        <f>C277*B277</f>
        <v>16409.25</v>
      </c>
      <c r="E277" s="545"/>
      <c r="F277" s="457">
        <f>D277/D280</f>
        <v>6.1045904640987247E-2</v>
      </c>
      <c r="G277" s="527"/>
      <c r="H277" s="521"/>
      <c r="I277" s="400"/>
    </row>
    <row r="278" spans="1:11" ht="16" hidden="1" outlineLevel="2" thickBot="1" x14ac:dyDescent="0.4">
      <c r="A278" s="304" t="s">
        <v>7</v>
      </c>
      <c r="B278" s="285"/>
      <c r="C278" s="286"/>
      <c r="D278" s="190">
        <v>1620.54</v>
      </c>
      <c r="E278" s="546"/>
      <c r="F278" s="117">
        <f>SUM(F275:F277)</f>
        <v>0.31346557457009461</v>
      </c>
      <c r="G278" s="529">
        <f>AVERAGE(G274:G276)</f>
        <v>191.33333333333334</v>
      </c>
      <c r="H278" s="330">
        <f>AVERAGE(H274:H276)</f>
        <v>1.0666666666666667</v>
      </c>
      <c r="I278" s="547">
        <f>D280-D269</f>
        <v>-2546.4968400000362</v>
      </c>
    </row>
    <row r="279" spans="1:11" ht="16" hidden="1" outlineLevel="2" thickBot="1" x14ac:dyDescent="0.4">
      <c r="A279" s="379" t="s">
        <v>60</v>
      </c>
      <c r="B279" s="380"/>
      <c r="C279" s="381"/>
      <c r="D279" s="382">
        <v>4414.16</v>
      </c>
      <c r="E279" s="548"/>
      <c r="G279" s="236"/>
    </row>
    <row r="280" spans="1:11" ht="16" hidden="1" outlineLevel="2" thickBot="1" x14ac:dyDescent="0.4">
      <c r="A280" s="311" t="s">
        <v>62</v>
      </c>
      <c r="B280" s="312"/>
      <c r="C280" s="313"/>
      <c r="D280" s="531">
        <f>SUM(D274:D279)</f>
        <v>268801.81555999996</v>
      </c>
      <c r="E280" s="549">
        <f>D280-D269</f>
        <v>-2546.4968400000362</v>
      </c>
      <c r="F280" s="374">
        <f>(D280-D269)/D269</f>
        <v>-9.3846054079975046E-3</v>
      </c>
      <c r="G280" s="236"/>
      <c r="I280" s="407">
        <f>I269+E280</f>
        <v>55601.015559999971</v>
      </c>
      <c r="J280" s="408" t="s">
        <v>125</v>
      </c>
      <c r="K280" s="409"/>
    </row>
    <row r="281" spans="1:11" ht="16" hidden="1" outlineLevel="2" thickBot="1" x14ac:dyDescent="0.4">
      <c r="D281" s="247">
        <f>SUM(D274:D277)</f>
        <v>262767.11556000001</v>
      </c>
      <c r="I281" s="410">
        <f>I280/14</f>
        <v>3971.5011114285694</v>
      </c>
      <c r="J281" s="411">
        <f>I281*4</f>
        <v>15886.004445714278</v>
      </c>
      <c r="K281" s="478"/>
    </row>
    <row r="282" spans="1:11" hidden="1" outlineLevel="2" x14ac:dyDescent="0.35">
      <c r="A282" s="113" t="s">
        <v>25</v>
      </c>
      <c r="B282" s="248" t="s">
        <v>26</v>
      </c>
      <c r="C282" s="249" t="s">
        <v>27</v>
      </c>
      <c r="D282" s="250">
        <f>D271+7</f>
        <v>42952</v>
      </c>
      <c r="E282" s="510" t="s">
        <v>28</v>
      </c>
      <c r="F282" s="511" t="s">
        <v>101</v>
      </c>
      <c r="G282" s="252">
        <v>17555</v>
      </c>
      <c r="H282" s="253">
        <f>(C283-G282)/G282</f>
        <v>0.258501851324409</v>
      </c>
    </row>
    <row r="283" spans="1:11" ht="16" hidden="1" outlineLevel="2" thickBot="1" x14ac:dyDescent="0.4">
      <c r="A283" s="254" t="s">
        <v>32</v>
      </c>
      <c r="B283" s="255" t="str">
        <f ca="1">TEXT(TODAY(),"ddd")</f>
        <v>Sun</v>
      </c>
      <c r="C283" s="256">
        <v>22093</v>
      </c>
      <c r="D283" s="322">
        <f>C283-C272</f>
        <v>263</v>
      </c>
      <c r="E283" s="512"/>
      <c r="F283" s="451"/>
      <c r="G283" s="259">
        <v>4766</v>
      </c>
      <c r="H283" s="357">
        <f>(C284-G283)/G283</f>
        <v>0.3325639949643307</v>
      </c>
    </row>
    <row r="284" spans="1:11" hidden="1" outlineLevel="2" x14ac:dyDescent="0.35">
      <c r="A284" s="262" t="s">
        <v>36</v>
      </c>
      <c r="B284" s="263"/>
      <c r="C284" s="419">
        <v>6351</v>
      </c>
      <c r="D284" s="264">
        <f>C284-C273</f>
        <v>-23</v>
      </c>
      <c r="E284" s="537">
        <f>(C284-C273)/C273</f>
        <v>-3.6084091622215248E-3</v>
      </c>
      <c r="F284" s="457" t="s">
        <v>37</v>
      </c>
      <c r="G284" s="267" t="s">
        <v>38</v>
      </c>
      <c r="H284" s="359" t="s">
        <v>102</v>
      </c>
      <c r="I284" s="483" t="s">
        <v>126</v>
      </c>
    </row>
    <row r="285" spans="1:11" hidden="1" outlineLevel="2" x14ac:dyDescent="0.35">
      <c r="A285" s="269" t="s">
        <v>92</v>
      </c>
      <c r="B285" s="270">
        <v>175</v>
      </c>
      <c r="C285" s="271">
        <v>987.58</v>
      </c>
      <c r="D285" s="514">
        <f>C285*B285</f>
        <v>172826.5</v>
      </c>
      <c r="E285" s="541">
        <f>(C285-C274)/C274</f>
        <v>-3.1822281479157603E-2</v>
      </c>
      <c r="F285" s="487">
        <f>D285/D291</f>
        <v>0.66039872966586655</v>
      </c>
      <c r="G285" s="516">
        <v>184</v>
      </c>
      <c r="H285" s="517">
        <v>0.46</v>
      </c>
      <c r="I285" s="398">
        <f>D285-D274</f>
        <v>-5680.5</v>
      </c>
    </row>
    <row r="286" spans="1:11" hidden="1" outlineLevel="2" x14ac:dyDescent="0.35">
      <c r="A286" s="197" t="s">
        <v>49</v>
      </c>
      <c r="B286" s="289">
        <v>267.20400000000001</v>
      </c>
      <c r="C286" s="290">
        <v>167.21</v>
      </c>
      <c r="D286" s="195">
        <f>C286*B286</f>
        <v>44679.180840000001</v>
      </c>
      <c r="E286" s="543">
        <f>(C286-C275)/C275</f>
        <v>1.7154328122148683E-2</v>
      </c>
      <c r="F286" s="457">
        <f>D286/D291</f>
        <v>0.17072656258876689</v>
      </c>
      <c r="G286" s="520">
        <v>48</v>
      </c>
      <c r="H286" s="521">
        <v>2.34</v>
      </c>
      <c r="I286" s="542">
        <f>D286-D275</f>
        <v>753.5152800000069</v>
      </c>
    </row>
    <row r="287" spans="1:11" hidden="1" outlineLevel="2" x14ac:dyDescent="0.35">
      <c r="A287" s="284" t="s">
        <v>95</v>
      </c>
      <c r="B287" s="285">
        <v>130</v>
      </c>
      <c r="C287" s="286">
        <v>180.21</v>
      </c>
      <c r="D287" s="190">
        <f>C287*B287</f>
        <v>23427.3</v>
      </c>
      <c r="E287" s="544">
        <f>(C287-C276)/C276</f>
        <v>-2.0810693327537405E-2</v>
      </c>
      <c r="F287" s="457">
        <f>D287/D291</f>
        <v>8.951960005844678E-2</v>
      </c>
      <c r="G287" s="520">
        <v>342</v>
      </c>
      <c r="H287" s="521">
        <v>0.4</v>
      </c>
      <c r="I287" s="400">
        <f>D287-D276</f>
        <v>-497.90000000000146</v>
      </c>
    </row>
    <row r="288" spans="1:11" ht="16" hidden="1" outlineLevel="2" thickBot="1" x14ac:dyDescent="0.4">
      <c r="A288" s="524" t="s">
        <v>104</v>
      </c>
      <c r="B288" s="392">
        <v>153</v>
      </c>
      <c r="C288" s="393">
        <v>102.81</v>
      </c>
      <c r="D288" s="525">
        <f>C288*B288</f>
        <v>15729.93</v>
      </c>
      <c r="E288" s="545">
        <f>(C288-C277)/C277</f>
        <v>-4.1398601398601374E-2</v>
      </c>
      <c r="F288" s="457">
        <f>D288/D291</f>
        <v>6.0106672239112653E-2</v>
      </c>
      <c r="G288" s="527"/>
      <c r="H288" s="521"/>
      <c r="I288" s="400">
        <f>D288-D277</f>
        <v>-679.31999999999971</v>
      </c>
    </row>
    <row r="289" spans="1:14" ht="16" hidden="1" outlineLevel="2" thickBot="1" x14ac:dyDescent="0.4">
      <c r="A289" s="304" t="s">
        <v>7</v>
      </c>
      <c r="B289" s="285"/>
      <c r="C289" s="286"/>
      <c r="D289" s="190">
        <v>1623.16</v>
      </c>
      <c r="E289" s="546"/>
      <c r="F289" s="117">
        <f>SUM(F286:F288)</f>
        <v>0.32035283488632632</v>
      </c>
      <c r="G289" s="529">
        <f>AVERAGE(G285:G287)</f>
        <v>191.33333333333334</v>
      </c>
      <c r="H289" s="330">
        <f>AVERAGE(H285:H287)</f>
        <v>1.0666666666666667</v>
      </c>
      <c r="I289" s="547">
        <f>D291-D280</f>
        <v>-7101.5847199999844</v>
      </c>
    </row>
    <row r="290" spans="1:14" ht="16" hidden="1" outlineLevel="2" thickBot="1" x14ac:dyDescent="0.4">
      <c r="A290" s="379" t="s">
        <v>60</v>
      </c>
      <c r="B290" s="380"/>
      <c r="C290" s="381"/>
      <c r="D290" s="382">
        <f>4414.16-1000</f>
        <v>3414.16</v>
      </c>
      <c r="E290" s="548"/>
      <c r="F290" s="550">
        <v>1000</v>
      </c>
      <c r="G290" s="236"/>
      <c r="I290" s="93"/>
    </row>
    <row r="291" spans="1:14" ht="16" hidden="1" outlineLevel="2" thickBot="1" x14ac:dyDescent="0.4">
      <c r="A291" s="311" t="s">
        <v>62</v>
      </c>
      <c r="B291" s="312"/>
      <c r="C291" s="313"/>
      <c r="D291" s="531">
        <f>SUM(D285:D290)</f>
        <v>261700.23083999997</v>
      </c>
      <c r="E291" s="549">
        <f>D291-D280</f>
        <v>-7101.5847199999844</v>
      </c>
      <c r="F291" s="551">
        <f>(D291-D280)/D280</f>
        <v>-2.6419407566891307E-2</v>
      </c>
      <c r="G291" s="236"/>
      <c r="I291" s="407">
        <f>I280+E291</f>
        <v>48499.430839999986</v>
      </c>
      <c r="J291" s="408" t="s">
        <v>127</v>
      </c>
      <c r="K291" s="409"/>
    </row>
    <row r="292" spans="1:14" ht="16" hidden="1" outlineLevel="2" thickBot="1" x14ac:dyDescent="0.4">
      <c r="D292" s="247">
        <f>SUM(D285:D288)</f>
        <v>256662.91083999997</v>
      </c>
      <c r="I292" s="410">
        <f>I291/15</f>
        <v>3233.2953893333324</v>
      </c>
      <c r="J292" s="411">
        <f>I292*4</f>
        <v>12933.18155733333</v>
      </c>
      <c r="K292" s="478"/>
    </row>
    <row r="293" spans="1:14" hidden="1" outlineLevel="2" x14ac:dyDescent="0.35">
      <c r="A293" s="113" t="s">
        <v>25</v>
      </c>
      <c r="B293" s="248" t="s">
        <v>26</v>
      </c>
      <c r="C293" s="249" t="s">
        <v>27</v>
      </c>
      <c r="D293" s="250">
        <f>D282+7</f>
        <v>42959</v>
      </c>
      <c r="E293" s="510" t="s">
        <v>28</v>
      </c>
      <c r="F293" s="511" t="s">
        <v>101</v>
      </c>
      <c r="G293" s="252">
        <v>17555</v>
      </c>
      <c r="H293" s="253">
        <f>(C294-G293)/G293</f>
        <v>0.24511535175163771</v>
      </c>
    </row>
    <row r="294" spans="1:14" ht="16" hidden="1" outlineLevel="2" thickBot="1" x14ac:dyDescent="0.4">
      <c r="A294" s="254" t="s">
        <v>32</v>
      </c>
      <c r="B294" s="255" t="str">
        <f ca="1">TEXT(TODAY(),"ddd")</f>
        <v>Sun</v>
      </c>
      <c r="C294" s="256">
        <v>21858</v>
      </c>
      <c r="D294" s="257">
        <f>C294-C283</f>
        <v>-235</v>
      </c>
      <c r="E294" s="512"/>
      <c r="F294" s="451"/>
      <c r="G294" s="259">
        <v>4766</v>
      </c>
      <c r="H294" s="357">
        <f>(C295-G294)/G294</f>
        <v>0.3126311372219891</v>
      </c>
    </row>
    <row r="295" spans="1:14" hidden="1" outlineLevel="2" x14ac:dyDescent="0.35">
      <c r="A295" s="262" t="s">
        <v>36</v>
      </c>
      <c r="B295" s="263"/>
      <c r="C295" s="419">
        <v>6256</v>
      </c>
      <c r="D295" s="264">
        <f>C295-C284</f>
        <v>-95</v>
      </c>
      <c r="E295" s="537">
        <f>(C295-C284)/C284</f>
        <v>-1.4958274287513777E-2</v>
      </c>
      <c r="F295" s="457" t="s">
        <v>37</v>
      </c>
      <c r="G295" s="267" t="s">
        <v>38</v>
      </c>
      <c r="H295" s="359" t="s">
        <v>102</v>
      </c>
      <c r="I295" s="483"/>
    </row>
    <row r="296" spans="1:14" hidden="1" outlineLevel="2" x14ac:dyDescent="0.35">
      <c r="A296" s="269" t="s">
        <v>92</v>
      </c>
      <c r="B296" s="270">
        <v>175</v>
      </c>
      <c r="C296" s="271">
        <v>967.99</v>
      </c>
      <c r="D296" s="514">
        <f>C296*B296</f>
        <v>169398.25</v>
      </c>
      <c r="E296" s="541">
        <f>(C296-C285)/C285</f>
        <v>-1.9836367686668452E-2</v>
      </c>
      <c r="F296" s="487">
        <f>D296/D302</f>
        <v>0.66687457610982703</v>
      </c>
      <c r="G296" s="516">
        <v>184</v>
      </c>
      <c r="H296" s="517">
        <v>0.46</v>
      </c>
      <c r="I296" s="398">
        <f>D296-D285</f>
        <v>-3428.25</v>
      </c>
      <c r="N296" s="118"/>
    </row>
    <row r="297" spans="1:14" hidden="1" outlineLevel="2" x14ac:dyDescent="0.35">
      <c r="A297" s="197" t="s">
        <v>49</v>
      </c>
      <c r="B297" s="289">
        <v>267.20400000000001</v>
      </c>
      <c r="C297" s="290">
        <v>155.96</v>
      </c>
      <c r="D297" s="195">
        <f>C297*B297</f>
        <v>41673.135840000003</v>
      </c>
      <c r="E297" s="543">
        <f>(C297-C286)/C286</f>
        <v>-6.7280665031995687E-2</v>
      </c>
      <c r="F297" s="457">
        <f>D297/D302</f>
        <v>0.16405573728457787</v>
      </c>
      <c r="G297" s="520">
        <v>48</v>
      </c>
      <c r="H297" s="521">
        <v>2.34</v>
      </c>
      <c r="I297" s="542">
        <f>D297-D286</f>
        <v>-3006.0449999999983</v>
      </c>
      <c r="J297" s="118" t="s">
        <v>128</v>
      </c>
      <c r="N297" s="118"/>
    </row>
    <row r="298" spans="1:14" hidden="1" outlineLevel="2" x14ac:dyDescent="0.35">
      <c r="A298" s="284" t="s">
        <v>95</v>
      </c>
      <c r="B298" s="285">
        <v>130</v>
      </c>
      <c r="C298" s="286">
        <v>171.4</v>
      </c>
      <c r="D298" s="190">
        <f>C298*B298</f>
        <v>22282</v>
      </c>
      <c r="E298" s="544">
        <f>(C298-C287)/C287</f>
        <v>-4.8887409133788369E-2</v>
      </c>
      <c r="F298" s="457">
        <f>D298/D302</f>
        <v>8.7718139383843499E-2</v>
      </c>
      <c r="G298" s="520">
        <v>342</v>
      </c>
      <c r="H298" s="521">
        <v>0.4</v>
      </c>
      <c r="I298" s="400">
        <f>D298-D287</f>
        <v>-1145.2999999999993</v>
      </c>
      <c r="J298" s="118" t="s">
        <v>129</v>
      </c>
    </row>
    <row r="299" spans="1:14" ht="16" hidden="1" outlineLevel="2" thickBot="1" x14ac:dyDescent="0.4">
      <c r="A299" s="524" t="s">
        <v>104</v>
      </c>
      <c r="B299" s="392">
        <v>153</v>
      </c>
      <c r="C299" s="393">
        <v>102.23</v>
      </c>
      <c r="D299" s="525">
        <f>C299*B299</f>
        <v>15641.19</v>
      </c>
      <c r="E299" s="545">
        <f>(C299-C288)/C288</f>
        <v>-5.6414745647310402E-3</v>
      </c>
      <c r="F299" s="457">
        <f>D299/D302</f>
        <v>6.1575086821164124E-2</v>
      </c>
      <c r="G299" s="527">
        <v>44</v>
      </c>
      <c r="H299" s="521">
        <v>0.85</v>
      </c>
      <c r="I299" s="400">
        <f>D299-D288</f>
        <v>-88.739999999999782</v>
      </c>
      <c r="N299" s="118"/>
    </row>
    <row r="300" spans="1:14" ht="16" hidden="1" outlineLevel="2" thickBot="1" x14ac:dyDescent="0.4">
      <c r="A300" s="304" t="s">
        <v>7</v>
      </c>
      <c r="B300" s="285"/>
      <c r="C300" s="286"/>
      <c r="D300" s="190">
        <v>1609.42</v>
      </c>
      <c r="E300" s="546"/>
      <c r="F300" s="117">
        <f>SUM(F297:F299)</f>
        <v>0.31334896348958552</v>
      </c>
      <c r="G300" s="529">
        <f>AVERAGE(G296:G299)</f>
        <v>154.5</v>
      </c>
      <c r="H300" s="330">
        <f>AVERAGE(H296:H299)</f>
        <v>1.0125</v>
      </c>
      <c r="I300" s="547">
        <f>D302-D291</f>
        <v>-7682.0749999999534</v>
      </c>
    </row>
    <row r="301" spans="1:14" ht="16" hidden="1" outlineLevel="2" thickBot="1" x14ac:dyDescent="0.4">
      <c r="A301" s="379" t="s">
        <v>60</v>
      </c>
      <c r="B301" s="380"/>
      <c r="C301" s="381"/>
      <c r="D301" s="382">
        <f>4414.16-1000</f>
        <v>3414.16</v>
      </c>
      <c r="E301" s="548"/>
      <c r="F301" s="552"/>
      <c r="G301" s="236"/>
      <c r="I301" s="93"/>
    </row>
    <row r="302" spans="1:14" ht="16" hidden="1" outlineLevel="2" thickBot="1" x14ac:dyDescent="0.4">
      <c r="A302" s="311" t="s">
        <v>62</v>
      </c>
      <c r="B302" s="312"/>
      <c r="C302" s="313"/>
      <c r="D302" s="531">
        <f>SUM(D296:D301)</f>
        <v>254018.15584000002</v>
      </c>
      <c r="E302" s="549">
        <f>D302-D291</f>
        <v>-7682.0749999999534</v>
      </c>
      <c r="F302" s="551">
        <f>(D302-D291)/D291</f>
        <v>-2.9354483086782877E-2</v>
      </c>
      <c r="G302" s="236"/>
      <c r="I302" s="407">
        <f>I291+E302</f>
        <v>40817.355840000033</v>
      </c>
      <c r="J302" s="408" t="s">
        <v>130</v>
      </c>
      <c r="K302" s="409"/>
    </row>
    <row r="303" spans="1:14" ht="16" hidden="1" outlineLevel="2" thickBot="1" x14ac:dyDescent="0.4">
      <c r="D303" s="247">
        <f>SUM(D296:D299)</f>
        <v>248994.57584</v>
      </c>
      <c r="I303" s="410">
        <f>I302/16</f>
        <v>2551.0847400000021</v>
      </c>
      <c r="J303" s="411">
        <f>I303*4</f>
        <v>10204.338960000008</v>
      </c>
      <c r="K303" s="478"/>
    </row>
    <row r="304" spans="1:14" hidden="1" outlineLevel="2" x14ac:dyDescent="0.35">
      <c r="A304" s="113" t="s">
        <v>25</v>
      </c>
      <c r="B304" s="248" t="s">
        <v>26</v>
      </c>
      <c r="C304" s="249" t="s">
        <v>27</v>
      </c>
      <c r="D304" s="250">
        <f>D293+7</f>
        <v>42966</v>
      </c>
      <c r="E304" s="510" t="s">
        <v>28</v>
      </c>
      <c r="F304" s="511" t="s">
        <v>101</v>
      </c>
      <c r="G304" s="252">
        <v>17555</v>
      </c>
      <c r="H304" s="253">
        <f>(C305-G304)/G304</f>
        <v>0.23469097123326688</v>
      </c>
    </row>
    <row r="305" spans="1:11" ht="16" hidden="1" outlineLevel="2" thickBot="1" x14ac:dyDescent="0.4">
      <c r="A305" s="254" t="s">
        <v>32</v>
      </c>
      <c r="B305" s="255" t="str">
        <f ca="1">TEXT(TODAY(),"ddd")</f>
        <v>Sun</v>
      </c>
      <c r="C305" s="256">
        <v>21675</v>
      </c>
      <c r="D305" s="322">
        <f>C305-C294</f>
        <v>-183</v>
      </c>
      <c r="E305" s="512"/>
      <c r="F305" s="451"/>
      <c r="G305" s="259">
        <v>4766</v>
      </c>
      <c r="H305" s="357">
        <f>(C306-G305)/G305</f>
        <v>0.3325639949643307</v>
      </c>
    </row>
    <row r="306" spans="1:11" hidden="1" outlineLevel="2" x14ac:dyDescent="0.35">
      <c r="A306" s="262" t="s">
        <v>36</v>
      </c>
      <c r="B306" s="263"/>
      <c r="C306" s="419">
        <v>6351</v>
      </c>
      <c r="D306" s="223">
        <f>C306-C295</f>
        <v>95</v>
      </c>
      <c r="E306" s="513">
        <f>(C306-C295)/C295</f>
        <v>1.518542199488491E-2</v>
      </c>
      <c r="F306" s="457" t="s">
        <v>37</v>
      </c>
      <c r="G306" s="267" t="s">
        <v>38</v>
      </c>
      <c r="H306" s="359" t="s">
        <v>102</v>
      </c>
      <c r="I306" s="483" t="s">
        <v>126</v>
      </c>
    </row>
    <row r="307" spans="1:11" hidden="1" outlineLevel="2" x14ac:dyDescent="0.35">
      <c r="A307" s="269" t="s">
        <v>92</v>
      </c>
      <c r="B307" s="270">
        <v>175</v>
      </c>
      <c r="C307" s="271">
        <v>958.47</v>
      </c>
      <c r="D307" s="514">
        <f>C307*B307</f>
        <v>167732.25</v>
      </c>
      <c r="E307" s="541">
        <f>(C307-C296)/C296</f>
        <v>-9.8348123431026991E-3</v>
      </c>
      <c r="F307" s="487">
        <f>D307/D313</f>
        <v>0.66969965046032842</v>
      </c>
      <c r="G307" s="516">
        <v>184</v>
      </c>
      <c r="H307" s="517">
        <v>0.46</v>
      </c>
      <c r="I307" s="398">
        <f>D307-D296</f>
        <v>-1666</v>
      </c>
    </row>
    <row r="308" spans="1:11" hidden="1" outlineLevel="2" x14ac:dyDescent="0.35">
      <c r="A308" s="197" t="s">
        <v>49</v>
      </c>
      <c r="B308" s="289">
        <v>267.20400000000001</v>
      </c>
      <c r="C308" s="290">
        <v>161.56</v>
      </c>
      <c r="D308" s="195">
        <f>C308*B308</f>
        <v>43169.478240000004</v>
      </c>
      <c r="E308" s="519">
        <f>(C308-C297)/C297</f>
        <v>3.5906642728904807E-2</v>
      </c>
      <c r="F308" s="457">
        <f>D308/D313</f>
        <v>0.17236151359015786</v>
      </c>
      <c r="G308" s="520">
        <v>48</v>
      </c>
      <c r="H308" s="521">
        <v>2.34</v>
      </c>
      <c r="I308" s="542">
        <f>D308-D297</f>
        <v>1496.3424000000014</v>
      </c>
    </row>
    <row r="309" spans="1:11" hidden="1" outlineLevel="2" x14ac:dyDescent="0.35">
      <c r="A309" s="284" t="s">
        <v>95</v>
      </c>
      <c r="B309" s="285">
        <v>130</v>
      </c>
      <c r="C309" s="286">
        <v>166.54</v>
      </c>
      <c r="D309" s="190">
        <f>C309*B309</f>
        <v>21650.2</v>
      </c>
      <c r="E309" s="544">
        <f>(C309-C298)/C298</f>
        <v>-2.835472578763135E-2</v>
      </c>
      <c r="F309" s="457">
        <f>D309/D313</f>
        <v>8.6442120536725661E-2</v>
      </c>
      <c r="G309" s="520">
        <v>342</v>
      </c>
      <c r="H309" s="521">
        <v>0.4</v>
      </c>
      <c r="I309" s="400">
        <f>D309-D298</f>
        <v>-631.79999999999927</v>
      </c>
    </row>
    <row r="310" spans="1:11" ht="16" hidden="1" outlineLevel="2" thickBot="1" x14ac:dyDescent="0.4">
      <c r="A310" s="524" t="s">
        <v>104</v>
      </c>
      <c r="B310" s="392">
        <v>153</v>
      </c>
      <c r="C310" s="393">
        <v>97.28</v>
      </c>
      <c r="D310" s="525">
        <f>C310*B310</f>
        <v>14883.84</v>
      </c>
      <c r="E310" s="545">
        <f>(C310-C299)/C299</f>
        <v>-4.8420228895627533E-2</v>
      </c>
      <c r="F310" s="457">
        <f>D310/D313</f>
        <v>5.9426272797911288E-2</v>
      </c>
      <c r="G310" s="527"/>
      <c r="H310" s="521"/>
      <c r="I310" s="400">
        <f>D310-D299</f>
        <v>-757.35000000000036</v>
      </c>
    </row>
    <row r="311" spans="1:11" ht="16" hidden="1" outlineLevel="2" thickBot="1" x14ac:dyDescent="0.4">
      <c r="A311" s="304" t="s">
        <v>7</v>
      </c>
      <c r="B311" s="285"/>
      <c r="C311" s="286"/>
      <c r="D311" s="190">
        <v>1608.2</v>
      </c>
      <c r="E311" s="546"/>
      <c r="F311" s="117">
        <f>SUM(F308:F310)</f>
        <v>0.3182299069247948</v>
      </c>
      <c r="G311" s="553">
        <f>AVERAGE(G307:G309)</f>
        <v>191.33333333333334</v>
      </c>
      <c r="H311" s="371">
        <f>AVERAGE(H307:H309)</f>
        <v>1.0666666666666667</v>
      </c>
      <c r="I311" s="547">
        <f>D313-D302</f>
        <v>-3559.2375999999931</v>
      </c>
    </row>
    <row r="312" spans="1:11" ht="16" hidden="1" outlineLevel="2" thickBot="1" x14ac:dyDescent="0.4">
      <c r="A312" s="379" t="s">
        <v>60</v>
      </c>
      <c r="B312" s="380"/>
      <c r="C312" s="381"/>
      <c r="D312" s="382">
        <v>1414.95</v>
      </c>
      <c r="E312" s="554"/>
      <c r="F312" s="555" t="s">
        <v>131</v>
      </c>
      <c r="G312" s="556"/>
      <c r="H312" s="557"/>
      <c r="I312" s="93"/>
    </row>
    <row r="313" spans="1:11" s="149" customFormat="1" ht="19" hidden="1" outlineLevel="2" thickBot="1" x14ac:dyDescent="0.5">
      <c r="A313" s="558" t="s">
        <v>62</v>
      </c>
      <c r="B313" s="559"/>
      <c r="C313" s="560"/>
      <c r="D313" s="561">
        <f>SUM(D307:D312)</f>
        <v>250458.91824000003</v>
      </c>
      <c r="E313" s="562">
        <f>D313-D302</f>
        <v>-3559.2375999999931</v>
      </c>
      <c r="F313" s="563">
        <f>(D313-D302)/D302</f>
        <v>-1.4011744901580468E-2</v>
      </c>
      <c r="G313" s="564"/>
      <c r="H313" s="148"/>
      <c r="I313" s="565">
        <f>I302+E313</f>
        <v>37258.11824000004</v>
      </c>
      <c r="J313" s="566" t="s">
        <v>127</v>
      </c>
      <c r="K313" s="567"/>
    </row>
    <row r="314" spans="1:11" ht="16" hidden="1" outlineLevel="2" thickBot="1" x14ac:dyDescent="0.4">
      <c r="D314" s="247">
        <f>SUM(D307:D310)</f>
        <v>247435.76824</v>
      </c>
      <c r="I314" s="410">
        <f>I313/16</f>
        <v>2328.6323900000025</v>
      </c>
      <c r="J314" s="411">
        <f>I314*4</f>
        <v>9314.52956000001</v>
      </c>
      <c r="K314" s="478"/>
    </row>
    <row r="315" spans="1:11" hidden="1" outlineLevel="2" x14ac:dyDescent="0.35">
      <c r="A315" s="113" t="s">
        <v>25</v>
      </c>
      <c r="B315" s="248" t="s">
        <v>26</v>
      </c>
      <c r="C315" s="249" t="s">
        <v>27</v>
      </c>
      <c r="D315" s="250">
        <f>D304+7</f>
        <v>42973</v>
      </c>
      <c r="E315" s="510" t="s">
        <v>28</v>
      </c>
      <c r="F315" s="511" t="s">
        <v>101</v>
      </c>
      <c r="G315" s="252">
        <v>17555</v>
      </c>
      <c r="H315" s="253">
        <f>(C316-G315)/G315</f>
        <v>0.24260894332099117</v>
      </c>
    </row>
    <row r="316" spans="1:11" ht="16" hidden="1" outlineLevel="2" thickBot="1" x14ac:dyDescent="0.4">
      <c r="A316" s="254" t="s">
        <v>32</v>
      </c>
      <c r="B316" s="255" t="str">
        <f ca="1">TEXT(TODAY(),"ddd")</f>
        <v>Sun</v>
      </c>
      <c r="C316" s="256">
        <v>21814</v>
      </c>
      <c r="D316" s="322">
        <f>C316-C305</f>
        <v>139</v>
      </c>
      <c r="E316" s="512"/>
      <c r="F316" s="451"/>
      <c r="G316" s="259">
        <v>4766</v>
      </c>
      <c r="H316" s="357">
        <f>(C317-G316)/G316</f>
        <v>0.31661770877045742</v>
      </c>
    </row>
    <row r="317" spans="1:11" hidden="1" outlineLevel="2" x14ac:dyDescent="0.35">
      <c r="A317" s="262" t="s">
        <v>36</v>
      </c>
      <c r="B317" s="263"/>
      <c r="C317" s="419">
        <v>6275</v>
      </c>
      <c r="D317" s="264">
        <f>C317-C306</f>
        <v>-76</v>
      </c>
      <c r="E317" s="513">
        <f>(C317-C306)/C306</f>
        <v>-1.1966619430011021E-2</v>
      </c>
      <c r="F317" s="457" t="s">
        <v>37</v>
      </c>
      <c r="G317" s="267" t="s">
        <v>38</v>
      </c>
      <c r="H317" s="359" t="s">
        <v>102</v>
      </c>
      <c r="I317" s="483" t="s">
        <v>126</v>
      </c>
    </row>
    <row r="318" spans="1:11" hidden="1" outlineLevel="2" x14ac:dyDescent="0.35">
      <c r="A318" s="269" t="s">
        <v>92</v>
      </c>
      <c r="B318" s="270">
        <v>128</v>
      </c>
      <c r="C318" s="271">
        <v>945.26</v>
      </c>
      <c r="D318" s="514">
        <f>C318*B318</f>
        <v>120993.28</v>
      </c>
      <c r="E318" s="541">
        <f>(C318-C307)/C307</f>
        <v>-1.3782382338518718E-2</v>
      </c>
      <c r="F318" s="487">
        <f>D318/D324</f>
        <v>0.59524882471967433</v>
      </c>
      <c r="G318" s="516">
        <v>184</v>
      </c>
      <c r="H318" s="517">
        <v>0.46</v>
      </c>
      <c r="I318" s="398">
        <f>D318-D307</f>
        <v>-46738.97</v>
      </c>
    </row>
    <row r="319" spans="1:11" hidden="1" outlineLevel="2" x14ac:dyDescent="0.35">
      <c r="A319" s="197" t="s">
        <v>49</v>
      </c>
      <c r="B319" s="289">
        <v>267.20400000000001</v>
      </c>
      <c r="C319" s="290">
        <v>163.61000000000001</v>
      </c>
      <c r="D319" s="195">
        <f>C319*B319</f>
        <v>43717.246440000003</v>
      </c>
      <c r="E319" s="519">
        <f>(C319-C308)/C308</f>
        <v>1.2688784352562585E-2</v>
      </c>
      <c r="F319" s="457">
        <f>D319/D324</f>
        <v>0.21507508155320995</v>
      </c>
      <c r="G319" s="520">
        <v>48</v>
      </c>
      <c r="H319" s="521">
        <v>2.34</v>
      </c>
      <c r="I319" s="542">
        <f>D319-D308</f>
        <v>547.76819999999861</v>
      </c>
    </row>
    <row r="320" spans="1:11" hidden="1" outlineLevel="2" x14ac:dyDescent="0.35">
      <c r="A320" s="284" t="s">
        <v>95</v>
      </c>
      <c r="B320" s="285">
        <v>130</v>
      </c>
      <c r="C320" s="286">
        <v>165.95</v>
      </c>
      <c r="D320" s="190">
        <f>C320*B320</f>
        <v>21573.5</v>
      </c>
      <c r="E320" s="544">
        <f>(C320-C309)/C309</f>
        <v>-3.5426924462591777E-3</v>
      </c>
      <c r="F320" s="457">
        <f>D320/D324</f>
        <v>0.1061348243480125</v>
      </c>
      <c r="G320" s="520">
        <v>342</v>
      </c>
      <c r="H320" s="521">
        <v>0.4</v>
      </c>
      <c r="I320" s="400">
        <f>D320-D309</f>
        <v>-76.700000000000728</v>
      </c>
    </row>
    <row r="321" spans="1:11" ht="16" hidden="1" outlineLevel="2" thickBot="1" x14ac:dyDescent="0.4">
      <c r="A321" s="524" t="s">
        <v>104</v>
      </c>
      <c r="B321" s="392">
        <v>153</v>
      </c>
      <c r="C321" s="393">
        <v>90.7</v>
      </c>
      <c r="D321" s="525">
        <f>C321*B321</f>
        <v>13877.1</v>
      </c>
      <c r="E321" s="545">
        <f>(C321-C310)/C310</f>
        <v>-6.7639802631578927E-2</v>
      </c>
      <c r="F321" s="457">
        <f>D321/D324</f>
        <v>6.8270960713829668E-2</v>
      </c>
      <c r="G321" s="527"/>
      <c r="H321" s="521"/>
      <c r="I321" s="400">
        <f>D321-D310</f>
        <v>-1006.7399999999998</v>
      </c>
    </row>
    <row r="322" spans="1:11" ht="16" hidden="1" outlineLevel="2" thickBot="1" x14ac:dyDescent="0.4">
      <c r="A322" s="304" t="s">
        <v>7</v>
      </c>
      <c r="B322" s="285"/>
      <c r="C322" s="286"/>
      <c r="D322" s="190">
        <v>1616.77</v>
      </c>
      <c r="E322" s="546"/>
      <c r="F322" s="117">
        <f>SUM(F319:F321)</f>
        <v>0.3894808666150521</v>
      </c>
      <c r="G322" s="553">
        <f>AVERAGE(G318:G320)</f>
        <v>191.33333333333334</v>
      </c>
      <c r="H322" s="371">
        <f>AVERAGE(H318:H320)</f>
        <v>1.0666666666666667</v>
      </c>
      <c r="I322" s="547">
        <f>D324-D313</f>
        <v>-47193.871800000052</v>
      </c>
    </row>
    <row r="323" spans="1:11" ht="16" hidden="1" outlineLevel="2" thickBot="1" x14ac:dyDescent="0.4">
      <c r="A323" s="379" t="s">
        <v>60</v>
      </c>
      <c r="B323" s="380"/>
      <c r="C323" s="381"/>
      <c r="D323" s="382">
        <v>1487.15</v>
      </c>
      <c r="E323" s="554"/>
      <c r="F323" s="568" t="s">
        <v>132</v>
      </c>
      <c r="G323" s="569"/>
      <c r="H323" s="570"/>
      <c r="I323" s="93"/>
    </row>
    <row r="324" spans="1:11" ht="16" hidden="1" outlineLevel="2" thickBot="1" x14ac:dyDescent="0.4">
      <c r="A324" s="311" t="s">
        <v>62</v>
      </c>
      <c r="B324" s="312"/>
      <c r="C324" s="313"/>
      <c r="D324" s="531">
        <f>SUM(D318:D323)</f>
        <v>203265.04643999998</v>
      </c>
      <c r="E324" s="549">
        <f>D324-D313</f>
        <v>-47193.871800000052</v>
      </c>
      <c r="F324" s="551">
        <f>(D324-D313)/D313</f>
        <v>-0.18842959209293136</v>
      </c>
      <c r="G324" s="236"/>
      <c r="I324" s="407">
        <f>I313+E324</f>
        <v>-9935.7535600000119</v>
      </c>
      <c r="J324" s="408" t="s">
        <v>133</v>
      </c>
      <c r="K324" s="409"/>
    </row>
    <row r="325" spans="1:11" ht="16" hidden="1" outlineLevel="2" thickBot="1" x14ac:dyDescent="0.4">
      <c r="D325" s="247">
        <f>SUM(D318:D321)</f>
        <v>200161.12643999999</v>
      </c>
      <c r="I325" s="571">
        <f>I324/18</f>
        <v>-551.98630888888954</v>
      </c>
      <c r="J325" s="572">
        <f>I325*4</f>
        <v>-2207.9452355555582</v>
      </c>
      <c r="K325" s="478"/>
    </row>
    <row r="326" spans="1:11" hidden="1" outlineLevel="2" x14ac:dyDescent="0.35">
      <c r="A326" s="113" t="s">
        <v>25</v>
      </c>
      <c r="B326" s="248" t="s">
        <v>26</v>
      </c>
      <c r="C326" s="249" t="s">
        <v>27</v>
      </c>
      <c r="D326" s="250">
        <f>D315+7</f>
        <v>42980</v>
      </c>
      <c r="E326" s="510" t="s">
        <v>28</v>
      </c>
      <c r="F326" s="511" t="s">
        <v>101</v>
      </c>
      <c r="G326" s="252">
        <v>17555</v>
      </c>
      <c r="H326" s="253">
        <f>(C327-G326)/G326</f>
        <v>0.25252064938763885</v>
      </c>
    </row>
    <row r="327" spans="1:11" ht="16" hidden="1" outlineLevel="2" thickBot="1" x14ac:dyDescent="0.4">
      <c r="A327" s="254" t="s">
        <v>32</v>
      </c>
      <c r="B327" s="255" t="str">
        <f ca="1">TEXT(TODAY(),"ddd")</f>
        <v>Sun</v>
      </c>
      <c r="C327" s="256">
        <v>21988</v>
      </c>
      <c r="D327" s="322">
        <f>C327-C316</f>
        <v>174</v>
      </c>
      <c r="E327" s="512"/>
      <c r="F327" s="451"/>
      <c r="G327" s="259">
        <v>4766</v>
      </c>
      <c r="H327" s="357">
        <f>(C328-G327)/G327</f>
        <v>0.35018883759966429</v>
      </c>
    </row>
    <row r="328" spans="1:11" hidden="1" outlineLevel="2" x14ac:dyDescent="0.35">
      <c r="A328" s="262" t="s">
        <v>36</v>
      </c>
      <c r="B328" s="263"/>
      <c r="C328" s="419">
        <v>6435</v>
      </c>
      <c r="D328" s="223">
        <f>C328-C317</f>
        <v>160</v>
      </c>
      <c r="E328" s="513">
        <f>(C328-C317)/C317</f>
        <v>2.5498007968127491E-2</v>
      </c>
      <c r="F328" s="457" t="s">
        <v>37</v>
      </c>
      <c r="G328" s="267" t="s">
        <v>38</v>
      </c>
      <c r="H328" s="359" t="s">
        <v>102</v>
      </c>
      <c r="I328" s="483"/>
    </row>
    <row r="329" spans="1:11" hidden="1" outlineLevel="2" x14ac:dyDescent="0.35">
      <c r="A329" s="269" t="s">
        <v>92</v>
      </c>
      <c r="B329" s="270">
        <v>128</v>
      </c>
      <c r="C329" s="271">
        <v>978.25</v>
      </c>
      <c r="D329" s="514">
        <f>C329*B329</f>
        <v>125216</v>
      </c>
      <c r="E329" s="515">
        <f>(C329-C318)/C318</f>
        <v>3.4900450669657038E-2</v>
      </c>
      <c r="F329" s="487">
        <f>D329/D335</f>
        <v>0.59233669928120269</v>
      </c>
      <c r="G329" s="516">
        <v>184</v>
      </c>
      <c r="H329" s="517">
        <v>0.46</v>
      </c>
      <c r="I329" s="518">
        <f>D329-D318</f>
        <v>4222.7200000000012</v>
      </c>
    </row>
    <row r="330" spans="1:11" hidden="1" outlineLevel="2" x14ac:dyDescent="0.35">
      <c r="A330" s="197" t="s">
        <v>49</v>
      </c>
      <c r="B330" s="289">
        <v>267.20400000000001</v>
      </c>
      <c r="C330" s="290">
        <v>170.46</v>
      </c>
      <c r="D330" s="195">
        <f>C330*B330</f>
        <v>45547.593840000001</v>
      </c>
      <c r="E330" s="519">
        <f>(C330-C319)/C319</f>
        <v>4.1867856487989692E-2</v>
      </c>
      <c r="F330" s="457">
        <f>D330/D335</f>
        <v>0.21546376976893081</v>
      </c>
      <c r="G330" s="520">
        <v>48</v>
      </c>
      <c r="H330" s="521">
        <v>2.34</v>
      </c>
      <c r="I330" s="399">
        <f>D330-D319</f>
        <v>1830.3473999999987</v>
      </c>
    </row>
    <row r="331" spans="1:11" hidden="1" outlineLevel="2" x14ac:dyDescent="0.35">
      <c r="A331" s="284" t="s">
        <v>95</v>
      </c>
      <c r="B331" s="285">
        <v>130</v>
      </c>
      <c r="C331" s="286">
        <v>174.74</v>
      </c>
      <c r="D331" s="190">
        <f>C331*B331</f>
        <v>22716.2</v>
      </c>
      <c r="E331" s="522">
        <f>(C331-C320)/C320</f>
        <v>5.2967761373907928E-2</v>
      </c>
      <c r="F331" s="457">
        <f>D331/D335</f>
        <v>0.10745942154526304</v>
      </c>
      <c r="G331" s="520">
        <v>342</v>
      </c>
      <c r="H331" s="521">
        <v>0.4</v>
      </c>
      <c r="I331" s="523">
        <f>D331-D320</f>
        <v>1142.7000000000007</v>
      </c>
    </row>
    <row r="332" spans="1:11" ht="16" hidden="1" outlineLevel="2" thickBot="1" x14ac:dyDescent="0.4">
      <c r="A332" s="524" t="s">
        <v>104</v>
      </c>
      <c r="B332" s="392">
        <v>153</v>
      </c>
      <c r="C332" s="393">
        <v>96.7</v>
      </c>
      <c r="D332" s="525">
        <f>C332*B332</f>
        <v>14795.1</v>
      </c>
      <c r="E332" s="526">
        <f>(C332-C321)/C321</f>
        <v>6.6152149944873201E-2</v>
      </c>
      <c r="F332" s="457">
        <f>D332/D335</f>
        <v>6.9988505458849687E-2</v>
      </c>
      <c r="G332" s="527"/>
      <c r="H332" s="521"/>
      <c r="I332" s="523">
        <f>D332-D321</f>
        <v>918</v>
      </c>
    </row>
    <row r="333" spans="1:11" ht="16" hidden="1" outlineLevel="2" thickBot="1" x14ac:dyDescent="0.4">
      <c r="A333" s="304" t="s">
        <v>7</v>
      </c>
      <c r="B333" s="285"/>
      <c r="C333" s="286"/>
      <c r="D333" s="190">
        <v>1631.24</v>
      </c>
      <c r="E333" s="528"/>
      <c r="F333" s="117">
        <f>SUM(F330:F332)</f>
        <v>0.3929116967730435</v>
      </c>
      <c r="G333" s="529">
        <f>AVERAGE(G329:G331)</f>
        <v>191.33333333333334</v>
      </c>
      <c r="H333" s="330">
        <f>AVERAGE(H329:H331)</f>
        <v>1.0666666666666667</v>
      </c>
      <c r="I333" s="502">
        <f>D335-D324</f>
        <v>8128.2374000000127</v>
      </c>
    </row>
    <row r="334" spans="1:11" ht="16" hidden="1" outlineLevel="2" thickBot="1" x14ac:dyDescent="0.4">
      <c r="A334" s="379" t="s">
        <v>60</v>
      </c>
      <c r="B334" s="380"/>
      <c r="C334" s="381"/>
      <c r="D334" s="382">
        <v>1487.15</v>
      </c>
      <c r="E334" s="548"/>
      <c r="F334" s="552"/>
      <c r="G334" s="236"/>
      <c r="I334" s="93"/>
    </row>
    <row r="335" spans="1:11" s="149" customFormat="1" ht="19" hidden="1" outlineLevel="2" thickBot="1" x14ac:dyDescent="0.5">
      <c r="A335" s="558" t="s">
        <v>62</v>
      </c>
      <c r="B335" s="559"/>
      <c r="C335" s="560"/>
      <c r="D335" s="561">
        <f>SUM(D329:D334)</f>
        <v>211393.28383999999</v>
      </c>
      <c r="E335" s="573">
        <f>D335-D324</f>
        <v>8128.2374000000127</v>
      </c>
      <c r="F335" s="563">
        <f>(D335-D324)/D324</f>
        <v>3.9988367613412158E-2</v>
      </c>
      <c r="G335" s="574"/>
      <c r="H335" s="148"/>
      <c r="I335" s="565">
        <f>I324+E335</f>
        <v>-1807.5161599999992</v>
      </c>
      <c r="J335" s="566" t="s">
        <v>134</v>
      </c>
      <c r="K335" s="567"/>
    </row>
    <row r="336" spans="1:11" ht="16" hidden="1" outlineLevel="2" thickBot="1" x14ac:dyDescent="0.4">
      <c r="D336" s="247">
        <f>SUM(D329:D332)</f>
        <v>208274.89384</v>
      </c>
      <c r="I336" s="571">
        <f>I335/19</f>
        <v>-95.132429473684169</v>
      </c>
      <c r="J336" s="572">
        <f>I336*4</f>
        <v>-380.52971789473668</v>
      </c>
      <c r="K336" s="478"/>
    </row>
    <row r="337" spans="1:11" hidden="1" outlineLevel="2" x14ac:dyDescent="0.35">
      <c r="A337" s="113" t="s">
        <v>25</v>
      </c>
      <c r="B337" s="248" t="s">
        <v>26</v>
      </c>
      <c r="C337" s="249" t="s">
        <v>27</v>
      </c>
      <c r="D337" s="250">
        <f>D326+7</f>
        <v>42987</v>
      </c>
      <c r="E337" s="321" t="s">
        <v>28</v>
      </c>
      <c r="F337" s="251" t="s">
        <v>101</v>
      </c>
      <c r="G337" s="252">
        <v>17555</v>
      </c>
      <c r="H337" s="253">
        <f>(C338-G337)/G337</f>
        <v>0.25998291085160924</v>
      </c>
    </row>
    <row r="338" spans="1:11" ht="16" hidden="1" outlineLevel="2" thickBot="1" x14ac:dyDescent="0.4">
      <c r="A338" s="254" t="s">
        <v>32</v>
      </c>
      <c r="B338" s="255" t="str">
        <f ca="1">TEXT(TODAY(),"ddd")</f>
        <v>Sun</v>
      </c>
      <c r="C338" s="256">
        <v>22119</v>
      </c>
      <c r="D338" s="322">
        <f>C338-C327</f>
        <v>131</v>
      </c>
      <c r="E338" s="356"/>
      <c r="F338" s="258"/>
      <c r="G338" s="259">
        <v>4766</v>
      </c>
      <c r="H338" s="260">
        <f>(C339-G338)/G338</f>
        <v>0.35417540914813261</v>
      </c>
    </row>
    <row r="339" spans="1:11" hidden="1" outlineLevel="2" x14ac:dyDescent="0.35">
      <c r="A339" s="262" t="s">
        <v>36</v>
      </c>
      <c r="B339" s="263"/>
      <c r="C339" s="419">
        <v>6454</v>
      </c>
      <c r="D339" s="223">
        <f>C339-C328</f>
        <v>19</v>
      </c>
      <c r="E339" s="420">
        <f>(C339-C328)/C328</f>
        <v>2.9526029526029526E-3</v>
      </c>
      <c r="F339" s="266" t="s">
        <v>37</v>
      </c>
      <c r="G339" s="267" t="s">
        <v>38</v>
      </c>
      <c r="H339" s="268" t="s">
        <v>102</v>
      </c>
    </row>
    <row r="340" spans="1:11" hidden="1" outlineLevel="2" x14ac:dyDescent="0.35">
      <c r="A340" s="269" t="s">
        <v>135</v>
      </c>
      <c r="B340" s="270">
        <v>260</v>
      </c>
      <c r="C340" s="271">
        <v>171.67</v>
      </c>
      <c r="D340" s="272">
        <f>C340*B340</f>
        <v>44634.2</v>
      </c>
      <c r="E340" s="273"/>
      <c r="F340" s="274">
        <f>D340/D347</f>
        <v>0.17361933782611</v>
      </c>
      <c r="G340" s="275">
        <v>18</v>
      </c>
      <c r="H340" s="324">
        <v>0.51</v>
      </c>
      <c r="I340" s="366"/>
    </row>
    <row r="341" spans="1:11" hidden="1" outlineLevel="2" x14ac:dyDescent="0.35">
      <c r="A341" s="197" t="s">
        <v>49</v>
      </c>
      <c r="B341" s="289">
        <v>267</v>
      </c>
      <c r="C341" s="290">
        <v>169.61</v>
      </c>
      <c r="D341" s="291">
        <f>C341*B341</f>
        <v>45285.87</v>
      </c>
      <c r="E341" s="384">
        <f>((C341-C330)/C330)</f>
        <v>-4.9865070984394834E-3</v>
      </c>
      <c r="F341" s="266">
        <f>D341/D347</f>
        <v>0.17615422170172873</v>
      </c>
      <c r="G341" s="282">
        <v>48</v>
      </c>
      <c r="H341" s="326">
        <v>0.56000000000000005</v>
      </c>
      <c r="I341" s="368"/>
    </row>
    <row r="342" spans="1:11" hidden="1" outlineLevel="2" x14ac:dyDescent="0.35">
      <c r="A342" s="284" t="s">
        <v>95</v>
      </c>
      <c r="B342" s="285">
        <v>130</v>
      </c>
      <c r="C342" s="286">
        <v>185.15</v>
      </c>
      <c r="D342" s="287">
        <f>C342*B342</f>
        <v>24069.5</v>
      </c>
      <c r="E342" s="288">
        <f>(C342-C331)/C331</f>
        <v>5.9574224562206686E-2</v>
      </c>
      <c r="F342" s="266">
        <f>D342/D347</f>
        <v>9.3626202593651384E-2</v>
      </c>
      <c r="G342" s="282">
        <v>342</v>
      </c>
      <c r="H342" s="326">
        <v>0.32</v>
      </c>
      <c r="I342" s="385"/>
    </row>
    <row r="343" spans="1:11" hidden="1" outlineLevel="2" x14ac:dyDescent="0.35">
      <c r="A343" s="386" t="s">
        <v>96</v>
      </c>
      <c r="B343" s="387">
        <v>120</v>
      </c>
      <c r="C343" s="388">
        <v>1045</v>
      </c>
      <c r="D343" s="389">
        <f>C343*B343</f>
        <v>125400</v>
      </c>
      <c r="E343" s="390"/>
      <c r="F343" s="266">
        <f>D343/D347</f>
        <v>0.48778436632434757</v>
      </c>
      <c r="G343" s="282">
        <v>50</v>
      </c>
      <c r="H343" s="326">
        <v>0.12</v>
      </c>
      <c r="I343" s="368"/>
    </row>
    <row r="344" spans="1:11" hidden="1" outlineLevel="2" x14ac:dyDescent="0.35">
      <c r="A344" s="295" t="s">
        <v>104</v>
      </c>
      <c r="B344" s="285">
        <v>153</v>
      </c>
      <c r="C344" s="286">
        <v>85</v>
      </c>
      <c r="D344" s="287">
        <f>C344*B344</f>
        <v>13005</v>
      </c>
      <c r="E344" s="340">
        <f>(C344-C332)/C332</f>
        <v>-0.12099276111685628</v>
      </c>
      <c r="F344" s="266">
        <f>D344/D347</f>
        <v>5.0587206411867147E-2</v>
      </c>
      <c r="G344" s="297">
        <v>41</v>
      </c>
      <c r="H344" s="326">
        <v>0.23</v>
      </c>
      <c r="I344" s="368"/>
    </row>
    <row r="345" spans="1:11" ht="16" hidden="1" outlineLevel="2" thickBot="1" x14ac:dyDescent="0.4">
      <c r="A345" s="391" t="s">
        <v>7</v>
      </c>
      <c r="B345" s="392"/>
      <c r="C345" s="393"/>
      <c r="D345" s="525">
        <v>1631.24</v>
      </c>
      <c r="E345" s="575"/>
      <c r="F345" s="576">
        <f>SUM(F340:F344)</f>
        <v>0.98177133485770485</v>
      </c>
      <c r="G345" s="577">
        <f>AVERAGE(G340:G344)</f>
        <v>99.8</v>
      </c>
      <c r="H345" s="578">
        <f>AVERAGE(H340:H344)</f>
        <v>0.34800000000000003</v>
      </c>
      <c r="I345" s="377">
        <f>SUM(I340:I344)</f>
        <v>0</v>
      </c>
    </row>
    <row r="346" spans="1:11" ht="16" hidden="1" outlineLevel="2" thickBot="1" x14ac:dyDescent="0.4">
      <c r="A346" s="342" t="s">
        <v>60</v>
      </c>
      <c r="B346" s="350"/>
      <c r="C346" s="351"/>
      <c r="D346" s="352">
        <v>3055</v>
      </c>
      <c r="E346" s="332"/>
      <c r="F346" s="579" t="s">
        <v>136</v>
      </c>
      <c r="G346" s="580"/>
      <c r="H346" s="581"/>
    </row>
    <row r="347" spans="1:11" s="149" customFormat="1" ht="19" hidden="1" outlineLevel="2" thickBot="1" x14ac:dyDescent="0.5">
      <c r="A347" s="582" t="s">
        <v>62</v>
      </c>
      <c r="B347" s="583"/>
      <c r="C347" s="584"/>
      <c r="D347" s="585">
        <f>SUM(D340:D346)</f>
        <v>257080.81</v>
      </c>
      <c r="E347" s="586">
        <f>D347-D335-45000</f>
        <v>687.52616000000853</v>
      </c>
      <c r="F347" s="587">
        <f>(D347-D335)/D335</f>
        <v>0.21612572230336385</v>
      </c>
      <c r="G347" s="574"/>
      <c r="H347" s="148"/>
      <c r="I347" s="148"/>
      <c r="J347" s="148"/>
    </row>
    <row r="348" spans="1:11" hidden="1" outlineLevel="2" x14ac:dyDescent="0.35"/>
    <row r="349" spans="1:11" hidden="1" outlineLevel="2" x14ac:dyDescent="0.35">
      <c r="A349" s="113" t="s">
        <v>25</v>
      </c>
      <c r="B349" s="248" t="s">
        <v>26</v>
      </c>
      <c r="C349" s="249" t="s">
        <v>27</v>
      </c>
      <c r="D349" s="250">
        <f>D337+7</f>
        <v>42994</v>
      </c>
      <c r="E349" s="321" t="s">
        <v>28</v>
      </c>
      <c r="F349" s="251" t="s">
        <v>101</v>
      </c>
      <c r="G349" s="252">
        <v>17555</v>
      </c>
      <c r="H349" s="253">
        <f>(C350-G349)/G349</f>
        <v>0.26847052121902593</v>
      </c>
    </row>
    <row r="350" spans="1:11" ht="16" hidden="1" outlineLevel="2" thickBot="1" x14ac:dyDescent="0.4">
      <c r="A350" s="254" t="s">
        <v>32</v>
      </c>
      <c r="B350" s="255" t="str">
        <f ca="1">TEXT(TODAY(),"ddd")</f>
        <v>Sun</v>
      </c>
      <c r="C350" s="256">
        <v>22268</v>
      </c>
      <c r="D350" s="322">
        <f>C350-C338</f>
        <v>149</v>
      </c>
      <c r="E350" s="356"/>
      <c r="F350" s="258"/>
      <c r="G350" s="259">
        <v>4766</v>
      </c>
      <c r="H350" s="260">
        <f>(C351-G350)/G350</f>
        <v>0.35291649181703733</v>
      </c>
    </row>
    <row r="351" spans="1:11" hidden="1" outlineLevel="2" x14ac:dyDescent="0.35">
      <c r="A351" s="262" t="s">
        <v>36</v>
      </c>
      <c r="B351" s="263"/>
      <c r="C351" s="419">
        <v>6448</v>
      </c>
      <c r="D351" s="223">
        <f>C351-C339</f>
        <v>-6</v>
      </c>
      <c r="E351" s="420">
        <f>(C351-C339)/C339</f>
        <v>-9.2965602726991013E-4</v>
      </c>
      <c r="F351" s="266" t="s">
        <v>37</v>
      </c>
      <c r="G351" s="267" t="s">
        <v>38</v>
      </c>
      <c r="H351" s="268" t="s">
        <v>102</v>
      </c>
      <c r="J351" s="174"/>
      <c r="K351" s="588"/>
    </row>
    <row r="352" spans="1:11" hidden="1" outlineLevel="2" x14ac:dyDescent="0.35">
      <c r="A352" s="269" t="s">
        <v>135</v>
      </c>
      <c r="B352" s="270">
        <v>260</v>
      </c>
      <c r="C352" s="271">
        <v>172.99</v>
      </c>
      <c r="D352" s="272">
        <f>C352*B352</f>
        <v>44977.4</v>
      </c>
      <c r="E352" s="273">
        <f>(C352-C340)/C352</f>
        <v>7.6304988727673361E-3</v>
      </c>
      <c r="F352" s="274">
        <f>D352/D359</f>
        <v>0.17484551439740509</v>
      </c>
      <c r="G352" s="275">
        <v>18</v>
      </c>
      <c r="H352" s="324">
        <v>0.51</v>
      </c>
      <c r="I352" s="518">
        <f>D352-D340</f>
        <v>343.20000000000437</v>
      </c>
      <c r="J352" s="174"/>
      <c r="K352" s="589"/>
    </row>
    <row r="353" spans="1:16383" hidden="1" outlineLevel="2" x14ac:dyDescent="0.35">
      <c r="A353" s="197" t="s">
        <v>49</v>
      </c>
      <c r="B353" s="289">
        <v>267</v>
      </c>
      <c r="C353" s="290">
        <v>180.11</v>
      </c>
      <c r="D353" s="291">
        <f>C353*B353</f>
        <v>48089.37</v>
      </c>
      <c r="E353" s="384">
        <f>(C353-C341)/C353</f>
        <v>5.8297706956859693E-2</v>
      </c>
      <c r="F353" s="266">
        <f>D353/D359</f>
        <v>0.18694301215048315</v>
      </c>
      <c r="G353" s="282">
        <v>48</v>
      </c>
      <c r="H353" s="326">
        <v>0.56000000000000005</v>
      </c>
      <c r="I353" s="399">
        <f>D353-D341</f>
        <v>2803.5</v>
      </c>
    </row>
    <row r="354" spans="1:16383" hidden="1" outlineLevel="2" x14ac:dyDescent="0.35">
      <c r="A354" s="284" t="s">
        <v>95</v>
      </c>
      <c r="B354" s="285">
        <v>130</v>
      </c>
      <c r="C354" s="286">
        <v>182.35</v>
      </c>
      <c r="D354" s="287">
        <f>C354*B354</f>
        <v>23705.5</v>
      </c>
      <c r="E354" s="296">
        <f>(C354-C342)/C354</f>
        <v>-1.5355086372360908E-2</v>
      </c>
      <c r="F354" s="266">
        <f>D354/D359</f>
        <v>9.21529555187202E-2</v>
      </c>
      <c r="G354" s="282">
        <v>342</v>
      </c>
      <c r="H354" s="326">
        <v>0.32</v>
      </c>
      <c r="I354" s="400">
        <f>D354-D342</f>
        <v>-364</v>
      </c>
    </row>
    <row r="355" spans="1:16383" hidden="1" outlineLevel="2" x14ac:dyDescent="0.35">
      <c r="A355" s="386" t="s">
        <v>96</v>
      </c>
      <c r="B355" s="387">
        <v>120</v>
      </c>
      <c r="C355" s="388">
        <v>1038.03</v>
      </c>
      <c r="D355" s="389">
        <f>C355*B355</f>
        <v>124563.59999999999</v>
      </c>
      <c r="E355" s="590">
        <f>(C355-C343)/C355</f>
        <v>-6.7146421587044956E-3</v>
      </c>
      <c r="F355" s="266">
        <f>D355/D359</f>
        <v>0.48422956234003312</v>
      </c>
      <c r="G355" s="282">
        <v>50</v>
      </c>
      <c r="H355" s="326">
        <v>0.12</v>
      </c>
      <c r="I355" s="542">
        <f>D355-D343</f>
        <v>-836.40000000000873</v>
      </c>
    </row>
    <row r="356" spans="1:16383" ht="16" hidden="1" outlineLevel="2" thickBot="1" x14ac:dyDescent="0.4">
      <c r="A356" s="295" t="s">
        <v>104</v>
      </c>
      <c r="B356" s="285">
        <v>153</v>
      </c>
      <c r="C356" s="286">
        <v>79.81</v>
      </c>
      <c r="D356" s="287">
        <f>C356*B356</f>
        <v>12210.93</v>
      </c>
      <c r="E356" s="296">
        <f>(C356-C344)/C356</f>
        <v>-6.5029444931712782E-2</v>
      </c>
      <c r="F356" s="266">
        <f>D356/D359</f>
        <v>4.746886963498792E-2</v>
      </c>
      <c r="G356" s="591">
        <v>39</v>
      </c>
      <c r="H356" s="326">
        <v>0.23</v>
      </c>
      <c r="I356" s="592">
        <f>D356-D344</f>
        <v>-794.06999999999971</v>
      </c>
    </row>
    <row r="357" spans="1:16383" ht="16" hidden="1" outlineLevel="2" thickBot="1" x14ac:dyDescent="0.4">
      <c r="A357" s="391" t="s">
        <v>7</v>
      </c>
      <c r="B357" s="392"/>
      <c r="C357" s="393"/>
      <c r="D357" s="394">
        <v>1639</v>
      </c>
      <c r="E357" s="593"/>
      <c r="F357" s="594">
        <f>SUM(F352:F356)</f>
        <v>0.98563991404162943</v>
      </c>
      <c r="G357" s="577">
        <f>AVERAGE(G352:G356)</f>
        <v>99.4</v>
      </c>
      <c r="H357" s="330">
        <f>AVERAGE(H352:H356)</f>
        <v>0.34800000000000003</v>
      </c>
      <c r="I357" s="418">
        <f>SUM(I352:I356)</f>
        <v>1152.2299999999959</v>
      </c>
    </row>
    <row r="358" spans="1:16383" ht="16" hidden="1" outlineLevel="2" thickBot="1" x14ac:dyDescent="0.4">
      <c r="A358" s="342" t="s">
        <v>60</v>
      </c>
      <c r="B358" s="350"/>
      <c r="C358" s="351"/>
      <c r="D358" s="352">
        <f>3055-1000</f>
        <v>2055</v>
      </c>
      <c r="E358" s="332"/>
    </row>
    <row r="359" spans="1:16383" s="149" customFormat="1" ht="19" hidden="1" outlineLevel="2" thickBot="1" x14ac:dyDescent="0.5">
      <c r="A359" s="582" t="s">
        <v>62</v>
      </c>
      <c r="B359" s="583"/>
      <c r="C359" s="584"/>
      <c r="D359" s="585">
        <f>SUM(D352:D358)</f>
        <v>257240.8</v>
      </c>
      <c r="E359" s="586">
        <f>D359-D347</f>
        <v>159.98999999999069</v>
      </c>
      <c r="F359" s="587">
        <f>(D359-D347)/D347</f>
        <v>6.2233349894918522E-4</v>
      </c>
      <c r="G359" s="574"/>
      <c r="H359" s="148"/>
      <c r="I359" s="148"/>
      <c r="J359" s="148"/>
    </row>
    <row r="360" spans="1:16383" hidden="1" outlineLevel="2" x14ac:dyDescent="0.35">
      <c r="J360" s="5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c r="AH360" s="95"/>
      <c r="AI360" s="95"/>
      <c r="AJ360" s="95"/>
      <c r="AK360" s="95"/>
      <c r="AL360" s="95"/>
      <c r="AM360" s="95"/>
      <c r="AN360" s="95"/>
      <c r="AO360" s="95"/>
      <c r="AP360" s="95"/>
      <c r="AQ360" s="95"/>
      <c r="AR360" s="95"/>
      <c r="AS360" s="95"/>
      <c r="AT360" s="95"/>
      <c r="AU360" s="95"/>
      <c r="AV360" s="95"/>
      <c r="AW360" s="95"/>
      <c r="AX360" s="95"/>
      <c r="AY360" s="95"/>
      <c r="AZ360" s="95"/>
      <c r="BA360" s="95"/>
      <c r="BB360" s="95"/>
      <c r="BC360" s="95"/>
      <c r="BD360" s="95"/>
      <c r="BE360" s="95"/>
      <c r="BF360" s="95"/>
      <c r="BG360" s="95"/>
      <c r="BH360" s="95"/>
      <c r="BI360" s="95"/>
      <c r="BJ360" s="95"/>
      <c r="BK360" s="95"/>
      <c r="BL360" s="95"/>
      <c r="BM360" s="95"/>
      <c r="BN360" s="95"/>
      <c r="BO360" s="95"/>
      <c r="BP360" s="95"/>
      <c r="BQ360" s="95"/>
      <c r="BR360" s="95"/>
      <c r="BS360" s="95"/>
      <c r="BT360" s="95"/>
      <c r="BU360" s="95"/>
      <c r="BV360" s="95"/>
      <c r="BW360" s="95"/>
      <c r="BX360" s="95"/>
      <c r="BY360" s="95"/>
      <c r="BZ360" s="95"/>
      <c r="CA360" s="95"/>
      <c r="CB360" s="95"/>
      <c r="CC360" s="95"/>
      <c r="CD360" s="95"/>
      <c r="CE360" s="95"/>
      <c r="CF360" s="95"/>
      <c r="CG360" s="95"/>
      <c r="CH360" s="95"/>
      <c r="CI360" s="95"/>
      <c r="CJ360" s="95"/>
      <c r="CK360" s="95"/>
      <c r="CL360" s="95"/>
      <c r="CM360" s="95"/>
      <c r="CN360" s="95"/>
      <c r="CO360" s="95"/>
      <c r="CP360" s="95"/>
      <c r="CQ360" s="95"/>
      <c r="CR360" s="95"/>
      <c r="CS360" s="95"/>
      <c r="CT360" s="95"/>
      <c r="CU360" s="95"/>
      <c r="CV360" s="95"/>
      <c r="CW360" s="95"/>
      <c r="CX360" s="95"/>
      <c r="CY360" s="95"/>
      <c r="CZ360" s="95"/>
      <c r="DA360" s="95"/>
      <c r="DB360" s="95"/>
      <c r="DC360" s="95"/>
      <c r="DD360" s="95"/>
      <c r="DE360" s="95"/>
      <c r="DF360" s="95"/>
      <c r="DG360" s="95"/>
      <c r="DH360" s="95"/>
      <c r="DI360" s="95"/>
      <c r="DJ360" s="95"/>
      <c r="DK360" s="95"/>
      <c r="DL360" s="95"/>
      <c r="DM360" s="95"/>
      <c r="DN360" s="95"/>
      <c r="DO360" s="95"/>
      <c r="DP360" s="95"/>
      <c r="DQ360" s="95"/>
      <c r="DR360" s="95"/>
      <c r="DS360" s="95"/>
      <c r="DT360" s="95"/>
      <c r="DU360" s="95"/>
      <c r="DV360" s="95"/>
      <c r="DW360" s="95"/>
      <c r="DX360" s="95"/>
      <c r="DY360" s="95"/>
      <c r="DZ360" s="95"/>
      <c r="EA360" s="95"/>
      <c r="EB360" s="95"/>
      <c r="EC360" s="95"/>
      <c r="ED360" s="95"/>
      <c r="EE360" s="95"/>
      <c r="EF360" s="95"/>
      <c r="EG360" s="95"/>
      <c r="EH360" s="95"/>
      <c r="EI360" s="95"/>
      <c r="EJ360" s="95"/>
      <c r="EK360" s="95"/>
      <c r="EL360" s="95"/>
      <c r="EM360" s="95"/>
      <c r="EN360" s="95"/>
      <c r="EO360" s="95"/>
      <c r="EP360" s="95"/>
      <c r="EQ360" s="95"/>
      <c r="ER360" s="95"/>
      <c r="ES360" s="95"/>
      <c r="ET360" s="95"/>
      <c r="EU360" s="95"/>
      <c r="EV360" s="95"/>
      <c r="EW360" s="95"/>
      <c r="EX360" s="95"/>
      <c r="EY360" s="95"/>
      <c r="EZ360" s="95"/>
      <c r="FA360" s="95"/>
      <c r="FB360" s="95"/>
      <c r="FC360" s="95"/>
      <c r="FD360" s="95"/>
      <c r="FE360" s="95"/>
      <c r="FF360" s="95"/>
      <c r="FG360" s="95"/>
      <c r="FH360" s="95"/>
      <c r="FI360" s="95"/>
      <c r="FJ360" s="95"/>
      <c r="FK360" s="95"/>
      <c r="FL360" s="95"/>
      <c r="FM360" s="95"/>
      <c r="FN360" s="95"/>
      <c r="FO360" s="95"/>
      <c r="FP360" s="95"/>
      <c r="FQ360" s="95"/>
      <c r="FR360" s="95"/>
    </row>
    <row r="361" spans="1:16383" hidden="1" outlineLevel="2" x14ac:dyDescent="0.35">
      <c r="A361" s="113" t="s">
        <v>25</v>
      </c>
      <c r="B361" s="248" t="s">
        <v>26</v>
      </c>
      <c r="C361" s="249" t="s">
        <v>27</v>
      </c>
      <c r="D361" s="250">
        <f>D349+7</f>
        <v>43001</v>
      </c>
      <c r="E361" s="321" t="s">
        <v>28</v>
      </c>
      <c r="F361" s="251" t="s">
        <v>101</v>
      </c>
      <c r="G361" s="252">
        <v>17555</v>
      </c>
      <c r="H361" s="253">
        <f>(C362-G361)/G361</f>
        <v>0.27314155511250354</v>
      </c>
      <c r="J361" s="596"/>
      <c r="K361" s="597"/>
      <c r="L361" s="597"/>
      <c r="M361" s="598"/>
      <c r="N361" s="598"/>
      <c r="O361" s="599"/>
      <c r="P361" s="595"/>
      <c r="Q361" s="600"/>
      <c r="R361" s="95"/>
      <c r="S361" s="596"/>
      <c r="T361" s="597"/>
      <c r="U361" s="597"/>
      <c r="V361" s="598"/>
      <c r="W361" s="598"/>
      <c r="X361" s="599"/>
      <c r="Y361" s="595"/>
      <c r="Z361" s="600"/>
      <c r="AA361" s="596"/>
      <c r="AB361" s="597"/>
      <c r="AC361" s="597"/>
      <c r="AD361" s="598"/>
      <c r="AE361" s="598"/>
      <c r="AF361" s="599"/>
      <c r="AG361" s="595"/>
      <c r="AH361" s="600"/>
      <c r="AI361" s="95"/>
      <c r="AJ361" s="596"/>
      <c r="AK361" s="597"/>
      <c r="AL361" s="597"/>
      <c r="AM361" s="598"/>
      <c r="AN361" s="598"/>
      <c r="AO361" s="599"/>
      <c r="AP361" s="595"/>
      <c r="AQ361" s="600"/>
      <c r="AR361" s="95"/>
      <c r="AS361" s="596"/>
      <c r="AT361" s="597"/>
      <c r="AU361" s="597"/>
      <c r="AV361" s="598"/>
      <c r="AW361" s="598"/>
      <c r="AX361" s="599"/>
      <c r="AY361" s="595"/>
      <c r="AZ361" s="600"/>
      <c r="BA361" s="95"/>
      <c r="BB361" s="596"/>
      <c r="BC361" s="597"/>
      <c r="BD361" s="597"/>
      <c r="BE361" s="598"/>
      <c r="BF361" s="598"/>
      <c r="BG361" s="599"/>
      <c r="BH361" s="595"/>
      <c r="BI361" s="600"/>
      <c r="BJ361" s="95"/>
      <c r="BK361" s="596"/>
      <c r="BL361" s="597"/>
      <c r="BM361" s="597"/>
      <c r="BN361" s="598"/>
      <c r="BO361" s="598"/>
      <c r="BP361" s="599"/>
      <c r="BQ361" s="595"/>
      <c r="BR361" s="600"/>
      <c r="BS361" s="95"/>
      <c r="BT361" s="596"/>
      <c r="BU361" s="597"/>
      <c r="BV361" s="597"/>
      <c r="BW361" s="598"/>
      <c r="BX361" s="598"/>
      <c r="BY361" s="599"/>
      <c r="BZ361" s="595"/>
      <c r="CA361" s="600"/>
      <c r="CB361" s="95"/>
      <c r="CC361" s="596"/>
      <c r="CD361" s="597"/>
      <c r="CE361" s="597"/>
      <c r="CF361" s="598"/>
      <c r="CG361" s="598"/>
      <c r="CH361" s="599"/>
      <c r="CI361" s="595"/>
      <c r="CJ361" s="600"/>
      <c r="CK361" s="95"/>
      <c r="CL361" s="596"/>
      <c r="CM361" s="597"/>
      <c r="CN361" s="597"/>
      <c r="CO361" s="598"/>
      <c r="CP361" s="598"/>
      <c r="CQ361" s="599"/>
      <c r="CR361" s="595"/>
      <c r="CS361" s="600"/>
      <c r="CT361" s="95"/>
      <c r="CU361" s="596"/>
      <c r="CV361" s="597"/>
      <c r="CW361" s="597"/>
      <c r="CX361" s="598"/>
      <c r="CY361" s="598"/>
      <c r="CZ361" s="599"/>
      <c r="DA361" s="595"/>
      <c r="DB361" s="600"/>
      <c r="DC361" s="95"/>
      <c r="DD361" s="596"/>
      <c r="DE361" s="597"/>
      <c r="DF361" s="597"/>
      <c r="DG361" s="598"/>
      <c r="DH361" s="598"/>
      <c r="DI361" s="599"/>
      <c r="DJ361" s="595"/>
      <c r="DK361" s="600"/>
      <c r="DL361" s="95"/>
      <c r="DM361" s="596"/>
      <c r="DN361" s="597"/>
      <c r="DO361" s="597"/>
      <c r="DP361" s="598"/>
      <c r="DQ361" s="598"/>
      <c r="DR361" s="599"/>
      <c r="DS361" s="595"/>
      <c r="DT361" s="600"/>
      <c r="DU361" s="95"/>
      <c r="DV361" s="596"/>
      <c r="DW361" s="597"/>
      <c r="DX361" s="597"/>
      <c r="DY361" s="598"/>
      <c r="DZ361" s="598"/>
      <c r="EA361" s="599"/>
      <c r="EB361" s="595"/>
      <c r="EC361" s="600"/>
      <c r="ED361" s="95"/>
      <c r="EE361" s="596"/>
      <c r="EF361" s="597"/>
      <c r="EG361" s="597"/>
      <c r="EH361" s="598"/>
      <c r="EI361" s="598"/>
      <c r="EJ361" s="599"/>
      <c r="EK361" s="595"/>
      <c r="EL361" s="600"/>
      <c r="EM361" s="95"/>
      <c r="EN361" s="596"/>
      <c r="EO361" s="597"/>
      <c r="EP361" s="597"/>
      <c r="EQ361" s="598"/>
      <c r="ER361" s="598"/>
      <c r="ES361" s="599"/>
      <c r="ET361" s="595"/>
      <c r="EU361" s="600"/>
      <c r="EV361" s="95"/>
      <c r="EW361" s="596"/>
      <c r="EX361" s="597"/>
      <c r="EY361" s="597"/>
      <c r="EZ361" s="598"/>
      <c r="FA361" s="598"/>
      <c r="FB361" s="599"/>
      <c r="FC361" s="595"/>
      <c r="FD361" s="600"/>
      <c r="FE361" s="95"/>
      <c r="FF361" s="596"/>
      <c r="FG361" s="597"/>
      <c r="FH361" s="597"/>
      <c r="FI361" s="598"/>
      <c r="FJ361" s="598"/>
      <c r="FK361" s="599"/>
      <c r="FL361" s="595"/>
      <c r="FM361" s="600"/>
      <c r="FN361" s="95"/>
      <c r="FO361" s="596"/>
      <c r="FP361" s="597"/>
      <c r="FQ361" s="597"/>
      <c r="FR361" s="598"/>
      <c r="FS361" s="601"/>
      <c r="FT361" s="117"/>
      <c r="FU361" s="118"/>
      <c r="FV361" s="440"/>
      <c r="FX361" s="602"/>
      <c r="FY361" s="603"/>
      <c r="FZ361" s="603"/>
      <c r="GA361" s="601"/>
      <c r="GB361" s="601"/>
      <c r="GC361" s="117"/>
      <c r="GD361" s="118"/>
      <c r="GE361" s="440"/>
      <c r="GG361" s="602"/>
      <c r="GH361" s="603"/>
      <c r="GI361" s="603"/>
      <c r="GJ361" s="601"/>
      <c r="GK361" s="601"/>
      <c r="GL361" s="117"/>
      <c r="GM361" s="118"/>
      <c r="GN361" s="440"/>
      <c r="GP361" s="602"/>
      <c r="GQ361" s="603"/>
      <c r="GR361" s="603"/>
      <c r="GS361" s="601"/>
      <c r="GT361" s="601"/>
      <c r="GU361" s="117"/>
      <c r="GV361" s="118"/>
      <c r="GW361" s="440"/>
      <c r="GY361" s="602"/>
      <c r="GZ361" s="603"/>
      <c r="HA361" s="603"/>
      <c r="HB361" s="601"/>
      <c r="HC361" s="601"/>
      <c r="HD361" s="117"/>
      <c r="HE361" s="118"/>
      <c r="HF361" s="440"/>
      <c r="HH361" s="602"/>
      <c r="HI361" s="603"/>
      <c r="HJ361" s="603"/>
      <c r="HK361" s="601"/>
      <c r="HL361" s="601"/>
      <c r="HM361" s="117"/>
      <c r="HN361" s="118"/>
      <c r="HO361" s="440"/>
      <c r="HQ361" s="602"/>
      <c r="HR361" s="603"/>
      <c r="HS361" s="603"/>
      <c r="HT361" s="601"/>
      <c r="HU361" s="601"/>
      <c r="HV361" s="117"/>
      <c r="HW361" s="118"/>
      <c r="HX361" s="440"/>
      <c r="HZ361" s="602"/>
      <c r="IA361" s="603"/>
      <c r="IB361" s="603"/>
      <c r="IC361" s="601"/>
      <c r="ID361" s="601"/>
      <c r="IE361" s="117"/>
      <c r="IF361" s="118"/>
      <c r="IG361" s="440"/>
      <c r="II361" s="602"/>
      <c r="IJ361" s="603"/>
      <c r="IK361" s="603"/>
      <c r="IL361" s="601"/>
      <c r="IM361" s="601"/>
      <c r="IN361" s="117"/>
      <c r="IO361" s="118"/>
      <c r="IP361" s="440"/>
      <c r="IR361" s="602"/>
      <c r="IS361" s="603"/>
      <c r="IT361" s="603"/>
      <c r="IU361" s="601"/>
      <c r="IV361" s="601"/>
      <c r="IW361" s="117"/>
      <c r="IX361" s="118"/>
      <c r="IY361" s="440"/>
      <c r="JA361" s="602"/>
      <c r="JB361" s="603"/>
      <c r="JC361" s="603"/>
      <c r="JD361" s="601"/>
      <c r="JE361" s="601"/>
      <c r="JF361" s="117"/>
      <c r="JG361" s="118"/>
      <c r="JH361" s="440"/>
      <c r="JJ361" s="602"/>
      <c r="JK361" s="603"/>
      <c r="JL361" s="603"/>
      <c r="JM361" s="601"/>
      <c r="JN361" s="601"/>
      <c r="JO361" s="117"/>
      <c r="JP361" s="118"/>
      <c r="JQ361" s="440"/>
      <c r="JS361" s="602"/>
      <c r="JT361" s="603"/>
      <c r="JU361" s="603"/>
      <c r="JV361" s="601"/>
      <c r="JW361" s="601"/>
      <c r="JX361" s="117"/>
      <c r="JY361" s="118"/>
      <c r="JZ361" s="440"/>
      <c r="KB361" s="602"/>
      <c r="KC361" s="603"/>
      <c r="KD361" s="603"/>
      <c r="KE361" s="601"/>
      <c r="KF361" s="601"/>
      <c r="KG361" s="117"/>
      <c r="KH361" s="118"/>
      <c r="KI361" s="440"/>
      <c r="KK361" s="602"/>
      <c r="KL361" s="603"/>
      <c r="KM361" s="603"/>
      <c r="KN361" s="601"/>
      <c r="KO361" s="601"/>
      <c r="KP361" s="117"/>
      <c r="KQ361" s="118"/>
      <c r="KR361" s="440"/>
      <c r="KT361" s="602"/>
      <c r="KU361" s="603"/>
      <c r="KV361" s="603"/>
      <c r="KW361" s="601"/>
      <c r="KX361" s="601"/>
      <c r="KY361" s="117"/>
      <c r="KZ361" s="118"/>
      <c r="LA361" s="440"/>
      <c r="LC361" s="602"/>
      <c r="LD361" s="603"/>
      <c r="LE361" s="603"/>
      <c r="LF361" s="601"/>
      <c r="LG361" s="601"/>
      <c r="LH361" s="117"/>
      <c r="LI361" s="118"/>
      <c r="LJ361" s="440"/>
      <c r="LL361" s="602"/>
      <c r="LM361" s="603"/>
      <c r="LN361" s="603"/>
      <c r="LO361" s="601"/>
      <c r="LP361" s="601"/>
      <c r="LQ361" s="117"/>
      <c r="LR361" s="118"/>
      <c r="LS361" s="440"/>
      <c r="LU361" s="602"/>
      <c r="LV361" s="603"/>
      <c r="LW361" s="603"/>
      <c r="LX361" s="601"/>
      <c r="LY361" s="601"/>
      <c r="LZ361" s="117"/>
      <c r="MA361" s="118"/>
      <c r="MB361" s="440"/>
      <c r="MD361" s="602"/>
      <c r="ME361" s="603"/>
      <c r="MF361" s="603"/>
      <c r="MG361" s="601"/>
      <c r="MH361" s="601"/>
      <c r="MI361" s="117"/>
      <c r="MJ361" s="118"/>
      <c r="MK361" s="440"/>
      <c r="MM361" s="602"/>
      <c r="MN361" s="603"/>
      <c r="MO361" s="603"/>
      <c r="MP361" s="601"/>
      <c r="MQ361" s="601"/>
      <c r="MR361" s="117"/>
      <c r="MS361" s="118"/>
      <c r="MT361" s="440"/>
      <c r="MV361" s="602"/>
      <c r="MW361" s="603"/>
      <c r="MX361" s="603"/>
      <c r="MY361" s="601"/>
      <c r="MZ361" s="601"/>
      <c r="NA361" s="117"/>
      <c r="NB361" s="118"/>
      <c r="NC361" s="440"/>
      <c r="NE361" s="602"/>
      <c r="NF361" s="603"/>
      <c r="NG361" s="603"/>
      <c r="NH361" s="601"/>
      <c r="NI361" s="601"/>
      <c r="NJ361" s="117"/>
      <c r="NK361" s="118"/>
      <c r="NL361" s="440"/>
      <c r="NN361" s="602"/>
      <c r="NO361" s="603"/>
      <c r="NP361" s="603"/>
      <c r="NQ361" s="601"/>
      <c r="NR361" s="601"/>
      <c r="NS361" s="117"/>
      <c r="NT361" s="118"/>
      <c r="NU361" s="440"/>
      <c r="NW361" s="602"/>
      <c r="NX361" s="603"/>
      <c r="NY361" s="603"/>
      <c r="NZ361" s="601"/>
      <c r="OA361" s="601"/>
      <c r="OB361" s="117"/>
      <c r="OC361" s="118"/>
      <c r="OD361" s="440"/>
      <c r="OF361" s="602"/>
      <c r="OG361" s="603"/>
      <c r="OH361" s="603"/>
      <c r="OI361" s="601"/>
      <c r="OJ361" s="601"/>
      <c r="OK361" s="117"/>
      <c r="OL361" s="118"/>
      <c r="OM361" s="440"/>
      <c r="OO361" s="602"/>
      <c r="OP361" s="603"/>
      <c r="OQ361" s="603"/>
      <c r="OR361" s="601"/>
      <c r="OS361" s="601"/>
      <c r="OT361" s="117"/>
      <c r="OU361" s="118"/>
      <c r="OV361" s="440"/>
      <c r="OX361" s="602"/>
      <c r="OY361" s="603"/>
      <c r="OZ361" s="603"/>
      <c r="PA361" s="601"/>
      <c r="PB361" s="601"/>
      <c r="PC361" s="117"/>
      <c r="PD361" s="118"/>
      <c r="PE361" s="440"/>
      <c r="PG361" s="602"/>
      <c r="PH361" s="603"/>
      <c r="PI361" s="603"/>
      <c r="PJ361" s="601"/>
      <c r="PK361" s="601"/>
      <c r="PL361" s="117"/>
      <c r="PM361" s="118"/>
      <c r="PN361" s="440"/>
      <c r="PP361" s="602"/>
      <c r="PQ361" s="603"/>
      <c r="PR361" s="603"/>
      <c r="PS361" s="601"/>
      <c r="PT361" s="601"/>
      <c r="PU361" s="117"/>
      <c r="PV361" s="118"/>
      <c r="PW361" s="440"/>
      <c r="PY361" s="602"/>
      <c r="PZ361" s="603"/>
      <c r="QA361" s="603"/>
      <c r="QB361" s="601"/>
      <c r="QC361" s="601"/>
      <c r="QD361" s="117"/>
      <c r="QE361" s="118"/>
      <c r="QF361" s="440"/>
      <c r="QH361" s="602"/>
      <c r="QI361" s="603"/>
      <c r="QJ361" s="603"/>
      <c r="QK361" s="601"/>
      <c r="QL361" s="601"/>
      <c r="QM361" s="117"/>
      <c r="QN361" s="118"/>
      <c r="QO361" s="440"/>
      <c r="QQ361" s="602"/>
      <c r="QR361" s="603"/>
      <c r="QS361" s="603"/>
      <c r="QT361" s="601"/>
      <c r="QU361" s="601"/>
      <c r="QV361" s="117"/>
      <c r="QW361" s="118"/>
      <c r="QX361" s="440"/>
      <c r="QZ361" s="602"/>
      <c r="RA361" s="603"/>
      <c r="RB361" s="603"/>
      <c r="RC361" s="601"/>
      <c r="RD361" s="601"/>
      <c r="RE361" s="117"/>
      <c r="RF361" s="118"/>
      <c r="RG361" s="440"/>
      <c r="RI361" s="602"/>
      <c r="RJ361" s="603"/>
      <c r="RK361" s="603"/>
      <c r="RL361" s="601"/>
      <c r="RM361" s="601"/>
      <c r="RN361" s="117"/>
      <c r="RO361" s="118"/>
      <c r="RP361" s="440"/>
      <c r="RR361" s="602"/>
      <c r="RS361" s="603"/>
      <c r="RT361" s="603"/>
      <c r="RU361" s="601"/>
      <c r="RV361" s="601"/>
      <c r="RW361" s="117"/>
      <c r="RX361" s="118"/>
      <c r="RY361" s="440"/>
      <c r="SA361" s="602"/>
      <c r="SB361" s="603"/>
      <c r="SC361" s="603"/>
      <c r="SD361" s="601"/>
      <c r="SE361" s="601"/>
      <c r="SF361" s="117"/>
      <c r="SG361" s="118"/>
      <c r="SH361" s="440"/>
      <c r="SJ361" s="602"/>
      <c r="SK361" s="603"/>
      <c r="SL361" s="603"/>
      <c r="SM361" s="601"/>
      <c r="SN361" s="601"/>
      <c r="SO361" s="117"/>
      <c r="SP361" s="118"/>
      <c r="SQ361" s="440"/>
      <c r="SS361" s="602"/>
      <c r="ST361" s="603"/>
      <c r="SU361" s="603"/>
      <c r="SV361" s="601"/>
      <c r="SW361" s="601"/>
      <c r="SX361" s="117"/>
      <c r="SY361" s="118"/>
      <c r="SZ361" s="440"/>
      <c r="TB361" s="602"/>
      <c r="TC361" s="603"/>
      <c r="TD361" s="603"/>
      <c r="TE361" s="601"/>
      <c r="TF361" s="601"/>
      <c r="TG361" s="117"/>
      <c r="TH361" s="118"/>
      <c r="TI361" s="440"/>
      <c r="TK361" s="602"/>
      <c r="TL361" s="603"/>
      <c r="TM361" s="603"/>
      <c r="TN361" s="601"/>
      <c r="TO361" s="601"/>
      <c r="TP361" s="117"/>
      <c r="TQ361" s="118"/>
      <c r="TR361" s="440"/>
      <c r="TT361" s="602"/>
      <c r="TU361" s="603"/>
      <c r="TV361" s="603"/>
      <c r="TW361" s="601"/>
      <c r="TX361" s="601"/>
      <c r="TY361" s="117"/>
      <c r="TZ361" s="118"/>
      <c r="UA361" s="440"/>
      <c r="UC361" s="602"/>
      <c r="UD361" s="603"/>
      <c r="UE361" s="603"/>
      <c r="UF361" s="601"/>
      <c r="UG361" s="601"/>
      <c r="UH361" s="117"/>
      <c r="UI361" s="118"/>
      <c r="UJ361" s="440"/>
      <c r="UL361" s="602"/>
      <c r="UM361" s="603"/>
      <c r="UN361" s="603"/>
      <c r="UO361" s="601"/>
      <c r="UP361" s="601"/>
      <c r="UQ361" s="117"/>
      <c r="UR361" s="118"/>
      <c r="US361" s="440"/>
      <c r="UU361" s="602"/>
      <c r="UV361" s="603"/>
      <c r="UW361" s="603"/>
      <c r="UX361" s="601"/>
      <c r="UY361" s="601"/>
      <c r="UZ361" s="117"/>
      <c r="VA361" s="118"/>
      <c r="VB361" s="440"/>
      <c r="VD361" s="602"/>
      <c r="VE361" s="603"/>
      <c r="VF361" s="603"/>
      <c r="VG361" s="601"/>
      <c r="VH361" s="601"/>
      <c r="VI361" s="117"/>
      <c r="VJ361" s="118"/>
      <c r="VK361" s="440"/>
      <c r="VM361" s="602"/>
      <c r="VN361" s="603"/>
      <c r="VO361" s="603"/>
      <c r="VP361" s="601"/>
      <c r="VQ361" s="601"/>
      <c r="VR361" s="117"/>
      <c r="VS361" s="118"/>
      <c r="VT361" s="440"/>
      <c r="VV361" s="602"/>
      <c r="VW361" s="603"/>
      <c r="VX361" s="603"/>
      <c r="VY361" s="601"/>
      <c r="VZ361" s="601"/>
      <c r="WA361" s="117"/>
      <c r="WB361" s="118"/>
      <c r="WC361" s="440"/>
      <c r="WE361" s="602"/>
      <c r="WF361" s="603"/>
      <c r="WG361" s="603"/>
      <c r="WH361" s="601"/>
      <c r="WI361" s="601"/>
      <c r="WJ361" s="117"/>
      <c r="WK361" s="118"/>
      <c r="WL361" s="440"/>
      <c r="WN361" s="602"/>
      <c r="WO361" s="603"/>
      <c r="WP361" s="603"/>
      <c r="WQ361" s="601"/>
      <c r="WR361" s="601"/>
      <c r="WS361" s="117"/>
      <c r="WT361" s="118"/>
      <c r="WU361" s="440"/>
      <c r="WW361" s="602"/>
      <c r="WX361" s="603"/>
      <c r="WY361" s="603"/>
      <c r="WZ361" s="601"/>
      <c r="XA361" s="601"/>
      <c r="XB361" s="117"/>
      <c r="XC361" s="118"/>
      <c r="XD361" s="440"/>
      <c r="XF361" s="602"/>
      <c r="XG361" s="603"/>
      <c r="XH361" s="603"/>
      <c r="XI361" s="601"/>
      <c r="XJ361" s="601"/>
      <c r="XK361" s="117"/>
      <c r="XL361" s="118"/>
      <c r="XM361" s="440"/>
      <c r="XO361" s="602"/>
      <c r="XP361" s="603"/>
      <c r="XQ361" s="603"/>
      <c r="XR361" s="601"/>
      <c r="XS361" s="601"/>
      <c r="XT361" s="117"/>
      <c r="XU361" s="118"/>
      <c r="XV361" s="440"/>
      <c r="XX361" s="602"/>
      <c r="XY361" s="603"/>
      <c r="XZ361" s="603"/>
      <c r="YA361" s="601"/>
      <c r="YB361" s="601"/>
      <c r="YC361" s="117"/>
      <c r="YD361" s="118"/>
      <c r="YE361" s="440"/>
      <c r="YG361" s="602"/>
      <c r="YH361" s="603"/>
      <c r="YI361" s="603"/>
      <c r="YJ361" s="601"/>
      <c r="YK361" s="601"/>
      <c r="YL361" s="117"/>
      <c r="YM361" s="118"/>
      <c r="YN361" s="440"/>
      <c r="YP361" s="602"/>
      <c r="YQ361" s="603"/>
      <c r="YR361" s="603"/>
      <c r="YS361" s="601"/>
      <c r="YT361" s="601"/>
      <c r="YU361" s="117"/>
      <c r="YV361" s="118"/>
      <c r="YW361" s="440"/>
      <c r="YY361" s="602"/>
      <c r="YZ361" s="603"/>
      <c r="ZA361" s="603"/>
      <c r="ZB361" s="601"/>
      <c r="ZC361" s="601"/>
      <c r="ZD361" s="117"/>
      <c r="ZE361" s="118"/>
      <c r="ZF361" s="440"/>
      <c r="ZH361" s="602"/>
      <c r="ZI361" s="603"/>
      <c r="ZJ361" s="603"/>
      <c r="ZK361" s="601"/>
      <c r="ZL361" s="601"/>
      <c r="ZM361" s="117"/>
      <c r="ZN361" s="118"/>
      <c r="ZO361" s="440"/>
      <c r="ZQ361" s="602"/>
      <c r="ZR361" s="603"/>
      <c r="ZS361" s="603"/>
      <c r="ZT361" s="601"/>
      <c r="ZU361" s="601"/>
      <c r="ZV361" s="117"/>
      <c r="ZW361" s="118"/>
      <c r="ZX361" s="440"/>
      <c r="ZZ361" s="602"/>
      <c r="AAA361" s="603"/>
      <c r="AAB361" s="603"/>
      <c r="AAC361" s="601"/>
      <c r="AAD361" s="601"/>
      <c r="AAE361" s="117"/>
      <c r="AAF361" s="118"/>
      <c r="AAG361" s="440"/>
      <c r="AAI361" s="602"/>
      <c r="AAJ361" s="603"/>
      <c r="AAK361" s="603"/>
      <c r="AAL361" s="601"/>
      <c r="AAM361" s="601"/>
      <c r="AAN361" s="117"/>
      <c r="AAO361" s="118"/>
      <c r="AAP361" s="440"/>
      <c r="AAR361" s="602"/>
      <c r="AAS361" s="603"/>
      <c r="AAT361" s="603"/>
      <c r="AAU361" s="601"/>
      <c r="AAV361" s="601"/>
      <c r="AAW361" s="117"/>
      <c r="AAX361" s="118"/>
      <c r="AAY361" s="440"/>
      <c r="ABA361" s="602"/>
      <c r="ABB361" s="603"/>
      <c r="ABC361" s="603"/>
      <c r="ABD361" s="601"/>
      <c r="ABE361" s="601"/>
      <c r="ABF361" s="117"/>
      <c r="ABG361" s="118"/>
      <c r="ABH361" s="440"/>
      <c r="ABJ361" s="602"/>
      <c r="ABK361" s="603"/>
      <c r="ABL361" s="603"/>
      <c r="ABM361" s="601"/>
      <c r="ABN361" s="601"/>
      <c r="ABO361" s="117"/>
      <c r="ABP361" s="118"/>
      <c r="ABQ361" s="440"/>
      <c r="ABS361" s="602"/>
      <c r="ABT361" s="603"/>
      <c r="ABU361" s="603"/>
      <c r="ABV361" s="601"/>
      <c r="ABW361" s="601"/>
      <c r="ABX361" s="117"/>
      <c r="ABY361" s="118"/>
      <c r="ABZ361" s="440"/>
      <c r="ACB361" s="602"/>
      <c r="ACC361" s="603"/>
      <c r="ACD361" s="603"/>
      <c r="ACE361" s="601"/>
      <c r="ACF361" s="601"/>
      <c r="ACG361" s="117"/>
      <c r="ACH361" s="118"/>
      <c r="ACI361" s="440"/>
      <c r="ACK361" s="602"/>
      <c r="ACL361" s="603"/>
      <c r="ACM361" s="603"/>
      <c r="ACN361" s="601"/>
      <c r="ACO361" s="601"/>
      <c r="ACP361" s="117"/>
      <c r="ACQ361" s="118"/>
      <c r="ACR361" s="440"/>
      <c r="ACT361" s="602"/>
      <c r="ACU361" s="603"/>
      <c r="ACV361" s="603"/>
      <c r="ACW361" s="601"/>
      <c r="ACX361" s="601"/>
      <c r="ACY361" s="117"/>
      <c r="ACZ361" s="118"/>
      <c r="ADA361" s="440"/>
      <c r="ADC361" s="602"/>
      <c r="ADD361" s="603"/>
      <c r="ADE361" s="603"/>
      <c r="ADF361" s="601"/>
      <c r="ADG361" s="601"/>
      <c r="ADH361" s="117"/>
      <c r="ADI361" s="118"/>
      <c r="ADJ361" s="440"/>
      <c r="ADL361" s="602"/>
      <c r="ADM361" s="603"/>
      <c r="ADN361" s="603"/>
      <c r="ADO361" s="601"/>
      <c r="ADP361" s="601"/>
      <c r="ADQ361" s="117"/>
      <c r="ADR361" s="118"/>
      <c r="ADS361" s="440"/>
      <c r="ADU361" s="602"/>
      <c r="ADV361" s="603"/>
      <c r="ADW361" s="603"/>
      <c r="ADX361" s="601"/>
      <c r="ADY361" s="601"/>
      <c r="ADZ361" s="117"/>
      <c r="AEA361" s="118"/>
      <c r="AEB361" s="440"/>
      <c r="AED361" s="602"/>
      <c r="AEE361" s="603"/>
      <c r="AEF361" s="603"/>
      <c r="AEG361" s="601"/>
      <c r="AEH361" s="601"/>
      <c r="AEI361" s="117"/>
      <c r="AEJ361" s="118"/>
      <c r="AEK361" s="440"/>
      <c r="AEM361" s="602"/>
      <c r="AEN361" s="603"/>
      <c r="AEO361" s="603"/>
      <c r="AEP361" s="601"/>
      <c r="AEQ361" s="601"/>
      <c r="AER361" s="117"/>
      <c r="AES361" s="118"/>
      <c r="AET361" s="440"/>
      <c r="AEV361" s="602"/>
      <c r="AEW361" s="603"/>
      <c r="AEX361" s="603"/>
      <c r="AEY361" s="601"/>
      <c r="AEZ361" s="601"/>
      <c r="AFA361" s="117"/>
      <c r="AFB361" s="118"/>
      <c r="AFC361" s="440"/>
      <c r="AFE361" s="602"/>
      <c r="AFF361" s="603"/>
      <c r="AFG361" s="603"/>
      <c r="AFH361" s="601"/>
      <c r="AFI361" s="601"/>
      <c r="AFJ361" s="117"/>
      <c r="AFK361" s="118"/>
      <c r="AFL361" s="440"/>
      <c r="AFN361" s="602"/>
      <c r="AFO361" s="603"/>
      <c r="AFP361" s="603"/>
      <c r="AFQ361" s="601"/>
      <c r="AFR361" s="601"/>
      <c r="AFS361" s="117"/>
      <c r="AFT361" s="118"/>
      <c r="AFU361" s="440"/>
      <c r="AFW361" s="602"/>
      <c r="AFX361" s="603"/>
      <c r="AFY361" s="603"/>
      <c r="AFZ361" s="601"/>
      <c r="AGA361" s="601"/>
      <c r="AGB361" s="117"/>
      <c r="AGC361" s="118"/>
      <c r="AGD361" s="440"/>
      <c r="AGF361" s="602"/>
      <c r="AGG361" s="603"/>
      <c r="AGH361" s="603"/>
      <c r="AGI361" s="601"/>
      <c r="AGJ361" s="601"/>
      <c r="AGK361" s="117"/>
      <c r="AGL361" s="118"/>
      <c r="AGM361" s="440"/>
      <c r="AGO361" s="602"/>
      <c r="AGP361" s="603"/>
      <c r="AGQ361" s="603"/>
      <c r="AGR361" s="601"/>
      <c r="AGS361" s="601"/>
      <c r="AGT361" s="117"/>
      <c r="AGU361" s="118"/>
      <c r="AGV361" s="440"/>
      <c r="AGX361" s="602"/>
      <c r="AGY361" s="603"/>
      <c r="AGZ361" s="603"/>
      <c r="AHA361" s="601"/>
      <c r="AHB361" s="601"/>
      <c r="AHC361" s="117"/>
      <c r="AHD361" s="118"/>
      <c r="AHE361" s="440"/>
      <c r="AHG361" s="602"/>
      <c r="AHH361" s="603"/>
      <c r="AHI361" s="603"/>
      <c r="AHJ361" s="601"/>
      <c r="AHK361" s="601"/>
      <c r="AHL361" s="117"/>
      <c r="AHM361" s="118"/>
      <c r="AHN361" s="440"/>
      <c r="AHP361" s="602"/>
      <c r="AHQ361" s="603"/>
      <c r="AHR361" s="603"/>
      <c r="AHS361" s="601"/>
      <c r="AHT361" s="601"/>
      <c r="AHU361" s="117"/>
      <c r="AHV361" s="118"/>
      <c r="AHW361" s="440"/>
      <c r="AHY361" s="602"/>
      <c r="AHZ361" s="603"/>
      <c r="AIA361" s="603"/>
      <c r="AIB361" s="601"/>
      <c r="AIC361" s="601"/>
      <c r="AID361" s="117"/>
      <c r="AIE361" s="118"/>
      <c r="AIF361" s="440"/>
      <c r="AIH361" s="602"/>
      <c r="AII361" s="603"/>
      <c r="AIJ361" s="603"/>
      <c r="AIK361" s="601"/>
      <c r="AIL361" s="601"/>
      <c r="AIM361" s="117"/>
      <c r="AIN361" s="118"/>
      <c r="AIO361" s="440"/>
      <c r="AIQ361" s="602"/>
      <c r="AIR361" s="603"/>
      <c r="AIS361" s="603"/>
      <c r="AIT361" s="601"/>
      <c r="AIU361" s="601"/>
      <c r="AIV361" s="117"/>
      <c r="AIW361" s="118"/>
      <c r="AIX361" s="440"/>
      <c r="AIZ361" s="602"/>
      <c r="AJA361" s="603"/>
      <c r="AJB361" s="603"/>
      <c r="AJC361" s="601"/>
      <c r="AJD361" s="601"/>
      <c r="AJE361" s="117"/>
      <c r="AJF361" s="118"/>
      <c r="AJG361" s="440"/>
      <c r="AJI361" s="602"/>
      <c r="AJJ361" s="603"/>
      <c r="AJK361" s="603"/>
      <c r="AJL361" s="601"/>
      <c r="AJM361" s="601"/>
      <c r="AJN361" s="117"/>
      <c r="AJO361" s="118"/>
      <c r="AJP361" s="440"/>
      <c r="AJR361" s="602"/>
      <c r="AJS361" s="603"/>
      <c r="AJT361" s="603"/>
      <c r="AJU361" s="601"/>
      <c r="AJV361" s="601"/>
      <c r="AJW361" s="117"/>
      <c r="AJX361" s="118"/>
      <c r="AJY361" s="440"/>
      <c r="AKA361" s="602"/>
      <c r="AKB361" s="603"/>
      <c r="AKC361" s="603"/>
      <c r="AKD361" s="601"/>
      <c r="AKE361" s="601"/>
      <c r="AKF361" s="117"/>
      <c r="AKG361" s="118"/>
      <c r="AKH361" s="440"/>
      <c r="AKJ361" s="602"/>
      <c r="AKK361" s="603"/>
      <c r="AKL361" s="603"/>
      <c r="AKM361" s="601"/>
      <c r="AKN361" s="601"/>
      <c r="AKO361" s="117"/>
      <c r="AKP361" s="118"/>
      <c r="AKQ361" s="440"/>
      <c r="AKS361" s="602"/>
      <c r="AKT361" s="603"/>
      <c r="AKU361" s="603"/>
      <c r="AKV361" s="601"/>
      <c r="AKW361" s="601"/>
      <c r="AKX361" s="117"/>
      <c r="AKY361" s="118"/>
      <c r="AKZ361" s="440"/>
      <c r="ALB361" s="602"/>
      <c r="ALC361" s="603"/>
      <c r="ALD361" s="603"/>
      <c r="ALE361" s="601"/>
      <c r="ALF361" s="601"/>
      <c r="ALG361" s="117"/>
      <c r="ALH361" s="118"/>
      <c r="ALI361" s="440"/>
      <c r="ALK361" s="602"/>
      <c r="ALL361" s="603"/>
      <c r="ALM361" s="603"/>
      <c r="ALN361" s="601"/>
      <c r="ALO361" s="601"/>
      <c r="ALP361" s="117"/>
      <c r="ALQ361" s="118"/>
      <c r="ALR361" s="440"/>
      <c r="ALT361" s="602"/>
      <c r="ALU361" s="603"/>
      <c r="ALV361" s="603"/>
      <c r="ALW361" s="601"/>
      <c r="ALX361" s="601"/>
      <c r="ALY361" s="117"/>
      <c r="ALZ361" s="118"/>
      <c r="AMA361" s="440"/>
      <c r="AMC361" s="602"/>
      <c r="AMD361" s="603"/>
      <c r="AME361" s="603"/>
      <c r="AMF361" s="601"/>
      <c r="AMG361" s="601"/>
      <c r="AMH361" s="117"/>
      <c r="AMI361" s="118"/>
      <c r="AMJ361" s="440"/>
      <c r="AML361" s="602"/>
      <c r="AMM361" s="603"/>
      <c r="AMN361" s="603"/>
      <c r="AMO361" s="601"/>
      <c r="AMP361" s="601"/>
      <c r="AMQ361" s="117"/>
      <c r="AMR361" s="118"/>
      <c r="AMS361" s="440"/>
      <c r="AMU361" s="602"/>
      <c r="AMV361" s="603"/>
      <c r="AMW361" s="603"/>
      <c r="AMX361" s="601"/>
      <c r="AMY361" s="601"/>
      <c r="AMZ361" s="117"/>
      <c r="ANA361" s="118"/>
      <c r="ANB361" s="440"/>
      <c r="AND361" s="602"/>
      <c r="ANE361" s="603"/>
      <c r="ANF361" s="603"/>
      <c r="ANG361" s="601"/>
      <c r="ANH361" s="601"/>
      <c r="ANI361" s="117"/>
      <c r="ANJ361" s="118"/>
      <c r="ANK361" s="440"/>
      <c r="ANM361" s="602"/>
      <c r="ANN361" s="603"/>
      <c r="ANO361" s="603"/>
      <c r="ANP361" s="601"/>
      <c r="ANQ361" s="601"/>
      <c r="ANR361" s="117"/>
      <c r="ANS361" s="118"/>
      <c r="ANT361" s="440"/>
      <c r="ANV361" s="602"/>
      <c r="ANW361" s="603"/>
      <c r="ANX361" s="603"/>
      <c r="ANY361" s="601"/>
      <c r="ANZ361" s="601"/>
      <c r="AOA361" s="117"/>
      <c r="AOB361" s="118"/>
      <c r="AOC361" s="440"/>
      <c r="AOE361" s="602"/>
      <c r="AOF361" s="603"/>
      <c r="AOG361" s="603"/>
      <c r="AOH361" s="601"/>
      <c r="AOI361" s="601"/>
      <c r="AOJ361" s="117"/>
      <c r="AOK361" s="118"/>
      <c r="AOL361" s="440"/>
      <c r="AON361" s="602"/>
      <c r="AOO361" s="603"/>
      <c r="AOP361" s="603"/>
      <c r="AOQ361" s="601"/>
      <c r="AOR361" s="601"/>
      <c r="AOS361" s="117"/>
      <c r="AOT361" s="118"/>
      <c r="AOU361" s="440"/>
      <c r="AOW361" s="602"/>
      <c r="AOX361" s="603"/>
      <c r="AOY361" s="603"/>
      <c r="AOZ361" s="601"/>
      <c r="APA361" s="601"/>
      <c r="APB361" s="117"/>
      <c r="APC361" s="118"/>
      <c r="APD361" s="440"/>
      <c r="APF361" s="602"/>
      <c r="APG361" s="603"/>
      <c r="APH361" s="603"/>
      <c r="API361" s="601"/>
      <c r="APJ361" s="601"/>
      <c r="APK361" s="117"/>
      <c r="APL361" s="118"/>
      <c r="APM361" s="440"/>
      <c r="APO361" s="602"/>
      <c r="APP361" s="603"/>
      <c r="APQ361" s="603"/>
      <c r="APR361" s="601"/>
      <c r="APS361" s="601"/>
      <c r="APT361" s="117"/>
      <c r="APU361" s="118"/>
      <c r="APV361" s="440"/>
      <c r="APX361" s="602"/>
      <c r="APY361" s="603"/>
      <c r="APZ361" s="603"/>
      <c r="AQA361" s="601"/>
      <c r="AQB361" s="601"/>
      <c r="AQC361" s="117"/>
      <c r="AQD361" s="118"/>
      <c r="AQE361" s="440"/>
      <c r="AQG361" s="602"/>
      <c r="AQH361" s="603"/>
      <c r="AQI361" s="603"/>
      <c r="AQJ361" s="601"/>
      <c r="AQK361" s="601"/>
      <c r="AQL361" s="117"/>
      <c r="AQM361" s="118"/>
      <c r="AQN361" s="440"/>
      <c r="AQP361" s="602"/>
      <c r="AQQ361" s="603"/>
      <c r="AQR361" s="603"/>
      <c r="AQS361" s="601"/>
      <c r="AQT361" s="601"/>
      <c r="AQU361" s="117"/>
      <c r="AQV361" s="118"/>
      <c r="AQW361" s="440"/>
      <c r="AQY361" s="602"/>
      <c r="AQZ361" s="603"/>
      <c r="ARA361" s="603"/>
      <c r="ARB361" s="601"/>
      <c r="ARC361" s="601"/>
      <c r="ARD361" s="117"/>
      <c r="ARE361" s="118"/>
      <c r="ARF361" s="440"/>
      <c r="ARH361" s="602"/>
      <c r="ARI361" s="603"/>
      <c r="ARJ361" s="603"/>
      <c r="ARK361" s="601"/>
      <c r="ARL361" s="601"/>
      <c r="ARM361" s="117"/>
      <c r="ARN361" s="118"/>
      <c r="ARO361" s="440"/>
      <c r="ARQ361" s="602"/>
      <c r="ARR361" s="603"/>
      <c r="ARS361" s="603"/>
      <c r="ART361" s="601"/>
      <c r="ARU361" s="601"/>
      <c r="ARV361" s="117"/>
      <c r="ARW361" s="118"/>
      <c r="ARX361" s="440"/>
      <c r="ARZ361" s="602"/>
      <c r="ASA361" s="603"/>
      <c r="ASB361" s="603"/>
      <c r="ASC361" s="601"/>
      <c r="ASD361" s="601"/>
      <c r="ASE361" s="117"/>
      <c r="ASF361" s="118"/>
      <c r="ASG361" s="440"/>
      <c r="ASI361" s="602"/>
      <c r="ASJ361" s="603"/>
      <c r="ASK361" s="603"/>
      <c r="ASL361" s="601"/>
      <c r="ASM361" s="601"/>
      <c r="ASN361" s="117"/>
      <c r="ASO361" s="118"/>
      <c r="ASP361" s="440"/>
      <c r="ASR361" s="602"/>
      <c r="ASS361" s="603"/>
      <c r="AST361" s="603"/>
      <c r="ASU361" s="601"/>
      <c r="ASV361" s="601"/>
      <c r="ASW361" s="117"/>
      <c r="ASX361" s="118"/>
      <c r="ASY361" s="440"/>
      <c r="ATA361" s="602"/>
      <c r="ATB361" s="603"/>
      <c r="ATC361" s="603"/>
      <c r="ATD361" s="601"/>
      <c r="ATE361" s="601"/>
      <c r="ATF361" s="117"/>
      <c r="ATG361" s="118"/>
      <c r="ATH361" s="440"/>
      <c r="ATJ361" s="602"/>
      <c r="ATK361" s="603"/>
      <c r="ATL361" s="603"/>
      <c r="ATM361" s="601"/>
      <c r="ATN361" s="601"/>
      <c r="ATO361" s="117"/>
      <c r="ATP361" s="118"/>
      <c r="ATQ361" s="440"/>
      <c r="ATS361" s="602"/>
      <c r="ATT361" s="603"/>
      <c r="ATU361" s="603"/>
      <c r="ATV361" s="601"/>
      <c r="ATW361" s="601"/>
      <c r="ATX361" s="117"/>
      <c r="ATY361" s="118"/>
      <c r="ATZ361" s="440"/>
      <c r="AUB361" s="602"/>
      <c r="AUC361" s="603"/>
      <c r="AUD361" s="603"/>
      <c r="AUE361" s="601"/>
      <c r="AUF361" s="601"/>
      <c r="AUG361" s="117"/>
      <c r="AUH361" s="118"/>
      <c r="AUI361" s="440"/>
      <c r="AUK361" s="602"/>
      <c r="AUL361" s="603"/>
      <c r="AUM361" s="603"/>
      <c r="AUN361" s="601"/>
      <c r="AUO361" s="601"/>
      <c r="AUP361" s="117"/>
      <c r="AUQ361" s="118"/>
      <c r="AUR361" s="440"/>
      <c r="AUT361" s="602"/>
      <c r="AUU361" s="603"/>
      <c r="AUV361" s="603"/>
      <c r="AUW361" s="601"/>
      <c r="AUX361" s="601"/>
      <c r="AUY361" s="117"/>
      <c r="AUZ361" s="118"/>
      <c r="AVA361" s="440"/>
      <c r="AVC361" s="602"/>
      <c r="AVD361" s="603"/>
      <c r="AVE361" s="603"/>
      <c r="AVF361" s="601"/>
      <c r="AVG361" s="601"/>
      <c r="AVH361" s="117"/>
      <c r="AVI361" s="118"/>
      <c r="AVJ361" s="440"/>
      <c r="AVL361" s="602"/>
      <c r="AVM361" s="603"/>
      <c r="AVN361" s="603"/>
      <c r="AVO361" s="601"/>
      <c r="AVP361" s="601"/>
      <c r="AVQ361" s="117"/>
      <c r="AVR361" s="118"/>
      <c r="AVS361" s="440"/>
      <c r="AVU361" s="602"/>
      <c r="AVV361" s="603"/>
      <c r="AVW361" s="603"/>
      <c r="AVX361" s="601"/>
      <c r="AVY361" s="601"/>
      <c r="AVZ361" s="117"/>
      <c r="AWA361" s="118"/>
      <c r="AWB361" s="440"/>
      <c r="AWD361" s="602"/>
      <c r="AWE361" s="603"/>
      <c r="AWF361" s="603"/>
      <c r="AWG361" s="601"/>
      <c r="AWH361" s="601"/>
      <c r="AWI361" s="117"/>
      <c r="AWJ361" s="118"/>
      <c r="AWK361" s="440"/>
      <c r="AWM361" s="602"/>
      <c r="AWN361" s="603"/>
      <c r="AWO361" s="603"/>
      <c r="AWP361" s="601"/>
      <c r="AWQ361" s="601"/>
      <c r="AWR361" s="117"/>
      <c r="AWS361" s="118"/>
      <c r="AWT361" s="440"/>
      <c r="AWV361" s="602"/>
      <c r="AWW361" s="603"/>
      <c r="AWX361" s="603"/>
      <c r="AWY361" s="601"/>
      <c r="AWZ361" s="601"/>
      <c r="AXA361" s="117"/>
      <c r="AXB361" s="118"/>
      <c r="AXC361" s="440"/>
      <c r="AXE361" s="602"/>
      <c r="AXF361" s="603"/>
      <c r="AXG361" s="603"/>
      <c r="AXH361" s="601"/>
      <c r="AXI361" s="601"/>
      <c r="AXJ361" s="117"/>
      <c r="AXK361" s="118"/>
      <c r="AXL361" s="440"/>
      <c r="AXN361" s="602"/>
      <c r="AXO361" s="603"/>
      <c r="AXP361" s="603"/>
      <c r="AXQ361" s="601"/>
      <c r="AXR361" s="601"/>
      <c r="AXS361" s="117"/>
      <c r="AXT361" s="118"/>
      <c r="AXU361" s="440"/>
      <c r="AXW361" s="602"/>
      <c r="AXX361" s="603"/>
      <c r="AXY361" s="603"/>
      <c r="AXZ361" s="601"/>
      <c r="AYA361" s="601"/>
      <c r="AYB361" s="117"/>
      <c r="AYC361" s="118"/>
      <c r="AYD361" s="440"/>
      <c r="AYF361" s="602"/>
      <c r="AYG361" s="603"/>
      <c r="AYH361" s="603"/>
      <c r="AYI361" s="601"/>
      <c r="AYJ361" s="601"/>
      <c r="AYK361" s="117"/>
      <c r="AYL361" s="118"/>
      <c r="AYM361" s="440"/>
      <c r="AYO361" s="602"/>
      <c r="AYP361" s="603"/>
      <c r="AYQ361" s="603"/>
      <c r="AYR361" s="601"/>
      <c r="AYS361" s="601"/>
      <c r="AYT361" s="117"/>
      <c r="AYU361" s="118"/>
      <c r="AYV361" s="440"/>
      <c r="AYX361" s="602"/>
      <c r="AYY361" s="603"/>
      <c r="AYZ361" s="603"/>
      <c r="AZA361" s="601"/>
      <c r="AZB361" s="601"/>
      <c r="AZC361" s="117"/>
      <c r="AZD361" s="118"/>
      <c r="AZE361" s="440"/>
      <c r="AZG361" s="602"/>
      <c r="AZH361" s="603"/>
      <c r="AZI361" s="603"/>
      <c r="AZJ361" s="601"/>
      <c r="AZK361" s="601"/>
      <c r="AZL361" s="117"/>
      <c r="AZM361" s="118"/>
      <c r="AZN361" s="440"/>
      <c r="AZP361" s="602"/>
      <c r="AZQ361" s="603"/>
      <c r="AZR361" s="603"/>
      <c r="AZS361" s="601"/>
      <c r="AZT361" s="601"/>
      <c r="AZU361" s="117"/>
      <c r="AZV361" s="118"/>
      <c r="AZW361" s="440"/>
      <c r="AZY361" s="602"/>
      <c r="AZZ361" s="603"/>
      <c r="BAA361" s="603"/>
      <c r="BAB361" s="601"/>
      <c r="BAC361" s="601"/>
      <c r="BAD361" s="117"/>
      <c r="BAE361" s="118"/>
      <c r="BAF361" s="440"/>
      <c r="BAH361" s="602"/>
      <c r="BAI361" s="603"/>
      <c r="BAJ361" s="603"/>
      <c r="BAK361" s="601"/>
      <c r="BAL361" s="601"/>
      <c r="BAM361" s="117"/>
      <c r="BAN361" s="118"/>
      <c r="BAO361" s="440"/>
      <c r="BAQ361" s="602"/>
      <c r="BAR361" s="603"/>
      <c r="BAS361" s="603"/>
      <c r="BAT361" s="601"/>
      <c r="BAU361" s="601"/>
      <c r="BAV361" s="117"/>
      <c r="BAW361" s="118"/>
      <c r="BAX361" s="440"/>
      <c r="BAZ361" s="602"/>
      <c r="BBA361" s="603"/>
      <c r="BBB361" s="603"/>
      <c r="BBC361" s="601"/>
      <c r="BBD361" s="601"/>
      <c r="BBE361" s="117"/>
      <c r="BBF361" s="118"/>
      <c r="BBG361" s="440"/>
      <c r="BBI361" s="602"/>
      <c r="BBJ361" s="603"/>
      <c r="BBK361" s="603"/>
      <c r="BBL361" s="601"/>
      <c r="BBM361" s="601"/>
      <c r="BBN361" s="117"/>
      <c r="BBO361" s="118"/>
      <c r="BBP361" s="440"/>
      <c r="BBR361" s="602"/>
      <c r="BBS361" s="603"/>
      <c r="BBT361" s="603"/>
      <c r="BBU361" s="601"/>
      <c r="BBV361" s="601"/>
      <c r="BBW361" s="117"/>
      <c r="BBX361" s="118"/>
      <c r="BBY361" s="440"/>
      <c r="BCA361" s="602"/>
      <c r="BCB361" s="603"/>
      <c r="BCC361" s="603"/>
      <c r="BCD361" s="601"/>
      <c r="BCE361" s="601"/>
      <c r="BCF361" s="117"/>
      <c r="BCG361" s="118"/>
      <c r="BCH361" s="440"/>
      <c r="BCJ361" s="602"/>
      <c r="BCK361" s="603"/>
      <c r="BCL361" s="603"/>
      <c r="BCM361" s="601"/>
      <c r="BCN361" s="601"/>
      <c r="BCO361" s="117"/>
      <c r="BCP361" s="118"/>
      <c r="BCQ361" s="440"/>
      <c r="BCS361" s="602"/>
      <c r="BCT361" s="603"/>
      <c r="BCU361" s="603"/>
      <c r="BCV361" s="601"/>
      <c r="BCW361" s="601"/>
      <c r="BCX361" s="117"/>
      <c r="BCY361" s="118"/>
      <c r="BCZ361" s="440"/>
      <c r="BDB361" s="602"/>
      <c r="BDC361" s="603"/>
      <c r="BDD361" s="603"/>
      <c r="BDE361" s="601"/>
      <c r="BDF361" s="601"/>
      <c r="BDG361" s="117"/>
      <c r="BDH361" s="118"/>
      <c r="BDI361" s="440"/>
      <c r="BDK361" s="602"/>
      <c r="BDL361" s="603"/>
      <c r="BDM361" s="603"/>
      <c r="BDN361" s="601"/>
      <c r="BDO361" s="601"/>
      <c r="BDP361" s="117"/>
      <c r="BDQ361" s="118"/>
      <c r="BDR361" s="440"/>
      <c r="BDT361" s="602"/>
      <c r="BDU361" s="603"/>
      <c r="BDV361" s="603"/>
      <c r="BDW361" s="601"/>
      <c r="BDX361" s="601"/>
      <c r="BDY361" s="117"/>
      <c r="BDZ361" s="118"/>
      <c r="BEA361" s="440"/>
      <c r="BEC361" s="602"/>
      <c r="BED361" s="603"/>
      <c r="BEE361" s="603"/>
      <c r="BEF361" s="601"/>
      <c r="BEG361" s="601"/>
      <c r="BEH361" s="117"/>
      <c r="BEI361" s="118"/>
      <c r="BEJ361" s="440"/>
      <c r="BEL361" s="602"/>
      <c r="BEM361" s="603"/>
      <c r="BEN361" s="603"/>
      <c r="BEO361" s="601"/>
      <c r="BEP361" s="601"/>
      <c r="BEQ361" s="117"/>
      <c r="BER361" s="118"/>
      <c r="BES361" s="440"/>
      <c r="BEU361" s="602"/>
      <c r="BEV361" s="603"/>
      <c r="BEW361" s="603"/>
      <c r="BEX361" s="601"/>
      <c r="BEY361" s="601"/>
      <c r="BEZ361" s="117"/>
      <c r="BFA361" s="118"/>
      <c r="BFB361" s="440"/>
      <c r="BFD361" s="602"/>
      <c r="BFE361" s="603"/>
      <c r="BFF361" s="603"/>
      <c r="BFG361" s="601"/>
      <c r="BFH361" s="601"/>
      <c r="BFI361" s="117"/>
      <c r="BFJ361" s="118"/>
      <c r="BFK361" s="440"/>
      <c r="BFM361" s="602"/>
      <c r="BFN361" s="603"/>
      <c r="BFO361" s="603"/>
      <c r="BFP361" s="601"/>
      <c r="BFQ361" s="601"/>
      <c r="BFR361" s="117"/>
      <c r="BFS361" s="118"/>
      <c r="BFT361" s="440"/>
      <c r="BFV361" s="602"/>
      <c r="BFW361" s="603"/>
      <c r="BFX361" s="603"/>
      <c r="BFY361" s="601"/>
      <c r="BFZ361" s="601"/>
      <c r="BGA361" s="117"/>
      <c r="BGB361" s="118"/>
      <c r="BGC361" s="440"/>
      <c r="BGE361" s="602"/>
      <c r="BGF361" s="603"/>
      <c r="BGG361" s="603"/>
      <c r="BGH361" s="601"/>
      <c r="BGI361" s="601"/>
      <c r="BGJ361" s="117"/>
      <c r="BGK361" s="118"/>
      <c r="BGL361" s="440"/>
      <c r="BGN361" s="602"/>
      <c r="BGO361" s="603"/>
      <c r="BGP361" s="603"/>
      <c r="BGQ361" s="601"/>
      <c r="BGR361" s="601"/>
      <c r="BGS361" s="117"/>
      <c r="BGT361" s="118"/>
      <c r="BGU361" s="440"/>
      <c r="BGW361" s="602"/>
      <c r="BGX361" s="603"/>
      <c r="BGY361" s="603"/>
      <c r="BGZ361" s="601"/>
      <c r="BHA361" s="601"/>
      <c r="BHB361" s="117"/>
      <c r="BHC361" s="118"/>
      <c r="BHD361" s="440"/>
      <c r="BHF361" s="602"/>
      <c r="BHG361" s="603"/>
      <c r="BHH361" s="603"/>
      <c r="BHI361" s="601"/>
      <c r="BHJ361" s="601"/>
      <c r="BHK361" s="117"/>
      <c r="BHL361" s="118"/>
      <c r="BHM361" s="440"/>
      <c r="BHO361" s="602"/>
      <c r="BHP361" s="603"/>
      <c r="BHQ361" s="603"/>
      <c r="BHR361" s="601"/>
      <c r="BHS361" s="601"/>
      <c r="BHT361" s="117"/>
      <c r="BHU361" s="118"/>
      <c r="BHV361" s="440"/>
      <c r="BHX361" s="602"/>
      <c r="BHY361" s="603"/>
      <c r="BHZ361" s="603"/>
      <c r="BIA361" s="601"/>
      <c r="BIB361" s="601"/>
      <c r="BIC361" s="117"/>
      <c r="BID361" s="118"/>
      <c r="BIE361" s="440"/>
      <c r="BIG361" s="602"/>
      <c r="BIH361" s="603"/>
      <c r="BII361" s="603"/>
      <c r="BIJ361" s="601"/>
      <c r="BIK361" s="601"/>
      <c r="BIL361" s="117"/>
      <c r="BIM361" s="118"/>
      <c r="BIN361" s="440"/>
      <c r="BIP361" s="602"/>
      <c r="BIQ361" s="603"/>
      <c r="BIR361" s="603"/>
      <c r="BIS361" s="601"/>
      <c r="BIT361" s="601"/>
      <c r="BIU361" s="117"/>
      <c r="BIV361" s="118"/>
      <c r="BIW361" s="440"/>
      <c r="BIY361" s="602"/>
      <c r="BIZ361" s="603"/>
      <c r="BJA361" s="603"/>
      <c r="BJB361" s="601"/>
      <c r="BJC361" s="601"/>
      <c r="BJD361" s="117"/>
      <c r="BJE361" s="118"/>
      <c r="BJF361" s="440"/>
      <c r="BJH361" s="602"/>
      <c r="BJI361" s="603"/>
      <c r="BJJ361" s="603"/>
      <c r="BJK361" s="601"/>
      <c r="BJL361" s="601"/>
      <c r="BJM361" s="117"/>
      <c r="BJN361" s="118"/>
      <c r="BJO361" s="440"/>
      <c r="BJQ361" s="602"/>
      <c r="BJR361" s="603"/>
      <c r="BJS361" s="603"/>
      <c r="BJT361" s="601"/>
      <c r="BJU361" s="601"/>
      <c r="BJV361" s="117"/>
      <c r="BJW361" s="118"/>
      <c r="BJX361" s="440"/>
      <c r="BJZ361" s="602"/>
      <c r="BKA361" s="603"/>
      <c r="BKB361" s="603"/>
      <c r="BKC361" s="601"/>
      <c r="BKD361" s="601"/>
      <c r="BKE361" s="117"/>
      <c r="BKF361" s="118"/>
      <c r="BKG361" s="440"/>
      <c r="BKI361" s="602"/>
      <c r="BKJ361" s="603"/>
      <c r="BKK361" s="603"/>
      <c r="BKL361" s="601"/>
      <c r="BKM361" s="601"/>
      <c r="BKN361" s="117"/>
      <c r="BKO361" s="118"/>
      <c r="BKP361" s="440"/>
      <c r="BKR361" s="602"/>
      <c r="BKS361" s="603"/>
      <c r="BKT361" s="603"/>
      <c r="BKU361" s="601"/>
      <c r="BKV361" s="601"/>
      <c r="BKW361" s="117"/>
      <c r="BKX361" s="118"/>
      <c r="BKY361" s="440"/>
      <c r="BLA361" s="602"/>
      <c r="BLB361" s="603"/>
      <c r="BLC361" s="603"/>
      <c r="BLD361" s="601"/>
      <c r="BLE361" s="601"/>
      <c r="BLF361" s="117"/>
      <c r="BLG361" s="118"/>
      <c r="BLH361" s="440"/>
      <c r="BLJ361" s="602"/>
      <c r="BLK361" s="603"/>
      <c r="BLL361" s="603"/>
      <c r="BLM361" s="601"/>
      <c r="BLN361" s="601"/>
      <c r="BLO361" s="117"/>
      <c r="BLP361" s="118"/>
      <c r="BLQ361" s="440"/>
      <c r="BLS361" s="602"/>
      <c r="BLT361" s="603"/>
      <c r="BLU361" s="603"/>
      <c r="BLV361" s="601"/>
      <c r="BLW361" s="601"/>
      <c r="BLX361" s="117"/>
      <c r="BLY361" s="118"/>
      <c r="BLZ361" s="440"/>
      <c r="BMB361" s="602"/>
      <c r="BMC361" s="603"/>
      <c r="BMD361" s="603"/>
      <c r="BME361" s="601"/>
      <c r="BMF361" s="601"/>
      <c r="BMG361" s="117"/>
      <c r="BMH361" s="118"/>
      <c r="BMI361" s="440"/>
      <c r="BMK361" s="602"/>
      <c r="BML361" s="603"/>
      <c r="BMM361" s="603"/>
      <c r="BMN361" s="601"/>
      <c r="BMO361" s="601"/>
      <c r="BMP361" s="117"/>
      <c r="BMQ361" s="118"/>
      <c r="BMR361" s="440"/>
      <c r="BMT361" s="602"/>
      <c r="BMU361" s="603"/>
      <c r="BMV361" s="603"/>
      <c r="BMW361" s="601"/>
      <c r="BMX361" s="601"/>
      <c r="BMY361" s="117"/>
      <c r="BMZ361" s="118"/>
      <c r="BNA361" s="440"/>
      <c r="BNC361" s="602"/>
      <c r="BND361" s="603"/>
      <c r="BNE361" s="603"/>
      <c r="BNF361" s="601"/>
      <c r="BNG361" s="601"/>
      <c r="BNH361" s="117"/>
      <c r="BNI361" s="118"/>
      <c r="BNJ361" s="440"/>
      <c r="BNL361" s="602"/>
      <c r="BNM361" s="603"/>
      <c r="BNN361" s="603"/>
      <c r="BNO361" s="601"/>
      <c r="BNP361" s="601"/>
      <c r="BNQ361" s="117"/>
      <c r="BNR361" s="118"/>
      <c r="BNS361" s="440"/>
      <c r="BNU361" s="602"/>
      <c r="BNV361" s="603"/>
      <c r="BNW361" s="603"/>
      <c r="BNX361" s="601"/>
      <c r="BNY361" s="601"/>
      <c r="BNZ361" s="117"/>
      <c r="BOA361" s="118"/>
      <c r="BOB361" s="440"/>
      <c r="BOD361" s="602"/>
      <c r="BOE361" s="603"/>
      <c r="BOF361" s="603"/>
      <c r="BOG361" s="601"/>
      <c r="BOH361" s="601"/>
      <c r="BOI361" s="117"/>
      <c r="BOJ361" s="118"/>
      <c r="BOK361" s="440"/>
      <c r="BOM361" s="602"/>
      <c r="BON361" s="603"/>
      <c r="BOO361" s="603"/>
      <c r="BOP361" s="601"/>
      <c r="BOQ361" s="601"/>
      <c r="BOR361" s="117"/>
      <c r="BOS361" s="118"/>
      <c r="BOT361" s="440"/>
      <c r="BOV361" s="602"/>
      <c r="BOW361" s="603"/>
      <c r="BOX361" s="603"/>
      <c r="BOY361" s="601"/>
      <c r="BOZ361" s="601"/>
      <c r="BPA361" s="117"/>
      <c r="BPB361" s="118"/>
      <c r="BPC361" s="440"/>
      <c r="BPE361" s="602"/>
      <c r="BPF361" s="603"/>
      <c r="BPG361" s="603"/>
      <c r="BPH361" s="601"/>
      <c r="BPI361" s="601"/>
      <c r="BPJ361" s="117"/>
      <c r="BPK361" s="118"/>
      <c r="BPL361" s="440"/>
      <c r="BPN361" s="602"/>
      <c r="BPO361" s="603"/>
      <c r="BPP361" s="603"/>
      <c r="BPQ361" s="601"/>
      <c r="BPR361" s="601"/>
      <c r="BPS361" s="117"/>
      <c r="BPT361" s="118"/>
      <c r="BPU361" s="440"/>
      <c r="BPW361" s="602"/>
      <c r="BPX361" s="603"/>
      <c r="BPY361" s="603"/>
      <c r="BPZ361" s="601"/>
      <c r="BQA361" s="601"/>
      <c r="BQB361" s="117"/>
      <c r="BQC361" s="118"/>
      <c r="BQD361" s="440"/>
      <c r="BQF361" s="602"/>
      <c r="BQG361" s="603"/>
      <c r="BQH361" s="603"/>
      <c r="BQI361" s="601"/>
      <c r="BQJ361" s="601"/>
      <c r="BQK361" s="117"/>
      <c r="BQL361" s="118"/>
      <c r="BQM361" s="440"/>
      <c r="BQO361" s="602"/>
      <c r="BQP361" s="603"/>
      <c r="BQQ361" s="603"/>
      <c r="BQR361" s="601"/>
      <c r="BQS361" s="601"/>
      <c r="BQT361" s="117"/>
      <c r="BQU361" s="118"/>
      <c r="BQV361" s="440"/>
      <c r="BQX361" s="602"/>
      <c r="BQY361" s="603"/>
      <c r="BQZ361" s="603"/>
      <c r="BRA361" s="601"/>
      <c r="BRB361" s="601"/>
      <c r="BRC361" s="117"/>
      <c r="BRD361" s="118"/>
      <c r="BRE361" s="440"/>
      <c r="BRG361" s="602"/>
      <c r="BRH361" s="603"/>
      <c r="BRI361" s="603"/>
      <c r="BRJ361" s="601"/>
      <c r="BRK361" s="601"/>
      <c r="BRL361" s="117"/>
      <c r="BRM361" s="118"/>
      <c r="BRN361" s="440"/>
      <c r="BRP361" s="602"/>
      <c r="BRQ361" s="603"/>
      <c r="BRR361" s="603"/>
      <c r="BRS361" s="601"/>
      <c r="BRT361" s="601"/>
      <c r="BRU361" s="117"/>
      <c r="BRV361" s="118"/>
      <c r="BRW361" s="440"/>
      <c r="BRY361" s="602"/>
      <c r="BRZ361" s="603"/>
      <c r="BSA361" s="603"/>
      <c r="BSB361" s="601"/>
      <c r="BSC361" s="601"/>
      <c r="BSD361" s="117"/>
      <c r="BSE361" s="118"/>
      <c r="BSF361" s="440"/>
      <c r="BSH361" s="602"/>
      <c r="BSI361" s="603"/>
      <c r="BSJ361" s="603"/>
      <c r="BSK361" s="601"/>
      <c r="BSL361" s="601"/>
      <c r="BSM361" s="117"/>
      <c r="BSN361" s="118"/>
      <c r="BSO361" s="440"/>
      <c r="BSQ361" s="602"/>
      <c r="BSR361" s="603"/>
      <c r="BSS361" s="603"/>
      <c r="BST361" s="601"/>
      <c r="BSU361" s="601"/>
      <c r="BSV361" s="117"/>
      <c r="BSW361" s="118"/>
      <c r="BSX361" s="440"/>
      <c r="BSZ361" s="602"/>
      <c r="BTA361" s="603"/>
      <c r="BTB361" s="603"/>
      <c r="BTC361" s="601"/>
      <c r="BTD361" s="601"/>
      <c r="BTE361" s="117"/>
      <c r="BTF361" s="118"/>
      <c r="BTG361" s="440"/>
      <c r="BTI361" s="602"/>
      <c r="BTJ361" s="603"/>
      <c r="BTK361" s="603"/>
      <c r="BTL361" s="601"/>
      <c r="BTM361" s="601"/>
      <c r="BTN361" s="117"/>
      <c r="BTO361" s="118"/>
      <c r="BTP361" s="440"/>
      <c r="BTR361" s="602"/>
      <c r="BTS361" s="603"/>
      <c r="BTT361" s="603"/>
      <c r="BTU361" s="601"/>
      <c r="BTV361" s="601"/>
      <c r="BTW361" s="117"/>
      <c r="BTX361" s="118"/>
      <c r="BTY361" s="440"/>
      <c r="BUA361" s="602"/>
      <c r="BUB361" s="603"/>
      <c r="BUC361" s="603"/>
      <c r="BUD361" s="601"/>
      <c r="BUE361" s="601"/>
      <c r="BUF361" s="117"/>
      <c r="BUG361" s="118"/>
      <c r="BUH361" s="440"/>
      <c r="BUJ361" s="602"/>
      <c r="BUK361" s="603"/>
      <c r="BUL361" s="603"/>
      <c r="BUM361" s="601"/>
      <c r="BUN361" s="601"/>
      <c r="BUO361" s="117"/>
      <c r="BUP361" s="118"/>
      <c r="BUQ361" s="440"/>
      <c r="BUS361" s="602"/>
      <c r="BUT361" s="603"/>
      <c r="BUU361" s="603"/>
      <c r="BUV361" s="601"/>
      <c r="BUW361" s="601"/>
      <c r="BUX361" s="117"/>
      <c r="BUY361" s="118"/>
      <c r="BUZ361" s="440"/>
      <c r="BVB361" s="602"/>
      <c r="BVC361" s="603"/>
      <c r="BVD361" s="603"/>
      <c r="BVE361" s="601"/>
      <c r="BVF361" s="601"/>
      <c r="BVG361" s="117"/>
      <c r="BVH361" s="118"/>
      <c r="BVI361" s="440"/>
      <c r="BVK361" s="602"/>
      <c r="BVL361" s="603"/>
      <c r="BVM361" s="603"/>
      <c r="BVN361" s="601"/>
      <c r="BVO361" s="601"/>
      <c r="BVP361" s="117"/>
      <c r="BVQ361" s="118"/>
      <c r="BVR361" s="440"/>
      <c r="BVT361" s="602"/>
      <c r="BVU361" s="603"/>
      <c r="BVV361" s="603"/>
      <c r="BVW361" s="601"/>
      <c r="BVX361" s="601"/>
      <c r="BVY361" s="117"/>
      <c r="BVZ361" s="118"/>
      <c r="BWA361" s="440"/>
      <c r="BWC361" s="602"/>
      <c r="BWD361" s="603"/>
      <c r="BWE361" s="603"/>
      <c r="BWF361" s="601"/>
      <c r="BWG361" s="601"/>
      <c r="BWH361" s="117"/>
      <c r="BWI361" s="118"/>
      <c r="BWJ361" s="440"/>
      <c r="BWL361" s="602"/>
      <c r="BWM361" s="603"/>
      <c r="BWN361" s="603"/>
      <c r="BWO361" s="601"/>
      <c r="BWP361" s="601"/>
      <c r="BWQ361" s="117"/>
      <c r="BWR361" s="118"/>
      <c r="BWS361" s="440"/>
      <c r="BWU361" s="602"/>
      <c r="BWV361" s="603"/>
      <c r="BWW361" s="603"/>
      <c r="BWX361" s="601"/>
      <c r="BWY361" s="601"/>
      <c r="BWZ361" s="117"/>
      <c r="BXA361" s="118"/>
      <c r="BXB361" s="440"/>
      <c r="BXD361" s="602"/>
      <c r="BXE361" s="603"/>
      <c r="BXF361" s="603"/>
      <c r="BXG361" s="601"/>
      <c r="BXH361" s="601"/>
      <c r="BXI361" s="117"/>
      <c r="BXJ361" s="118"/>
      <c r="BXK361" s="440"/>
      <c r="BXM361" s="602"/>
      <c r="BXN361" s="603"/>
      <c r="BXO361" s="603"/>
      <c r="BXP361" s="601"/>
      <c r="BXQ361" s="601"/>
      <c r="BXR361" s="117"/>
      <c r="BXS361" s="118"/>
      <c r="BXT361" s="440"/>
      <c r="BXV361" s="602"/>
      <c r="BXW361" s="603"/>
      <c r="BXX361" s="603"/>
      <c r="BXY361" s="601"/>
      <c r="BXZ361" s="601"/>
      <c r="BYA361" s="117"/>
      <c r="BYB361" s="118"/>
      <c r="BYC361" s="440"/>
      <c r="BYE361" s="602"/>
      <c r="BYF361" s="603"/>
      <c r="BYG361" s="603"/>
      <c r="BYH361" s="601"/>
      <c r="BYI361" s="601"/>
      <c r="BYJ361" s="117"/>
      <c r="BYK361" s="118"/>
      <c r="BYL361" s="440"/>
      <c r="BYN361" s="602"/>
      <c r="BYO361" s="603"/>
      <c r="BYP361" s="603"/>
      <c r="BYQ361" s="601"/>
      <c r="BYR361" s="601"/>
      <c r="BYS361" s="117"/>
      <c r="BYT361" s="118"/>
      <c r="BYU361" s="440"/>
      <c r="BYW361" s="602"/>
      <c r="BYX361" s="603"/>
      <c r="BYY361" s="603"/>
      <c r="BYZ361" s="601"/>
      <c r="BZA361" s="601"/>
      <c r="BZB361" s="117"/>
      <c r="BZC361" s="118"/>
      <c r="BZD361" s="440"/>
      <c r="BZF361" s="602"/>
      <c r="BZG361" s="603"/>
      <c r="BZH361" s="603"/>
      <c r="BZI361" s="601"/>
      <c r="BZJ361" s="601"/>
      <c r="BZK361" s="117"/>
      <c r="BZL361" s="118"/>
      <c r="BZM361" s="440"/>
      <c r="BZO361" s="602"/>
      <c r="BZP361" s="603"/>
      <c r="BZQ361" s="603"/>
      <c r="BZR361" s="601"/>
      <c r="BZS361" s="601"/>
      <c r="BZT361" s="117"/>
      <c r="BZU361" s="118"/>
      <c r="BZV361" s="440"/>
      <c r="BZX361" s="602"/>
      <c r="BZY361" s="603"/>
      <c r="BZZ361" s="603"/>
      <c r="CAA361" s="601"/>
      <c r="CAB361" s="601"/>
      <c r="CAC361" s="117"/>
      <c r="CAD361" s="118"/>
      <c r="CAE361" s="440"/>
      <c r="CAG361" s="602"/>
      <c r="CAH361" s="603"/>
      <c r="CAI361" s="603"/>
      <c r="CAJ361" s="601"/>
      <c r="CAK361" s="601"/>
      <c r="CAL361" s="117"/>
      <c r="CAM361" s="118"/>
      <c r="CAN361" s="440"/>
      <c r="CAP361" s="602"/>
      <c r="CAQ361" s="603"/>
      <c r="CAR361" s="603"/>
      <c r="CAS361" s="601"/>
      <c r="CAT361" s="601"/>
      <c r="CAU361" s="117"/>
      <c r="CAV361" s="118"/>
      <c r="CAW361" s="440"/>
      <c r="CAY361" s="602"/>
      <c r="CAZ361" s="603"/>
      <c r="CBA361" s="603"/>
      <c r="CBB361" s="601"/>
      <c r="CBC361" s="601"/>
      <c r="CBD361" s="117"/>
      <c r="CBE361" s="118"/>
      <c r="CBF361" s="440"/>
      <c r="CBH361" s="602"/>
      <c r="CBI361" s="603"/>
      <c r="CBJ361" s="603"/>
      <c r="CBK361" s="601"/>
      <c r="CBL361" s="601"/>
      <c r="CBM361" s="117"/>
      <c r="CBN361" s="118"/>
      <c r="CBO361" s="440"/>
      <c r="CBQ361" s="602"/>
      <c r="CBR361" s="603"/>
      <c r="CBS361" s="603"/>
      <c r="CBT361" s="601"/>
      <c r="CBU361" s="601"/>
      <c r="CBV361" s="117"/>
      <c r="CBW361" s="118"/>
      <c r="CBX361" s="440"/>
      <c r="CBZ361" s="602"/>
      <c r="CCA361" s="603"/>
      <c r="CCB361" s="603"/>
      <c r="CCC361" s="601"/>
      <c r="CCD361" s="601"/>
      <c r="CCE361" s="117"/>
      <c r="CCF361" s="118"/>
      <c r="CCG361" s="440"/>
      <c r="CCI361" s="602"/>
      <c r="CCJ361" s="603"/>
      <c r="CCK361" s="603"/>
      <c r="CCL361" s="601"/>
      <c r="CCM361" s="601"/>
      <c r="CCN361" s="117"/>
      <c r="CCO361" s="118"/>
      <c r="CCP361" s="440"/>
      <c r="CCR361" s="602"/>
      <c r="CCS361" s="603"/>
      <c r="CCT361" s="603"/>
      <c r="CCU361" s="601"/>
      <c r="CCV361" s="601"/>
      <c r="CCW361" s="117"/>
      <c r="CCX361" s="118"/>
      <c r="CCY361" s="440"/>
      <c r="CDA361" s="602"/>
      <c r="CDB361" s="603"/>
      <c r="CDC361" s="603"/>
      <c r="CDD361" s="601"/>
      <c r="CDE361" s="601"/>
      <c r="CDF361" s="117"/>
      <c r="CDG361" s="118"/>
      <c r="CDH361" s="440"/>
      <c r="CDJ361" s="602"/>
      <c r="CDK361" s="603"/>
      <c r="CDL361" s="603"/>
      <c r="CDM361" s="601"/>
      <c r="CDN361" s="601"/>
      <c r="CDO361" s="117"/>
      <c r="CDP361" s="118"/>
      <c r="CDQ361" s="440"/>
      <c r="CDS361" s="602"/>
      <c r="CDT361" s="603"/>
      <c r="CDU361" s="603"/>
      <c r="CDV361" s="601"/>
      <c r="CDW361" s="601"/>
      <c r="CDX361" s="117"/>
      <c r="CDY361" s="118"/>
      <c r="CDZ361" s="440"/>
      <c r="CEB361" s="602"/>
      <c r="CEC361" s="603"/>
      <c r="CED361" s="603"/>
      <c r="CEE361" s="601"/>
      <c r="CEF361" s="601"/>
      <c r="CEG361" s="117"/>
      <c r="CEH361" s="118"/>
      <c r="CEI361" s="440"/>
      <c r="CEK361" s="602"/>
      <c r="CEL361" s="603"/>
      <c r="CEM361" s="603"/>
      <c r="CEN361" s="601"/>
      <c r="CEO361" s="601"/>
      <c r="CEP361" s="117"/>
      <c r="CEQ361" s="118"/>
      <c r="CER361" s="440"/>
      <c r="CET361" s="602"/>
      <c r="CEU361" s="603"/>
      <c r="CEV361" s="603"/>
      <c r="CEW361" s="601"/>
      <c r="CEX361" s="601"/>
      <c r="CEY361" s="117"/>
      <c r="CEZ361" s="118"/>
      <c r="CFA361" s="440"/>
      <c r="CFC361" s="602"/>
      <c r="CFD361" s="603"/>
      <c r="CFE361" s="603"/>
      <c r="CFF361" s="601"/>
      <c r="CFG361" s="601"/>
      <c r="CFH361" s="117"/>
      <c r="CFI361" s="118"/>
      <c r="CFJ361" s="440"/>
      <c r="CFL361" s="602"/>
      <c r="CFM361" s="603"/>
      <c r="CFN361" s="603"/>
      <c r="CFO361" s="601"/>
      <c r="CFP361" s="601"/>
      <c r="CFQ361" s="117"/>
      <c r="CFR361" s="118"/>
      <c r="CFS361" s="440"/>
      <c r="CFU361" s="602"/>
      <c r="CFV361" s="603"/>
      <c r="CFW361" s="603"/>
      <c r="CFX361" s="601"/>
      <c r="CFY361" s="601"/>
      <c r="CFZ361" s="117"/>
      <c r="CGA361" s="118"/>
      <c r="CGB361" s="440"/>
      <c r="CGD361" s="602"/>
      <c r="CGE361" s="603"/>
      <c r="CGF361" s="603"/>
      <c r="CGG361" s="601"/>
      <c r="CGH361" s="601"/>
      <c r="CGI361" s="117"/>
      <c r="CGJ361" s="118"/>
      <c r="CGK361" s="440"/>
      <c r="CGM361" s="602"/>
      <c r="CGN361" s="603"/>
      <c r="CGO361" s="603"/>
      <c r="CGP361" s="601"/>
      <c r="CGQ361" s="601"/>
      <c r="CGR361" s="117"/>
      <c r="CGS361" s="118"/>
      <c r="CGT361" s="440"/>
      <c r="CGV361" s="602"/>
      <c r="CGW361" s="603"/>
      <c r="CGX361" s="603"/>
      <c r="CGY361" s="601"/>
      <c r="CGZ361" s="601"/>
      <c r="CHA361" s="117"/>
      <c r="CHB361" s="118"/>
      <c r="CHC361" s="440"/>
      <c r="CHE361" s="602"/>
      <c r="CHF361" s="603"/>
      <c r="CHG361" s="603"/>
      <c r="CHH361" s="601"/>
      <c r="CHI361" s="601"/>
      <c r="CHJ361" s="117"/>
      <c r="CHK361" s="118"/>
      <c r="CHL361" s="440"/>
      <c r="CHN361" s="602"/>
      <c r="CHO361" s="603"/>
      <c r="CHP361" s="603"/>
      <c r="CHQ361" s="601"/>
      <c r="CHR361" s="601"/>
      <c r="CHS361" s="117"/>
      <c r="CHT361" s="118"/>
      <c r="CHU361" s="440"/>
      <c r="CHW361" s="602"/>
      <c r="CHX361" s="603"/>
      <c r="CHY361" s="603"/>
      <c r="CHZ361" s="601"/>
      <c r="CIA361" s="601"/>
      <c r="CIB361" s="117"/>
      <c r="CIC361" s="118"/>
      <c r="CID361" s="440"/>
      <c r="CIF361" s="602"/>
      <c r="CIG361" s="603"/>
      <c r="CIH361" s="603"/>
      <c r="CII361" s="601"/>
      <c r="CIJ361" s="601"/>
      <c r="CIK361" s="117"/>
      <c r="CIL361" s="118"/>
      <c r="CIM361" s="440"/>
      <c r="CIO361" s="602"/>
      <c r="CIP361" s="603"/>
      <c r="CIQ361" s="603"/>
      <c r="CIR361" s="601"/>
      <c r="CIS361" s="601"/>
      <c r="CIT361" s="117"/>
      <c r="CIU361" s="118"/>
      <c r="CIV361" s="440"/>
      <c r="CIX361" s="602"/>
      <c r="CIY361" s="603"/>
      <c r="CIZ361" s="603"/>
      <c r="CJA361" s="601"/>
      <c r="CJB361" s="601"/>
      <c r="CJC361" s="117"/>
      <c r="CJD361" s="118"/>
      <c r="CJE361" s="440"/>
      <c r="CJG361" s="602"/>
      <c r="CJH361" s="603"/>
      <c r="CJI361" s="603"/>
      <c r="CJJ361" s="601"/>
      <c r="CJK361" s="601"/>
      <c r="CJL361" s="117"/>
      <c r="CJM361" s="118"/>
      <c r="CJN361" s="440"/>
      <c r="CJP361" s="602"/>
      <c r="CJQ361" s="603"/>
      <c r="CJR361" s="603"/>
      <c r="CJS361" s="601"/>
      <c r="CJT361" s="601"/>
      <c r="CJU361" s="117"/>
      <c r="CJV361" s="118"/>
      <c r="CJW361" s="440"/>
      <c r="CJY361" s="602"/>
      <c r="CJZ361" s="603"/>
      <c r="CKA361" s="603"/>
      <c r="CKB361" s="601"/>
      <c r="CKC361" s="601"/>
      <c r="CKD361" s="117"/>
      <c r="CKE361" s="118"/>
      <c r="CKF361" s="440"/>
      <c r="CKH361" s="602"/>
      <c r="CKI361" s="603"/>
      <c r="CKJ361" s="603"/>
      <c r="CKK361" s="601"/>
      <c r="CKL361" s="601"/>
      <c r="CKM361" s="117"/>
      <c r="CKN361" s="118"/>
      <c r="CKO361" s="440"/>
      <c r="CKQ361" s="602"/>
      <c r="CKR361" s="603"/>
      <c r="CKS361" s="603"/>
      <c r="CKT361" s="601"/>
      <c r="CKU361" s="601"/>
      <c r="CKV361" s="117"/>
      <c r="CKW361" s="118"/>
      <c r="CKX361" s="440"/>
      <c r="CKZ361" s="602"/>
      <c r="CLA361" s="603"/>
      <c r="CLB361" s="603"/>
      <c r="CLC361" s="601"/>
      <c r="CLD361" s="601"/>
      <c r="CLE361" s="117"/>
      <c r="CLF361" s="118"/>
      <c r="CLG361" s="440"/>
      <c r="CLI361" s="602"/>
      <c r="CLJ361" s="603"/>
      <c r="CLK361" s="603"/>
      <c r="CLL361" s="601"/>
      <c r="CLM361" s="601"/>
      <c r="CLN361" s="117"/>
      <c r="CLO361" s="118"/>
      <c r="CLP361" s="440"/>
      <c r="CLR361" s="602"/>
      <c r="CLS361" s="603"/>
      <c r="CLT361" s="603"/>
      <c r="CLU361" s="601"/>
      <c r="CLV361" s="601"/>
      <c r="CLW361" s="117"/>
      <c r="CLX361" s="118"/>
      <c r="CLY361" s="440"/>
      <c r="CMA361" s="602"/>
      <c r="CMB361" s="603"/>
      <c r="CMC361" s="603"/>
      <c r="CMD361" s="601"/>
      <c r="CME361" s="601"/>
      <c r="CMF361" s="117"/>
      <c r="CMG361" s="118"/>
      <c r="CMH361" s="440"/>
      <c r="CMJ361" s="602"/>
      <c r="CMK361" s="603"/>
      <c r="CML361" s="603"/>
      <c r="CMM361" s="601"/>
      <c r="CMN361" s="601"/>
      <c r="CMO361" s="117"/>
      <c r="CMP361" s="118"/>
      <c r="CMQ361" s="440"/>
      <c r="CMS361" s="602"/>
      <c r="CMT361" s="603"/>
      <c r="CMU361" s="603"/>
      <c r="CMV361" s="601"/>
      <c r="CMW361" s="601"/>
      <c r="CMX361" s="117"/>
      <c r="CMY361" s="118"/>
      <c r="CMZ361" s="440"/>
      <c r="CNB361" s="602"/>
      <c r="CNC361" s="603"/>
      <c r="CND361" s="603"/>
      <c r="CNE361" s="601"/>
      <c r="CNF361" s="601"/>
      <c r="CNG361" s="117"/>
      <c r="CNH361" s="118"/>
      <c r="CNI361" s="440"/>
      <c r="CNK361" s="602"/>
      <c r="CNL361" s="603"/>
      <c r="CNM361" s="603"/>
      <c r="CNN361" s="601"/>
      <c r="CNO361" s="601"/>
      <c r="CNP361" s="117"/>
      <c r="CNQ361" s="118"/>
      <c r="CNR361" s="440"/>
      <c r="CNT361" s="602"/>
      <c r="CNU361" s="603"/>
      <c r="CNV361" s="603"/>
      <c r="CNW361" s="601"/>
      <c r="CNX361" s="601"/>
      <c r="CNY361" s="117"/>
      <c r="CNZ361" s="118"/>
      <c r="COA361" s="440"/>
      <c r="COC361" s="602"/>
      <c r="COD361" s="603"/>
      <c r="COE361" s="603"/>
      <c r="COF361" s="601"/>
      <c r="COG361" s="601"/>
      <c r="COH361" s="117"/>
      <c r="COI361" s="118"/>
      <c r="COJ361" s="440"/>
      <c r="COL361" s="602"/>
      <c r="COM361" s="603"/>
      <c r="CON361" s="603"/>
      <c r="COO361" s="601"/>
      <c r="COP361" s="601"/>
      <c r="COQ361" s="117"/>
      <c r="COR361" s="118"/>
      <c r="COS361" s="440"/>
      <c r="COU361" s="602"/>
      <c r="COV361" s="603"/>
      <c r="COW361" s="603"/>
      <c r="COX361" s="601"/>
      <c r="COY361" s="601"/>
      <c r="COZ361" s="117"/>
      <c r="CPA361" s="118"/>
      <c r="CPB361" s="440"/>
      <c r="CPD361" s="602"/>
      <c r="CPE361" s="603"/>
      <c r="CPF361" s="603"/>
      <c r="CPG361" s="601"/>
      <c r="CPH361" s="601"/>
      <c r="CPI361" s="117"/>
      <c r="CPJ361" s="118"/>
      <c r="CPK361" s="440"/>
      <c r="CPM361" s="602"/>
      <c r="CPN361" s="603"/>
      <c r="CPO361" s="603"/>
      <c r="CPP361" s="601"/>
      <c r="CPQ361" s="601"/>
      <c r="CPR361" s="117"/>
      <c r="CPS361" s="118"/>
      <c r="CPT361" s="440"/>
      <c r="CPV361" s="602"/>
      <c r="CPW361" s="603"/>
      <c r="CPX361" s="603"/>
      <c r="CPY361" s="601"/>
      <c r="CPZ361" s="601"/>
      <c r="CQA361" s="117"/>
      <c r="CQB361" s="118"/>
      <c r="CQC361" s="440"/>
      <c r="CQE361" s="602"/>
      <c r="CQF361" s="603"/>
      <c r="CQG361" s="603"/>
      <c r="CQH361" s="601"/>
      <c r="CQI361" s="601"/>
      <c r="CQJ361" s="117"/>
      <c r="CQK361" s="118"/>
      <c r="CQL361" s="440"/>
      <c r="CQN361" s="602"/>
      <c r="CQO361" s="603"/>
      <c r="CQP361" s="603"/>
      <c r="CQQ361" s="601"/>
      <c r="CQR361" s="601"/>
      <c r="CQS361" s="117"/>
      <c r="CQT361" s="118"/>
      <c r="CQU361" s="440"/>
      <c r="CQW361" s="602"/>
      <c r="CQX361" s="603"/>
      <c r="CQY361" s="603"/>
      <c r="CQZ361" s="601"/>
      <c r="CRA361" s="601"/>
      <c r="CRB361" s="117"/>
      <c r="CRC361" s="118"/>
      <c r="CRD361" s="440"/>
      <c r="CRF361" s="602"/>
      <c r="CRG361" s="603"/>
      <c r="CRH361" s="603"/>
      <c r="CRI361" s="601"/>
      <c r="CRJ361" s="601"/>
      <c r="CRK361" s="117"/>
      <c r="CRL361" s="118"/>
      <c r="CRM361" s="440"/>
      <c r="CRO361" s="602"/>
      <c r="CRP361" s="603"/>
      <c r="CRQ361" s="603"/>
      <c r="CRR361" s="601"/>
      <c r="CRS361" s="601"/>
      <c r="CRT361" s="117"/>
      <c r="CRU361" s="118"/>
      <c r="CRV361" s="440"/>
      <c r="CRX361" s="602"/>
      <c r="CRY361" s="603"/>
      <c r="CRZ361" s="603"/>
      <c r="CSA361" s="601"/>
      <c r="CSB361" s="601"/>
      <c r="CSC361" s="117"/>
      <c r="CSD361" s="118"/>
      <c r="CSE361" s="440"/>
      <c r="CSG361" s="602"/>
      <c r="CSH361" s="603"/>
      <c r="CSI361" s="603"/>
      <c r="CSJ361" s="601"/>
      <c r="CSK361" s="601"/>
      <c r="CSL361" s="117"/>
      <c r="CSM361" s="118"/>
      <c r="CSN361" s="440"/>
      <c r="CSP361" s="602"/>
      <c r="CSQ361" s="603"/>
      <c r="CSR361" s="603"/>
      <c r="CSS361" s="601"/>
      <c r="CST361" s="601"/>
      <c r="CSU361" s="117"/>
      <c r="CSV361" s="118"/>
      <c r="CSW361" s="440"/>
      <c r="CSY361" s="602"/>
      <c r="CSZ361" s="603"/>
      <c r="CTA361" s="603"/>
      <c r="CTB361" s="601"/>
      <c r="CTC361" s="601"/>
      <c r="CTD361" s="117"/>
      <c r="CTE361" s="118"/>
      <c r="CTF361" s="440"/>
      <c r="CTH361" s="602"/>
      <c r="CTI361" s="603"/>
      <c r="CTJ361" s="603"/>
      <c r="CTK361" s="601"/>
      <c r="CTL361" s="601"/>
      <c r="CTM361" s="117"/>
      <c r="CTN361" s="118"/>
      <c r="CTO361" s="440"/>
      <c r="CTQ361" s="602"/>
      <c r="CTR361" s="603"/>
      <c r="CTS361" s="603"/>
      <c r="CTT361" s="601"/>
      <c r="CTU361" s="601"/>
      <c r="CTV361" s="117"/>
      <c r="CTW361" s="118"/>
      <c r="CTX361" s="440"/>
      <c r="CTZ361" s="602"/>
      <c r="CUA361" s="603"/>
      <c r="CUB361" s="603"/>
      <c r="CUC361" s="601"/>
      <c r="CUD361" s="601"/>
      <c r="CUE361" s="117"/>
      <c r="CUF361" s="118"/>
      <c r="CUG361" s="440"/>
      <c r="CUI361" s="602"/>
      <c r="CUJ361" s="603"/>
      <c r="CUK361" s="603"/>
      <c r="CUL361" s="601"/>
      <c r="CUM361" s="601"/>
      <c r="CUN361" s="117"/>
      <c r="CUO361" s="118"/>
      <c r="CUP361" s="440"/>
      <c r="CUR361" s="602"/>
      <c r="CUS361" s="603"/>
      <c r="CUT361" s="603"/>
      <c r="CUU361" s="601"/>
      <c r="CUV361" s="601"/>
      <c r="CUW361" s="117"/>
      <c r="CUX361" s="118"/>
      <c r="CUY361" s="440"/>
      <c r="CVA361" s="602"/>
      <c r="CVB361" s="603"/>
      <c r="CVC361" s="603"/>
      <c r="CVD361" s="601"/>
      <c r="CVE361" s="601"/>
      <c r="CVF361" s="117"/>
      <c r="CVG361" s="118"/>
      <c r="CVH361" s="440"/>
      <c r="CVJ361" s="602"/>
      <c r="CVK361" s="603"/>
      <c r="CVL361" s="603"/>
      <c r="CVM361" s="601"/>
      <c r="CVN361" s="601"/>
      <c r="CVO361" s="117"/>
      <c r="CVP361" s="118"/>
      <c r="CVQ361" s="440"/>
      <c r="CVS361" s="602"/>
      <c r="CVT361" s="603"/>
      <c r="CVU361" s="603"/>
      <c r="CVV361" s="601"/>
      <c r="CVW361" s="601"/>
      <c r="CVX361" s="117"/>
      <c r="CVY361" s="118"/>
      <c r="CVZ361" s="440"/>
      <c r="CWB361" s="602"/>
      <c r="CWC361" s="603"/>
      <c r="CWD361" s="603"/>
      <c r="CWE361" s="601"/>
      <c r="CWF361" s="601"/>
      <c r="CWG361" s="117"/>
      <c r="CWH361" s="118"/>
      <c r="CWI361" s="440"/>
      <c r="CWK361" s="602"/>
      <c r="CWL361" s="603"/>
      <c r="CWM361" s="603"/>
      <c r="CWN361" s="601"/>
      <c r="CWO361" s="601"/>
      <c r="CWP361" s="117"/>
      <c r="CWQ361" s="118"/>
      <c r="CWR361" s="440"/>
      <c r="CWT361" s="602"/>
      <c r="CWU361" s="603"/>
      <c r="CWV361" s="603"/>
      <c r="CWW361" s="601"/>
      <c r="CWX361" s="601"/>
      <c r="CWY361" s="117"/>
      <c r="CWZ361" s="118"/>
      <c r="CXA361" s="440"/>
      <c r="CXC361" s="602"/>
      <c r="CXD361" s="603"/>
      <c r="CXE361" s="603"/>
      <c r="CXF361" s="601"/>
      <c r="CXG361" s="601"/>
      <c r="CXH361" s="117"/>
      <c r="CXI361" s="118"/>
      <c r="CXJ361" s="440"/>
      <c r="CXL361" s="602"/>
      <c r="CXM361" s="603"/>
      <c r="CXN361" s="603"/>
      <c r="CXO361" s="601"/>
      <c r="CXP361" s="601"/>
      <c r="CXQ361" s="117"/>
      <c r="CXR361" s="118"/>
      <c r="CXS361" s="440"/>
      <c r="CXU361" s="602"/>
      <c r="CXV361" s="603"/>
      <c r="CXW361" s="603"/>
      <c r="CXX361" s="601"/>
      <c r="CXY361" s="601"/>
      <c r="CXZ361" s="117"/>
      <c r="CYA361" s="118"/>
      <c r="CYB361" s="440"/>
      <c r="CYD361" s="602"/>
      <c r="CYE361" s="603"/>
      <c r="CYF361" s="603"/>
      <c r="CYG361" s="601"/>
      <c r="CYH361" s="601"/>
      <c r="CYI361" s="117"/>
      <c r="CYJ361" s="118"/>
      <c r="CYK361" s="440"/>
      <c r="CYM361" s="602"/>
      <c r="CYN361" s="603"/>
      <c r="CYO361" s="603"/>
      <c r="CYP361" s="601"/>
      <c r="CYQ361" s="601"/>
      <c r="CYR361" s="117"/>
      <c r="CYS361" s="118"/>
      <c r="CYT361" s="440"/>
      <c r="CYV361" s="602"/>
      <c r="CYW361" s="603"/>
      <c r="CYX361" s="603"/>
      <c r="CYY361" s="601"/>
      <c r="CYZ361" s="601"/>
      <c r="CZA361" s="117"/>
      <c r="CZB361" s="118"/>
      <c r="CZC361" s="440"/>
      <c r="CZE361" s="602"/>
      <c r="CZF361" s="603"/>
      <c r="CZG361" s="603"/>
      <c r="CZH361" s="601"/>
      <c r="CZI361" s="601"/>
      <c r="CZJ361" s="117"/>
      <c r="CZK361" s="118"/>
      <c r="CZL361" s="440"/>
      <c r="CZN361" s="602"/>
      <c r="CZO361" s="603"/>
      <c r="CZP361" s="603"/>
      <c r="CZQ361" s="601"/>
      <c r="CZR361" s="601"/>
      <c r="CZS361" s="117"/>
      <c r="CZT361" s="118"/>
      <c r="CZU361" s="440"/>
      <c r="CZW361" s="602"/>
      <c r="CZX361" s="603"/>
      <c r="CZY361" s="603"/>
      <c r="CZZ361" s="601"/>
      <c r="DAA361" s="601"/>
      <c r="DAB361" s="117"/>
      <c r="DAC361" s="118"/>
      <c r="DAD361" s="440"/>
      <c r="DAF361" s="602"/>
      <c r="DAG361" s="603"/>
      <c r="DAH361" s="603"/>
      <c r="DAI361" s="601"/>
      <c r="DAJ361" s="601"/>
      <c r="DAK361" s="117"/>
      <c r="DAL361" s="118"/>
      <c r="DAM361" s="440"/>
      <c r="DAO361" s="602"/>
      <c r="DAP361" s="603"/>
      <c r="DAQ361" s="603"/>
      <c r="DAR361" s="601"/>
      <c r="DAS361" s="601"/>
      <c r="DAT361" s="117"/>
      <c r="DAU361" s="118"/>
      <c r="DAV361" s="440"/>
      <c r="DAX361" s="602"/>
      <c r="DAY361" s="603"/>
      <c r="DAZ361" s="603"/>
      <c r="DBA361" s="601"/>
      <c r="DBB361" s="601"/>
      <c r="DBC361" s="117"/>
      <c r="DBD361" s="118"/>
      <c r="DBE361" s="440"/>
      <c r="DBG361" s="602"/>
      <c r="DBH361" s="603"/>
      <c r="DBI361" s="603"/>
      <c r="DBJ361" s="601"/>
      <c r="DBK361" s="601"/>
      <c r="DBL361" s="117"/>
      <c r="DBM361" s="118"/>
      <c r="DBN361" s="440"/>
      <c r="DBP361" s="602"/>
      <c r="DBQ361" s="603"/>
      <c r="DBR361" s="603"/>
      <c r="DBS361" s="601"/>
      <c r="DBT361" s="601"/>
      <c r="DBU361" s="117"/>
      <c r="DBV361" s="118"/>
      <c r="DBW361" s="440"/>
      <c r="DBY361" s="602"/>
      <c r="DBZ361" s="603"/>
      <c r="DCA361" s="603"/>
      <c r="DCB361" s="601"/>
      <c r="DCC361" s="601"/>
      <c r="DCD361" s="117"/>
      <c r="DCE361" s="118"/>
      <c r="DCF361" s="440"/>
      <c r="DCH361" s="602"/>
      <c r="DCI361" s="603"/>
      <c r="DCJ361" s="603"/>
      <c r="DCK361" s="601"/>
      <c r="DCL361" s="601"/>
      <c r="DCM361" s="117"/>
      <c r="DCN361" s="118"/>
      <c r="DCO361" s="440"/>
      <c r="DCQ361" s="602"/>
      <c r="DCR361" s="603"/>
      <c r="DCS361" s="603"/>
      <c r="DCT361" s="601"/>
      <c r="DCU361" s="601"/>
      <c r="DCV361" s="117"/>
      <c r="DCW361" s="118"/>
      <c r="DCX361" s="440"/>
      <c r="DCZ361" s="602"/>
      <c r="DDA361" s="603"/>
      <c r="DDB361" s="603"/>
      <c r="DDC361" s="601"/>
      <c r="DDD361" s="601"/>
      <c r="DDE361" s="117"/>
      <c r="DDF361" s="118"/>
      <c r="DDG361" s="440"/>
      <c r="DDI361" s="602"/>
      <c r="DDJ361" s="603"/>
      <c r="DDK361" s="603"/>
      <c r="DDL361" s="601"/>
      <c r="DDM361" s="601"/>
      <c r="DDN361" s="117"/>
      <c r="DDO361" s="118"/>
      <c r="DDP361" s="440"/>
      <c r="DDR361" s="602"/>
      <c r="DDS361" s="603"/>
      <c r="DDT361" s="603"/>
      <c r="DDU361" s="601"/>
      <c r="DDV361" s="601"/>
      <c r="DDW361" s="117"/>
      <c r="DDX361" s="118"/>
      <c r="DDY361" s="440"/>
      <c r="DEA361" s="602"/>
      <c r="DEB361" s="603"/>
      <c r="DEC361" s="603"/>
      <c r="DED361" s="601"/>
      <c r="DEE361" s="601"/>
      <c r="DEF361" s="117"/>
      <c r="DEG361" s="118"/>
      <c r="DEH361" s="440"/>
      <c r="DEJ361" s="602"/>
      <c r="DEK361" s="603"/>
      <c r="DEL361" s="603"/>
      <c r="DEM361" s="601"/>
      <c r="DEN361" s="601"/>
      <c r="DEO361" s="117"/>
      <c r="DEP361" s="118"/>
      <c r="DEQ361" s="440"/>
      <c r="DES361" s="602"/>
      <c r="DET361" s="603"/>
      <c r="DEU361" s="603"/>
      <c r="DEV361" s="601"/>
      <c r="DEW361" s="601"/>
      <c r="DEX361" s="117"/>
      <c r="DEY361" s="118"/>
      <c r="DEZ361" s="440"/>
      <c r="DFB361" s="602"/>
      <c r="DFC361" s="603"/>
      <c r="DFD361" s="603"/>
      <c r="DFE361" s="601"/>
      <c r="DFF361" s="601"/>
      <c r="DFG361" s="117"/>
      <c r="DFH361" s="118"/>
      <c r="DFI361" s="440"/>
      <c r="DFK361" s="602"/>
      <c r="DFL361" s="603"/>
      <c r="DFM361" s="603"/>
      <c r="DFN361" s="601"/>
      <c r="DFO361" s="601"/>
      <c r="DFP361" s="117"/>
      <c r="DFQ361" s="118"/>
      <c r="DFR361" s="440"/>
      <c r="DFT361" s="602"/>
      <c r="DFU361" s="603"/>
      <c r="DFV361" s="603"/>
      <c r="DFW361" s="601"/>
      <c r="DFX361" s="601"/>
      <c r="DFY361" s="117"/>
      <c r="DFZ361" s="118"/>
      <c r="DGA361" s="440"/>
      <c r="DGC361" s="602"/>
      <c r="DGD361" s="603"/>
      <c r="DGE361" s="603"/>
      <c r="DGF361" s="601"/>
      <c r="DGG361" s="601"/>
      <c r="DGH361" s="117"/>
      <c r="DGI361" s="118"/>
      <c r="DGJ361" s="440"/>
      <c r="DGL361" s="602"/>
      <c r="DGM361" s="603"/>
      <c r="DGN361" s="603"/>
      <c r="DGO361" s="601"/>
      <c r="DGP361" s="601"/>
      <c r="DGQ361" s="117"/>
      <c r="DGR361" s="118"/>
      <c r="DGS361" s="440"/>
      <c r="DGU361" s="602"/>
      <c r="DGV361" s="603"/>
      <c r="DGW361" s="603"/>
      <c r="DGX361" s="601"/>
      <c r="DGY361" s="601"/>
      <c r="DGZ361" s="117"/>
      <c r="DHA361" s="118"/>
      <c r="DHB361" s="440"/>
      <c r="DHD361" s="602"/>
      <c r="DHE361" s="603"/>
      <c r="DHF361" s="603"/>
      <c r="DHG361" s="601"/>
      <c r="DHH361" s="601"/>
      <c r="DHI361" s="117"/>
      <c r="DHJ361" s="118"/>
      <c r="DHK361" s="440"/>
      <c r="DHM361" s="602"/>
      <c r="DHN361" s="603"/>
      <c r="DHO361" s="603"/>
      <c r="DHP361" s="601"/>
      <c r="DHQ361" s="601"/>
      <c r="DHR361" s="117"/>
      <c r="DHS361" s="118"/>
      <c r="DHT361" s="440"/>
      <c r="DHV361" s="602"/>
      <c r="DHW361" s="603"/>
      <c r="DHX361" s="603"/>
      <c r="DHY361" s="601"/>
      <c r="DHZ361" s="601"/>
      <c r="DIA361" s="117"/>
      <c r="DIB361" s="118"/>
      <c r="DIC361" s="440"/>
      <c r="DIE361" s="602"/>
      <c r="DIF361" s="603"/>
      <c r="DIG361" s="603"/>
      <c r="DIH361" s="601"/>
      <c r="DII361" s="601"/>
      <c r="DIJ361" s="117"/>
      <c r="DIK361" s="118"/>
      <c r="DIL361" s="440"/>
      <c r="DIN361" s="602"/>
      <c r="DIO361" s="603"/>
      <c r="DIP361" s="603"/>
      <c r="DIQ361" s="601"/>
      <c r="DIR361" s="601"/>
      <c r="DIS361" s="117"/>
      <c r="DIT361" s="118"/>
      <c r="DIU361" s="440"/>
      <c r="DIW361" s="602"/>
      <c r="DIX361" s="603"/>
      <c r="DIY361" s="603"/>
      <c r="DIZ361" s="601"/>
      <c r="DJA361" s="601"/>
      <c r="DJB361" s="117"/>
      <c r="DJC361" s="118"/>
      <c r="DJD361" s="440"/>
      <c r="DJF361" s="602"/>
      <c r="DJG361" s="603"/>
      <c r="DJH361" s="603"/>
      <c r="DJI361" s="601"/>
      <c r="DJJ361" s="601"/>
      <c r="DJK361" s="117"/>
      <c r="DJL361" s="118"/>
      <c r="DJM361" s="440"/>
      <c r="DJO361" s="602"/>
      <c r="DJP361" s="603"/>
      <c r="DJQ361" s="603"/>
      <c r="DJR361" s="601"/>
      <c r="DJS361" s="601"/>
      <c r="DJT361" s="117"/>
      <c r="DJU361" s="118"/>
      <c r="DJV361" s="440"/>
      <c r="DJX361" s="602"/>
      <c r="DJY361" s="603"/>
      <c r="DJZ361" s="603"/>
      <c r="DKA361" s="601"/>
      <c r="DKB361" s="601"/>
      <c r="DKC361" s="117"/>
      <c r="DKD361" s="118"/>
      <c r="DKE361" s="440"/>
      <c r="DKG361" s="602"/>
      <c r="DKH361" s="603"/>
      <c r="DKI361" s="603"/>
      <c r="DKJ361" s="601"/>
      <c r="DKK361" s="601"/>
      <c r="DKL361" s="117"/>
      <c r="DKM361" s="118"/>
      <c r="DKN361" s="440"/>
      <c r="DKP361" s="602"/>
      <c r="DKQ361" s="603"/>
      <c r="DKR361" s="603"/>
      <c r="DKS361" s="601"/>
      <c r="DKT361" s="601"/>
      <c r="DKU361" s="117"/>
      <c r="DKV361" s="118"/>
      <c r="DKW361" s="440"/>
      <c r="DKY361" s="602"/>
      <c r="DKZ361" s="603"/>
      <c r="DLA361" s="603"/>
      <c r="DLB361" s="601"/>
      <c r="DLC361" s="601"/>
      <c r="DLD361" s="117"/>
      <c r="DLE361" s="118"/>
      <c r="DLF361" s="440"/>
      <c r="DLH361" s="602"/>
      <c r="DLI361" s="603"/>
      <c r="DLJ361" s="603"/>
      <c r="DLK361" s="601"/>
      <c r="DLL361" s="601"/>
      <c r="DLM361" s="117"/>
      <c r="DLN361" s="118"/>
      <c r="DLO361" s="440"/>
      <c r="DLQ361" s="602"/>
      <c r="DLR361" s="603"/>
      <c r="DLS361" s="603"/>
      <c r="DLT361" s="601"/>
      <c r="DLU361" s="601"/>
      <c r="DLV361" s="117"/>
      <c r="DLW361" s="118"/>
      <c r="DLX361" s="440"/>
      <c r="DLZ361" s="602"/>
      <c r="DMA361" s="603"/>
      <c r="DMB361" s="603"/>
      <c r="DMC361" s="601"/>
      <c r="DMD361" s="601"/>
      <c r="DME361" s="117"/>
      <c r="DMF361" s="118"/>
      <c r="DMG361" s="440"/>
      <c r="DMI361" s="602"/>
      <c r="DMJ361" s="603"/>
      <c r="DMK361" s="603"/>
      <c r="DML361" s="601"/>
      <c r="DMM361" s="601"/>
      <c r="DMN361" s="117"/>
      <c r="DMO361" s="118"/>
      <c r="DMP361" s="440"/>
      <c r="DMR361" s="602"/>
      <c r="DMS361" s="603"/>
      <c r="DMT361" s="603"/>
      <c r="DMU361" s="601"/>
      <c r="DMV361" s="601"/>
      <c r="DMW361" s="117"/>
      <c r="DMX361" s="118"/>
      <c r="DMY361" s="440"/>
      <c r="DNA361" s="602"/>
      <c r="DNB361" s="603"/>
      <c r="DNC361" s="603"/>
      <c r="DND361" s="601"/>
      <c r="DNE361" s="601"/>
      <c r="DNF361" s="117"/>
      <c r="DNG361" s="118"/>
      <c r="DNH361" s="440"/>
      <c r="DNJ361" s="602"/>
      <c r="DNK361" s="603"/>
      <c r="DNL361" s="603"/>
      <c r="DNM361" s="601"/>
      <c r="DNN361" s="601"/>
      <c r="DNO361" s="117"/>
      <c r="DNP361" s="118"/>
      <c r="DNQ361" s="440"/>
      <c r="DNS361" s="602"/>
      <c r="DNT361" s="603"/>
      <c r="DNU361" s="603"/>
      <c r="DNV361" s="601"/>
      <c r="DNW361" s="601"/>
      <c r="DNX361" s="117"/>
      <c r="DNY361" s="118"/>
      <c r="DNZ361" s="440"/>
      <c r="DOB361" s="602"/>
      <c r="DOC361" s="603"/>
      <c r="DOD361" s="603"/>
      <c r="DOE361" s="601"/>
      <c r="DOF361" s="601"/>
      <c r="DOG361" s="117"/>
      <c r="DOH361" s="118"/>
      <c r="DOI361" s="440"/>
      <c r="DOK361" s="602"/>
      <c r="DOL361" s="603"/>
      <c r="DOM361" s="603"/>
      <c r="DON361" s="601"/>
      <c r="DOO361" s="601"/>
      <c r="DOP361" s="117"/>
      <c r="DOQ361" s="118"/>
      <c r="DOR361" s="440"/>
      <c r="DOT361" s="602"/>
      <c r="DOU361" s="603"/>
      <c r="DOV361" s="603"/>
      <c r="DOW361" s="601"/>
      <c r="DOX361" s="601"/>
      <c r="DOY361" s="117"/>
      <c r="DOZ361" s="118"/>
      <c r="DPA361" s="440"/>
      <c r="DPC361" s="602"/>
      <c r="DPD361" s="603"/>
      <c r="DPE361" s="603"/>
      <c r="DPF361" s="601"/>
      <c r="DPG361" s="601"/>
      <c r="DPH361" s="117"/>
      <c r="DPI361" s="118"/>
      <c r="DPJ361" s="440"/>
      <c r="DPL361" s="602"/>
      <c r="DPM361" s="603"/>
      <c r="DPN361" s="603"/>
      <c r="DPO361" s="601"/>
      <c r="DPP361" s="601"/>
      <c r="DPQ361" s="117"/>
      <c r="DPR361" s="118"/>
      <c r="DPS361" s="440"/>
      <c r="DPU361" s="602"/>
      <c r="DPV361" s="603"/>
      <c r="DPW361" s="603"/>
      <c r="DPX361" s="601"/>
      <c r="DPY361" s="601"/>
      <c r="DPZ361" s="117"/>
      <c r="DQA361" s="118"/>
      <c r="DQB361" s="440"/>
      <c r="DQD361" s="602"/>
      <c r="DQE361" s="603"/>
      <c r="DQF361" s="603"/>
      <c r="DQG361" s="601"/>
      <c r="DQH361" s="601"/>
      <c r="DQI361" s="117"/>
      <c r="DQJ361" s="118"/>
      <c r="DQK361" s="440"/>
      <c r="DQM361" s="602"/>
      <c r="DQN361" s="603"/>
      <c r="DQO361" s="603"/>
      <c r="DQP361" s="601"/>
      <c r="DQQ361" s="601"/>
      <c r="DQR361" s="117"/>
      <c r="DQS361" s="118"/>
      <c r="DQT361" s="440"/>
      <c r="DQV361" s="602"/>
      <c r="DQW361" s="603"/>
      <c r="DQX361" s="603"/>
      <c r="DQY361" s="601"/>
      <c r="DQZ361" s="601"/>
      <c r="DRA361" s="117"/>
      <c r="DRB361" s="118"/>
      <c r="DRC361" s="440"/>
      <c r="DRE361" s="602"/>
      <c r="DRF361" s="603"/>
      <c r="DRG361" s="603"/>
      <c r="DRH361" s="601"/>
      <c r="DRI361" s="601"/>
      <c r="DRJ361" s="117"/>
      <c r="DRK361" s="118"/>
      <c r="DRL361" s="440"/>
      <c r="DRN361" s="602"/>
      <c r="DRO361" s="603"/>
      <c r="DRP361" s="603"/>
      <c r="DRQ361" s="601"/>
      <c r="DRR361" s="601"/>
      <c r="DRS361" s="117"/>
      <c r="DRT361" s="118"/>
      <c r="DRU361" s="440"/>
      <c r="DRW361" s="602"/>
      <c r="DRX361" s="603"/>
      <c r="DRY361" s="603"/>
      <c r="DRZ361" s="601"/>
      <c r="DSA361" s="601"/>
      <c r="DSB361" s="117"/>
      <c r="DSC361" s="118"/>
      <c r="DSD361" s="440"/>
      <c r="DSF361" s="602"/>
      <c r="DSG361" s="603"/>
      <c r="DSH361" s="603"/>
      <c r="DSI361" s="601"/>
      <c r="DSJ361" s="601"/>
      <c r="DSK361" s="117"/>
      <c r="DSL361" s="118"/>
      <c r="DSM361" s="440"/>
      <c r="DSO361" s="602"/>
      <c r="DSP361" s="603"/>
      <c r="DSQ361" s="603"/>
      <c r="DSR361" s="601"/>
      <c r="DSS361" s="601"/>
      <c r="DST361" s="117"/>
      <c r="DSU361" s="118"/>
      <c r="DSV361" s="440"/>
      <c r="DSX361" s="602"/>
      <c r="DSY361" s="603"/>
      <c r="DSZ361" s="603"/>
      <c r="DTA361" s="601"/>
      <c r="DTB361" s="601"/>
      <c r="DTC361" s="117"/>
      <c r="DTD361" s="118"/>
      <c r="DTE361" s="440"/>
      <c r="DTG361" s="602"/>
      <c r="DTH361" s="603"/>
      <c r="DTI361" s="603"/>
      <c r="DTJ361" s="601"/>
      <c r="DTK361" s="601"/>
      <c r="DTL361" s="117"/>
      <c r="DTM361" s="118"/>
      <c r="DTN361" s="440"/>
      <c r="DTP361" s="602"/>
      <c r="DTQ361" s="603"/>
      <c r="DTR361" s="603"/>
      <c r="DTS361" s="601"/>
      <c r="DTT361" s="601"/>
      <c r="DTU361" s="117"/>
      <c r="DTV361" s="118"/>
      <c r="DTW361" s="440"/>
      <c r="DTY361" s="602"/>
      <c r="DTZ361" s="603"/>
      <c r="DUA361" s="603"/>
      <c r="DUB361" s="601"/>
      <c r="DUC361" s="601"/>
      <c r="DUD361" s="117"/>
      <c r="DUE361" s="118"/>
      <c r="DUF361" s="440"/>
      <c r="DUH361" s="602"/>
      <c r="DUI361" s="603"/>
      <c r="DUJ361" s="603"/>
      <c r="DUK361" s="601"/>
      <c r="DUL361" s="601"/>
      <c r="DUM361" s="117"/>
      <c r="DUN361" s="118"/>
      <c r="DUO361" s="440"/>
      <c r="DUQ361" s="602"/>
      <c r="DUR361" s="603"/>
      <c r="DUS361" s="603"/>
      <c r="DUT361" s="601"/>
      <c r="DUU361" s="601"/>
      <c r="DUV361" s="117"/>
      <c r="DUW361" s="118"/>
      <c r="DUX361" s="440"/>
      <c r="DUZ361" s="602"/>
      <c r="DVA361" s="603"/>
      <c r="DVB361" s="603"/>
      <c r="DVC361" s="601"/>
      <c r="DVD361" s="601"/>
      <c r="DVE361" s="117"/>
      <c r="DVF361" s="118"/>
      <c r="DVG361" s="440"/>
      <c r="DVI361" s="602"/>
      <c r="DVJ361" s="603"/>
      <c r="DVK361" s="603"/>
      <c r="DVL361" s="601"/>
      <c r="DVM361" s="601"/>
      <c r="DVN361" s="117"/>
      <c r="DVO361" s="118"/>
      <c r="DVP361" s="440"/>
      <c r="DVR361" s="602"/>
      <c r="DVS361" s="603"/>
      <c r="DVT361" s="603"/>
      <c r="DVU361" s="601"/>
      <c r="DVV361" s="601"/>
      <c r="DVW361" s="117"/>
      <c r="DVX361" s="118"/>
      <c r="DVY361" s="440"/>
      <c r="DWA361" s="602"/>
      <c r="DWB361" s="603"/>
      <c r="DWC361" s="603"/>
      <c r="DWD361" s="601"/>
      <c r="DWE361" s="601"/>
      <c r="DWF361" s="117"/>
      <c r="DWG361" s="118"/>
      <c r="DWH361" s="440"/>
      <c r="DWJ361" s="602"/>
      <c r="DWK361" s="603"/>
      <c r="DWL361" s="603"/>
      <c r="DWM361" s="601"/>
      <c r="DWN361" s="601"/>
      <c r="DWO361" s="117"/>
      <c r="DWP361" s="118"/>
      <c r="DWQ361" s="440"/>
      <c r="DWS361" s="602"/>
      <c r="DWT361" s="603"/>
      <c r="DWU361" s="603"/>
      <c r="DWV361" s="601"/>
      <c r="DWW361" s="601"/>
      <c r="DWX361" s="117"/>
      <c r="DWY361" s="118"/>
      <c r="DWZ361" s="440"/>
      <c r="DXB361" s="602"/>
      <c r="DXC361" s="603"/>
      <c r="DXD361" s="603"/>
      <c r="DXE361" s="601"/>
      <c r="DXF361" s="601"/>
      <c r="DXG361" s="117"/>
      <c r="DXH361" s="118"/>
      <c r="DXI361" s="440"/>
      <c r="DXK361" s="602"/>
      <c r="DXL361" s="603"/>
      <c r="DXM361" s="603"/>
      <c r="DXN361" s="601"/>
      <c r="DXO361" s="601"/>
      <c r="DXP361" s="117"/>
      <c r="DXQ361" s="118"/>
      <c r="DXR361" s="440"/>
      <c r="DXT361" s="602"/>
      <c r="DXU361" s="603"/>
      <c r="DXV361" s="603"/>
      <c r="DXW361" s="601"/>
      <c r="DXX361" s="601"/>
      <c r="DXY361" s="117"/>
      <c r="DXZ361" s="118"/>
      <c r="DYA361" s="440"/>
      <c r="DYC361" s="602"/>
      <c r="DYD361" s="603"/>
      <c r="DYE361" s="603"/>
      <c r="DYF361" s="601"/>
      <c r="DYG361" s="601"/>
      <c r="DYH361" s="117"/>
      <c r="DYI361" s="118"/>
      <c r="DYJ361" s="440"/>
      <c r="DYL361" s="602"/>
      <c r="DYM361" s="603"/>
      <c r="DYN361" s="603"/>
      <c r="DYO361" s="601"/>
      <c r="DYP361" s="601"/>
      <c r="DYQ361" s="117"/>
      <c r="DYR361" s="118"/>
      <c r="DYS361" s="440"/>
      <c r="DYU361" s="602"/>
      <c r="DYV361" s="603"/>
      <c r="DYW361" s="603"/>
      <c r="DYX361" s="601"/>
      <c r="DYY361" s="601"/>
      <c r="DYZ361" s="117"/>
      <c r="DZA361" s="118"/>
      <c r="DZB361" s="440"/>
      <c r="DZD361" s="602"/>
      <c r="DZE361" s="603"/>
      <c r="DZF361" s="603"/>
      <c r="DZG361" s="601"/>
      <c r="DZH361" s="601"/>
      <c r="DZI361" s="117"/>
      <c r="DZJ361" s="118"/>
      <c r="DZK361" s="440"/>
      <c r="DZM361" s="602"/>
      <c r="DZN361" s="603"/>
      <c r="DZO361" s="603"/>
      <c r="DZP361" s="601"/>
      <c r="DZQ361" s="601"/>
      <c r="DZR361" s="117"/>
      <c r="DZS361" s="118"/>
      <c r="DZT361" s="440"/>
      <c r="DZV361" s="602"/>
      <c r="DZW361" s="603"/>
      <c r="DZX361" s="603"/>
      <c r="DZY361" s="601"/>
      <c r="DZZ361" s="601"/>
      <c r="EAA361" s="117"/>
      <c r="EAB361" s="118"/>
      <c r="EAC361" s="440"/>
      <c r="EAE361" s="602"/>
      <c r="EAF361" s="603"/>
      <c r="EAG361" s="603"/>
      <c r="EAH361" s="601"/>
      <c r="EAI361" s="601"/>
      <c r="EAJ361" s="117"/>
      <c r="EAK361" s="118"/>
      <c r="EAL361" s="440"/>
      <c r="EAN361" s="602"/>
      <c r="EAO361" s="603"/>
      <c r="EAP361" s="603"/>
      <c r="EAQ361" s="601"/>
      <c r="EAR361" s="601"/>
      <c r="EAS361" s="117"/>
      <c r="EAT361" s="118"/>
      <c r="EAU361" s="440"/>
      <c r="EAW361" s="602"/>
      <c r="EAX361" s="603"/>
      <c r="EAY361" s="603"/>
      <c r="EAZ361" s="601"/>
      <c r="EBA361" s="601"/>
      <c r="EBB361" s="117"/>
      <c r="EBC361" s="118"/>
      <c r="EBD361" s="440"/>
      <c r="EBF361" s="602"/>
      <c r="EBG361" s="603"/>
      <c r="EBH361" s="603"/>
      <c r="EBI361" s="601"/>
      <c r="EBJ361" s="601"/>
      <c r="EBK361" s="117"/>
      <c r="EBL361" s="118"/>
      <c r="EBM361" s="440"/>
      <c r="EBO361" s="602"/>
      <c r="EBP361" s="603"/>
      <c r="EBQ361" s="603"/>
      <c r="EBR361" s="601"/>
      <c r="EBS361" s="601"/>
      <c r="EBT361" s="117"/>
      <c r="EBU361" s="118"/>
      <c r="EBV361" s="440"/>
      <c r="EBX361" s="602"/>
      <c r="EBY361" s="603"/>
      <c r="EBZ361" s="603"/>
      <c r="ECA361" s="601"/>
      <c r="ECB361" s="601"/>
      <c r="ECC361" s="117"/>
      <c r="ECD361" s="118"/>
      <c r="ECE361" s="440"/>
      <c r="ECG361" s="602"/>
      <c r="ECH361" s="603"/>
      <c r="ECI361" s="603"/>
      <c r="ECJ361" s="601"/>
      <c r="ECK361" s="601"/>
      <c r="ECL361" s="117"/>
      <c r="ECM361" s="118"/>
      <c r="ECN361" s="440"/>
      <c r="ECP361" s="602"/>
      <c r="ECQ361" s="603"/>
      <c r="ECR361" s="603"/>
      <c r="ECS361" s="601"/>
      <c r="ECT361" s="601"/>
      <c r="ECU361" s="117"/>
      <c r="ECV361" s="118"/>
      <c r="ECW361" s="440"/>
      <c r="ECY361" s="602"/>
      <c r="ECZ361" s="603"/>
      <c r="EDA361" s="603"/>
      <c r="EDB361" s="601"/>
      <c r="EDC361" s="601"/>
      <c r="EDD361" s="117"/>
      <c r="EDE361" s="118"/>
      <c r="EDF361" s="440"/>
      <c r="EDH361" s="602"/>
      <c r="EDI361" s="603"/>
      <c r="EDJ361" s="603"/>
      <c r="EDK361" s="601"/>
      <c r="EDL361" s="601"/>
      <c r="EDM361" s="117"/>
      <c r="EDN361" s="118"/>
      <c r="EDO361" s="440"/>
      <c r="EDQ361" s="602"/>
      <c r="EDR361" s="603"/>
      <c r="EDS361" s="603"/>
      <c r="EDT361" s="601"/>
      <c r="EDU361" s="601"/>
      <c r="EDV361" s="117"/>
      <c r="EDW361" s="118"/>
      <c r="EDX361" s="440"/>
      <c r="EDZ361" s="602"/>
      <c r="EEA361" s="603"/>
      <c r="EEB361" s="603"/>
      <c r="EEC361" s="601"/>
      <c r="EED361" s="601"/>
      <c r="EEE361" s="117"/>
      <c r="EEF361" s="118"/>
      <c r="EEG361" s="440"/>
      <c r="EEI361" s="602"/>
      <c r="EEJ361" s="603"/>
      <c r="EEK361" s="603"/>
      <c r="EEL361" s="601"/>
      <c r="EEM361" s="601"/>
      <c r="EEN361" s="117"/>
      <c r="EEO361" s="118"/>
      <c r="EEP361" s="440"/>
      <c r="EER361" s="602"/>
      <c r="EES361" s="603"/>
      <c r="EET361" s="603"/>
      <c r="EEU361" s="601"/>
      <c r="EEV361" s="601"/>
      <c r="EEW361" s="117"/>
      <c r="EEX361" s="118"/>
      <c r="EEY361" s="440"/>
      <c r="EFA361" s="602"/>
      <c r="EFB361" s="603"/>
      <c r="EFC361" s="603"/>
      <c r="EFD361" s="601"/>
      <c r="EFE361" s="601"/>
      <c r="EFF361" s="117"/>
      <c r="EFG361" s="118"/>
      <c r="EFH361" s="440"/>
      <c r="EFJ361" s="602"/>
      <c r="EFK361" s="603"/>
      <c r="EFL361" s="603"/>
      <c r="EFM361" s="601"/>
      <c r="EFN361" s="601"/>
      <c r="EFO361" s="117"/>
      <c r="EFP361" s="118"/>
      <c r="EFQ361" s="440"/>
      <c r="EFS361" s="602"/>
      <c r="EFT361" s="603"/>
      <c r="EFU361" s="603"/>
      <c r="EFV361" s="601"/>
      <c r="EFW361" s="601"/>
      <c r="EFX361" s="117"/>
      <c r="EFY361" s="118"/>
      <c r="EFZ361" s="440"/>
      <c r="EGB361" s="602"/>
      <c r="EGC361" s="603"/>
      <c r="EGD361" s="603"/>
      <c r="EGE361" s="601"/>
      <c r="EGF361" s="601"/>
      <c r="EGG361" s="117"/>
      <c r="EGH361" s="118"/>
      <c r="EGI361" s="440"/>
      <c r="EGK361" s="602"/>
      <c r="EGL361" s="603"/>
      <c r="EGM361" s="603"/>
      <c r="EGN361" s="601"/>
      <c r="EGO361" s="601"/>
      <c r="EGP361" s="117"/>
      <c r="EGQ361" s="118"/>
      <c r="EGR361" s="440"/>
      <c r="EGT361" s="602"/>
      <c r="EGU361" s="603"/>
      <c r="EGV361" s="603"/>
      <c r="EGW361" s="601"/>
      <c r="EGX361" s="601"/>
      <c r="EGY361" s="117"/>
      <c r="EGZ361" s="118"/>
      <c r="EHA361" s="440"/>
      <c r="EHC361" s="602"/>
      <c r="EHD361" s="603"/>
      <c r="EHE361" s="603"/>
      <c r="EHF361" s="601"/>
      <c r="EHG361" s="601"/>
      <c r="EHH361" s="117"/>
      <c r="EHI361" s="118"/>
      <c r="EHJ361" s="440"/>
      <c r="EHL361" s="602"/>
      <c r="EHM361" s="603"/>
      <c r="EHN361" s="603"/>
      <c r="EHO361" s="601"/>
      <c r="EHP361" s="601"/>
      <c r="EHQ361" s="117"/>
      <c r="EHR361" s="118"/>
      <c r="EHS361" s="440"/>
      <c r="EHU361" s="602"/>
      <c r="EHV361" s="603"/>
      <c r="EHW361" s="603"/>
      <c r="EHX361" s="601"/>
      <c r="EHY361" s="601"/>
      <c r="EHZ361" s="117"/>
      <c r="EIA361" s="118"/>
      <c r="EIB361" s="440"/>
      <c r="EID361" s="602"/>
      <c r="EIE361" s="603"/>
      <c r="EIF361" s="603"/>
      <c r="EIG361" s="601"/>
      <c r="EIH361" s="601"/>
      <c r="EII361" s="117"/>
      <c r="EIJ361" s="118"/>
      <c r="EIK361" s="440"/>
      <c r="EIM361" s="602"/>
      <c r="EIN361" s="603"/>
      <c r="EIO361" s="603"/>
      <c r="EIP361" s="601"/>
      <c r="EIQ361" s="601"/>
      <c r="EIR361" s="117"/>
      <c r="EIS361" s="118"/>
      <c r="EIT361" s="440"/>
      <c r="EIV361" s="602"/>
      <c r="EIW361" s="603"/>
      <c r="EIX361" s="603"/>
      <c r="EIY361" s="601"/>
      <c r="EIZ361" s="601"/>
      <c r="EJA361" s="117"/>
      <c r="EJB361" s="118"/>
      <c r="EJC361" s="440"/>
      <c r="EJE361" s="602"/>
      <c r="EJF361" s="603"/>
      <c r="EJG361" s="603"/>
      <c r="EJH361" s="601"/>
      <c r="EJI361" s="601"/>
      <c r="EJJ361" s="117"/>
      <c r="EJK361" s="118"/>
      <c r="EJL361" s="440"/>
      <c r="EJN361" s="602"/>
      <c r="EJO361" s="603"/>
      <c r="EJP361" s="603"/>
      <c r="EJQ361" s="601"/>
      <c r="EJR361" s="601"/>
      <c r="EJS361" s="117"/>
      <c r="EJT361" s="118"/>
      <c r="EJU361" s="440"/>
      <c r="EJW361" s="602"/>
      <c r="EJX361" s="603"/>
      <c r="EJY361" s="603"/>
      <c r="EJZ361" s="601"/>
      <c r="EKA361" s="601"/>
      <c r="EKB361" s="117"/>
      <c r="EKC361" s="118"/>
      <c r="EKD361" s="440"/>
      <c r="EKF361" s="602"/>
      <c r="EKG361" s="603"/>
      <c r="EKH361" s="603"/>
      <c r="EKI361" s="601"/>
      <c r="EKJ361" s="601"/>
      <c r="EKK361" s="117"/>
      <c r="EKL361" s="118"/>
      <c r="EKM361" s="440"/>
      <c r="EKO361" s="602"/>
      <c r="EKP361" s="603"/>
      <c r="EKQ361" s="603"/>
      <c r="EKR361" s="601"/>
      <c r="EKS361" s="601"/>
      <c r="EKT361" s="117"/>
      <c r="EKU361" s="118"/>
      <c r="EKV361" s="440"/>
      <c r="EKX361" s="602"/>
      <c r="EKY361" s="603"/>
      <c r="EKZ361" s="603"/>
      <c r="ELA361" s="601"/>
      <c r="ELB361" s="601"/>
      <c r="ELC361" s="117"/>
      <c r="ELD361" s="118"/>
      <c r="ELE361" s="440"/>
      <c r="ELG361" s="602"/>
      <c r="ELH361" s="603"/>
      <c r="ELI361" s="603"/>
      <c r="ELJ361" s="601"/>
      <c r="ELK361" s="601"/>
      <c r="ELL361" s="117"/>
      <c r="ELM361" s="118"/>
      <c r="ELN361" s="440"/>
      <c r="ELP361" s="602"/>
      <c r="ELQ361" s="603"/>
      <c r="ELR361" s="603"/>
      <c r="ELS361" s="601"/>
      <c r="ELT361" s="601"/>
      <c r="ELU361" s="117"/>
      <c r="ELV361" s="118"/>
      <c r="ELW361" s="440"/>
      <c r="ELY361" s="602"/>
      <c r="ELZ361" s="603"/>
      <c r="EMA361" s="603"/>
      <c r="EMB361" s="601"/>
      <c r="EMC361" s="601"/>
      <c r="EMD361" s="117"/>
      <c r="EME361" s="118"/>
      <c r="EMF361" s="440"/>
      <c r="EMH361" s="602"/>
      <c r="EMI361" s="603"/>
      <c r="EMJ361" s="603"/>
      <c r="EMK361" s="601"/>
      <c r="EML361" s="601"/>
      <c r="EMM361" s="117"/>
      <c r="EMN361" s="118"/>
      <c r="EMO361" s="440"/>
      <c r="EMQ361" s="602"/>
      <c r="EMR361" s="603"/>
      <c r="EMS361" s="603"/>
      <c r="EMT361" s="601"/>
      <c r="EMU361" s="601"/>
      <c r="EMV361" s="117"/>
      <c r="EMW361" s="118"/>
      <c r="EMX361" s="440"/>
      <c r="EMZ361" s="602"/>
      <c r="ENA361" s="603"/>
      <c r="ENB361" s="603"/>
      <c r="ENC361" s="601"/>
      <c r="END361" s="601"/>
      <c r="ENE361" s="117"/>
      <c r="ENF361" s="118"/>
      <c r="ENG361" s="440"/>
      <c r="ENI361" s="602"/>
      <c r="ENJ361" s="603"/>
      <c r="ENK361" s="603"/>
      <c r="ENL361" s="601"/>
      <c r="ENM361" s="601"/>
      <c r="ENN361" s="117"/>
      <c r="ENO361" s="118"/>
      <c r="ENP361" s="440"/>
      <c r="ENR361" s="602"/>
      <c r="ENS361" s="603"/>
      <c r="ENT361" s="603"/>
      <c r="ENU361" s="601"/>
      <c r="ENV361" s="601"/>
      <c r="ENW361" s="117"/>
      <c r="ENX361" s="118"/>
      <c r="ENY361" s="440"/>
      <c r="EOA361" s="602"/>
      <c r="EOB361" s="603"/>
      <c r="EOC361" s="603"/>
      <c r="EOD361" s="601"/>
      <c r="EOE361" s="601"/>
      <c r="EOF361" s="117"/>
      <c r="EOG361" s="118"/>
      <c r="EOH361" s="440"/>
      <c r="EOJ361" s="602"/>
      <c r="EOK361" s="603"/>
      <c r="EOL361" s="603"/>
      <c r="EOM361" s="601"/>
      <c r="EON361" s="601"/>
      <c r="EOO361" s="117"/>
      <c r="EOP361" s="118"/>
      <c r="EOQ361" s="440"/>
      <c r="EOS361" s="602"/>
      <c r="EOT361" s="603"/>
      <c r="EOU361" s="603"/>
      <c r="EOV361" s="601"/>
      <c r="EOW361" s="601"/>
      <c r="EOX361" s="117"/>
      <c r="EOY361" s="118"/>
      <c r="EOZ361" s="440"/>
      <c r="EPB361" s="602"/>
      <c r="EPC361" s="603"/>
      <c r="EPD361" s="603"/>
      <c r="EPE361" s="601"/>
      <c r="EPF361" s="601"/>
      <c r="EPG361" s="117"/>
      <c r="EPH361" s="118"/>
      <c r="EPI361" s="440"/>
      <c r="EPK361" s="602"/>
      <c r="EPL361" s="603"/>
      <c r="EPM361" s="603"/>
      <c r="EPN361" s="601"/>
      <c r="EPO361" s="601"/>
      <c r="EPP361" s="117"/>
      <c r="EPQ361" s="118"/>
      <c r="EPR361" s="440"/>
      <c r="EPT361" s="602"/>
      <c r="EPU361" s="603"/>
      <c r="EPV361" s="603"/>
      <c r="EPW361" s="601"/>
      <c r="EPX361" s="601"/>
      <c r="EPY361" s="117"/>
      <c r="EPZ361" s="118"/>
      <c r="EQA361" s="440"/>
      <c r="EQC361" s="602"/>
      <c r="EQD361" s="603"/>
      <c r="EQE361" s="603"/>
      <c r="EQF361" s="601"/>
      <c r="EQG361" s="601"/>
      <c r="EQH361" s="117"/>
      <c r="EQI361" s="118"/>
      <c r="EQJ361" s="440"/>
      <c r="EQL361" s="602"/>
      <c r="EQM361" s="603"/>
      <c r="EQN361" s="603"/>
      <c r="EQO361" s="601"/>
      <c r="EQP361" s="601"/>
      <c r="EQQ361" s="117"/>
      <c r="EQR361" s="118"/>
      <c r="EQS361" s="440"/>
      <c r="EQU361" s="602"/>
      <c r="EQV361" s="603"/>
      <c r="EQW361" s="603"/>
      <c r="EQX361" s="601"/>
      <c r="EQY361" s="601"/>
      <c r="EQZ361" s="117"/>
      <c r="ERA361" s="118"/>
      <c r="ERB361" s="440"/>
      <c r="ERD361" s="602"/>
      <c r="ERE361" s="603"/>
      <c r="ERF361" s="603"/>
      <c r="ERG361" s="601"/>
      <c r="ERH361" s="601"/>
      <c r="ERI361" s="117"/>
      <c r="ERJ361" s="118"/>
      <c r="ERK361" s="440"/>
      <c r="ERM361" s="602"/>
      <c r="ERN361" s="603"/>
      <c r="ERO361" s="603"/>
      <c r="ERP361" s="601"/>
      <c r="ERQ361" s="601"/>
      <c r="ERR361" s="117"/>
      <c r="ERS361" s="118"/>
      <c r="ERT361" s="440"/>
      <c r="ERV361" s="602"/>
      <c r="ERW361" s="603"/>
      <c r="ERX361" s="603"/>
      <c r="ERY361" s="601"/>
      <c r="ERZ361" s="601"/>
      <c r="ESA361" s="117"/>
      <c r="ESB361" s="118"/>
      <c r="ESC361" s="440"/>
      <c r="ESE361" s="602"/>
      <c r="ESF361" s="603"/>
      <c r="ESG361" s="603"/>
      <c r="ESH361" s="601"/>
      <c r="ESI361" s="601"/>
      <c r="ESJ361" s="117"/>
      <c r="ESK361" s="118"/>
      <c r="ESL361" s="440"/>
      <c r="ESN361" s="602"/>
      <c r="ESO361" s="603"/>
      <c r="ESP361" s="603"/>
      <c r="ESQ361" s="601"/>
      <c r="ESR361" s="601"/>
      <c r="ESS361" s="117"/>
      <c r="EST361" s="118"/>
      <c r="ESU361" s="440"/>
      <c r="ESW361" s="602"/>
      <c r="ESX361" s="603"/>
      <c r="ESY361" s="603"/>
      <c r="ESZ361" s="601"/>
      <c r="ETA361" s="601"/>
      <c r="ETB361" s="117"/>
      <c r="ETC361" s="118"/>
      <c r="ETD361" s="440"/>
      <c r="ETF361" s="602"/>
      <c r="ETG361" s="603"/>
      <c r="ETH361" s="603"/>
      <c r="ETI361" s="601"/>
      <c r="ETJ361" s="601"/>
      <c r="ETK361" s="117"/>
      <c r="ETL361" s="118"/>
      <c r="ETM361" s="440"/>
      <c r="ETO361" s="602"/>
      <c r="ETP361" s="603"/>
      <c r="ETQ361" s="603"/>
      <c r="ETR361" s="601"/>
      <c r="ETS361" s="601"/>
      <c r="ETT361" s="117"/>
      <c r="ETU361" s="118"/>
      <c r="ETV361" s="440"/>
      <c r="ETX361" s="602"/>
      <c r="ETY361" s="603"/>
      <c r="ETZ361" s="603"/>
      <c r="EUA361" s="601"/>
      <c r="EUB361" s="601"/>
      <c r="EUC361" s="117"/>
      <c r="EUD361" s="118"/>
      <c r="EUE361" s="440"/>
      <c r="EUG361" s="602"/>
      <c r="EUH361" s="603"/>
      <c r="EUI361" s="603"/>
      <c r="EUJ361" s="601"/>
      <c r="EUK361" s="601"/>
      <c r="EUL361" s="117"/>
      <c r="EUM361" s="118"/>
      <c r="EUN361" s="440"/>
      <c r="EUP361" s="602"/>
      <c r="EUQ361" s="603"/>
      <c r="EUR361" s="603"/>
      <c r="EUS361" s="601"/>
      <c r="EUT361" s="601"/>
      <c r="EUU361" s="117"/>
      <c r="EUV361" s="118"/>
      <c r="EUW361" s="440"/>
      <c r="EUY361" s="602"/>
      <c r="EUZ361" s="603"/>
      <c r="EVA361" s="603"/>
      <c r="EVB361" s="601"/>
      <c r="EVC361" s="601"/>
      <c r="EVD361" s="117"/>
      <c r="EVE361" s="118"/>
      <c r="EVF361" s="440"/>
      <c r="EVH361" s="602"/>
      <c r="EVI361" s="603"/>
      <c r="EVJ361" s="603"/>
      <c r="EVK361" s="601"/>
      <c r="EVL361" s="601"/>
      <c r="EVM361" s="117"/>
      <c r="EVN361" s="118"/>
      <c r="EVO361" s="440"/>
      <c r="EVQ361" s="602"/>
      <c r="EVR361" s="603"/>
      <c r="EVS361" s="603"/>
      <c r="EVT361" s="601"/>
      <c r="EVU361" s="601"/>
      <c r="EVV361" s="117"/>
      <c r="EVW361" s="118"/>
      <c r="EVX361" s="440"/>
      <c r="EVZ361" s="602"/>
      <c r="EWA361" s="603"/>
      <c r="EWB361" s="603"/>
      <c r="EWC361" s="601"/>
      <c r="EWD361" s="601"/>
      <c r="EWE361" s="117"/>
      <c r="EWF361" s="118"/>
      <c r="EWG361" s="440"/>
      <c r="EWI361" s="602"/>
      <c r="EWJ361" s="603"/>
      <c r="EWK361" s="603"/>
      <c r="EWL361" s="601"/>
      <c r="EWM361" s="601"/>
      <c r="EWN361" s="117"/>
      <c r="EWO361" s="118"/>
      <c r="EWP361" s="440"/>
      <c r="EWR361" s="602"/>
      <c r="EWS361" s="603"/>
      <c r="EWT361" s="603"/>
      <c r="EWU361" s="601"/>
      <c r="EWV361" s="601"/>
      <c r="EWW361" s="117"/>
      <c r="EWX361" s="118"/>
      <c r="EWY361" s="440"/>
      <c r="EXA361" s="602"/>
      <c r="EXB361" s="603"/>
      <c r="EXC361" s="603"/>
      <c r="EXD361" s="601"/>
      <c r="EXE361" s="601"/>
      <c r="EXF361" s="117"/>
      <c r="EXG361" s="118"/>
      <c r="EXH361" s="440"/>
      <c r="EXJ361" s="602"/>
      <c r="EXK361" s="603"/>
      <c r="EXL361" s="603"/>
      <c r="EXM361" s="601"/>
      <c r="EXN361" s="601"/>
      <c r="EXO361" s="117"/>
      <c r="EXP361" s="118"/>
      <c r="EXQ361" s="440"/>
      <c r="EXS361" s="602"/>
      <c r="EXT361" s="603"/>
      <c r="EXU361" s="603"/>
      <c r="EXV361" s="601"/>
      <c r="EXW361" s="601"/>
      <c r="EXX361" s="117"/>
      <c r="EXY361" s="118"/>
      <c r="EXZ361" s="440"/>
      <c r="EYB361" s="602"/>
      <c r="EYC361" s="603"/>
      <c r="EYD361" s="603"/>
      <c r="EYE361" s="601"/>
      <c r="EYF361" s="601"/>
      <c r="EYG361" s="117"/>
      <c r="EYH361" s="118"/>
      <c r="EYI361" s="440"/>
      <c r="EYK361" s="602"/>
      <c r="EYL361" s="603"/>
      <c r="EYM361" s="603"/>
      <c r="EYN361" s="601"/>
      <c r="EYO361" s="601"/>
      <c r="EYP361" s="117"/>
      <c r="EYQ361" s="118"/>
      <c r="EYR361" s="440"/>
      <c r="EYT361" s="602"/>
      <c r="EYU361" s="603"/>
      <c r="EYV361" s="603"/>
      <c r="EYW361" s="601"/>
      <c r="EYX361" s="601"/>
      <c r="EYY361" s="117"/>
      <c r="EYZ361" s="118"/>
      <c r="EZA361" s="440"/>
      <c r="EZC361" s="602"/>
      <c r="EZD361" s="603"/>
      <c r="EZE361" s="603"/>
      <c r="EZF361" s="601"/>
      <c r="EZG361" s="601"/>
      <c r="EZH361" s="117"/>
      <c r="EZI361" s="118"/>
      <c r="EZJ361" s="440"/>
      <c r="EZL361" s="602"/>
      <c r="EZM361" s="603"/>
      <c r="EZN361" s="603"/>
      <c r="EZO361" s="601"/>
      <c r="EZP361" s="601"/>
      <c r="EZQ361" s="117"/>
      <c r="EZR361" s="118"/>
      <c r="EZS361" s="440"/>
      <c r="EZU361" s="602"/>
      <c r="EZV361" s="603"/>
      <c r="EZW361" s="603"/>
      <c r="EZX361" s="601"/>
      <c r="EZY361" s="601"/>
      <c r="EZZ361" s="117"/>
      <c r="FAA361" s="118"/>
      <c r="FAB361" s="440"/>
      <c r="FAD361" s="602"/>
      <c r="FAE361" s="603"/>
      <c r="FAF361" s="603"/>
      <c r="FAG361" s="601"/>
      <c r="FAH361" s="601"/>
      <c r="FAI361" s="117"/>
      <c r="FAJ361" s="118"/>
      <c r="FAK361" s="440"/>
      <c r="FAM361" s="602"/>
      <c r="FAN361" s="603"/>
      <c r="FAO361" s="603"/>
      <c r="FAP361" s="601"/>
      <c r="FAQ361" s="601"/>
      <c r="FAR361" s="117"/>
      <c r="FAS361" s="118"/>
      <c r="FAT361" s="440"/>
      <c r="FAV361" s="602"/>
      <c r="FAW361" s="603"/>
      <c r="FAX361" s="603"/>
      <c r="FAY361" s="601"/>
      <c r="FAZ361" s="601"/>
      <c r="FBA361" s="117"/>
      <c r="FBB361" s="118"/>
      <c r="FBC361" s="440"/>
      <c r="FBE361" s="602"/>
      <c r="FBF361" s="603"/>
      <c r="FBG361" s="603"/>
      <c r="FBH361" s="601"/>
      <c r="FBI361" s="601"/>
      <c r="FBJ361" s="117"/>
      <c r="FBK361" s="118"/>
      <c r="FBL361" s="440"/>
      <c r="FBN361" s="602"/>
      <c r="FBO361" s="603"/>
      <c r="FBP361" s="603"/>
      <c r="FBQ361" s="601"/>
      <c r="FBR361" s="601"/>
      <c r="FBS361" s="117"/>
      <c r="FBT361" s="118"/>
      <c r="FBU361" s="440"/>
      <c r="FBW361" s="602"/>
      <c r="FBX361" s="603"/>
      <c r="FBY361" s="603"/>
      <c r="FBZ361" s="601"/>
      <c r="FCA361" s="601"/>
      <c r="FCB361" s="117"/>
      <c r="FCC361" s="118"/>
      <c r="FCD361" s="440"/>
      <c r="FCF361" s="602"/>
      <c r="FCG361" s="603"/>
      <c r="FCH361" s="603"/>
      <c r="FCI361" s="601"/>
      <c r="FCJ361" s="601"/>
      <c r="FCK361" s="117"/>
      <c r="FCL361" s="118"/>
      <c r="FCM361" s="440"/>
      <c r="FCO361" s="602"/>
      <c r="FCP361" s="603"/>
      <c r="FCQ361" s="603"/>
      <c r="FCR361" s="601"/>
      <c r="FCS361" s="601"/>
      <c r="FCT361" s="117"/>
      <c r="FCU361" s="118"/>
      <c r="FCV361" s="440"/>
      <c r="FCX361" s="602"/>
      <c r="FCY361" s="603"/>
      <c r="FCZ361" s="603"/>
      <c r="FDA361" s="601"/>
      <c r="FDB361" s="601"/>
      <c r="FDC361" s="117"/>
      <c r="FDD361" s="118"/>
      <c r="FDE361" s="440"/>
      <c r="FDG361" s="602"/>
      <c r="FDH361" s="603"/>
      <c r="FDI361" s="603"/>
      <c r="FDJ361" s="601"/>
      <c r="FDK361" s="601"/>
      <c r="FDL361" s="117"/>
      <c r="FDM361" s="118"/>
      <c r="FDN361" s="440"/>
      <c r="FDP361" s="602"/>
      <c r="FDQ361" s="603"/>
      <c r="FDR361" s="603"/>
      <c r="FDS361" s="601"/>
      <c r="FDT361" s="601"/>
      <c r="FDU361" s="117"/>
      <c r="FDV361" s="118"/>
      <c r="FDW361" s="440"/>
      <c r="FDY361" s="602"/>
      <c r="FDZ361" s="603"/>
      <c r="FEA361" s="603"/>
      <c r="FEB361" s="601"/>
      <c r="FEC361" s="601"/>
      <c r="FED361" s="117"/>
      <c r="FEE361" s="118"/>
      <c r="FEF361" s="440"/>
      <c r="FEH361" s="602"/>
      <c r="FEI361" s="603"/>
      <c r="FEJ361" s="603"/>
      <c r="FEK361" s="601"/>
      <c r="FEL361" s="601"/>
      <c r="FEM361" s="117"/>
      <c r="FEN361" s="118"/>
      <c r="FEO361" s="440"/>
      <c r="FEQ361" s="602"/>
      <c r="FER361" s="603"/>
      <c r="FES361" s="603"/>
      <c r="FET361" s="601"/>
      <c r="FEU361" s="601"/>
      <c r="FEV361" s="117"/>
      <c r="FEW361" s="118"/>
      <c r="FEX361" s="440"/>
      <c r="FEZ361" s="602"/>
      <c r="FFA361" s="603"/>
      <c r="FFB361" s="603"/>
      <c r="FFC361" s="601"/>
      <c r="FFD361" s="601"/>
      <c r="FFE361" s="117"/>
      <c r="FFF361" s="118"/>
      <c r="FFG361" s="440"/>
      <c r="FFI361" s="602"/>
      <c r="FFJ361" s="603"/>
      <c r="FFK361" s="603"/>
      <c r="FFL361" s="601"/>
      <c r="FFM361" s="601"/>
      <c r="FFN361" s="117"/>
      <c r="FFO361" s="118"/>
      <c r="FFP361" s="440"/>
      <c r="FFR361" s="602"/>
      <c r="FFS361" s="603"/>
      <c r="FFT361" s="603"/>
      <c r="FFU361" s="601"/>
      <c r="FFV361" s="601"/>
      <c r="FFW361" s="117"/>
      <c r="FFX361" s="118"/>
      <c r="FFY361" s="440"/>
      <c r="FGA361" s="602"/>
      <c r="FGB361" s="603"/>
      <c r="FGC361" s="603"/>
      <c r="FGD361" s="601"/>
      <c r="FGE361" s="601"/>
      <c r="FGF361" s="117"/>
      <c r="FGG361" s="118"/>
      <c r="FGH361" s="440"/>
      <c r="FGJ361" s="602"/>
      <c r="FGK361" s="603"/>
      <c r="FGL361" s="603"/>
      <c r="FGM361" s="601"/>
      <c r="FGN361" s="601"/>
      <c r="FGO361" s="117"/>
      <c r="FGP361" s="118"/>
      <c r="FGQ361" s="440"/>
      <c r="FGS361" s="602"/>
      <c r="FGT361" s="603"/>
      <c r="FGU361" s="603"/>
      <c r="FGV361" s="601"/>
      <c r="FGW361" s="601"/>
      <c r="FGX361" s="117"/>
      <c r="FGY361" s="118"/>
      <c r="FGZ361" s="440"/>
      <c r="FHB361" s="602"/>
      <c r="FHC361" s="603"/>
      <c r="FHD361" s="603"/>
      <c r="FHE361" s="601"/>
      <c r="FHF361" s="601"/>
      <c r="FHG361" s="117"/>
      <c r="FHH361" s="118"/>
      <c r="FHI361" s="440"/>
      <c r="FHK361" s="602"/>
      <c r="FHL361" s="603"/>
      <c r="FHM361" s="603"/>
      <c r="FHN361" s="601"/>
      <c r="FHO361" s="601"/>
      <c r="FHP361" s="117"/>
      <c r="FHQ361" s="118"/>
      <c r="FHR361" s="440"/>
      <c r="FHT361" s="602"/>
      <c r="FHU361" s="603"/>
      <c r="FHV361" s="603"/>
      <c r="FHW361" s="601"/>
      <c r="FHX361" s="601"/>
      <c r="FHY361" s="117"/>
      <c r="FHZ361" s="118"/>
      <c r="FIA361" s="440"/>
      <c r="FIC361" s="602"/>
      <c r="FID361" s="603"/>
      <c r="FIE361" s="603"/>
      <c r="FIF361" s="601"/>
      <c r="FIG361" s="601"/>
      <c r="FIH361" s="117"/>
      <c r="FII361" s="118"/>
      <c r="FIJ361" s="440"/>
      <c r="FIL361" s="602"/>
      <c r="FIM361" s="603"/>
      <c r="FIN361" s="603"/>
      <c r="FIO361" s="601"/>
      <c r="FIP361" s="601"/>
      <c r="FIQ361" s="117"/>
      <c r="FIR361" s="118"/>
      <c r="FIS361" s="440"/>
      <c r="FIU361" s="602"/>
      <c r="FIV361" s="603"/>
      <c r="FIW361" s="603"/>
      <c r="FIX361" s="601"/>
      <c r="FIY361" s="601"/>
      <c r="FIZ361" s="117"/>
      <c r="FJA361" s="118"/>
      <c r="FJB361" s="440"/>
      <c r="FJD361" s="602"/>
      <c r="FJE361" s="603"/>
      <c r="FJF361" s="603"/>
      <c r="FJG361" s="601"/>
      <c r="FJH361" s="601"/>
      <c r="FJI361" s="117"/>
      <c r="FJJ361" s="118"/>
      <c r="FJK361" s="440"/>
      <c r="FJM361" s="602"/>
      <c r="FJN361" s="603"/>
      <c r="FJO361" s="603"/>
      <c r="FJP361" s="601"/>
      <c r="FJQ361" s="601"/>
      <c r="FJR361" s="117"/>
      <c r="FJS361" s="118"/>
      <c r="FJT361" s="440"/>
      <c r="FJV361" s="602"/>
      <c r="FJW361" s="603"/>
      <c r="FJX361" s="603"/>
      <c r="FJY361" s="601"/>
      <c r="FJZ361" s="601"/>
      <c r="FKA361" s="117"/>
      <c r="FKB361" s="118"/>
      <c r="FKC361" s="440"/>
      <c r="FKE361" s="602"/>
      <c r="FKF361" s="603"/>
      <c r="FKG361" s="603"/>
      <c r="FKH361" s="601"/>
      <c r="FKI361" s="601"/>
      <c r="FKJ361" s="117"/>
      <c r="FKK361" s="118"/>
      <c r="FKL361" s="440"/>
      <c r="FKN361" s="602"/>
      <c r="FKO361" s="603"/>
      <c r="FKP361" s="603"/>
      <c r="FKQ361" s="601"/>
      <c r="FKR361" s="601"/>
      <c r="FKS361" s="117"/>
      <c r="FKT361" s="118"/>
      <c r="FKU361" s="440"/>
      <c r="FKW361" s="602"/>
      <c r="FKX361" s="603"/>
      <c r="FKY361" s="603"/>
      <c r="FKZ361" s="601"/>
      <c r="FLA361" s="601"/>
      <c r="FLB361" s="117"/>
      <c r="FLC361" s="118"/>
      <c r="FLD361" s="440"/>
      <c r="FLF361" s="602"/>
      <c r="FLG361" s="603"/>
      <c r="FLH361" s="603"/>
      <c r="FLI361" s="601"/>
      <c r="FLJ361" s="601"/>
      <c r="FLK361" s="117"/>
      <c r="FLL361" s="118"/>
      <c r="FLM361" s="440"/>
      <c r="FLO361" s="602"/>
      <c r="FLP361" s="603"/>
      <c r="FLQ361" s="603"/>
      <c r="FLR361" s="601"/>
      <c r="FLS361" s="601"/>
      <c r="FLT361" s="117"/>
      <c r="FLU361" s="118"/>
      <c r="FLV361" s="440"/>
      <c r="FLX361" s="602"/>
      <c r="FLY361" s="603"/>
      <c r="FLZ361" s="603"/>
      <c r="FMA361" s="601"/>
      <c r="FMB361" s="601"/>
      <c r="FMC361" s="117"/>
      <c r="FMD361" s="118"/>
      <c r="FME361" s="440"/>
      <c r="FMG361" s="602"/>
      <c r="FMH361" s="603"/>
      <c r="FMI361" s="603"/>
      <c r="FMJ361" s="601"/>
      <c r="FMK361" s="601"/>
      <c r="FML361" s="117"/>
      <c r="FMM361" s="118"/>
      <c r="FMN361" s="440"/>
      <c r="FMP361" s="602"/>
      <c r="FMQ361" s="603"/>
      <c r="FMR361" s="603"/>
      <c r="FMS361" s="601"/>
      <c r="FMT361" s="601"/>
      <c r="FMU361" s="117"/>
      <c r="FMV361" s="118"/>
      <c r="FMW361" s="440"/>
      <c r="FMY361" s="602"/>
      <c r="FMZ361" s="603"/>
      <c r="FNA361" s="603"/>
      <c r="FNB361" s="601"/>
      <c r="FNC361" s="601"/>
      <c r="FND361" s="117"/>
      <c r="FNE361" s="118"/>
      <c r="FNF361" s="440"/>
      <c r="FNH361" s="602"/>
      <c r="FNI361" s="603"/>
      <c r="FNJ361" s="603"/>
      <c r="FNK361" s="601"/>
      <c r="FNL361" s="601"/>
      <c r="FNM361" s="117"/>
      <c r="FNN361" s="118"/>
      <c r="FNO361" s="440"/>
      <c r="FNQ361" s="602"/>
      <c r="FNR361" s="603"/>
      <c r="FNS361" s="603"/>
      <c r="FNT361" s="601"/>
      <c r="FNU361" s="601"/>
      <c r="FNV361" s="117"/>
      <c r="FNW361" s="118"/>
      <c r="FNX361" s="440"/>
      <c r="FNZ361" s="602"/>
      <c r="FOA361" s="603"/>
      <c r="FOB361" s="603"/>
      <c r="FOC361" s="601"/>
      <c r="FOD361" s="601"/>
      <c r="FOE361" s="117"/>
      <c r="FOF361" s="118"/>
      <c r="FOG361" s="440"/>
      <c r="FOI361" s="602"/>
      <c r="FOJ361" s="603"/>
      <c r="FOK361" s="603"/>
      <c r="FOL361" s="601"/>
      <c r="FOM361" s="601"/>
      <c r="FON361" s="117"/>
      <c r="FOO361" s="118"/>
      <c r="FOP361" s="440"/>
      <c r="FOR361" s="602"/>
      <c r="FOS361" s="603"/>
      <c r="FOT361" s="603"/>
      <c r="FOU361" s="601"/>
      <c r="FOV361" s="601"/>
      <c r="FOW361" s="117"/>
      <c r="FOX361" s="118"/>
      <c r="FOY361" s="440"/>
      <c r="FPA361" s="602"/>
      <c r="FPB361" s="603"/>
      <c r="FPC361" s="603"/>
      <c r="FPD361" s="601"/>
      <c r="FPE361" s="601"/>
      <c r="FPF361" s="117"/>
      <c r="FPG361" s="118"/>
      <c r="FPH361" s="440"/>
      <c r="FPJ361" s="602"/>
      <c r="FPK361" s="603"/>
      <c r="FPL361" s="603"/>
      <c r="FPM361" s="601"/>
      <c r="FPN361" s="601"/>
      <c r="FPO361" s="117"/>
      <c r="FPP361" s="118"/>
      <c r="FPQ361" s="440"/>
      <c r="FPS361" s="602"/>
      <c r="FPT361" s="603"/>
      <c r="FPU361" s="603"/>
      <c r="FPV361" s="601"/>
      <c r="FPW361" s="601"/>
      <c r="FPX361" s="117"/>
      <c r="FPY361" s="118"/>
      <c r="FPZ361" s="440"/>
      <c r="FQB361" s="602"/>
      <c r="FQC361" s="603"/>
      <c r="FQD361" s="603"/>
      <c r="FQE361" s="601"/>
      <c r="FQF361" s="601"/>
      <c r="FQG361" s="117"/>
      <c r="FQH361" s="118"/>
      <c r="FQI361" s="440"/>
      <c r="FQK361" s="602"/>
      <c r="FQL361" s="603"/>
      <c r="FQM361" s="603"/>
      <c r="FQN361" s="601"/>
      <c r="FQO361" s="601"/>
      <c r="FQP361" s="117"/>
      <c r="FQQ361" s="118"/>
      <c r="FQR361" s="440"/>
      <c r="FQT361" s="602"/>
      <c r="FQU361" s="603"/>
      <c r="FQV361" s="603"/>
      <c r="FQW361" s="601"/>
      <c r="FQX361" s="601"/>
      <c r="FQY361" s="117"/>
      <c r="FQZ361" s="118"/>
      <c r="FRA361" s="440"/>
      <c r="FRC361" s="602"/>
      <c r="FRD361" s="603"/>
      <c r="FRE361" s="603"/>
      <c r="FRF361" s="601"/>
      <c r="FRG361" s="601"/>
      <c r="FRH361" s="117"/>
      <c r="FRI361" s="118"/>
      <c r="FRJ361" s="440"/>
      <c r="FRL361" s="602"/>
      <c r="FRM361" s="603"/>
      <c r="FRN361" s="603"/>
      <c r="FRO361" s="601"/>
      <c r="FRP361" s="601"/>
      <c r="FRQ361" s="117"/>
      <c r="FRR361" s="118"/>
      <c r="FRS361" s="440"/>
      <c r="FRU361" s="602"/>
      <c r="FRV361" s="603"/>
      <c r="FRW361" s="603"/>
      <c r="FRX361" s="601"/>
      <c r="FRY361" s="601"/>
      <c r="FRZ361" s="117"/>
      <c r="FSA361" s="118"/>
      <c r="FSB361" s="440"/>
      <c r="FSD361" s="602"/>
      <c r="FSE361" s="603"/>
      <c r="FSF361" s="603"/>
      <c r="FSG361" s="601"/>
      <c r="FSH361" s="601"/>
      <c r="FSI361" s="117"/>
      <c r="FSJ361" s="118"/>
      <c r="FSK361" s="440"/>
      <c r="FSM361" s="602"/>
      <c r="FSN361" s="603"/>
      <c r="FSO361" s="603"/>
      <c r="FSP361" s="601"/>
      <c r="FSQ361" s="601"/>
      <c r="FSR361" s="117"/>
      <c r="FSS361" s="118"/>
      <c r="FST361" s="440"/>
      <c r="FSV361" s="602"/>
      <c r="FSW361" s="603"/>
      <c r="FSX361" s="603"/>
      <c r="FSY361" s="601"/>
      <c r="FSZ361" s="601"/>
      <c r="FTA361" s="117"/>
      <c r="FTB361" s="118"/>
      <c r="FTC361" s="440"/>
      <c r="FTE361" s="602"/>
      <c r="FTF361" s="603"/>
      <c r="FTG361" s="603"/>
      <c r="FTH361" s="601"/>
      <c r="FTI361" s="601"/>
      <c r="FTJ361" s="117"/>
      <c r="FTK361" s="118"/>
      <c r="FTL361" s="440"/>
      <c r="FTN361" s="602"/>
      <c r="FTO361" s="603"/>
      <c r="FTP361" s="603"/>
      <c r="FTQ361" s="601"/>
      <c r="FTR361" s="601"/>
      <c r="FTS361" s="117"/>
      <c r="FTT361" s="118"/>
      <c r="FTU361" s="440"/>
      <c r="FTW361" s="602"/>
      <c r="FTX361" s="603"/>
      <c r="FTY361" s="603"/>
      <c r="FTZ361" s="601"/>
      <c r="FUA361" s="601"/>
      <c r="FUB361" s="117"/>
      <c r="FUC361" s="118"/>
      <c r="FUD361" s="440"/>
      <c r="FUF361" s="602"/>
      <c r="FUG361" s="603"/>
      <c r="FUH361" s="603"/>
      <c r="FUI361" s="601"/>
      <c r="FUJ361" s="601"/>
      <c r="FUK361" s="117"/>
      <c r="FUL361" s="118"/>
      <c r="FUM361" s="440"/>
      <c r="FUO361" s="602"/>
      <c r="FUP361" s="603"/>
      <c r="FUQ361" s="603"/>
      <c r="FUR361" s="601"/>
      <c r="FUS361" s="601"/>
      <c r="FUT361" s="117"/>
      <c r="FUU361" s="118"/>
      <c r="FUV361" s="440"/>
      <c r="FUX361" s="602"/>
      <c r="FUY361" s="603"/>
      <c r="FUZ361" s="603"/>
      <c r="FVA361" s="601"/>
      <c r="FVB361" s="601"/>
      <c r="FVC361" s="117"/>
      <c r="FVD361" s="118"/>
      <c r="FVE361" s="440"/>
      <c r="FVG361" s="602"/>
      <c r="FVH361" s="604"/>
      <c r="FVI361" s="249"/>
      <c r="FVJ361" s="605"/>
      <c r="FVK361" s="321"/>
      <c r="FVL361" s="251"/>
      <c r="FVM361" s="606"/>
      <c r="FVN361" s="253"/>
      <c r="FVP361" s="113"/>
      <c r="FVQ361" s="607"/>
      <c r="FVR361" s="249"/>
      <c r="FVS361" s="605"/>
      <c r="FVT361" s="321"/>
      <c r="FVU361" s="251"/>
      <c r="FVV361" s="606"/>
      <c r="FVW361" s="253"/>
      <c r="FVY361" s="113"/>
      <c r="FVZ361" s="607"/>
      <c r="FWA361" s="249"/>
      <c r="FWB361" s="605"/>
      <c r="FWC361" s="321"/>
      <c r="FWD361" s="251"/>
      <c r="FWE361" s="606"/>
      <c r="FWF361" s="253"/>
      <c r="FWH361" s="113"/>
      <c r="FWI361" s="607"/>
      <c r="FWJ361" s="249"/>
      <c r="FWK361" s="605"/>
      <c r="FWL361" s="321"/>
      <c r="FWM361" s="251"/>
      <c r="FWN361" s="606"/>
      <c r="FWO361" s="253"/>
      <c r="FWQ361" s="113"/>
      <c r="FWR361" s="607"/>
      <c r="FWS361" s="249"/>
      <c r="FWT361" s="605"/>
      <c r="FWU361" s="321"/>
      <c r="FWV361" s="251"/>
      <c r="FWW361" s="606"/>
      <c r="FWX361" s="253"/>
      <c r="FWZ361" s="113"/>
      <c r="FXA361" s="607"/>
      <c r="FXB361" s="249"/>
      <c r="FXC361" s="605"/>
      <c r="FXD361" s="321"/>
      <c r="FXE361" s="251"/>
      <c r="FXF361" s="606"/>
      <c r="FXG361" s="253"/>
      <c r="FXI361" s="113"/>
      <c r="FXJ361" s="607"/>
      <c r="FXK361" s="249"/>
      <c r="FXL361" s="605"/>
      <c r="FXM361" s="321"/>
      <c r="FXN361" s="251"/>
      <c r="FXO361" s="606"/>
      <c r="FXP361" s="253"/>
      <c r="FXR361" s="113"/>
      <c r="FXS361" s="607"/>
      <c r="FXT361" s="249"/>
      <c r="FXU361" s="605"/>
      <c r="FXV361" s="321"/>
      <c r="FXW361" s="251"/>
      <c r="FXX361" s="606"/>
      <c r="FXY361" s="253"/>
      <c r="FYA361" s="113"/>
      <c r="FYB361" s="607"/>
      <c r="FYC361" s="249"/>
      <c r="FYD361" s="605"/>
      <c r="FYE361" s="321"/>
      <c r="FYF361" s="251"/>
      <c r="FYG361" s="606"/>
      <c r="FYH361" s="253"/>
      <c r="FYJ361" s="113"/>
      <c r="FYK361" s="607"/>
      <c r="FYL361" s="249"/>
      <c r="FYM361" s="605"/>
      <c r="FYN361" s="321"/>
      <c r="FYO361" s="251"/>
      <c r="FYP361" s="606"/>
      <c r="FYQ361" s="253"/>
      <c r="FYS361" s="113"/>
      <c r="FYT361" s="607"/>
      <c r="FYU361" s="249"/>
      <c r="FYV361" s="605"/>
      <c r="FYW361" s="321"/>
      <c r="FYX361" s="251"/>
      <c r="FYY361" s="606"/>
      <c r="FYZ361" s="253"/>
      <c r="FZB361" s="113"/>
      <c r="FZC361" s="607"/>
      <c r="FZD361" s="249"/>
      <c r="FZE361" s="605"/>
      <c r="FZF361" s="321"/>
      <c r="FZG361" s="251"/>
      <c r="FZH361" s="606"/>
      <c r="FZI361" s="253"/>
      <c r="FZK361" s="113"/>
      <c r="FZL361" s="607"/>
      <c r="FZM361" s="249"/>
      <c r="FZN361" s="605"/>
      <c r="FZO361" s="321"/>
      <c r="FZP361" s="251"/>
      <c r="FZQ361" s="606"/>
      <c r="FZR361" s="253"/>
      <c r="FZT361" s="113"/>
      <c r="FZU361" s="607"/>
      <c r="FZV361" s="249"/>
      <c r="FZW361" s="605"/>
      <c r="FZX361" s="321"/>
      <c r="FZY361" s="251"/>
      <c r="FZZ361" s="606"/>
      <c r="GAA361" s="253"/>
      <c r="GAC361" s="113"/>
      <c r="GAD361" s="607"/>
      <c r="GAE361" s="249"/>
      <c r="GAF361" s="605"/>
      <c r="GAG361" s="321"/>
      <c r="GAH361" s="251"/>
      <c r="GAI361" s="606"/>
      <c r="GAJ361" s="253"/>
      <c r="GAL361" s="113"/>
      <c r="GAM361" s="607"/>
      <c r="GAN361" s="249"/>
      <c r="GAO361" s="605"/>
      <c r="GAP361" s="321"/>
      <c r="GAQ361" s="251"/>
      <c r="GAR361" s="606"/>
      <c r="GAS361" s="253"/>
      <c r="GAU361" s="113"/>
      <c r="GAV361" s="607"/>
      <c r="GAW361" s="249"/>
      <c r="GAX361" s="605"/>
      <c r="GAY361" s="321"/>
      <c r="GAZ361" s="251"/>
      <c r="GBA361" s="606"/>
      <c r="GBB361" s="253"/>
      <c r="GBD361" s="113"/>
      <c r="GBE361" s="607"/>
      <c r="GBF361" s="249"/>
      <c r="GBG361" s="605"/>
      <c r="GBH361" s="321"/>
      <c r="GBI361" s="251"/>
      <c r="GBJ361" s="606"/>
      <c r="GBK361" s="253"/>
      <c r="GBM361" s="113"/>
      <c r="GBN361" s="607"/>
      <c r="GBO361" s="249"/>
      <c r="GBP361" s="605"/>
      <c r="GBQ361" s="321"/>
      <c r="GBR361" s="251"/>
      <c r="GBS361" s="606"/>
      <c r="GBT361" s="253"/>
      <c r="GBV361" s="113"/>
      <c r="GBW361" s="607"/>
      <c r="GBX361" s="249"/>
      <c r="GBY361" s="605"/>
      <c r="GBZ361" s="321"/>
      <c r="GCA361" s="251"/>
      <c r="GCB361" s="606"/>
      <c r="GCC361" s="253"/>
      <c r="GCE361" s="113"/>
      <c r="GCF361" s="607"/>
      <c r="GCG361" s="249"/>
      <c r="GCH361" s="605"/>
      <c r="GCI361" s="321"/>
      <c r="GCJ361" s="251"/>
      <c r="GCK361" s="606"/>
      <c r="GCL361" s="253"/>
      <c r="GCN361" s="113"/>
      <c r="GCO361" s="607"/>
      <c r="GCP361" s="249"/>
      <c r="GCQ361" s="605"/>
      <c r="GCR361" s="321"/>
      <c r="GCS361" s="251"/>
      <c r="GCT361" s="606"/>
      <c r="GCU361" s="253"/>
      <c r="GCW361" s="113"/>
      <c r="GCX361" s="607"/>
      <c r="GCY361" s="249"/>
      <c r="GCZ361" s="605"/>
      <c r="GDA361" s="321"/>
      <c r="GDB361" s="251"/>
      <c r="GDC361" s="606"/>
      <c r="GDD361" s="253"/>
      <c r="GDF361" s="113"/>
      <c r="GDG361" s="607"/>
      <c r="GDH361" s="249"/>
      <c r="GDI361" s="605"/>
      <c r="GDJ361" s="321"/>
      <c r="GDK361" s="251"/>
      <c r="GDL361" s="606"/>
      <c r="GDM361" s="253"/>
      <c r="GDO361" s="113"/>
      <c r="GDP361" s="607"/>
      <c r="GDQ361" s="249"/>
      <c r="GDR361" s="605"/>
      <c r="GDS361" s="321"/>
      <c r="GDT361" s="251"/>
      <c r="GDU361" s="606"/>
      <c r="GDV361" s="253"/>
      <c r="GDX361" s="113"/>
      <c r="GDY361" s="607"/>
      <c r="GDZ361" s="249"/>
      <c r="GEA361" s="605"/>
      <c r="GEB361" s="321"/>
      <c r="GEC361" s="251"/>
      <c r="GED361" s="606"/>
      <c r="GEE361" s="253"/>
      <c r="GEG361" s="113"/>
      <c r="GEH361" s="607"/>
      <c r="GEI361" s="249"/>
      <c r="GEJ361" s="605"/>
      <c r="GEK361" s="321"/>
      <c r="GEL361" s="251"/>
      <c r="GEM361" s="606"/>
      <c r="GEN361" s="253"/>
      <c r="GEP361" s="113"/>
      <c r="GEQ361" s="607"/>
      <c r="GER361" s="249"/>
      <c r="GES361" s="605"/>
      <c r="GET361" s="321"/>
      <c r="GEU361" s="251"/>
      <c r="GEV361" s="606"/>
      <c r="GEW361" s="253"/>
      <c r="GEY361" s="113"/>
      <c r="GEZ361" s="607"/>
      <c r="GFA361" s="249"/>
      <c r="GFB361" s="605"/>
      <c r="GFC361" s="321"/>
      <c r="GFD361" s="251"/>
      <c r="GFE361" s="606"/>
      <c r="GFF361" s="253"/>
      <c r="GFH361" s="113"/>
      <c r="GFI361" s="607"/>
      <c r="GFJ361" s="249"/>
      <c r="GFK361" s="605"/>
      <c r="GFL361" s="321"/>
      <c r="GFM361" s="251"/>
      <c r="GFN361" s="606"/>
      <c r="GFO361" s="253"/>
      <c r="GFQ361" s="113"/>
      <c r="GFR361" s="607"/>
      <c r="GFS361" s="249"/>
      <c r="GFT361" s="605"/>
      <c r="GFU361" s="321"/>
      <c r="GFV361" s="251"/>
      <c r="GFW361" s="606"/>
      <c r="GFX361" s="253"/>
      <c r="GFZ361" s="113"/>
      <c r="GGA361" s="607"/>
      <c r="GGB361" s="249"/>
      <c r="GGC361" s="605"/>
      <c r="GGD361" s="321"/>
      <c r="GGE361" s="251"/>
      <c r="GGF361" s="606"/>
      <c r="GGG361" s="253"/>
      <c r="GGI361" s="113"/>
      <c r="GGJ361" s="607"/>
      <c r="GGK361" s="249"/>
      <c r="GGL361" s="605"/>
      <c r="GGM361" s="321"/>
      <c r="GGN361" s="251"/>
      <c r="GGO361" s="606"/>
      <c r="GGP361" s="253"/>
      <c r="GGR361" s="113"/>
      <c r="GGS361" s="607"/>
      <c r="GGT361" s="249"/>
      <c r="GGU361" s="605"/>
      <c r="GGV361" s="321"/>
      <c r="GGW361" s="251"/>
      <c r="GGX361" s="606"/>
      <c r="GGY361" s="253"/>
      <c r="GHA361" s="113"/>
      <c r="GHB361" s="607"/>
      <c r="GHC361" s="249"/>
      <c r="GHD361" s="605"/>
      <c r="GHE361" s="321"/>
      <c r="GHF361" s="251"/>
      <c r="GHG361" s="606"/>
      <c r="GHH361" s="253"/>
      <c r="GHJ361" s="113"/>
      <c r="GHK361" s="607"/>
      <c r="GHL361" s="249"/>
      <c r="GHM361" s="605"/>
      <c r="GHN361" s="321"/>
      <c r="GHO361" s="251"/>
      <c r="GHP361" s="606"/>
      <c r="GHQ361" s="253"/>
      <c r="GHS361" s="113"/>
      <c r="GHT361" s="607"/>
      <c r="GHU361" s="249"/>
      <c r="GHV361" s="605"/>
      <c r="GHW361" s="321"/>
      <c r="GHX361" s="251"/>
      <c r="GHY361" s="606"/>
      <c r="GHZ361" s="253"/>
      <c r="GIB361" s="113"/>
      <c r="GIC361" s="607"/>
      <c r="GID361" s="249"/>
      <c r="GIE361" s="605"/>
      <c r="GIF361" s="321"/>
      <c r="GIG361" s="251"/>
      <c r="GIH361" s="606"/>
      <c r="GII361" s="253"/>
      <c r="GIK361" s="113"/>
      <c r="GIL361" s="607"/>
      <c r="GIM361" s="249"/>
      <c r="GIN361" s="605"/>
      <c r="GIO361" s="321"/>
      <c r="GIP361" s="251"/>
      <c r="GIQ361" s="606"/>
      <c r="GIR361" s="253"/>
      <c r="GIT361" s="113"/>
      <c r="GIU361" s="607"/>
      <c r="GIV361" s="249"/>
      <c r="GIW361" s="605"/>
      <c r="GIX361" s="321"/>
      <c r="GIY361" s="251"/>
      <c r="GIZ361" s="606"/>
      <c r="GJA361" s="253"/>
      <c r="GJC361" s="113"/>
      <c r="GJD361" s="607"/>
      <c r="GJE361" s="249"/>
      <c r="GJF361" s="605"/>
      <c r="GJG361" s="321"/>
      <c r="GJH361" s="251"/>
      <c r="GJI361" s="606"/>
      <c r="GJJ361" s="253"/>
      <c r="GJL361" s="113"/>
      <c r="GJM361" s="607"/>
      <c r="GJN361" s="249"/>
      <c r="GJO361" s="605"/>
      <c r="GJP361" s="321"/>
      <c r="GJQ361" s="251"/>
      <c r="GJR361" s="606"/>
      <c r="GJS361" s="253"/>
      <c r="GJU361" s="113"/>
      <c r="GJV361" s="607"/>
      <c r="GJW361" s="249"/>
      <c r="GJX361" s="605"/>
      <c r="GJY361" s="321"/>
      <c r="GJZ361" s="251"/>
      <c r="GKA361" s="606"/>
      <c r="GKB361" s="253"/>
      <c r="GKD361" s="113"/>
      <c r="GKE361" s="607"/>
      <c r="GKF361" s="249"/>
      <c r="GKG361" s="605"/>
      <c r="GKH361" s="321"/>
      <c r="GKI361" s="251"/>
      <c r="GKJ361" s="606"/>
      <c r="GKK361" s="253"/>
      <c r="GKM361" s="113"/>
      <c r="GKN361" s="607"/>
      <c r="GKO361" s="249"/>
      <c r="GKP361" s="605"/>
      <c r="GKQ361" s="321"/>
      <c r="GKR361" s="251"/>
      <c r="GKS361" s="606"/>
      <c r="GKT361" s="253"/>
      <c r="GKV361" s="113"/>
      <c r="GKW361" s="607"/>
      <c r="GKX361" s="249"/>
      <c r="GKY361" s="605"/>
      <c r="GKZ361" s="321"/>
      <c r="GLA361" s="251"/>
      <c r="GLB361" s="606"/>
      <c r="GLC361" s="253"/>
      <c r="GLE361" s="113"/>
      <c r="GLF361" s="607"/>
      <c r="GLG361" s="249"/>
      <c r="GLH361" s="605"/>
      <c r="GLI361" s="321"/>
      <c r="GLJ361" s="251"/>
      <c r="GLK361" s="606"/>
      <c r="GLL361" s="253"/>
      <c r="GLN361" s="113"/>
      <c r="GLO361" s="607"/>
      <c r="GLP361" s="249"/>
      <c r="GLQ361" s="605"/>
      <c r="GLR361" s="321"/>
      <c r="GLS361" s="251"/>
      <c r="GLT361" s="606"/>
      <c r="GLU361" s="253"/>
      <c r="GLW361" s="113"/>
      <c r="GLX361" s="607"/>
      <c r="GLY361" s="249"/>
      <c r="GLZ361" s="605"/>
      <c r="GMA361" s="321"/>
      <c r="GMB361" s="251"/>
      <c r="GMC361" s="606"/>
      <c r="GMD361" s="253"/>
      <c r="GMF361" s="113"/>
      <c r="GMG361" s="607"/>
      <c r="GMH361" s="249"/>
      <c r="GMI361" s="605"/>
      <c r="GMJ361" s="321"/>
      <c r="GMK361" s="251"/>
      <c r="GML361" s="606"/>
      <c r="GMM361" s="253"/>
      <c r="GMO361" s="113"/>
      <c r="GMP361" s="607"/>
      <c r="GMQ361" s="249"/>
      <c r="GMR361" s="605"/>
      <c r="GMS361" s="321"/>
      <c r="GMT361" s="251"/>
      <c r="GMU361" s="606"/>
      <c r="GMV361" s="253"/>
      <c r="GMX361" s="113"/>
      <c r="GMY361" s="607"/>
      <c r="GMZ361" s="249"/>
      <c r="GNA361" s="605"/>
      <c r="GNB361" s="321"/>
      <c r="GNC361" s="251"/>
      <c r="GND361" s="606"/>
      <c r="GNE361" s="253"/>
      <c r="GNG361" s="113"/>
      <c r="GNH361" s="607"/>
      <c r="GNI361" s="249"/>
      <c r="GNJ361" s="605"/>
      <c r="GNK361" s="321"/>
      <c r="GNL361" s="251"/>
      <c r="GNM361" s="606"/>
      <c r="GNN361" s="253"/>
      <c r="GNP361" s="113"/>
      <c r="GNQ361" s="607"/>
      <c r="GNR361" s="249"/>
      <c r="GNS361" s="605"/>
      <c r="GNT361" s="321"/>
      <c r="GNU361" s="251"/>
      <c r="GNV361" s="606"/>
      <c r="GNW361" s="253"/>
      <c r="GNY361" s="113"/>
      <c r="GNZ361" s="607"/>
      <c r="GOA361" s="249"/>
      <c r="GOB361" s="605"/>
      <c r="GOC361" s="321"/>
      <c r="GOD361" s="251"/>
      <c r="GOE361" s="606"/>
      <c r="GOF361" s="253"/>
      <c r="GOH361" s="113"/>
      <c r="GOI361" s="607"/>
      <c r="GOJ361" s="249"/>
      <c r="GOK361" s="605"/>
      <c r="GOL361" s="321"/>
      <c r="GOM361" s="251"/>
      <c r="GON361" s="606"/>
      <c r="GOO361" s="253"/>
      <c r="GOQ361" s="113"/>
      <c r="GOR361" s="607"/>
      <c r="GOS361" s="249"/>
      <c r="GOT361" s="605"/>
      <c r="GOU361" s="321"/>
      <c r="GOV361" s="251"/>
      <c r="GOW361" s="606"/>
      <c r="GOX361" s="253"/>
      <c r="GOZ361" s="113"/>
      <c r="GPA361" s="607"/>
      <c r="GPB361" s="249"/>
      <c r="GPC361" s="605"/>
      <c r="GPD361" s="321"/>
      <c r="GPE361" s="251"/>
      <c r="GPF361" s="606"/>
      <c r="GPG361" s="253"/>
      <c r="GPI361" s="113"/>
      <c r="GPJ361" s="607"/>
      <c r="GPK361" s="249"/>
      <c r="GPL361" s="605"/>
      <c r="GPM361" s="321"/>
      <c r="GPN361" s="251"/>
      <c r="GPO361" s="606"/>
      <c r="GPP361" s="253"/>
      <c r="GPR361" s="113"/>
      <c r="GPS361" s="607"/>
      <c r="GPT361" s="249"/>
      <c r="GPU361" s="605"/>
      <c r="GPV361" s="321"/>
      <c r="GPW361" s="251"/>
      <c r="GPX361" s="606"/>
      <c r="GPY361" s="253"/>
      <c r="GQA361" s="113"/>
      <c r="GQB361" s="607"/>
      <c r="GQC361" s="249"/>
      <c r="GQD361" s="605"/>
      <c r="GQE361" s="321"/>
      <c r="GQF361" s="251"/>
      <c r="GQG361" s="606"/>
      <c r="GQH361" s="253"/>
      <c r="GQJ361" s="113"/>
      <c r="GQK361" s="607"/>
      <c r="GQL361" s="249"/>
      <c r="GQM361" s="605"/>
      <c r="GQN361" s="321"/>
      <c r="GQO361" s="251"/>
      <c r="GQP361" s="606"/>
      <c r="GQQ361" s="253"/>
      <c r="GQS361" s="113"/>
      <c r="GQT361" s="607"/>
      <c r="GQU361" s="249"/>
      <c r="GQV361" s="605"/>
      <c r="GQW361" s="321"/>
      <c r="GQX361" s="251"/>
      <c r="GQY361" s="606"/>
      <c r="GQZ361" s="253"/>
      <c r="GRB361" s="113"/>
      <c r="GRC361" s="607"/>
      <c r="GRD361" s="249"/>
      <c r="GRE361" s="605"/>
      <c r="GRF361" s="321"/>
      <c r="GRG361" s="251"/>
      <c r="GRH361" s="606"/>
      <c r="GRI361" s="253"/>
      <c r="GRK361" s="113"/>
      <c r="GRL361" s="607"/>
      <c r="GRM361" s="249"/>
      <c r="GRN361" s="605"/>
      <c r="GRO361" s="321"/>
      <c r="GRP361" s="251"/>
      <c r="GRQ361" s="606"/>
      <c r="GRR361" s="253"/>
      <c r="GRT361" s="113"/>
      <c r="GRU361" s="607"/>
      <c r="GRV361" s="249"/>
      <c r="GRW361" s="605"/>
      <c r="GRX361" s="321"/>
      <c r="GRY361" s="251"/>
      <c r="GRZ361" s="606"/>
      <c r="GSA361" s="253"/>
      <c r="GSC361" s="113"/>
      <c r="GSD361" s="607"/>
      <c r="GSE361" s="249"/>
      <c r="GSF361" s="605"/>
      <c r="GSG361" s="321"/>
      <c r="GSH361" s="251"/>
      <c r="GSI361" s="606"/>
      <c r="GSJ361" s="253"/>
      <c r="GSL361" s="113"/>
      <c r="GSM361" s="607"/>
      <c r="GSN361" s="249"/>
      <c r="GSO361" s="605"/>
      <c r="GSP361" s="321"/>
      <c r="GSQ361" s="251"/>
      <c r="GSR361" s="606"/>
      <c r="GSS361" s="253"/>
      <c r="GSU361" s="113"/>
      <c r="GSV361" s="607"/>
      <c r="GSW361" s="249"/>
      <c r="GSX361" s="605"/>
      <c r="GSY361" s="321"/>
      <c r="GSZ361" s="251"/>
      <c r="GTA361" s="606"/>
      <c r="GTB361" s="253"/>
      <c r="GTD361" s="113"/>
      <c r="GTE361" s="607"/>
      <c r="GTF361" s="249"/>
      <c r="GTG361" s="605"/>
      <c r="GTH361" s="321"/>
      <c r="GTI361" s="251"/>
      <c r="GTJ361" s="606"/>
      <c r="GTK361" s="253"/>
      <c r="GTM361" s="113"/>
      <c r="GTN361" s="607"/>
      <c r="GTO361" s="249"/>
      <c r="GTP361" s="605"/>
      <c r="GTQ361" s="321"/>
      <c r="GTR361" s="251"/>
      <c r="GTS361" s="606"/>
      <c r="GTT361" s="253"/>
      <c r="GTV361" s="113"/>
      <c r="GTW361" s="607"/>
      <c r="GTX361" s="249"/>
      <c r="GTY361" s="605"/>
      <c r="GTZ361" s="321"/>
      <c r="GUA361" s="251"/>
      <c r="GUB361" s="606"/>
      <c r="GUC361" s="253"/>
      <c r="GUE361" s="113"/>
      <c r="GUF361" s="607"/>
      <c r="GUG361" s="249"/>
      <c r="GUH361" s="605"/>
      <c r="GUI361" s="321"/>
      <c r="GUJ361" s="251"/>
      <c r="GUK361" s="606"/>
      <c r="GUL361" s="253"/>
      <c r="GUN361" s="113"/>
      <c r="GUO361" s="607"/>
      <c r="GUP361" s="249"/>
      <c r="GUQ361" s="605"/>
      <c r="GUR361" s="321"/>
      <c r="GUS361" s="251"/>
      <c r="GUT361" s="606"/>
      <c r="GUU361" s="253"/>
      <c r="GUW361" s="113"/>
      <c r="GUX361" s="607"/>
      <c r="GUY361" s="249"/>
      <c r="GUZ361" s="605"/>
      <c r="GVA361" s="321"/>
      <c r="GVB361" s="251"/>
      <c r="GVC361" s="606"/>
      <c r="GVD361" s="253"/>
      <c r="GVF361" s="113"/>
      <c r="GVG361" s="607"/>
      <c r="GVH361" s="249"/>
      <c r="GVI361" s="605"/>
      <c r="GVJ361" s="321"/>
      <c r="GVK361" s="251"/>
      <c r="GVL361" s="606"/>
      <c r="GVM361" s="253"/>
      <c r="GVO361" s="113"/>
      <c r="GVP361" s="607"/>
      <c r="GVQ361" s="249"/>
      <c r="GVR361" s="605"/>
      <c r="GVS361" s="321"/>
      <c r="GVT361" s="251"/>
      <c r="GVU361" s="606"/>
      <c r="GVV361" s="253"/>
      <c r="GVX361" s="113"/>
      <c r="GVY361" s="607"/>
      <c r="GVZ361" s="249"/>
      <c r="GWA361" s="605"/>
      <c r="GWB361" s="321"/>
      <c r="GWC361" s="251"/>
      <c r="GWD361" s="606"/>
      <c r="GWE361" s="253"/>
      <c r="GWG361" s="113"/>
      <c r="GWH361" s="607"/>
      <c r="GWI361" s="249"/>
      <c r="GWJ361" s="605"/>
      <c r="GWK361" s="321"/>
      <c r="GWL361" s="251"/>
      <c r="GWM361" s="606"/>
      <c r="GWN361" s="253"/>
      <c r="GWP361" s="113"/>
      <c r="GWQ361" s="607"/>
      <c r="GWR361" s="249"/>
      <c r="GWS361" s="605"/>
      <c r="GWT361" s="321"/>
      <c r="GWU361" s="251"/>
      <c r="GWV361" s="606"/>
      <c r="GWW361" s="253"/>
      <c r="GWY361" s="113"/>
      <c r="GWZ361" s="607"/>
      <c r="GXA361" s="249"/>
      <c r="GXB361" s="605"/>
      <c r="GXC361" s="321"/>
      <c r="GXD361" s="251"/>
      <c r="GXE361" s="606"/>
      <c r="GXF361" s="253"/>
      <c r="GXH361" s="113"/>
      <c r="GXI361" s="607"/>
      <c r="GXJ361" s="249"/>
      <c r="GXK361" s="605"/>
      <c r="GXL361" s="321"/>
      <c r="GXM361" s="251"/>
      <c r="GXN361" s="606"/>
      <c r="GXO361" s="253"/>
      <c r="GXQ361" s="113"/>
      <c r="GXR361" s="607"/>
      <c r="GXS361" s="249"/>
      <c r="GXT361" s="605"/>
      <c r="GXU361" s="321"/>
      <c r="GXV361" s="251"/>
      <c r="GXW361" s="606"/>
      <c r="GXX361" s="253"/>
      <c r="GXZ361" s="113"/>
      <c r="GYA361" s="607"/>
      <c r="GYB361" s="249"/>
      <c r="GYC361" s="605"/>
      <c r="GYD361" s="321"/>
      <c r="GYE361" s="251"/>
      <c r="GYF361" s="606"/>
      <c r="GYG361" s="253"/>
      <c r="GYI361" s="113"/>
      <c r="GYJ361" s="607"/>
      <c r="GYK361" s="249"/>
      <c r="GYL361" s="605"/>
      <c r="GYM361" s="321"/>
      <c r="GYN361" s="251"/>
      <c r="GYO361" s="606"/>
      <c r="GYP361" s="253"/>
      <c r="GYR361" s="113"/>
      <c r="GYS361" s="607"/>
      <c r="GYT361" s="249"/>
      <c r="GYU361" s="605"/>
      <c r="GYV361" s="321"/>
      <c r="GYW361" s="251"/>
      <c r="GYX361" s="606"/>
      <c r="GYY361" s="253"/>
      <c r="GZA361" s="113"/>
      <c r="GZB361" s="607"/>
      <c r="GZC361" s="249"/>
      <c r="GZD361" s="605"/>
      <c r="GZE361" s="321"/>
      <c r="GZF361" s="251"/>
      <c r="GZG361" s="606"/>
      <c r="GZH361" s="253"/>
      <c r="GZJ361" s="113"/>
      <c r="GZK361" s="607"/>
      <c r="GZL361" s="249"/>
      <c r="GZM361" s="605"/>
      <c r="GZN361" s="321"/>
      <c r="GZO361" s="251"/>
      <c r="GZP361" s="606"/>
      <c r="GZQ361" s="253"/>
      <c r="GZS361" s="113"/>
      <c r="GZT361" s="607"/>
      <c r="GZU361" s="249"/>
      <c r="GZV361" s="605"/>
      <c r="GZW361" s="321"/>
      <c r="GZX361" s="251"/>
      <c r="GZY361" s="606"/>
      <c r="GZZ361" s="253"/>
      <c r="HAB361" s="113"/>
      <c r="HAC361" s="607"/>
      <c r="HAD361" s="249"/>
      <c r="HAE361" s="605"/>
      <c r="HAF361" s="321"/>
      <c r="HAG361" s="251"/>
      <c r="HAH361" s="606"/>
      <c r="HAI361" s="253"/>
      <c r="HAK361" s="113"/>
      <c r="HAL361" s="607"/>
      <c r="HAM361" s="249"/>
      <c r="HAN361" s="605"/>
      <c r="HAO361" s="321"/>
      <c r="HAP361" s="251"/>
      <c r="HAQ361" s="606"/>
      <c r="HAR361" s="253"/>
      <c r="HAT361" s="113"/>
      <c r="HAU361" s="607"/>
      <c r="HAV361" s="249"/>
      <c r="HAW361" s="605"/>
      <c r="HAX361" s="321"/>
      <c r="HAY361" s="251"/>
      <c r="HAZ361" s="606"/>
      <c r="HBA361" s="253"/>
      <c r="HBC361" s="113"/>
      <c r="HBD361" s="607"/>
      <c r="HBE361" s="249"/>
      <c r="HBF361" s="605"/>
      <c r="HBG361" s="321"/>
      <c r="HBH361" s="251"/>
      <c r="HBI361" s="606"/>
      <c r="HBJ361" s="253"/>
      <c r="HBL361" s="113"/>
      <c r="HBM361" s="607"/>
      <c r="HBN361" s="249"/>
      <c r="HBO361" s="605"/>
      <c r="HBP361" s="321"/>
      <c r="HBQ361" s="251"/>
      <c r="HBR361" s="606"/>
      <c r="HBS361" s="253"/>
      <c r="HBU361" s="113"/>
      <c r="HBV361" s="607"/>
      <c r="HBW361" s="249"/>
      <c r="HBX361" s="605"/>
      <c r="HBY361" s="321"/>
      <c r="HBZ361" s="251"/>
      <c r="HCA361" s="606"/>
      <c r="HCB361" s="253"/>
      <c r="HCD361" s="113"/>
      <c r="HCE361" s="607"/>
      <c r="HCF361" s="249"/>
      <c r="HCG361" s="605"/>
      <c r="HCH361" s="321"/>
      <c r="HCI361" s="251"/>
      <c r="HCJ361" s="606"/>
      <c r="HCK361" s="253"/>
      <c r="HCM361" s="113"/>
      <c r="HCN361" s="607"/>
      <c r="HCO361" s="249"/>
      <c r="HCP361" s="605"/>
      <c r="HCQ361" s="321"/>
      <c r="HCR361" s="251"/>
      <c r="HCS361" s="606"/>
      <c r="HCT361" s="253"/>
      <c r="HCV361" s="113"/>
      <c r="HCW361" s="607"/>
      <c r="HCX361" s="249"/>
      <c r="HCY361" s="605"/>
      <c r="HCZ361" s="321"/>
      <c r="HDA361" s="251"/>
      <c r="HDB361" s="606"/>
      <c r="HDC361" s="253"/>
      <c r="HDE361" s="113"/>
      <c r="HDF361" s="607"/>
      <c r="HDG361" s="249"/>
      <c r="HDH361" s="605"/>
      <c r="HDI361" s="321"/>
      <c r="HDJ361" s="251"/>
      <c r="HDK361" s="606"/>
      <c r="HDL361" s="253"/>
      <c r="HDN361" s="113"/>
      <c r="HDO361" s="607"/>
      <c r="HDP361" s="249"/>
      <c r="HDQ361" s="605"/>
      <c r="HDR361" s="321"/>
      <c r="HDS361" s="251"/>
      <c r="HDT361" s="606"/>
      <c r="HDU361" s="253"/>
      <c r="HDW361" s="113"/>
      <c r="HDX361" s="607"/>
      <c r="HDY361" s="249"/>
      <c r="HDZ361" s="605"/>
      <c r="HEA361" s="321"/>
      <c r="HEB361" s="251"/>
      <c r="HEC361" s="606"/>
      <c r="HED361" s="253"/>
      <c r="HEF361" s="113"/>
      <c r="HEG361" s="607"/>
      <c r="HEH361" s="249"/>
      <c r="HEI361" s="605"/>
      <c r="HEJ361" s="321"/>
      <c r="HEK361" s="251"/>
      <c r="HEL361" s="606"/>
      <c r="HEM361" s="253"/>
      <c r="HEO361" s="113"/>
      <c r="HEP361" s="607"/>
      <c r="HEQ361" s="249"/>
      <c r="HER361" s="605"/>
      <c r="HES361" s="321"/>
      <c r="HET361" s="251"/>
      <c r="HEU361" s="606"/>
      <c r="HEV361" s="253"/>
      <c r="HEX361" s="113"/>
      <c r="HEY361" s="607"/>
      <c r="HEZ361" s="249"/>
      <c r="HFA361" s="605"/>
      <c r="HFB361" s="321"/>
      <c r="HFC361" s="251"/>
      <c r="HFD361" s="606"/>
      <c r="HFE361" s="253"/>
      <c r="HFG361" s="113"/>
      <c r="HFH361" s="607"/>
      <c r="HFI361" s="249"/>
      <c r="HFJ361" s="605"/>
      <c r="HFK361" s="321"/>
      <c r="HFL361" s="251"/>
      <c r="HFM361" s="606"/>
      <c r="HFN361" s="253"/>
      <c r="HFP361" s="113"/>
      <c r="HFQ361" s="607"/>
      <c r="HFR361" s="249"/>
      <c r="HFS361" s="605"/>
      <c r="HFT361" s="321"/>
      <c r="HFU361" s="251"/>
      <c r="HFV361" s="606"/>
      <c r="HFW361" s="253"/>
      <c r="HFY361" s="113"/>
      <c r="HFZ361" s="607"/>
      <c r="HGA361" s="249"/>
      <c r="HGB361" s="605"/>
      <c r="HGC361" s="321"/>
      <c r="HGD361" s="251"/>
      <c r="HGE361" s="606"/>
      <c r="HGF361" s="253"/>
      <c r="HGH361" s="113"/>
      <c r="HGI361" s="607"/>
      <c r="HGJ361" s="249"/>
      <c r="HGK361" s="605"/>
      <c r="HGL361" s="321"/>
      <c r="HGM361" s="251"/>
      <c r="HGN361" s="606"/>
      <c r="HGO361" s="253"/>
      <c r="HGQ361" s="113"/>
      <c r="HGR361" s="607"/>
      <c r="HGS361" s="249"/>
      <c r="HGT361" s="605"/>
      <c r="HGU361" s="321"/>
      <c r="HGV361" s="251"/>
      <c r="HGW361" s="606"/>
      <c r="HGX361" s="253"/>
      <c r="HGZ361" s="113"/>
      <c r="HHA361" s="607"/>
      <c r="HHB361" s="249"/>
      <c r="HHC361" s="605"/>
      <c r="HHD361" s="321"/>
      <c r="HHE361" s="251"/>
      <c r="HHF361" s="606"/>
      <c r="HHG361" s="253"/>
      <c r="HHI361" s="113"/>
      <c r="HHJ361" s="607"/>
      <c r="HHK361" s="249"/>
      <c r="HHL361" s="605"/>
      <c r="HHM361" s="321"/>
      <c r="HHN361" s="251"/>
      <c r="HHO361" s="606"/>
      <c r="HHP361" s="253"/>
      <c r="HHR361" s="113"/>
      <c r="HHS361" s="607"/>
      <c r="HHT361" s="249"/>
      <c r="HHU361" s="605"/>
      <c r="HHV361" s="321"/>
      <c r="HHW361" s="251"/>
      <c r="HHX361" s="606"/>
      <c r="HHY361" s="253"/>
      <c r="HIA361" s="113"/>
      <c r="HIB361" s="607"/>
      <c r="HIC361" s="249"/>
      <c r="HID361" s="605"/>
      <c r="HIE361" s="321"/>
      <c r="HIF361" s="251"/>
      <c r="HIG361" s="606"/>
      <c r="HIH361" s="253"/>
      <c r="HIJ361" s="113"/>
      <c r="HIK361" s="607"/>
      <c r="HIL361" s="249"/>
      <c r="HIM361" s="605"/>
      <c r="HIN361" s="321"/>
      <c r="HIO361" s="251"/>
      <c r="HIP361" s="606"/>
      <c r="HIQ361" s="253"/>
      <c r="HIS361" s="113"/>
      <c r="HIT361" s="607"/>
      <c r="HIU361" s="249"/>
      <c r="HIV361" s="605"/>
      <c r="HIW361" s="321"/>
      <c r="HIX361" s="251"/>
      <c r="HIY361" s="606"/>
      <c r="HIZ361" s="253"/>
      <c r="HJB361" s="113"/>
      <c r="HJC361" s="607"/>
      <c r="HJD361" s="249"/>
      <c r="HJE361" s="605"/>
      <c r="HJF361" s="321"/>
      <c r="HJG361" s="251"/>
      <c r="HJH361" s="606"/>
      <c r="HJI361" s="253"/>
      <c r="HJK361" s="113"/>
      <c r="HJL361" s="607"/>
      <c r="HJM361" s="249"/>
      <c r="HJN361" s="605"/>
      <c r="HJO361" s="321"/>
      <c r="HJP361" s="251"/>
      <c r="HJQ361" s="606"/>
      <c r="HJR361" s="253"/>
      <c r="HJT361" s="113"/>
      <c r="HJU361" s="607"/>
      <c r="HJV361" s="249"/>
      <c r="HJW361" s="605"/>
      <c r="HJX361" s="321"/>
      <c r="HJY361" s="251"/>
      <c r="HJZ361" s="606"/>
      <c r="HKA361" s="253"/>
      <c r="HKC361" s="113"/>
      <c r="HKD361" s="607"/>
      <c r="HKE361" s="249"/>
      <c r="HKF361" s="605"/>
      <c r="HKG361" s="321"/>
      <c r="HKH361" s="251"/>
      <c r="HKI361" s="606"/>
      <c r="HKJ361" s="253"/>
      <c r="HKL361" s="113"/>
      <c r="HKM361" s="607"/>
      <c r="HKN361" s="249"/>
      <c r="HKO361" s="605"/>
      <c r="HKP361" s="321"/>
      <c r="HKQ361" s="251"/>
      <c r="HKR361" s="606"/>
      <c r="HKS361" s="253"/>
      <c r="HKU361" s="113"/>
      <c r="HKV361" s="607"/>
      <c r="HKW361" s="249"/>
      <c r="HKX361" s="605"/>
      <c r="HKY361" s="321"/>
      <c r="HKZ361" s="251"/>
      <c r="HLA361" s="606"/>
      <c r="HLB361" s="253"/>
      <c r="HLD361" s="113"/>
      <c r="HLE361" s="607"/>
      <c r="HLF361" s="249"/>
      <c r="HLG361" s="605"/>
      <c r="HLH361" s="321"/>
      <c r="HLI361" s="251"/>
      <c r="HLJ361" s="606"/>
      <c r="HLK361" s="253"/>
      <c r="HLM361" s="113"/>
      <c r="HLN361" s="607"/>
      <c r="HLO361" s="249"/>
      <c r="HLP361" s="605"/>
      <c r="HLQ361" s="321"/>
      <c r="HLR361" s="251"/>
      <c r="HLS361" s="606"/>
      <c r="HLT361" s="253"/>
      <c r="HLV361" s="113"/>
      <c r="HLW361" s="607"/>
      <c r="HLX361" s="249"/>
      <c r="HLY361" s="605"/>
      <c r="HLZ361" s="321"/>
      <c r="HMA361" s="251"/>
      <c r="HMB361" s="606"/>
      <c r="HMC361" s="253"/>
      <c r="HME361" s="113"/>
      <c r="HMF361" s="607"/>
      <c r="HMG361" s="249"/>
      <c r="HMH361" s="605"/>
      <c r="HMI361" s="321"/>
      <c r="HMJ361" s="251"/>
      <c r="HMK361" s="606"/>
      <c r="HML361" s="253"/>
      <c r="HMN361" s="113"/>
      <c r="HMO361" s="607"/>
      <c r="HMP361" s="249"/>
      <c r="HMQ361" s="605"/>
      <c r="HMR361" s="321"/>
      <c r="HMS361" s="251"/>
      <c r="HMT361" s="606"/>
      <c r="HMU361" s="253"/>
      <c r="HMW361" s="113"/>
      <c r="HMX361" s="607"/>
      <c r="HMY361" s="249"/>
      <c r="HMZ361" s="605"/>
      <c r="HNA361" s="321"/>
      <c r="HNB361" s="251"/>
      <c r="HNC361" s="606"/>
      <c r="HND361" s="253"/>
      <c r="HNF361" s="113"/>
      <c r="HNG361" s="607"/>
      <c r="HNH361" s="249"/>
      <c r="HNI361" s="605"/>
      <c r="HNJ361" s="321"/>
      <c r="HNK361" s="251"/>
      <c r="HNL361" s="606"/>
      <c r="HNM361" s="253"/>
      <c r="HNO361" s="113"/>
      <c r="HNP361" s="607"/>
      <c r="HNQ361" s="249"/>
      <c r="HNR361" s="605"/>
      <c r="HNS361" s="321"/>
      <c r="HNT361" s="251"/>
      <c r="HNU361" s="606"/>
      <c r="HNV361" s="253"/>
      <c r="HNX361" s="113"/>
      <c r="HNY361" s="607"/>
      <c r="HNZ361" s="249"/>
      <c r="HOA361" s="605"/>
      <c r="HOB361" s="321"/>
      <c r="HOC361" s="251"/>
      <c r="HOD361" s="606"/>
      <c r="HOE361" s="253"/>
      <c r="HOG361" s="113"/>
      <c r="HOH361" s="607"/>
      <c r="HOI361" s="249"/>
      <c r="HOJ361" s="605"/>
      <c r="HOK361" s="321"/>
      <c r="HOL361" s="251"/>
      <c r="HOM361" s="606"/>
      <c r="HON361" s="253"/>
      <c r="HOP361" s="113"/>
      <c r="HOQ361" s="607"/>
      <c r="HOR361" s="249"/>
      <c r="HOS361" s="605"/>
      <c r="HOT361" s="321"/>
      <c r="HOU361" s="251"/>
      <c r="HOV361" s="606"/>
      <c r="HOW361" s="253"/>
      <c r="HOY361" s="113"/>
      <c r="HOZ361" s="607"/>
      <c r="HPA361" s="249"/>
      <c r="HPB361" s="605"/>
      <c r="HPC361" s="321"/>
      <c r="HPD361" s="251"/>
      <c r="HPE361" s="606"/>
      <c r="HPF361" s="253"/>
      <c r="HPH361" s="113"/>
      <c r="HPI361" s="607"/>
      <c r="HPJ361" s="249"/>
      <c r="HPK361" s="605"/>
      <c r="HPL361" s="321"/>
      <c r="HPM361" s="251"/>
      <c r="HPN361" s="606"/>
      <c r="HPO361" s="253"/>
      <c r="HPQ361" s="113"/>
      <c r="HPR361" s="607"/>
      <c r="HPS361" s="249"/>
      <c r="HPT361" s="605"/>
      <c r="HPU361" s="321"/>
      <c r="HPV361" s="251"/>
      <c r="HPW361" s="606"/>
      <c r="HPX361" s="253"/>
      <c r="HPZ361" s="113"/>
      <c r="HQA361" s="607"/>
      <c r="HQB361" s="249"/>
      <c r="HQC361" s="605"/>
      <c r="HQD361" s="321"/>
      <c r="HQE361" s="251"/>
      <c r="HQF361" s="606"/>
      <c r="HQG361" s="253"/>
      <c r="HQI361" s="113"/>
      <c r="HQJ361" s="607"/>
      <c r="HQK361" s="249"/>
      <c r="HQL361" s="605"/>
      <c r="HQM361" s="321"/>
      <c r="HQN361" s="251"/>
      <c r="HQO361" s="606"/>
      <c r="HQP361" s="253"/>
      <c r="HQR361" s="113"/>
      <c r="HQS361" s="607"/>
      <c r="HQT361" s="249"/>
      <c r="HQU361" s="605"/>
      <c r="HQV361" s="321"/>
      <c r="HQW361" s="251"/>
      <c r="HQX361" s="606"/>
      <c r="HQY361" s="253"/>
      <c r="HRA361" s="113"/>
      <c r="HRB361" s="607"/>
      <c r="HRC361" s="249"/>
      <c r="HRD361" s="605"/>
      <c r="HRE361" s="321"/>
      <c r="HRF361" s="251"/>
      <c r="HRG361" s="606"/>
      <c r="HRH361" s="253"/>
      <c r="HRJ361" s="113"/>
      <c r="HRK361" s="607"/>
      <c r="HRL361" s="249"/>
      <c r="HRM361" s="605"/>
      <c r="HRN361" s="321"/>
      <c r="HRO361" s="251"/>
      <c r="HRP361" s="606"/>
      <c r="HRQ361" s="253"/>
      <c r="HRS361" s="113"/>
      <c r="HRT361" s="607"/>
      <c r="HRU361" s="249"/>
      <c r="HRV361" s="605"/>
      <c r="HRW361" s="321"/>
      <c r="HRX361" s="251"/>
      <c r="HRY361" s="606"/>
      <c r="HRZ361" s="253"/>
      <c r="HSB361" s="113"/>
      <c r="HSC361" s="607"/>
      <c r="HSD361" s="249"/>
      <c r="HSE361" s="605"/>
      <c r="HSF361" s="321"/>
      <c r="HSG361" s="251"/>
      <c r="HSH361" s="606"/>
      <c r="HSI361" s="253"/>
      <c r="HSK361" s="113"/>
      <c r="HSL361" s="607"/>
      <c r="HSM361" s="249"/>
      <c r="HSN361" s="605"/>
      <c r="HSO361" s="321"/>
      <c r="HSP361" s="251"/>
      <c r="HSQ361" s="606"/>
      <c r="HSR361" s="253"/>
      <c r="HST361" s="113"/>
      <c r="HSU361" s="607"/>
      <c r="HSV361" s="249"/>
      <c r="HSW361" s="605"/>
      <c r="HSX361" s="321"/>
      <c r="HSY361" s="251"/>
      <c r="HSZ361" s="606"/>
      <c r="HTA361" s="253"/>
      <c r="HTC361" s="113"/>
      <c r="HTD361" s="607"/>
      <c r="HTE361" s="249"/>
      <c r="HTF361" s="605"/>
      <c r="HTG361" s="321"/>
      <c r="HTH361" s="251"/>
      <c r="HTI361" s="606"/>
      <c r="HTJ361" s="253"/>
      <c r="HTL361" s="113"/>
      <c r="HTM361" s="607"/>
      <c r="HTN361" s="249"/>
      <c r="HTO361" s="605"/>
      <c r="HTP361" s="321"/>
      <c r="HTQ361" s="251"/>
      <c r="HTR361" s="606"/>
      <c r="HTS361" s="253"/>
      <c r="HTU361" s="113"/>
      <c r="HTV361" s="607"/>
      <c r="HTW361" s="249"/>
      <c r="HTX361" s="605"/>
      <c r="HTY361" s="321"/>
      <c r="HTZ361" s="251"/>
      <c r="HUA361" s="606"/>
      <c r="HUB361" s="253"/>
      <c r="HUD361" s="113"/>
      <c r="HUE361" s="607"/>
      <c r="HUF361" s="249"/>
      <c r="HUG361" s="605"/>
      <c r="HUH361" s="321"/>
      <c r="HUI361" s="251"/>
      <c r="HUJ361" s="606"/>
      <c r="HUK361" s="253"/>
      <c r="HUM361" s="113"/>
      <c r="HUN361" s="607"/>
      <c r="HUO361" s="249"/>
      <c r="HUP361" s="605"/>
      <c r="HUQ361" s="321"/>
      <c r="HUR361" s="251"/>
      <c r="HUS361" s="606"/>
      <c r="HUT361" s="253"/>
      <c r="HUV361" s="113"/>
      <c r="HUW361" s="607"/>
      <c r="HUX361" s="249"/>
      <c r="HUY361" s="605"/>
      <c r="HUZ361" s="321"/>
      <c r="HVA361" s="251"/>
      <c r="HVB361" s="606"/>
      <c r="HVC361" s="253"/>
      <c r="HVE361" s="113"/>
      <c r="HVF361" s="607"/>
      <c r="HVG361" s="249"/>
      <c r="HVH361" s="605"/>
      <c r="HVI361" s="321"/>
      <c r="HVJ361" s="251"/>
      <c r="HVK361" s="606"/>
      <c r="HVL361" s="253"/>
      <c r="HVN361" s="113"/>
      <c r="HVO361" s="607"/>
      <c r="HVP361" s="249"/>
      <c r="HVQ361" s="605"/>
      <c r="HVR361" s="321"/>
      <c r="HVS361" s="251"/>
      <c r="HVT361" s="606"/>
      <c r="HVU361" s="253"/>
      <c r="HVW361" s="113"/>
      <c r="HVX361" s="607"/>
      <c r="HVY361" s="249"/>
      <c r="HVZ361" s="605"/>
      <c r="HWA361" s="321"/>
      <c r="HWB361" s="251"/>
      <c r="HWC361" s="606"/>
      <c r="HWD361" s="253"/>
      <c r="HWF361" s="113"/>
      <c r="HWG361" s="607"/>
      <c r="HWH361" s="249"/>
      <c r="HWI361" s="605"/>
      <c r="HWJ361" s="321"/>
      <c r="HWK361" s="251"/>
      <c r="HWL361" s="606"/>
      <c r="HWM361" s="253"/>
      <c r="HWO361" s="113"/>
      <c r="HWP361" s="607"/>
      <c r="HWQ361" s="249"/>
      <c r="HWR361" s="605"/>
      <c r="HWS361" s="321"/>
      <c r="HWT361" s="251"/>
      <c r="HWU361" s="606"/>
      <c r="HWV361" s="253"/>
      <c r="HWX361" s="113"/>
      <c r="HWY361" s="607"/>
      <c r="HWZ361" s="249"/>
      <c r="HXA361" s="605"/>
      <c r="HXB361" s="321"/>
      <c r="HXC361" s="251"/>
      <c r="HXD361" s="606"/>
      <c r="HXE361" s="253"/>
      <c r="HXG361" s="113"/>
      <c r="HXH361" s="607"/>
      <c r="HXI361" s="249"/>
      <c r="HXJ361" s="605"/>
      <c r="HXK361" s="321"/>
      <c r="HXL361" s="251"/>
      <c r="HXM361" s="606"/>
      <c r="HXN361" s="253"/>
      <c r="HXP361" s="113"/>
      <c r="HXQ361" s="607"/>
      <c r="HXR361" s="249"/>
      <c r="HXS361" s="605"/>
      <c r="HXT361" s="321"/>
      <c r="HXU361" s="251"/>
      <c r="HXV361" s="606"/>
      <c r="HXW361" s="253"/>
      <c r="HXY361" s="113"/>
      <c r="HXZ361" s="607"/>
      <c r="HYA361" s="249"/>
      <c r="HYB361" s="605"/>
      <c r="HYC361" s="321"/>
      <c r="HYD361" s="251"/>
      <c r="HYE361" s="606"/>
      <c r="HYF361" s="253"/>
      <c r="HYH361" s="113"/>
      <c r="HYI361" s="607"/>
      <c r="HYJ361" s="249"/>
      <c r="HYK361" s="605"/>
      <c r="HYL361" s="321"/>
      <c r="HYM361" s="251"/>
      <c r="HYN361" s="606"/>
      <c r="HYO361" s="253"/>
      <c r="HYQ361" s="113"/>
      <c r="HYR361" s="607"/>
      <c r="HYS361" s="249"/>
      <c r="HYT361" s="605"/>
      <c r="HYU361" s="321"/>
      <c r="HYV361" s="251"/>
      <c r="HYW361" s="606"/>
      <c r="HYX361" s="253"/>
      <c r="HYZ361" s="113"/>
      <c r="HZA361" s="607"/>
      <c r="HZB361" s="249"/>
      <c r="HZC361" s="605"/>
      <c r="HZD361" s="321"/>
      <c r="HZE361" s="251"/>
      <c r="HZF361" s="606"/>
      <c r="HZG361" s="253"/>
      <c r="HZI361" s="113"/>
      <c r="HZJ361" s="607"/>
      <c r="HZK361" s="249"/>
      <c r="HZL361" s="605"/>
      <c r="HZM361" s="321"/>
      <c r="HZN361" s="251"/>
      <c r="HZO361" s="606"/>
      <c r="HZP361" s="253"/>
      <c r="HZR361" s="113"/>
      <c r="HZS361" s="607"/>
      <c r="HZT361" s="249"/>
      <c r="HZU361" s="605"/>
      <c r="HZV361" s="321"/>
      <c r="HZW361" s="251"/>
      <c r="HZX361" s="606"/>
      <c r="HZY361" s="253"/>
      <c r="IAA361" s="113"/>
      <c r="IAB361" s="607"/>
      <c r="IAC361" s="249"/>
      <c r="IAD361" s="605"/>
      <c r="IAE361" s="321"/>
      <c r="IAF361" s="251"/>
      <c r="IAG361" s="606"/>
      <c r="IAH361" s="253"/>
      <c r="IAJ361" s="113"/>
      <c r="IAK361" s="607"/>
      <c r="IAL361" s="249"/>
      <c r="IAM361" s="605"/>
      <c r="IAN361" s="321"/>
      <c r="IAO361" s="251"/>
      <c r="IAP361" s="606"/>
      <c r="IAQ361" s="253"/>
      <c r="IAS361" s="113"/>
      <c r="IAT361" s="607"/>
      <c r="IAU361" s="249"/>
      <c r="IAV361" s="605"/>
      <c r="IAW361" s="321"/>
      <c r="IAX361" s="251"/>
      <c r="IAY361" s="606"/>
      <c r="IAZ361" s="253"/>
      <c r="IBB361" s="113"/>
      <c r="IBC361" s="607"/>
      <c r="IBD361" s="249"/>
      <c r="IBE361" s="605"/>
      <c r="IBF361" s="321"/>
      <c r="IBG361" s="251"/>
      <c r="IBH361" s="606"/>
      <c r="IBI361" s="253"/>
      <c r="IBK361" s="113"/>
      <c r="IBL361" s="607"/>
      <c r="IBM361" s="249"/>
      <c r="IBN361" s="605"/>
      <c r="IBO361" s="321"/>
      <c r="IBP361" s="251"/>
      <c r="IBQ361" s="606"/>
      <c r="IBR361" s="253"/>
      <c r="IBT361" s="113"/>
      <c r="IBU361" s="607"/>
      <c r="IBV361" s="249"/>
      <c r="IBW361" s="605"/>
      <c r="IBX361" s="321"/>
      <c r="IBY361" s="251"/>
      <c r="IBZ361" s="606"/>
      <c r="ICA361" s="253"/>
      <c r="ICC361" s="113"/>
      <c r="ICD361" s="607"/>
      <c r="ICE361" s="249"/>
      <c r="ICF361" s="605"/>
      <c r="ICG361" s="321"/>
      <c r="ICH361" s="251"/>
      <c r="ICI361" s="606"/>
      <c r="ICJ361" s="253"/>
      <c r="ICL361" s="113"/>
      <c r="ICM361" s="607"/>
      <c r="ICN361" s="249"/>
      <c r="ICO361" s="605"/>
      <c r="ICP361" s="321"/>
      <c r="ICQ361" s="251"/>
      <c r="ICR361" s="606"/>
      <c r="ICS361" s="253"/>
      <c r="ICU361" s="113"/>
      <c r="ICV361" s="607"/>
      <c r="ICW361" s="249"/>
      <c r="ICX361" s="605"/>
      <c r="ICY361" s="321"/>
      <c r="ICZ361" s="251"/>
      <c r="IDA361" s="606"/>
      <c r="IDB361" s="253"/>
      <c r="IDD361" s="113"/>
      <c r="IDE361" s="607"/>
      <c r="IDF361" s="249"/>
      <c r="IDG361" s="605"/>
      <c r="IDH361" s="321"/>
      <c r="IDI361" s="251"/>
      <c r="IDJ361" s="606"/>
      <c r="IDK361" s="253"/>
      <c r="IDM361" s="113"/>
      <c r="IDN361" s="607"/>
      <c r="IDO361" s="249"/>
      <c r="IDP361" s="605"/>
      <c r="IDQ361" s="321"/>
      <c r="IDR361" s="251"/>
      <c r="IDS361" s="606"/>
      <c r="IDT361" s="253"/>
      <c r="IDV361" s="113"/>
      <c r="IDW361" s="607"/>
      <c r="IDX361" s="249"/>
      <c r="IDY361" s="605"/>
      <c r="IDZ361" s="321"/>
      <c r="IEA361" s="251"/>
      <c r="IEB361" s="606"/>
      <c r="IEC361" s="253"/>
      <c r="IEE361" s="113"/>
      <c r="IEF361" s="607"/>
      <c r="IEG361" s="249"/>
      <c r="IEH361" s="605"/>
      <c r="IEI361" s="321"/>
      <c r="IEJ361" s="251"/>
      <c r="IEK361" s="606"/>
      <c r="IEL361" s="253"/>
      <c r="IEN361" s="113"/>
      <c r="IEO361" s="607"/>
      <c r="IEP361" s="249"/>
      <c r="IEQ361" s="605"/>
      <c r="IER361" s="321"/>
      <c r="IES361" s="251"/>
      <c r="IET361" s="606"/>
      <c r="IEU361" s="253"/>
      <c r="IEW361" s="113"/>
      <c r="IEX361" s="607"/>
      <c r="IEY361" s="249"/>
      <c r="IEZ361" s="605"/>
      <c r="IFA361" s="321"/>
      <c r="IFB361" s="251"/>
      <c r="IFC361" s="606"/>
      <c r="IFD361" s="253"/>
      <c r="IFF361" s="113"/>
      <c r="IFG361" s="607"/>
      <c r="IFH361" s="249"/>
      <c r="IFI361" s="605"/>
      <c r="IFJ361" s="321"/>
      <c r="IFK361" s="251"/>
      <c r="IFL361" s="606"/>
      <c r="IFM361" s="253"/>
      <c r="IFO361" s="113"/>
      <c r="IFP361" s="607"/>
      <c r="IFQ361" s="249"/>
      <c r="IFR361" s="605"/>
      <c r="IFS361" s="321"/>
      <c r="IFT361" s="251"/>
      <c r="IFU361" s="606"/>
      <c r="IFV361" s="253"/>
      <c r="IFX361" s="113"/>
      <c r="IFY361" s="607"/>
      <c r="IFZ361" s="249"/>
      <c r="IGA361" s="605"/>
      <c r="IGB361" s="321"/>
      <c r="IGC361" s="251"/>
      <c r="IGD361" s="606"/>
      <c r="IGE361" s="253"/>
      <c r="IGG361" s="113"/>
      <c r="IGH361" s="607"/>
      <c r="IGI361" s="249"/>
      <c r="IGJ361" s="605"/>
      <c r="IGK361" s="321"/>
      <c r="IGL361" s="251"/>
      <c r="IGM361" s="606"/>
      <c r="IGN361" s="253"/>
      <c r="IGP361" s="113"/>
      <c r="IGQ361" s="607"/>
      <c r="IGR361" s="249"/>
      <c r="IGS361" s="605"/>
      <c r="IGT361" s="321"/>
      <c r="IGU361" s="251"/>
      <c r="IGV361" s="606"/>
      <c r="IGW361" s="253"/>
      <c r="IGY361" s="113"/>
      <c r="IGZ361" s="607"/>
      <c r="IHA361" s="249"/>
      <c r="IHB361" s="605"/>
      <c r="IHC361" s="321"/>
      <c r="IHD361" s="251"/>
      <c r="IHE361" s="606"/>
      <c r="IHF361" s="253"/>
      <c r="IHH361" s="113"/>
      <c r="IHI361" s="607"/>
      <c r="IHJ361" s="249"/>
      <c r="IHK361" s="605"/>
      <c r="IHL361" s="321"/>
      <c r="IHM361" s="251"/>
      <c r="IHN361" s="606"/>
      <c r="IHO361" s="253"/>
      <c r="IHQ361" s="113"/>
      <c r="IHR361" s="607"/>
      <c r="IHS361" s="249"/>
      <c r="IHT361" s="605"/>
      <c r="IHU361" s="321"/>
      <c r="IHV361" s="251"/>
      <c r="IHW361" s="606"/>
      <c r="IHX361" s="253"/>
      <c r="IHZ361" s="113"/>
      <c r="IIA361" s="607"/>
      <c r="IIB361" s="249"/>
      <c r="IIC361" s="605"/>
      <c r="IID361" s="321"/>
      <c r="IIE361" s="251"/>
      <c r="IIF361" s="606"/>
      <c r="IIG361" s="253"/>
      <c r="III361" s="113"/>
      <c r="IIJ361" s="607"/>
      <c r="IIK361" s="249"/>
      <c r="IIL361" s="605"/>
      <c r="IIM361" s="321"/>
      <c r="IIN361" s="251"/>
      <c r="IIO361" s="606"/>
      <c r="IIP361" s="253"/>
      <c r="IIR361" s="113"/>
      <c r="IIS361" s="607"/>
      <c r="IIT361" s="249"/>
      <c r="IIU361" s="605"/>
      <c r="IIV361" s="321"/>
      <c r="IIW361" s="251"/>
      <c r="IIX361" s="606"/>
      <c r="IIY361" s="253"/>
      <c r="IJA361" s="113"/>
      <c r="IJB361" s="607"/>
      <c r="IJC361" s="249"/>
      <c r="IJD361" s="605"/>
      <c r="IJE361" s="321"/>
      <c r="IJF361" s="251"/>
      <c r="IJG361" s="606"/>
      <c r="IJH361" s="253"/>
      <c r="IJJ361" s="113"/>
      <c r="IJK361" s="607"/>
      <c r="IJL361" s="249"/>
      <c r="IJM361" s="605"/>
      <c r="IJN361" s="321"/>
      <c r="IJO361" s="251"/>
      <c r="IJP361" s="606"/>
      <c r="IJQ361" s="253"/>
      <c r="IJS361" s="113"/>
      <c r="IJT361" s="607"/>
      <c r="IJU361" s="249"/>
      <c r="IJV361" s="605"/>
      <c r="IJW361" s="321"/>
      <c r="IJX361" s="251"/>
      <c r="IJY361" s="606"/>
      <c r="IJZ361" s="253"/>
      <c r="IKB361" s="113"/>
      <c r="IKC361" s="607"/>
      <c r="IKD361" s="249"/>
      <c r="IKE361" s="605"/>
      <c r="IKF361" s="321"/>
      <c r="IKG361" s="251"/>
      <c r="IKH361" s="606"/>
      <c r="IKI361" s="253"/>
      <c r="IKK361" s="113"/>
      <c r="IKL361" s="607"/>
      <c r="IKM361" s="249"/>
      <c r="IKN361" s="605"/>
      <c r="IKO361" s="321"/>
      <c r="IKP361" s="251"/>
      <c r="IKQ361" s="606"/>
      <c r="IKR361" s="253"/>
      <c r="IKT361" s="113"/>
      <c r="IKU361" s="607"/>
      <c r="IKV361" s="249"/>
      <c r="IKW361" s="605"/>
      <c r="IKX361" s="321"/>
      <c r="IKY361" s="251"/>
      <c r="IKZ361" s="606"/>
      <c r="ILA361" s="253"/>
      <c r="ILC361" s="113"/>
      <c r="ILD361" s="607"/>
      <c r="ILE361" s="249"/>
      <c r="ILF361" s="605"/>
      <c r="ILG361" s="321"/>
      <c r="ILH361" s="251"/>
      <c r="ILI361" s="606"/>
      <c r="ILJ361" s="253"/>
      <c r="ILL361" s="113"/>
      <c r="ILM361" s="607"/>
      <c r="ILN361" s="249"/>
      <c r="ILO361" s="605"/>
      <c r="ILP361" s="321"/>
      <c r="ILQ361" s="251"/>
      <c r="ILR361" s="606"/>
      <c r="ILS361" s="253"/>
      <c r="ILU361" s="113"/>
      <c r="ILV361" s="607"/>
      <c r="ILW361" s="249"/>
      <c r="ILX361" s="605"/>
      <c r="ILY361" s="321"/>
      <c r="ILZ361" s="251"/>
      <c r="IMA361" s="606"/>
      <c r="IMB361" s="253"/>
      <c r="IMD361" s="113"/>
      <c r="IME361" s="607"/>
      <c r="IMF361" s="249"/>
      <c r="IMG361" s="605"/>
      <c r="IMH361" s="321"/>
      <c r="IMI361" s="251"/>
      <c r="IMJ361" s="606"/>
      <c r="IMK361" s="253"/>
      <c r="IMM361" s="113"/>
      <c r="IMN361" s="607"/>
      <c r="IMO361" s="249"/>
      <c r="IMP361" s="605"/>
      <c r="IMQ361" s="321"/>
      <c r="IMR361" s="251"/>
      <c r="IMS361" s="606"/>
      <c r="IMT361" s="253"/>
      <c r="IMV361" s="113"/>
      <c r="IMW361" s="607"/>
      <c r="IMX361" s="249"/>
      <c r="IMY361" s="605"/>
      <c r="IMZ361" s="321"/>
      <c r="INA361" s="251"/>
      <c r="INB361" s="606"/>
      <c r="INC361" s="253"/>
      <c r="INE361" s="113"/>
      <c r="INF361" s="607"/>
      <c r="ING361" s="249"/>
      <c r="INH361" s="605"/>
      <c r="INI361" s="321"/>
      <c r="INJ361" s="251"/>
      <c r="INK361" s="606"/>
      <c r="INL361" s="253"/>
      <c r="INN361" s="113"/>
      <c r="INO361" s="607"/>
      <c r="INP361" s="249"/>
      <c r="INQ361" s="605"/>
      <c r="INR361" s="321"/>
      <c r="INS361" s="251"/>
      <c r="INT361" s="606"/>
      <c r="INU361" s="253"/>
      <c r="INW361" s="113"/>
      <c r="INX361" s="607"/>
      <c r="INY361" s="249"/>
      <c r="INZ361" s="605"/>
      <c r="IOA361" s="321"/>
      <c r="IOB361" s="251"/>
      <c r="IOC361" s="606"/>
      <c r="IOD361" s="253"/>
      <c r="IOF361" s="113"/>
      <c r="IOG361" s="607"/>
      <c r="IOH361" s="249"/>
      <c r="IOI361" s="605"/>
      <c r="IOJ361" s="321"/>
      <c r="IOK361" s="251"/>
      <c r="IOL361" s="606"/>
      <c r="IOM361" s="253"/>
      <c r="IOO361" s="113"/>
      <c r="IOP361" s="607"/>
      <c r="IOQ361" s="249"/>
      <c r="IOR361" s="605"/>
      <c r="IOS361" s="321"/>
      <c r="IOT361" s="251"/>
      <c r="IOU361" s="606"/>
      <c r="IOV361" s="253"/>
      <c r="IOX361" s="113"/>
      <c r="IOY361" s="607"/>
      <c r="IOZ361" s="249"/>
      <c r="IPA361" s="605"/>
      <c r="IPB361" s="321"/>
      <c r="IPC361" s="251"/>
      <c r="IPD361" s="606"/>
      <c r="IPE361" s="253"/>
      <c r="IPG361" s="113"/>
      <c r="IPH361" s="607"/>
      <c r="IPI361" s="249"/>
      <c r="IPJ361" s="605"/>
      <c r="IPK361" s="321"/>
      <c r="IPL361" s="251"/>
      <c r="IPM361" s="606"/>
      <c r="IPN361" s="253"/>
      <c r="IPP361" s="113"/>
      <c r="IPQ361" s="607"/>
      <c r="IPR361" s="249"/>
      <c r="IPS361" s="605"/>
      <c r="IPT361" s="321"/>
      <c r="IPU361" s="251"/>
      <c r="IPV361" s="606"/>
      <c r="IPW361" s="253"/>
      <c r="IPY361" s="113"/>
      <c r="IPZ361" s="607"/>
      <c r="IQA361" s="249"/>
      <c r="IQB361" s="605"/>
      <c r="IQC361" s="321"/>
      <c r="IQD361" s="251"/>
      <c r="IQE361" s="606"/>
      <c r="IQF361" s="253"/>
      <c r="IQH361" s="113"/>
      <c r="IQI361" s="607"/>
      <c r="IQJ361" s="249"/>
      <c r="IQK361" s="605"/>
      <c r="IQL361" s="321"/>
      <c r="IQM361" s="251"/>
      <c r="IQN361" s="606"/>
      <c r="IQO361" s="253"/>
      <c r="IQQ361" s="113"/>
      <c r="IQR361" s="607"/>
      <c r="IQS361" s="249"/>
      <c r="IQT361" s="605"/>
      <c r="IQU361" s="321"/>
      <c r="IQV361" s="251"/>
      <c r="IQW361" s="606"/>
      <c r="IQX361" s="253"/>
      <c r="IQZ361" s="113"/>
      <c r="IRA361" s="607"/>
      <c r="IRB361" s="249"/>
      <c r="IRC361" s="605"/>
      <c r="IRD361" s="321"/>
      <c r="IRE361" s="251"/>
      <c r="IRF361" s="606"/>
      <c r="IRG361" s="253"/>
      <c r="IRI361" s="113"/>
      <c r="IRJ361" s="607"/>
      <c r="IRK361" s="249"/>
      <c r="IRL361" s="605"/>
      <c r="IRM361" s="321"/>
      <c r="IRN361" s="251"/>
      <c r="IRO361" s="606"/>
      <c r="IRP361" s="253"/>
      <c r="IRR361" s="113"/>
      <c r="IRS361" s="607"/>
      <c r="IRT361" s="249"/>
      <c r="IRU361" s="605"/>
      <c r="IRV361" s="321"/>
      <c r="IRW361" s="251"/>
      <c r="IRX361" s="606"/>
      <c r="IRY361" s="253"/>
      <c r="ISA361" s="113"/>
      <c r="ISB361" s="607"/>
      <c r="ISC361" s="249"/>
      <c r="ISD361" s="605"/>
      <c r="ISE361" s="321"/>
      <c r="ISF361" s="251"/>
      <c r="ISG361" s="606"/>
      <c r="ISH361" s="253"/>
      <c r="ISJ361" s="113"/>
      <c r="ISK361" s="607"/>
      <c r="ISL361" s="249"/>
      <c r="ISM361" s="605"/>
      <c r="ISN361" s="321"/>
      <c r="ISO361" s="251"/>
      <c r="ISP361" s="606"/>
      <c r="ISQ361" s="253"/>
      <c r="ISS361" s="113"/>
      <c r="IST361" s="607"/>
      <c r="ISU361" s="249"/>
      <c r="ISV361" s="605"/>
      <c r="ISW361" s="321"/>
      <c r="ISX361" s="251"/>
      <c r="ISY361" s="606"/>
      <c r="ISZ361" s="253"/>
      <c r="ITB361" s="113"/>
      <c r="ITC361" s="607"/>
      <c r="ITD361" s="249"/>
      <c r="ITE361" s="605"/>
      <c r="ITF361" s="321"/>
      <c r="ITG361" s="251"/>
      <c r="ITH361" s="606"/>
      <c r="ITI361" s="253"/>
      <c r="ITK361" s="113"/>
      <c r="ITL361" s="607"/>
      <c r="ITM361" s="249"/>
      <c r="ITN361" s="605"/>
      <c r="ITO361" s="321"/>
      <c r="ITP361" s="251"/>
      <c r="ITQ361" s="606"/>
      <c r="ITR361" s="253"/>
      <c r="ITT361" s="113"/>
      <c r="ITU361" s="607"/>
      <c r="ITV361" s="249"/>
      <c r="ITW361" s="605"/>
      <c r="ITX361" s="321"/>
      <c r="ITY361" s="251"/>
      <c r="ITZ361" s="606"/>
      <c r="IUA361" s="253"/>
      <c r="IUC361" s="113"/>
      <c r="IUD361" s="607"/>
      <c r="IUE361" s="249"/>
      <c r="IUF361" s="605"/>
      <c r="IUG361" s="321"/>
      <c r="IUH361" s="251"/>
      <c r="IUI361" s="606"/>
      <c r="IUJ361" s="253"/>
      <c r="IUL361" s="113"/>
      <c r="IUM361" s="607"/>
      <c r="IUN361" s="249"/>
      <c r="IUO361" s="605"/>
      <c r="IUP361" s="321"/>
      <c r="IUQ361" s="251"/>
      <c r="IUR361" s="606"/>
      <c r="IUS361" s="253"/>
      <c r="IUU361" s="113"/>
      <c r="IUV361" s="607"/>
      <c r="IUW361" s="249"/>
      <c r="IUX361" s="605"/>
      <c r="IUY361" s="321"/>
      <c r="IUZ361" s="251"/>
      <c r="IVA361" s="606"/>
      <c r="IVB361" s="253"/>
      <c r="IVD361" s="113"/>
      <c r="IVE361" s="607"/>
      <c r="IVF361" s="249"/>
      <c r="IVG361" s="605"/>
      <c r="IVH361" s="321"/>
      <c r="IVI361" s="251"/>
      <c r="IVJ361" s="606"/>
      <c r="IVK361" s="253"/>
      <c r="IVM361" s="113"/>
      <c r="IVN361" s="607"/>
      <c r="IVO361" s="249"/>
      <c r="IVP361" s="605"/>
      <c r="IVQ361" s="321"/>
      <c r="IVR361" s="251"/>
      <c r="IVS361" s="606"/>
      <c r="IVT361" s="253"/>
      <c r="IVV361" s="113"/>
      <c r="IVW361" s="607"/>
      <c r="IVX361" s="249"/>
      <c r="IVY361" s="605"/>
      <c r="IVZ361" s="321"/>
      <c r="IWA361" s="251"/>
      <c r="IWB361" s="606"/>
      <c r="IWC361" s="253"/>
      <c r="IWE361" s="113"/>
      <c r="IWF361" s="607"/>
      <c r="IWG361" s="249"/>
      <c r="IWH361" s="605"/>
      <c r="IWI361" s="321"/>
      <c r="IWJ361" s="251"/>
      <c r="IWK361" s="606"/>
      <c r="IWL361" s="253"/>
      <c r="IWN361" s="113"/>
      <c r="IWO361" s="607"/>
      <c r="IWP361" s="249"/>
      <c r="IWQ361" s="605"/>
      <c r="IWR361" s="321"/>
      <c r="IWS361" s="251"/>
      <c r="IWT361" s="606"/>
      <c r="IWU361" s="253"/>
      <c r="IWW361" s="113"/>
      <c r="IWX361" s="607"/>
      <c r="IWY361" s="249"/>
      <c r="IWZ361" s="605"/>
      <c r="IXA361" s="321"/>
      <c r="IXB361" s="251"/>
      <c r="IXC361" s="606"/>
      <c r="IXD361" s="253"/>
      <c r="IXF361" s="113"/>
      <c r="IXG361" s="607"/>
      <c r="IXH361" s="249"/>
      <c r="IXI361" s="605"/>
      <c r="IXJ361" s="321"/>
      <c r="IXK361" s="251"/>
      <c r="IXL361" s="606"/>
      <c r="IXM361" s="253"/>
      <c r="IXO361" s="113"/>
      <c r="IXP361" s="607"/>
      <c r="IXQ361" s="249"/>
      <c r="IXR361" s="605"/>
      <c r="IXS361" s="321"/>
      <c r="IXT361" s="251"/>
      <c r="IXU361" s="606"/>
      <c r="IXV361" s="253"/>
      <c r="IXX361" s="113"/>
      <c r="IXY361" s="607"/>
      <c r="IXZ361" s="249"/>
      <c r="IYA361" s="605"/>
      <c r="IYB361" s="321"/>
      <c r="IYC361" s="251"/>
      <c r="IYD361" s="606"/>
      <c r="IYE361" s="253"/>
      <c r="IYG361" s="113"/>
      <c r="IYH361" s="607"/>
      <c r="IYI361" s="249"/>
      <c r="IYJ361" s="605"/>
      <c r="IYK361" s="321"/>
      <c r="IYL361" s="251"/>
      <c r="IYM361" s="606"/>
      <c r="IYN361" s="253"/>
      <c r="IYP361" s="113"/>
      <c r="IYQ361" s="607"/>
      <c r="IYR361" s="249"/>
      <c r="IYS361" s="605"/>
      <c r="IYT361" s="321"/>
      <c r="IYU361" s="251"/>
      <c r="IYV361" s="606"/>
      <c r="IYW361" s="253"/>
      <c r="IYY361" s="113"/>
      <c r="IYZ361" s="607"/>
      <c r="IZA361" s="249"/>
      <c r="IZB361" s="605"/>
      <c r="IZC361" s="321"/>
      <c r="IZD361" s="251"/>
      <c r="IZE361" s="606"/>
      <c r="IZF361" s="253"/>
      <c r="IZH361" s="113"/>
      <c r="IZI361" s="607"/>
      <c r="IZJ361" s="249"/>
      <c r="IZK361" s="605"/>
      <c r="IZL361" s="321"/>
      <c r="IZM361" s="251"/>
      <c r="IZN361" s="606"/>
      <c r="IZO361" s="253"/>
      <c r="IZQ361" s="113"/>
      <c r="IZR361" s="607"/>
      <c r="IZS361" s="249"/>
      <c r="IZT361" s="605"/>
      <c r="IZU361" s="321"/>
      <c r="IZV361" s="251"/>
      <c r="IZW361" s="606"/>
      <c r="IZX361" s="253"/>
      <c r="IZZ361" s="113"/>
      <c r="JAA361" s="607"/>
      <c r="JAB361" s="249"/>
      <c r="JAC361" s="605"/>
      <c r="JAD361" s="321"/>
      <c r="JAE361" s="251"/>
      <c r="JAF361" s="606"/>
      <c r="JAG361" s="253"/>
      <c r="JAI361" s="113"/>
      <c r="JAJ361" s="607"/>
      <c r="JAK361" s="249"/>
      <c r="JAL361" s="605"/>
      <c r="JAM361" s="321"/>
      <c r="JAN361" s="251"/>
      <c r="JAO361" s="606"/>
      <c r="JAP361" s="253"/>
      <c r="JAR361" s="113"/>
      <c r="JAS361" s="607"/>
      <c r="JAT361" s="249"/>
      <c r="JAU361" s="605"/>
      <c r="JAV361" s="321"/>
      <c r="JAW361" s="251"/>
      <c r="JAX361" s="606"/>
      <c r="JAY361" s="253"/>
      <c r="JBA361" s="113"/>
      <c r="JBB361" s="607"/>
      <c r="JBC361" s="249"/>
      <c r="JBD361" s="605"/>
      <c r="JBE361" s="321"/>
      <c r="JBF361" s="251"/>
      <c r="JBG361" s="606"/>
      <c r="JBH361" s="253"/>
      <c r="JBJ361" s="113"/>
      <c r="JBK361" s="607"/>
      <c r="JBL361" s="249"/>
      <c r="JBM361" s="605"/>
      <c r="JBN361" s="321"/>
      <c r="JBO361" s="251"/>
      <c r="JBP361" s="606"/>
      <c r="JBQ361" s="253"/>
      <c r="JBS361" s="113"/>
      <c r="JBT361" s="607"/>
      <c r="JBU361" s="249"/>
      <c r="JBV361" s="605"/>
      <c r="JBW361" s="321"/>
      <c r="JBX361" s="251"/>
      <c r="JBY361" s="606"/>
      <c r="JBZ361" s="253"/>
      <c r="JCB361" s="113"/>
      <c r="JCC361" s="607"/>
      <c r="JCD361" s="249"/>
      <c r="JCE361" s="605"/>
      <c r="JCF361" s="321"/>
      <c r="JCG361" s="251"/>
      <c r="JCH361" s="606"/>
      <c r="JCI361" s="253"/>
      <c r="JCK361" s="113"/>
      <c r="JCL361" s="607"/>
      <c r="JCM361" s="249"/>
      <c r="JCN361" s="605"/>
      <c r="JCO361" s="321"/>
      <c r="JCP361" s="251"/>
      <c r="JCQ361" s="606"/>
      <c r="JCR361" s="253"/>
      <c r="JCT361" s="113"/>
      <c r="JCU361" s="607"/>
      <c r="JCV361" s="249"/>
      <c r="JCW361" s="605"/>
      <c r="JCX361" s="321"/>
      <c r="JCY361" s="251"/>
      <c r="JCZ361" s="606"/>
      <c r="JDA361" s="253"/>
      <c r="JDC361" s="113"/>
      <c r="JDD361" s="607"/>
      <c r="JDE361" s="249"/>
      <c r="JDF361" s="605"/>
      <c r="JDG361" s="321"/>
      <c r="JDH361" s="251"/>
      <c r="JDI361" s="606"/>
      <c r="JDJ361" s="253"/>
      <c r="JDL361" s="113"/>
      <c r="JDM361" s="607"/>
      <c r="JDN361" s="249"/>
      <c r="JDO361" s="605"/>
      <c r="JDP361" s="321"/>
      <c r="JDQ361" s="251"/>
      <c r="JDR361" s="606"/>
      <c r="JDS361" s="253"/>
      <c r="JDU361" s="113"/>
      <c r="JDV361" s="607"/>
      <c r="JDW361" s="249"/>
      <c r="JDX361" s="605"/>
      <c r="JDY361" s="321"/>
      <c r="JDZ361" s="251"/>
      <c r="JEA361" s="606"/>
      <c r="JEB361" s="253"/>
      <c r="JED361" s="113"/>
      <c r="JEE361" s="607"/>
      <c r="JEF361" s="249"/>
      <c r="JEG361" s="605"/>
      <c r="JEH361" s="321"/>
      <c r="JEI361" s="251"/>
      <c r="JEJ361" s="606"/>
      <c r="JEK361" s="253"/>
      <c r="JEM361" s="113"/>
      <c r="JEN361" s="607"/>
      <c r="JEO361" s="249"/>
      <c r="JEP361" s="605"/>
      <c r="JEQ361" s="321"/>
      <c r="JER361" s="251"/>
      <c r="JES361" s="606"/>
      <c r="JET361" s="253"/>
      <c r="JEV361" s="113"/>
      <c r="JEW361" s="607"/>
      <c r="JEX361" s="249"/>
      <c r="JEY361" s="605"/>
      <c r="JEZ361" s="321"/>
      <c r="JFA361" s="251"/>
      <c r="JFB361" s="606"/>
      <c r="JFC361" s="253"/>
      <c r="JFE361" s="113"/>
      <c r="JFF361" s="607"/>
      <c r="JFG361" s="249"/>
      <c r="JFH361" s="605"/>
      <c r="JFI361" s="321"/>
      <c r="JFJ361" s="251"/>
      <c r="JFK361" s="606"/>
      <c r="JFL361" s="253"/>
      <c r="JFN361" s="113"/>
      <c r="JFO361" s="607"/>
      <c r="JFP361" s="249"/>
      <c r="JFQ361" s="605"/>
      <c r="JFR361" s="321"/>
      <c r="JFS361" s="251"/>
      <c r="JFT361" s="606"/>
      <c r="JFU361" s="253"/>
      <c r="JFW361" s="113"/>
      <c r="JFX361" s="607"/>
      <c r="JFY361" s="249"/>
      <c r="JFZ361" s="605"/>
      <c r="JGA361" s="321"/>
      <c r="JGB361" s="251"/>
      <c r="JGC361" s="606"/>
      <c r="JGD361" s="253"/>
      <c r="JGF361" s="113"/>
      <c r="JGG361" s="607"/>
      <c r="JGH361" s="249"/>
      <c r="JGI361" s="605"/>
      <c r="JGJ361" s="321"/>
      <c r="JGK361" s="251"/>
      <c r="JGL361" s="606"/>
      <c r="JGM361" s="253"/>
      <c r="JGO361" s="113"/>
      <c r="JGP361" s="607"/>
      <c r="JGQ361" s="249"/>
      <c r="JGR361" s="605"/>
      <c r="JGS361" s="321"/>
      <c r="JGT361" s="251"/>
      <c r="JGU361" s="606"/>
      <c r="JGV361" s="253"/>
      <c r="JGX361" s="113"/>
      <c r="JGY361" s="607"/>
      <c r="JGZ361" s="249"/>
      <c r="JHA361" s="605"/>
      <c r="JHB361" s="321"/>
      <c r="JHC361" s="251"/>
      <c r="JHD361" s="606"/>
      <c r="JHE361" s="253"/>
      <c r="JHG361" s="113"/>
      <c r="JHH361" s="607"/>
      <c r="JHI361" s="249"/>
      <c r="JHJ361" s="605"/>
      <c r="JHK361" s="321"/>
      <c r="JHL361" s="251"/>
      <c r="JHM361" s="606"/>
      <c r="JHN361" s="253"/>
      <c r="JHP361" s="113"/>
      <c r="JHQ361" s="607"/>
      <c r="JHR361" s="249"/>
      <c r="JHS361" s="605"/>
      <c r="JHT361" s="321"/>
      <c r="JHU361" s="251"/>
      <c r="JHV361" s="606"/>
      <c r="JHW361" s="253"/>
      <c r="JHY361" s="113"/>
      <c r="JHZ361" s="607"/>
      <c r="JIA361" s="249"/>
      <c r="JIB361" s="605"/>
      <c r="JIC361" s="321"/>
      <c r="JID361" s="251"/>
      <c r="JIE361" s="606"/>
      <c r="JIF361" s="253"/>
      <c r="JIH361" s="113"/>
      <c r="JII361" s="607"/>
      <c r="JIJ361" s="249"/>
      <c r="JIK361" s="605"/>
      <c r="JIL361" s="321"/>
      <c r="JIM361" s="251"/>
      <c r="JIN361" s="606"/>
      <c r="JIO361" s="253"/>
      <c r="JIQ361" s="113"/>
      <c r="JIR361" s="607"/>
      <c r="JIS361" s="249"/>
      <c r="JIT361" s="605"/>
      <c r="JIU361" s="321"/>
      <c r="JIV361" s="251"/>
      <c r="JIW361" s="606"/>
      <c r="JIX361" s="253"/>
      <c r="JIZ361" s="113"/>
      <c r="JJA361" s="607"/>
      <c r="JJB361" s="249"/>
      <c r="JJC361" s="605"/>
      <c r="JJD361" s="321"/>
      <c r="JJE361" s="251"/>
      <c r="JJF361" s="606"/>
      <c r="JJG361" s="253"/>
      <c r="JJI361" s="113"/>
      <c r="JJJ361" s="607"/>
      <c r="JJK361" s="249"/>
      <c r="JJL361" s="605"/>
      <c r="JJM361" s="321"/>
      <c r="JJN361" s="251"/>
      <c r="JJO361" s="606"/>
      <c r="JJP361" s="253"/>
      <c r="JJR361" s="113"/>
      <c r="JJS361" s="607"/>
      <c r="JJT361" s="249"/>
      <c r="JJU361" s="605"/>
      <c r="JJV361" s="321"/>
      <c r="JJW361" s="251"/>
      <c r="JJX361" s="606"/>
      <c r="JJY361" s="253"/>
      <c r="JKA361" s="113"/>
      <c r="JKB361" s="607"/>
      <c r="JKC361" s="249"/>
      <c r="JKD361" s="605"/>
      <c r="JKE361" s="321"/>
      <c r="JKF361" s="251"/>
      <c r="JKG361" s="606"/>
      <c r="JKH361" s="253"/>
      <c r="JKJ361" s="113"/>
      <c r="JKK361" s="607"/>
      <c r="JKL361" s="249"/>
      <c r="JKM361" s="605"/>
      <c r="JKN361" s="321"/>
      <c r="JKO361" s="251"/>
      <c r="JKP361" s="606"/>
      <c r="JKQ361" s="253"/>
      <c r="JKS361" s="113"/>
      <c r="JKT361" s="607"/>
      <c r="JKU361" s="249"/>
      <c r="JKV361" s="605"/>
      <c r="JKW361" s="321"/>
      <c r="JKX361" s="251"/>
      <c r="JKY361" s="606"/>
      <c r="JKZ361" s="253"/>
      <c r="JLB361" s="113"/>
      <c r="JLC361" s="607"/>
      <c r="JLD361" s="249"/>
      <c r="JLE361" s="605"/>
      <c r="JLF361" s="321"/>
      <c r="JLG361" s="251"/>
      <c r="JLH361" s="606"/>
      <c r="JLI361" s="253"/>
      <c r="JLK361" s="113"/>
      <c r="JLL361" s="607"/>
      <c r="JLM361" s="249"/>
      <c r="JLN361" s="605"/>
      <c r="JLO361" s="321"/>
      <c r="JLP361" s="251"/>
      <c r="JLQ361" s="606"/>
      <c r="JLR361" s="253"/>
      <c r="JLT361" s="113"/>
      <c r="JLU361" s="607"/>
      <c r="JLV361" s="249"/>
      <c r="JLW361" s="605"/>
      <c r="JLX361" s="321"/>
      <c r="JLY361" s="251"/>
      <c r="JLZ361" s="606"/>
      <c r="JMA361" s="253"/>
      <c r="JMC361" s="113"/>
      <c r="JMD361" s="607"/>
      <c r="JME361" s="249"/>
      <c r="JMF361" s="605"/>
      <c r="JMG361" s="321"/>
      <c r="JMH361" s="251"/>
      <c r="JMI361" s="606"/>
      <c r="JMJ361" s="253"/>
      <c r="JML361" s="113"/>
      <c r="JMM361" s="607"/>
      <c r="JMN361" s="249"/>
      <c r="JMO361" s="605"/>
      <c r="JMP361" s="321"/>
      <c r="JMQ361" s="251"/>
      <c r="JMR361" s="606"/>
      <c r="JMS361" s="253"/>
      <c r="JMU361" s="113"/>
      <c r="JMV361" s="607"/>
      <c r="JMW361" s="249"/>
      <c r="JMX361" s="605"/>
      <c r="JMY361" s="321"/>
      <c r="JMZ361" s="251"/>
      <c r="JNA361" s="606"/>
      <c r="JNB361" s="253"/>
      <c r="JND361" s="113"/>
      <c r="JNE361" s="607"/>
      <c r="JNF361" s="249"/>
      <c r="JNG361" s="605"/>
      <c r="JNH361" s="321"/>
      <c r="JNI361" s="251"/>
      <c r="JNJ361" s="606"/>
      <c r="JNK361" s="253"/>
      <c r="JNM361" s="113"/>
      <c r="JNN361" s="607"/>
      <c r="JNO361" s="249"/>
      <c r="JNP361" s="605"/>
      <c r="JNQ361" s="321"/>
      <c r="JNR361" s="251"/>
      <c r="JNS361" s="606"/>
      <c r="JNT361" s="253"/>
      <c r="JNV361" s="113"/>
      <c r="JNW361" s="607"/>
      <c r="JNX361" s="249"/>
      <c r="JNY361" s="605"/>
      <c r="JNZ361" s="321"/>
      <c r="JOA361" s="251"/>
      <c r="JOB361" s="606"/>
      <c r="JOC361" s="253"/>
      <c r="JOE361" s="113"/>
      <c r="JOF361" s="607"/>
      <c r="JOG361" s="249"/>
      <c r="JOH361" s="605"/>
      <c r="JOI361" s="321"/>
      <c r="JOJ361" s="251"/>
      <c r="JOK361" s="606"/>
      <c r="JOL361" s="253"/>
      <c r="JON361" s="113"/>
      <c r="JOO361" s="607"/>
      <c r="JOP361" s="249"/>
      <c r="JOQ361" s="605"/>
      <c r="JOR361" s="321"/>
      <c r="JOS361" s="251"/>
      <c r="JOT361" s="606"/>
      <c r="JOU361" s="253"/>
      <c r="JOW361" s="113"/>
      <c r="JOX361" s="607"/>
      <c r="JOY361" s="249"/>
      <c r="JOZ361" s="605"/>
      <c r="JPA361" s="321"/>
      <c r="JPB361" s="251"/>
      <c r="JPC361" s="606"/>
      <c r="JPD361" s="253"/>
      <c r="JPF361" s="113"/>
      <c r="JPG361" s="607"/>
      <c r="JPH361" s="249"/>
      <c r="JPI361" s="605"/>
      <c r="JPJ361" s="321"/>
      <c r="JPK361" s="251"/>
      <c r="JPL361" s="606"/>
      <c r="JPM361" s="253"/>
      <c r="JPO361" s="113"/>
      <c r="JPP361" s="607"/>
      <c r="JPQ361" s="249"/>
      <c r="JPR361" s="605"/>
      <c r="JPS361" s="321"/>
      <c r="JPT361" s="251"/>
      <c r="JPU361" s="606"/>
      <c r="JPV361" s="253"/>
      <c r="JPX361" s="113"/>
      <c r="JPY361" s="607"/>
      <c r="JPZ361" s="249"/>
      <c r="JQA361" s="605"/>
      <c r="JQB361" s="321"/>
      <c r="JQC361" s="251"/>
      <c r="JQD361" s="606"/>
      <c r="JQE361" s="253"/>
      <c r="JQG361" s="113"/>
      <c r="JQH361" s="607"/>
      <c r="JQI361" s="249"/>
      <c r="JQJ361" s="605"/>
      <c r="JQK361" s="321"/>
      <c r="JQL361" s="251"/>
      <c r="JQM361" s="606"/>
      <c r="JQN361" s="253"/>
      <c r="JQP361" s="113"/>
      <c r="JQQ361" s="607"/>
      <c r="JQR361" s="249"/>
      <c r="JQS361" s="605"/>
      <c r="JQT361" s="321"/>
      <c r="JQU361" s="251"/>
      <c r="JQV361" s="606"/>
      <c r="JQW361" s="253"/>
      <c r="JQY361" s="113"/>
      <c r="JQZ361" s="607"/>
      <c r="JRA361" s="249"/>
      <c r="JRB361" s="605"/>
      <c r="JRC361" s="321"/>
      <c r="JRD361" s="251"/>
      <c r="JRE361" s="606"/>
      <c r="JRF361" s="253"/>
      <c r="JRH361" s="113"/>
      <c r="JRI361" s="607"/>
      <c r="JRJ361" s="249"/>
      <c r="JRK361" s="605"/>
      <c r="JRL361" s="321"/>
      <c r="JRM361" s="251"/>
      <c r="JRN361" s="606"/>
      <c r="JRO361" s="253"/>
      <c r="JRQ361" s="113"/>
      <c r="JRR361" s="607"/>
      <c r="JRS361" s="249"/>
      <c r="JRT361" s="605"/>
      <c r="JRU361" s="321"/>
      <c r="JRV361" s="251"/>
      <c r="JRW361" s="606"/>
      <c r="JRX361" s="253"/>
      <c r="JRZ361" s="113"/>
      <c r="JSA361" s="607"/>
      <c r="JSB361" s="249"/>
      <c r="JSC361" s="605"/>
      <c r="JSD361" s="321"/>
      <c r="JSE361" s="251"/>
      <c r="JSF361" s="606"/>
      <c r="JSG361" s="253"/>
      <c r="JSI361" s="113"/>
      <c r="JSJ361" s="607"/>
      <c r="JSK361" s="249"/>
      <c r="JSL361" s="605"/>
      <c r="JSM361" s="321"/>
      <c r="JSN361" s="251"/>
      <c r="JSO361" s="606"/>
      <c r="JSP361" s="253"/>
      <c r="JSR361" s="113"/>
      <c r="JSS361" s="607"/>
      <c r="JST361" s="249"/>
      <c r="JSU361" s="605"/>
      <c r="JSV361" s="321"/>
      <c r="JSW361" s="251"/>
      <c r="JSX361" s="606"/>
      <c r="JSY361" s="253"/>
      <c r="JTA361" s="113"/>
      <c r="JTB361" s="607"/>
      <c r="JTC361" s="249"/>
      <c r="JTD361" s="605"/>
      <c r="JTE361" s="321"/>
      <c r="JTF361" s="251"/>
      <c r="JTG361" s="606"/>
      <c r="JTH361" s="253"/>
      <c r="JTJ361" s="113"/>
      <c r="JTK361" s="607"/>
      <c r="JTL361" s="249"/>
      <c r="JTM361" s="605"/>
      <c r="JTN361" s="321"/>
      <c r="JTO361" s="251"/>
      <c r="JTP361" s="606"/>
      <c r="JTQ361" s="253"/>
      <c r="JTS361" s="113"/>
      <c r="JTT361" s="607"/>
      <c r="JTU361" s="249"/>
      <c r="JTV361" s="605"/>
      <c r="JTW361" s="321"/>
      <c r="JTX361" s="251"/>
      <c r="JTY361" s="606"/>
      <c r="JTZ361" s="253"/>
      <c r="JUB361" s="113"/>
      <c r="JUC361" s="607"/>
      <c r="JUD361" s="249"/>
      <c r="JUE361" s="605"/>
      <c r="JUF361" s="321"/>
      <c r="JUG361" s="251"/>
      <c r="JUH361" s="606"/>
      <c r="JUI361" s="253"/>
      <c r="JUK361" s="113"/>
      <c r="JUL361" s="607"/>
      <c r="JUM361" s="249"/>
      <c r="JUN361" s="605"/>
      <c r="JUO361" s="321"/>
      <c r="JUP361" s="251"/>
      <c r="JUQ361" s="606"/>
      <c r="JUR361" s="253"/>
      <c r="JUT361" s="113"/>
      <c r="JUU361" s="607"/>
      <c r="JUV361" s="249"/>
      <c r="JUW361" s="605"/>
      <c r="JUX361" s="321"/>
      <c r="JUY361" s="251"/>
      <c r="JUZ361" s="606"/>
      <c r="JVA361" s="253"/>
      <c r="JVC361" s="113"/>
      <c r="JVD361" s="607"/>
      <c r="JVE361" s="249"/>
      <c r="JVF361" s="605"/>
      <c r="JVG361" s="321"/>
      <c r="JVH361" s="251"/>
      <c r="JVI361" s="606"/>
      <c r="JVJ361" s="253"/>
      <c r="JVL361" s="113"/>
      <c r="JVM361" s="607"/>
      <c r="JVN361" s="249"/>
      <c r="JVO361" s="605"/>
      <c r="JVP361" s="321"/>
      <c r="JVQ361" s="251"/>
      <c r="JVR361" s="606"/>
      <c r="JVS361" s="253"/>
      <c r="JVU361" s="113"/>
      <c r="JVV361" s="607"/>
      <c r="JVW361" s="249"/>
      <c r="JVX361" s="605"/>
      <c r="JVY361" s="321"/>
      <c r="JVZ361" s="251"/>
      <c r="JWA361" s="606"/>
      <c r="JWB361" s="253"/>
      <c r="JWD361" s="113"/>
      <c r="JWE361" s="607"/>
      <c r="JWF361" s="249"/>
      <c r="JWG361" s="605"/>
      <c r="JWH361" s="321"/>
      <c r="JWI361" s="251"/>
      <c r="JWJ361" s="606"/>
      <c r="JWK361" s="253"/>
      <c r="JWM361" s="113"/>
      <c r="JWN361" s="607"/>
      <c r="JWO361" s="249"/>
      <c r="JWP361" s="605"/>
      <c r="JWQ361" s="321"/>
      <c r="JWR361" s="251"/>
      <c r="JWS361" s="606"/>
      <c r="JWT361" s="253"/>
      <c r="JWV361" s="113"/>
      <c r="JWW361" s="607"/>
      <c r="JWX361" s="249"/>
      <c r="JWY361" s="605"/>
      <c r="JWZ361" s="321"/>
      <c r="JXA361" s="251"/>
      <c r="JXB361" s="606"/>
      <c r="JXC361" s="253"/>
      <c r="JXE361" s="113"/>
      <c r="JXF361" s="607"/>
      <c r="JXG361" s="249"/>
      <c r="JXH361" s="605"/>
      <c r="JXI361" s="321"/>
      <c r="JXJ361" s="251"/>
      <c r="JXK361" s="606"/>
      <c r="JXL361" s="253"/>
      <c r="JXN361" s="113"/>
      <c r="JXO361" s="607"/>
      <c r="JXP361" s="249"/>
      <c r="JXQ361" s="605"/>
      <c r="JXR361" s="321"/>
      <c r="JXS361" s="251"/>
      <c r="JXT361" s="606"/>
      <c r="JXU361" s="253"/>
      <c r="JXW361" s="113"/>
      <c r="JXX361" s="607"/>
      <c r="JXY361" s="249"/>
      <c r="JXZ361" s="605"/>
      <c r="JYA361" s="321"/>
      <c r="JYB361" s="251"/>
      <c r="JYC361" s="606"/>
      <c r="JYD361" s="253"/>
      <c r="JYF361" s="113"/>
      <c r="JYG361" s="607"/>
      <c r="JYH361" s="249"/>
      <c r="JYI361" s="605"/>
      <c r="JYJ361" s="321"/>
      <c r="JYK361" s="251"/>
      <c r="JYL361" s="606"/>
      <c r="JYM361" s="253"/>
      <c r="JYO361" s="113"/>
      <c r="JYP361" s="607"/>
      <c r="JYQ361" s="249"/>
      <c r="JYR361" s="605"/>
      <c r="JYS361" s="321"/>
      <c r="JYT361" s="251"/>
      <c r="JYU361" s="606"/>
      <c r="JYV361" s="253"/>
      <c r="JYX361" s="113"/>
      <c r="JYY361" s="607"/>
      <c r="JYZ361" s="249"/>
      <c r="JZA361" s="605"/>
      <c r="JZB361" s="321"/>
      <c r="JZC361" s="251"/>
      <c r="JZD361" s="606"/>
      <c r="JZE361" s="253"/>
      <c r="JZG361" s="113"/>
      <c r="JZH361" s="607"/>
      <c r="JZI361" s="249"/>
      <c r="JZJ361" s="605"/>
      <c r="JZK361" s="321"/>
      <c r="JZL361" s="251"/>
      <c r="JZM361" s="606"/>
      <c r="JZN361" s="253"/>
      <c r="JZP361" s="113"/>
      <c r="JZQ361" s="607"/>
      <c r="JZR361" s="249"/>
      <c r="JZS361" s="605"/>
      <c r="JZT361" s="321"/>
      <c r="JZU361" s="251"/>
      <c r="JZV361" s="606"/>
      <c r="JZW361" s="253"/>
      <c r="JZY361" s="113"/>
      <c r="JZZ361" s="607"/>
      <c r="KAA361" s="249"/>
      <c r="KAB361" s="605"/>
      <c r="KAC361" s="321"/>
      <c r="KAD361" s="251"/>
      <c r="KAE361" s="606"/>
      <c r="KAF361" s="253"/>
      <c r="KAH361" s="113"/>
      <c r="KAI361" s="607"/>
      <c r="KAJ361" s="249"/>
      <c r="KAK361" s="605"/>
      <c r="KAL361" s="321"/>
      <c r="KAM361" s="251"/>
      <c r="KAN361" s="606"/>
      <c r="KAO361" s="253"/>
      <c r="KAQ361" s="113"/>
      <c r="KAR361" s="607"/>
      <c r="KAS361" s="249"/>
      <c r="KAT361" s="605"/>
      <c r="KAU361" s="321"/>
      <c r="KAV361" s="251"/>
      <c r="KAW361" s="606"/>
      <c r="KAX361" s="253"/>
      <c r="KAZ361" s="113"/>
      <c r="KBA361" s="607"/>
      <c r="KBB361" s="249"/>
      <c r="KBC361" s="605"/>
      <c r="KBD361" s="321"/>
      <c r="KBE361" s="251"/>
      <c r="KBF361" s="606"/>
      <c r="KBG361" s="253"/>
      <c r="KBI361" s="113"/>
      <c r="KBJ361" s="607"/>
      <c r="KBK361" s="249"/>
      <c r="KBL361" s="605"/>
      <c r="KBM361" s="321"/>
      <c r="KBN361" s="251"/>
      <c r="KBO361" s="606"/>
      <c r="KBP361" s="253"/>
      <c r="KBR361" s="113"/>
      <c r="KBS361" s="607"/>
      <c r="KBT361" s="249"/>
      <c r="KBU361" s="605"/>
      <c r="KBV361" s="321"/>
      <c r="KBW361" s="251"/>
      <c r="KBX361" s="606"/>
      <c r="KBY361" s="253"/>
      <c r="KCA361" s="113"/>
      <c r="KCB361" s="607"/>
      <c r="KCC361" s="249"/>
      <c r="KCD361" s="605"/>
      <c r="KCE361" s="321"/>
      <c r="KCF361" s="251"/>
      <c r="KCG361" s="606"/>
      <c r="KCH361" s="253"/>
      <c r="KCJ361" s="113"/>
      <c r="KCK361" s="607"/>
      <c r="KCL361" s="249"/>
      <c r="KCM361" s="605"/>
      <c r="KCN361" s="321"/>
      <c r="KCO361" s="251"/>
      <c r="KCP361" s="606"/>
      <c r="KCQ361" s="253"/>
      <c r="KCS361" s="113"/>
      <c r="KCT361" s="607"/>
      <c r="KCU361" s="249"/>
      <c r="KCV361" s="605"/>
      <c r="KCW361" s="321"/>
      <c r="KCX361" s="251"/>
      <c r="KCY361" s="606"/>
      <c r="KCZ361" s="253"/>
      <c r="KDB361" s="113"/>
      <c r="KDC361" s="607"/>
      <c r="KDD361" s="249"/>
      <c r="KDE361" s="605"/>
      <c r="KDF361" s="321"/>
      <c r="KDG361" s="251"/>
      <c r="KDH361" s="606"/>
      <c r="KDI361" s="253"/>
      <c r="KDK361" s="113"/>
      <c r="KDL361" s="607"/>
      <c r="KDM361" s="249"/>
      <c r="KDN361" s="605"/>
      <c r="KDO361" s="321"/>
      <c r="KDP361" s="251"/>
      <c r="KDQ361" s="606"/>
      <c r="KDR361" s="253"/>
      <c r="KDT361" s="113"/>
      <c r="KDU361" s="607"/>
      <c r="KDV361" s="249"/>
      <c r="KDW361" s="605"/>
      <c r="KDX361" s="321"/>
      <c r="KDY361" s="251"/>
      <c r="KDZ361" s="606"/>
      <c r="KEA361" s="253"/>
      <c r="KEC361" s="113"/>
      <c r="KED361" s="607"/>
      <c r="KEE361" s="249"/>
      <c r="KEF361" s="605"/>
      <c r="KEG361" s="321"/>
      <c r="KEH361" s="251"/>
      <c r="KEI361" s="606"/>
      <c r="KEJ361" s="253"/>
      <c r="KEL361" s="113"/>
      <c r="KEM361" s="607"/>
      <c r="KEN361" s="249"/>
      <c r="KEO361" s="605"/>
      <c r="KEP361" s="321"/>
      <c r="KEQ361" s="251"/>
      <c r="KER361" s="606"/>
      <c r="KES361" s="253"/>
      <c r="KEU361" s="113"/>
      <c r="KEV361" s="607"/>
      <c r="KEW361" s="249"/>
      <c r="KEX361" s="605"/>
      <c r="KEY361" s="321"/>
      <c r="KEZ361" s="251"/>
      <c r="KFA361" s="606"/>
      <c r="KFB361" s="253"/>
      <c r="KFD361" s="113"/>
      <c r="KFE361" s="607"/>
      <c r="KFF361" s="249"/>
      <c r="KFG361" s="605"/>
      <c r="KFH361" s="321"/>
      <c r="KFI361" s="251"/>
      <c r="KFJ361" s="606"/>
      <c r="KFK361" s="253"/>
      <c r="KFM361" s="113"/>
      <c r="KFN361" s="607"/>
      <c r="KFO361" s="249"/>
      <c r="KFP361" s="605"/>
      <c r="KFQ361" s="321"/>
      <c r="KFR361" s="251"/>
      <c r="KFS361" s="606"/>
      <c r="KFT361" s="253"/>
      <c r="KFV361" s="113"/>
      <c r="KFW361" s="607"/>
      <c r="KFX361" s="249"/>
      <c r="KFY361" s="605"/>
      <c r="KFZ361" s="321"/>
      <c r="KGA361" s="251"/>
      <c r="KGB361" s="606"/>
      <c r="KGC361" s="253"/>
      <c r="KGE361" s="113"/>
      <c r="KGF361" s="607"/>
      <c r="KGG361" s="249"/>
      <c r="KGH361" s="605"/>
      <c r="KGI361" s="321"/>
      <c r="KGJ361" s="251"/>
      <c r="KGK361" s="606"/>
      <c r="KGL361" s="253"/>
      <c r="KGN361" s="113"/>
      <c r="KGO361" s="607"/>
      <c r="KGP361" s="249"/>
      <c r="KGQ361" s="605"/>
      <c r="KGR361" s="321"/>
      <c r="KGS361" s="251"/>
      <c r="KGT361" s="606"/>
      <c r="KGU361" s="253"/>
      <c r="KGW361" s="113"/>
      <c r="KGX361" s="607"/>
      <c r="KGY361" s="249"/>
      <c r="KGZ361" s="605"/>
      <c r="KHA361" s="321"/>
      <c r="KHB361" s="251"/>
      <c r="KHC361" s="606"/>
      <c r="KHD361" s="253"/>
      <c r="KHF361" s="113"/>
      <c r="KHG361" s="607"/>
      <c r="KHH361" s="249"/>
      <c r="KHI361" s="605"/>
      <c r="KHJ361" s="321"/>
      <c r="KHK361" s="251"/>
      <c r="KHL361" s="606"/>
      <c r="KHM361" s="253"/>
      <c r="KHO361" s="113"/>
      <c r="KHP361" s="607"/>
      <c r="KHQ361" s="249"/>
      <c r="KHR361" s="605"/>
      <c r="KHS361" s="321"/>
      <c r="KHT361" s="251"/>
      <c r="KHU361" s="606"/>
      <c r="KHV361" s="253"/>
      <c r="KHX361" s="113"/>
      <c r="KHY361" s="607"/>
      <c r="KHZ361" s="249"/>
      <c r="KIA361" s="605"/>
      <c r="KIB361" s="321"/>
      <c r="KIC361" s="251"/>
      <c r="KID361" s="606"/>
      <c r="KIE361" s="253"/>
      <c r="KIG361" s="113"/>
      <c r="KIH361" s="607"/>
      <c r="KII361" s="249"/>
      <c r="KIJ361" s="605"/>
      <c r="KIK361" s="321"/>
      <c r="KIL361" s="251"/>
      <c r="KIM361" s="606"/>
      <c r="KIN361" s="253"/>
      <c r="KIP361" s="113"/>
      <c r="KIQ361" s="607"/>
      <c r="KIR361" s="249"/>
      <c r="KIS361" s="605"/>
      <c r="KIT361" s="321"/>
      <c r="KIU361" s="251"/>
      <c r="KIV361" s="606"/>
      <c r="KIW361" s="253"/>
      <c r="KIY361" s="113"/>
      <c r="KIZ361" s="607"/>
      <c r="KJA361" s="249"/>
      <c r="KJB361" s="605"/>
      <c r="KJC361" s="321"/>
      <c r="KJD361" s="251"/>
      <c r="KJE361" s="606"/>
      <c r="KJF361" s="253"/>
      <c r="KJH361" s="113"/>
      <c r="KJI361" s="607"/>
      <c r="KJJ361" s="249"/>
      <c r="KJK361" s="605"/>
      <c r="KJL361" s="321"/>
      <c r="KJM361" s="251"/>
      <c r="KJN361" s="606"/>
      <c r="KJO361" s="253"/>
      <c r="KJQ361" s="113"/>
      <c r="KJR361" s="607"/>
      <c r="KJS361" s="249"/>
      <c r="KJT361" s="605"/>
      <c r="KJU361" s="321"/>
      <c r="KJV361" s="251"/>
      <c r="KJW361" s="606"/>
      <c r="KJX361" s="253"/>
      <c r="KJZ361" s="113"/>
      <c r="KKA361" s="607"/>
      <c r="KKB361" s="249"/>
      <c r="KKC361" s="605"/>
      <c r="KKD361" s="321"/>
      <c r="KKE361" s="251"/>
      <c r="KKF361" s="606"/>
      <c r="KKG361" s="253"/>
      <c r="KKI361" s="113"/>
      <c r="KKJ361" s="607"/>
      <c r="KKK361" s="249"/>
      <c r="KKL361" s="605"/>
      <c r="KKM361" s="321"/>
      <c r="KKN361" s="251"/>
      <c r="KKO361" s="606"/>
      <c r="KKP361" s="253"/>
      <c r="KKR361" s="113"/>
      <c r="KKS361" s="607"/>
      <c r="KKT361" s="249"/>
      <c r="KKU361" s="605"/>
      <c r="KKV361" s="321"/>
      <c r="KKW361" s="251"/>
      <c r="KKX361" s="606"/>
      <c r="KKY361" s="253"/>
      <c r="KLA361" s="113"/>
      <c r="KLB361" s="607"/>
      <c r="KLC361" s="249"/>
      <c r="KLD361" s="605"/>
      <c r="KLE361" s="321"/>
      <c r="KLF361" s="251"/>
      <c r="KLG361" s="606"/>
      <c r="KLH361" s="253"/>
      <c r="KLJ361" s="113"/>
      <c r="KLK361" s="607"/>
      <c r="KLL361" s="249"/>
      <c r="KLM361" s="605"/>
      <c r="KLN361" s="321"/>
      <c r="KLO361" s="251"/>
      <c r="KLP361" s="606"/>
      <c r="KLQ361" s="253"/>
      <c r="KLS361" s="113"/>
      <c r="KLT361" s="607"/>
      <c r="KLU361" s="249"/>
      <c r="KLV361" s="605"/>
      <c r="KLW361" s="321"/>
      <c r="KLX361" s="251"/>
      <c r="KLY361" s="606"/>
      <c r="KLZ361" s="253"/>
      <c r="KMB361" s="113"/>
      <c r="KMC361" s="607"/>
      <c r="KMD361" s="249"/>
      <c r="KME361" s="605"/>
      <c r="KMF361" s="321"/>
      <c r="KMG361" s="251"/>
      <c r="KMH361" s="606"/>
      <c r="KMI361" s="253"/>
      <c r="KMK361" s="113"/>
      <c r="KML361" s="607"/>
      <c r="KMM361" s="249"/>
      <c r="KMN361" s="605"/>
      <c r="KMO361" s="321"/>
      <c r="KMP361" s="251"/>
      <c r="KMQ361" s="606"/>
      <c r="KMR361" s="253"/>
      <c r="KMT361" s="113"/>
      <c r="KMU361" s="607"/>
      <c r="KMV361" s="249"/>
      <c r="KMW361" s="605"/>
      <c r="KMX361" s="321"/>
      <c r="KMY361" s="251"/>
      <c r="KMZ361" s="606"/>
      <c r="KNA361" s="253"/>
      <c r="KNC361" s="113"/>
      <c r="KND361" s="607"/>
      <c r="KNE361" s="249"/>
      <c r="KNF361" s="605"/>
      <c r="KNG361" s="321"/>
      <c r="KNH361" s="251"/>
      <c r="KNI361" s="606"/>
      <c r="KNJ361" s="253"/>
      <c r="KNL361" s="113"/>
      <c r="KNM361" s="607"/>
      <c r="KNN361" s="249"/>
      <c r="KNO361" s="605"/>
      <c r="KNP361" s="321"/>
      <c r="KNQ361" s="251"/>
      <c r="KNR361" s="606"/>
      <c r="KNS361" s="253"/>
      <c r="KNU361" s="113"/>
      <c r="KNV361" s="607"/>
      <c r="KNW361" s="249"/>
      <c r="KNX361" s="605"/>
      <c r="KNY361" s="321"/>
      <c r="KNZ361" s="251"/>
      <c r="KOA361" s="606"/>
      <c r="KOB361" s="253"/>
      <c r="KOD361" s="113"/>
      <c r="KOE361" s="607"/>
      <c r="KOF361" s="249"/>
      <c r="KOG361" s="605"/>
      <c r="KOH361" s="321"/>
      <c r="KOI361" s="251"/>
      <c r="KOJ361" s="606"/>
      <c r="KOK361" s="253"/>
      <c r="KOM361" s="113"/>
      <c r="KON361" s="607"/>
      <c r="KOO361" s="249"/>
      <c r="KOP361" s="605"/>
      <c r="KOQ361" s="321"/>
      <c r="KOR361" s="251"/>
      <c r="KOS361" s="606"/>
      <c r="KOT361" s="253"/>
      <c r="KOV361" s="113"/>
      <c r="KOW361" s="607"/>
      <c r="KOX361" s="249"/>
      <c r="KOY361" s="605"/>
      <c r="KOZ361" s="321"/>
      <c r="KPA361" s="251"/>
      <c r="KPB361" s="606"/>
      <c r="KPC361" s="253"/>
      <c r="KPE361" s="113"/>
      <c r="KPF361" s="607"/>
      <c r="KPG361" s="249"/>
      <c r="KPH361" s="605"/>
      <c r="KPI361" s="321"/>
      <c r="KPJ361" s="251"/>
      <c r="KPK361" s="606"/>
      <c r="KPL361" s="253"/>
      <c r="KPN361" s="113"/>
      <c r="KPO361" s="607"/>
      <c r="KPP361" s="249"/>
      <c r="KPQ361" s="605"/>
      <c r="KPR361" s="321"/>
      <c r="KPS361" s="251"/>
      <c r="KPT361" s="606"/>
      <c r="KPU361" s="253"/>
      <c r="KPW361" s="113"/>
      <c r="KPX361" s="607"/>
      <c r="KPY361" s="249"/>
      <c r="KPZ361" s="605"/>
      <c r="KQA361" s="321"/>
      <c r="KQB361" s="251"/>
      <c r="KQC361" s="606"/>
      <c r="KQD361" s="253"/>
      <c r="KQF361" s="113"/>
      <c r="KQG361" s="607"/>
      <c r="KQH361" s="249"/>
      <c r="KQI361" s="605"/>
      <c r="KQJ361" s="321"/>
      <c r="KQK361" s="251"/>
      <c r="KQL361" s="606"/>
      <c r="KQM361" s="253"/>
      <c r="KQO361" s="113"/>
      <c r="KQP361" s="607"/>
      <c r="KQQ361" s="249"/>
      <c r="KQR361" s="605"/>
      <c r="KQS361" s="321"/>
      <c r="KQT361" s="251"/>
      <c r="KQU361" s="606"/>
      <c r="KQV361" s="253"/>
      <c r="KQX361" s="113"/>
      <c r="KQY361" s="607"/>
      <c r="KQZ361" s="249"/>
      <c r="KRA361" s="605"/>
      <c r="KRB361" s="321"/>
      <c r="KRC361" s="251"/>
      <c r="KRD361" s="606"/>
      <c r="KRE361" s="253"/>
      <c r="KRG361" s="113"/>
      <c r="KRH361" s="607"/>
      <c r="KRI361" s="249"/>
      <c r="KRJ361" s="605"/>
      <c r="KRK361" s="321"/>
      <c r="KRL361" s="251"/>
      <c r="KRM361" s="606"/>
      <c r="KRN361" s="253"/>
      <c r="KRP361" s="113"/>
      <c r="KRQ361" s="607"/>
      <c r="KRR361" s="249"/>
      <c r="KRS361" s="605"/>
      <c r="KRT361" s="321"/>
      <c r="KRU361" s="251"/>
      <c r="KRV361" s="606"/>
      <c r="KRW361" s="253"/>
      <c r="KRY361" s="113"/>
      <c r="KRZ361" s="607"/>
      <c r="KSA361" s="249"/>
      <c r="KSB361" s="605"/>
      <c r="KSC361" s="321"/>
      <c r="KSD361" s="251"/>
      <c r="KSE361" s="606"/>
      <c r="KSF361" s="253"/>
      <c r="KSH361" s="113"/>
      <c r="KSI361" s="607"/>
      <c r="KSJ361" s="249"/>
      <c r="KSK361" s="605"/>
      <c r="KSL361" s="321"/>
      <c r="KSM361" s="251"/>
      <c r="KSN361" s="606"/>
      <c r="KSO361" s="253"/>
      <c r="KSQ361" s="113"/>
      <c r="KSR361" s="607"/>
      <c r="KSS361" s="249"/>
      <c r="KST361" s="605"/>
      <c r="KSU361" s="321"/>
      <c r="KSV361" s="251"/>
      <c r="KSW361" s="606"/>
      <c r="KSX361" s="253"/>
      <c r="KSZ361" s="113"/>
      <c r="KTA361" s="607"/>
      <c r="KTB361" s="249"/>
      <c r="KTC361" s="605"/>
      <c r="KTD361" s="321"/>
      <c r="KTE361" s="251"/>
      <c r="KTF361" s="606"/>
      <c r="KTG361" s="253"/>
      <c r="KTI361" s="113"/>
      <c r="KTJ361" s="607"/>
      <c r="KTK361" s="249"/>
      <c r="KTL361" s="605"/>
      <c r="KTM361" s="321"/>
      <c r="KTN361" s="251"/>
      <c r="KTO361" s="606"/>
      <c r="KTP361" s="253"/>
      <c r="KTR361" s="113"/>
      <c r="KTS361" s="607"/>
      <c r="KTT361" s="249"/>
      <c r="KTU361" s="605"/>
      <c r="KTV361" s="321"/>
      <c r="KTW361" s="251"/>
      <c r="KTX361" s="606"/>
      <c r="KTY361" s="253"/>
      <c r="KUA361" s="113"/>
      <c r="KUB361" s="607"/>
      <c r="KUC361" s="249"/>
      <c r="KUD361" s="605"/>
      <c r="KUE361" s="321"/>
      <c r="KUF361" s="251"/>
      <c r="KUG361" s="606"/>
      <c r="KUH361" s="253"/>
      <c r="KUJ361" s="113"/>
      <c r="KUK361" s="607"/>
      <c r="KUL361" s="249"/>
      <c r="KUM361" s="605"/>
      <c r="KUN361" s="321"/>
      <c r="KUO361" s="251"/>
      <c r="KUP361" s="606"/>
      <c r="KUQ361" s="253"/>
      <c r="KUS361" s="113"/>
      <c r="KUT361" s="607"/>
      <c r="KUU361" s="249"/>
      <c r="KUV361" s="605"/>
      <c r="KUW361" s="321"/>
      <c r="KUX361" s="251"/>
      <c r="KUY361" s="606"/>
      <c r="KUZ361" s="253"/>
      <c r="KVB361" s="113"/>
      <c r="KVC361" s="607"/>
      <c r="KVD361" s="249"/>
      <c r="KVE361" s="605"/>
      <c r="KVF361" s="321"/>
      <c r="KVG361" s="251"/>
      <c r="KVH361" s="606"/>
      <c r="KVI361" s="253"/>
      <c r="KVK361" s="113"/>
      <c r="KVL361" s="607"/>
      <c r="KVM361" s="249"/>
      <c r="KVN361" s="605"/>
      <c r="KVO361" s="321"/>
      <c r="KVP361" s="251"/>
      <c r="KVQ361" s="606"/>
      <c r="KVR361" s="253"/>
      <c r="KVT361" s="113"/>
      <c r="KVU361" s="607"/>
      <c r="KVV361" s="249"/>
      <c r="KVW361" s="605"/>
      <c r="KVX361" s="321"/>
      <c r="KVY361" s="251"/>
      <c r="KVZ361" s="606"/>
      <c r="KWA361" s="253"/>
      <c r="KWC361" s="113"/>
      <c r="KWD361" s="607"/>
      <c r="KWE361" s="249"/>
      <c r="KWF361" s="605"/>
      <c r="KWG361" s="321"/>
      <c r="KWH361" s="251"/>
      <c r="KWI361" s="606"/>
      <c r="KWJ361" s="253"/>
      <c r="KWL361" s="113"/>
      <c r="KWM361" s="607"/>
      <c r="KWN361" s="249"/>
      <c r="KWO361" s="605"/>
      <c r="KWP361" s="321"/>
      <c r="KWQ361" s="251"/>
      <c r="KWR361" s="606"/>
      <c r="KWS361" s="253"/>
      <c r="KWU361" s="113"/>
      <c r="KWV361" s="607"/>
      <c r="KWW361" s="249"/>
      <c r="KWX361" s="605"/>
      <c r="KWY361" s="321"/>
      <c r="KWZ361" s="251"/>
      <c r="KXA361" s="606"/>
      <c r="KXB361" s="253"/>
      <c r="KXD361" s="113"/>
      <c r="KXE361" s="607"/>
      <c r="KXF361" s="249"/>
      <c r="KXG361" s="605"/>
      <c r="KXH361" s="321"/>
      <c r="KXI361" s="251"/>
      <c r="KXJ361" s="606"/>
      <c r="KXK361" s="253"/>
      <c r="KXM361" s="113"/>
      <c r="KXN361" s="607"/>
      <c r="KXO361" s="249"/>
      <c r="KXP361" s="605"/>
      <c r="KXQ361" s="321"/>
      <c r="KXR361" s="251"/>
      <c r="KXS361" s="606"/>
      <c r="KXT361" s="253"/>
      <c r="KXV361" s="113"/>
      <c r="KXW361" s="607"/>
      <c r="KXX361" s="249"/>
      <c r="KXY361" s="605"/>
      <c r="KXZ361" s="321"/>
      <c r="KYA361" s="251"/>
      <c r="KYB361" s="606"/>
      <c r="KYC361" s="253"/>
      <c r="KYE361" s="113"/>
      <c r="KYF361" s="607"/>
      <c r="KYG361" s="249"/>
      <c r="KYH361" s="605"/>
      <c r="KYI361" s="321"/>
      <c r="KYJ361" s="251"/>
      <c r="KYK361" s="606"/>
      <c r="KYL361" s="253"/>
      <c r="KYN361" s="113"/>
      <c r="KYO361" s="607"/>
      <c r="KYP361" s="249"/>
      <c r="KYQ361" s="605"/>
      <c r="KYR361" s="321"/>
      <c r="KYS361" s="251"/>
      <c r="KYT361" s="606"/>
      <c r="KYU361" s="253"/>
      <c r="KYW361" s="113"/>
      <c r="KYX361" s="607"/>
      <c r="KYY361" s="249"/>
      <c r="KYZ361" s="605"/>
      <c r="KZA361" s="321"/>
      <c r="KZB361" s="251"/>
      <c r="KZC361" s="606"/>
      <c r="KZD361" s="253"/>
      <c r="KZF361" s="113"/>
      <c r="KZG361" s="607"/>
      <c r="KZH361" s="249"/>
      <c r="KZI361" s="605"/>
      <c r="KZJ361" s="321"/>
      <c r="KZK361" s="251"/>
      <c r="KZL361" s="606"/>
      <c r="KZM361" s="253"/>
      <c r="KZO361" s="113"/>
      <c r="KZP361" s="607"/>
      <c r="KZQ361" s="249"/>
      <c r="KZR361" s="605"/>
      <c r="KZS361" s="321"/>
      <c r="KZT361" s="251"/>
      <c r="KZU361" s="606"/>
      <c r="KZV361" s="253"/>
      <c r="KZX361" s="113"/>
      <c r="KZY361" s="607"/>
      <c r="KZZ361" s="249"/>
      <c r="LAA361" s="605"/>
      <c r="LAB361" s="321"/>
      <c r="LAC361" s="251"/>
      <c r="LAD361" s="606"/>
      <c r="LAE361" s="253"/>
      <c r="LAG361" s="113"/>
      <c r="LAH361" s="607"/>
      <c r="LAI361" s="249"/>
      <c r="LAJ361" s="605"/>
      <c r="LAK361" s="321"/>
      <c r="LAL361" s="251"/>
      <c r="LAM361" s="606"/>
      <c r="LAN361" s="253"/>
      <c r="LAP361" s="113"/>
      <c r="LAQ361" s="607"/>
      <c r="LAR361" s="249"/>
      <c r="LAS361" s="605"/>
      <c r="LAT361" s="321"/>
      <c r="LAU361" s="251"/>
      <c r="LAV361" s="606"/>
      <c r="LAW361" s="253"/>
      <c r="LAY361" s="113"/>
      <c r="LAZ361" s="607"/>
      <c r="LBA361" s="249"/>
      <c r="LBB361" s="605"/>
      <c r="LBC361" s="321"/>
      <c r="LBD361" s="251"/>
      <c r="LBE361" s="606"/>
      <c r="LBF361" s="253"/>
      <c r="LBH361" s="113"/>
      <c r="LBI361" s="607"/>
      <c r="LBJ361" s="249"/>
      <c r="LBK361" s="605"/>
      <c r="LBL361" s="321"/>
      <c r="LBM361" s="251"/>
      <c r="LBN361" s="606"/>
      <c r="LBO361" s="253"/>
      <c r="LBQ361" s="113"/>
      <c r="LBR361" s="607"/>
      <c r="LBS361" s="249"/>
      <c r="LBT361" s="605"/>
      <c r="LBU361" s="321"/>
      <c r="LBV361" s="251"/>
      <c r="LBW361" s="606"/>
      <c r="LBX361" s="253"/>
      <c r="LBZ361" s="113"/>
      <c r="LCA361" s="607"/>
      <c r="LCB361" s="249"/>
      <c r="LCC361" s="605"/>
      <c r="LCD361" s="321"/>
      <c r="LCE361" s="251"/>
      <c r="LCF361" s="606"/>
      <c r="LCG361" s="253"/>
      <c r="LCI361" s="113"/>
      <c r="LCJ361" s="607"/>
      <c r="LCK361" s="249"/>
      <c r="LCL361" s="605"/>
      <c r="LCM361" s="321"/>
      <c r="LCN361" s="251"/>
      <c r="LCO361" s="606"/>
      <c r="LCP361" s="253"/>
      <c r="LCR361" s="113"/>
      <c r="LCS361" s="607"/>
      <c r="LCT361" s="249"/>
      <c r="LCU361" s="605"/>
      <c r="LCV361" s="321"/>
      <c r="LCW361" s="251"/>
      <c r="LCX361" s="606"/>
      <c r="LCY361" s="253"/>
      <c r="LDA361" s="113"/>
      <c r="LDB361" s="607"/>
      <c r="LDC361" s="249"/>
      <c r="LDD361" s="605"/>
      <c r="LDE361" s="321"/>
      <c r="LDF361" s="251"/>
      <c r="LDG361" s="606"/>
      <c r="LDH361" s="253"/>
      <c r="LDJ361" s="113"/>
      <c r="LDK361" s="607"/>
      <c r="LDL361" s="249"/>
      <c r="LDM361" s="605"/>
      <c r="LDN361" s="321"/>
      <c r="LDO361" s="251"/>
      <c r="LDP361" s="606"/>
      <c r="LDQ361" s="253"/>
      <c r="LDS361" s="113"/>
      <c r="LDT361" s="607"/>
      <c r="LDU361" s="249"/>
      <c r="LDV361" s="605"/>
      <c r="LDW361" s="321"/>
      <c r="LDX361" s="251"/>
      <c r="LDY361" s="606"/>
      <c r="LDZ361" s="253"/>
      <c r="LEB361" s="113"/>
      <c r="LEC361" s="607"/>
      <c r="LED361" s="249"/>
      <c r="LEE361" s="605"/>
      <c r="LEF361" s="321"/>
      <c r="LEG361" s="251"/>
      <c r="LEH361" s="606"/>
      <c r="LEI361" s="253"/>
      <c r="LEK361" s="113"/>
      <c r="LEL361" s="607"/>
      <c r="LEM361" s="249"/>
      <c r="LEN361" s="605"/>
      <c r="LEO361" s="321"/>
      <c r="LEP361" s="251"/>
      <c r="LEQ361" s="606"/>
      <c r="LER361" s="253"/>
      <c r="LET361" s="113"/>
      <c r="LEU361" s="607"/>
      <c r="LEV361" s="249"/>
      <c r="LEW361" s="605"/>
      <c r="LEX361" s="321"/>
      <c r="LEY361" s="251"/>
      <c r="LEZ361" s="606"/>
      <c r="LFA361" s="253"/>
      <c r="LFC361" s="113"/>
      <c r="LFD361" s="607"/>
      <c r="LFE361" s="249"/>
      <c r="LFF361" s="605"/>
      <c r="LFG361" s="321"/>
      <c r="LFH361" s="251"/>
      <c r="LFI361" s="606"/>
      <c r="LFJ361" s="253"/>
      <c r="LFL361" s="113"/>
      <c r="LFM361" s="607"/>
      <c r="LFN361" s="249"/>
      <c r="LFO361" s="605"/>
      <c r="LFP361" s="321"/>
      <c r="LFQ361" s="251"/>
      <c r="LFR361" s="606"/>
      <c r="LFS361" s="253"/>
      <c r="LFU361" s="113"/>
      <c r="LFV361" s="607"/>
      <c r="LFW361" s="249"/>
      <c r="LFX361" s="605"/>
      <c r="LFY361" s="321"/>
      <c r="LFZ361" s="251"/>
      <c r="LGA361" s="606"/>
      <c r="LGB361" s="253"/>
      <c r="LGD361" s="113"/>
      <c r="LGE361" s="607"/>
      <c r="LGF361" s="249"/>
      <c r="LGG361" s="605"/>
      <c r="LGH361" s="321"/>
      <c r="LGI361" s="251"/>
      <c r="LGJ361" s="606"/>
      <c r="LGK361" s="253"/>
      <c r="LGM361" s="113"/>
      <c r="LGN361" s="607"/>
      <c r="LGO361" s="249"/>
      <c r="LGP361" s="605"/>
      <c r="LGQ361" s="321"/>
      <c r="LGR361" s="251"/>
      <c r="LGS361" s="606"/>
      <c r="LGT361" s="253"/>
      <c r="LGV361" s="113"/>
      <c r="LGW361" s="607"/>
      <c r="LGX361" s="249"/>
      <c r="LGY361" s="605"/>
      <c r="LGZ361" s="321"/>
      <c r="LHA361" s="251"/>
      <c r="LHB361" s="606"/>
      <c r="LHC361" s="253"/>
      <c r="LHE361" s="113"/>
      <c r="LHF361" s="607"/>
      <c r="LHG361" s="249"/>
      <c r="LHH361" s="605"/>
      <c r="LHI361" s="321"/>
      <c r="LHJ361" s="251"/>
      <c r="LHK361" s="606"/>
      <c r="LHL361" s="253"/>
      <c r="LHN361" s="113"/>
      <c r="LHO361" s="607"/>
      <c r="LHP361" s="249"/>
      <c r="LHQ361" s="605"/>
      <c r="LHR361" s="321"/>
      <c r="LHS361" s="251"/>
      <c r="LHT361" s="606"/>
      <c r="LHU361" s="253"/>
      <c r="LHW361" s="113"/>
      <c r="LHX361" s="607"/>
      <c r="LHY361" s="249"/>
      <c r="LHZ361" s="605"/>
      <c r="LIA361" s="321"/>
      <c r="LIB361" s="251"/>
      <c r="LIC361" s="606"/>
      <c r="LID361" s="253"/>
      <c r="LIF361" s="113"/>
      <c r="LIG361" s="607"/>
      <c r="LIH361" s="249"/>
      <c r="LII361" s="605"/>
      <c r="LIJ361" s="321"/>
      <c r="LIK361" s="251"/>
      <c r="LIL361" s="606"/>
      <c r="LIM361" s="253"/>
      <c r="LIO361" s="113"/>
      <c r="LIP361" s="607"/>
      <c r="LIQ361" s="249"/>
      <c r="LIR361" s="605"/>
      <c r="LIS361" s="321"/>
      <c r="LIT361" s="251"/>
      <c r="LIU361" s="606"/>
      <c r="LIV361" s="253"/>
      <c r="LIX361" s="113"/>
      <c r="LIY361" s="607"/>
      <c r="LIZ361" s="249"/>
      <c r="LJA361" s="605"/>
      <c r="LJB361" s="321"/>
      <c r="LJC361" s="251"/>
      <c r="LJD361" s="606"/>
      <c r="LJE361" s="253"/>
      <c r="LJG361" s="113"/>
      <c r="LJH361" s="607"/>
      <c r="LJI361" s="249"/>
      <c r="LJJ361" s="605"/>
      <c r="LJK361" s="321"/>
      <c r="LJL361" s="251"/>
      <c r="LJM361" s="606"/>
      <c r="LJN361" s="253"/>
      <c r="LJP361" s="113"/>
      <c r="LJQ361" s="607"/>
      <c r="LJR361" s="249"/>
      <c r="LJS361" s="605"/>
      <c r="LJT361" s="321"/>
      <c r="LJU361" s="251"/>
      <c r="LJV361" s="606"/>
      <c r="LJW361" s="253"/>
      <c r="LJY361" s="113"/>
      <c r="LJZ361" s="607"/>
      <c r="LKA361" s="249"/>
      <c r="LKB361" s="605"/>
      <c r="LKC361" s="321"/>
      <c r="LKD361" s="251"/>
      <c r="LKE361" s="606"/>
      <c r="LKF361" s="253"/>
      <c r="LKH361" s="113"/>
      <c r="LKI361" s="607"/>
      <c r="LKJ361" s="249"/>
      <c r="LKK361" s="605"/>
      <c r="LKL361" s="321"/>
      <c r="LKM361" s="251"/>
      <c r="LKN361" s="606"/>
      <c r="LKO361" s="253"/>
      <c r="LKQ361" s="113"/>
      <c r="LKR361" s="607"/>
      <c r="LKS361" s="249"/>
      <c r="LKT361" s="605"/>
      <c r="LKU361" s="321"/>
      <c r="LKV361" s="251"/>
      <c r="LKW361" s="606"/>
      <c r="LKX361" s="253"/>
      <c r="LKZ361" s="113"/>
      <c r="LLA361" s="607"/>
      <c r="LLB361" s="249"/>
      <c r="LLC361" s="605"/>
      <c r="LLD361" s="321"/>
      <c r="LLE361" s="251"/>
      <c r="LLF361" s="606"/>
      <c r="LLG361" s="253"/>
      <c r="LLI361" s="113"/>
      <c r="LLJ361" s="607"/>
      <c r="LLK361" s="249"/>
      <c r="LLL361" s="605"/>
      <c r="LLM361" s="321"/>
      <c r="LLN361" s="251"/>
      <c r="LLO361" s="606"/>
      <c r="LLP361" s="253"/>
      <c r="LLR361" s="113"/>
      <c r="LLS361" s="607"/>
      <c r="LLT361" s="249"/>
      <c r="LLU361" s="605"/>
      <c r="LLV361" s="321"/>
      <c r="LLW361" s="251"/>
      <c r="LLX361" s="606"/>
      <c r="LLY361" s="253"/>
      <c r="LMA361" s="113"/>
      <c r="LMB361" s="607"/>
      <c r="LMC361" s="249"/>
      <c r="LMD361" s="605"/>
      <c r="LME361" s="321"/>
      <c r="LMF361" s="251"/>
      <c r="LMG361" s="606"/>
      <c r="LMH361" s="253"/>
      <c r="LMJ361" s="113"/>
      <c r="LMK361" s="607"/>
      <c r="LML361" s="249"/>
      <c r="LMM361" s="605"/>
      <c r="LMN361" s="321"/>
      <c r="LMO361" s="251"/>
      <c r="LMP361" s="606"/>
      <c r="LMQ361" s="253"/>
      <c r="LMS361" s="113"/>
      <c r="LMT361" s="607"/>
      <c r="LMU361" s="249"/>
      <c r="LMV361" s="605"/>
      <c r="LMW361" s="321"/>
      <c r="LMX361" s="251"/>
      <c r="LMY361" s="606"/>
      <c r="LMZ361" s="253"/>
      <c r="LNB361" s="113"/>
      <c r="LNC361" s="607"/>
      <c r="LND361" s="249"/>
      <c r="LNE361" s="605"/>
      <c r="LNF361" s="321"/>
      <c r="LNG361" s="251"/>
      <c r="LNH361" s="606"/>
      <c r="LNI361" s="253"/>
      <c r="LNK361" s="113"/>
      <c r="LNL361" s="607"/>
      <c r="LNM361" s="249"/>
      <c r="LNN361" s="605"/>
      <c r="LNO361" s="321"/>
      <c r="LNP361" s="251"/>
      <c r="LNQ361" s="606"/>
      <c r="LNR361" s="253"/>
      <c r="LNT361" s="113"/>
      <c r="LNU361" s="607"/>
      <c r="LNV361" s="249"/>
      <c r="LNW361" s="605"/>
      <c r="LNX361" s="321"/>
      <c r="LNY361" s="251"/>
      <c r="LNZ361" s="606"/>
      <c r="LOA361" s="253"/>
      <c r="LOC361" s="113"/>
      <c r="LOD361" s="607"/>
      <c r="LOE361" s="249"/>
      <c r="LOF361" s="605"/>
      <c r="LOG361" s="321"/>
      <c r="LOH361" s="251"/>
      <c r="LOI361" s="606"/>
      <c r="LOJ361" s="253"/>
      <c r="LOL361" s="113"/>
      <c r="LOM361" s="607"/>
      <c r="LON361" s="249"/>
      <c r="LOO361" s="605"/>
      <c r="LOP361" s="321"/>
      <c r="LOQ361" s="251"/>
      <c r="LOR361" s="606"/>
      <c r="LOS361" s="253"/>
      <c r="LOU361" s="113"/>
      <c r="LOV361" s="607"/>
      <c r="LOW361" s="249"/>
      <c r="LOX361" s="605"/>
      <c r="LOY361" s="321"/>
      <c r="LOZ361" s="251"/>
      <c r="LPA361" s="606"/>
      <c r="LPB361" s="253"/>
      <c r="LPD361" s="113"/>
      <c r="LPE361" s="607"/>
      <c r="LPF361" s="249"/>
      <c r="LPG361" s="605"/>
      <c r="LPH361" s="321"/>
      <c r="LPI361" s="251"/>
      <c r="LPJ361" s="606"/>
      <c r="LPK361" s="253"/>
      <c r="LPM361" s="113"/>
      <c r="LPN361" s="607"/>
      <c r="LPO361" s="249"/>
      <c r="LPP361" s="605"/>
      <c r="LPQ361" s="321"/>
      <c r="LPR361" s="251"/>
      <c r="LPS361" s="606"/>
      <c r="LPT361" s="253"/>
      <c r="LPV361" s="113"/>
      <c r="LPW361" s="607"/>
      <c r="LPX361" s="249"/>
      <c r="LPY361" s="605"/>
      <c r="LPZ361" s="321"/>
      <c r="LQA361" s="251"/>
      <c r="LQB361" s="606"/>
      <c r="LQC361" s="253"/>
      <c r="LQE361" s="113"/>
      <c r="LQF361" s="607"/>
      <c r="LQG361" s="249"/>
      <c r="LQH361" s="605"/>
      <c r="LQI361" s="321"/>
      <c r="LQJ361" s="251"/>
      <c r="LQK361" s="606"/>
      <c r="LQL361" s="253"/>
      <c r="LQN361" s="113"/>
      <c r="LQO361" s="607"/>
      <c r="LQP361" s="249"/>
      <c r="LQQ361" s="605"/>
      <c r="LQR361" s="321"/>
      <c r="LQS361" s="251"/>
      <c r="LQT361" s="606"/>
      <c r="LQU361" s="253"/>
      <c r="LQW361" s="113"/>
      <c r="LQX361" s="607"/>
      <c r="LQY361" s="249"/>
      <c r="LQZ361" s="605"/>
      <c r="LRA361" s="321"/>
      <c r="LRB361" s="251"/>
      <c r="LRC361" s="606"/>
      <c r="LRD361" s="253"/>
      <c r="LRF361" s="113"/>
      <c r="LRG361" s="607"/>
      <c r="LRH361" s="249"/>
      <c r="LRI361" s="605"/>
      <c r="LRJ361" s="321"/>
      <c r="LRK361" s="251"/>
      <c r="LRL361" s="606"/>
      <c r="LRM361" s="253"/>
      <c r="LRO361" s="113"/>
      <c r="LRP361" s="607"/>
      <c r="LRQ361" s="249"/>
      <c r="LRR361" s="605"/>
      <c r="LRS361" s="321"/>
      <c r="LRT361" s="251"/>
      <c r="LRU361" s="606"/>
      <c r="LRV361" s="253"/>
      <c r="LRX361" s="113"/>
      <c r="LRY361" s="607"/>
      <c r="LRZ361" s="249"/>
      <c r="LSA361" s="605"/>
      <c r="LSB361" s="321"/>
      <c r="LSC361" s="251"/>
      <c r="LSD361" s="606"/>
      <c r="LSE361" s="253"/>
      <c r="LSG361" s="113"/>
      <c r="LSH361" s="607"/>
      <c r="LSI361" s="249"/>
      <c r="LSJ361" s="605"/>
      <c r="LSK361" s="321"/>
      <c r="LSL361" s="251"/>
      <c r="LSM361" s="606"/>
      <c r="LSN361" s="253"/>
      <c r="LSP361" s="113"/>
      <c r="LSQ361" s="607"/>
      <c r="LSR361" s="249"/>
      <c r="LSS361" s="605"/>
      <c r="LST361" s="321"/>
      <c r="LSU361" s="251"/>
      <c r="LSV361" s="606"/>
      <c r="LSW361" s="253"/>
      <c r="LSY361" s="113"/>
      <c r="LSZ361" s="607"/>
      <c r="LTA361" s="249"/>
      <c r="LTB361" s="605"/>
      <c r="LTC361" s="321"/>
      <c r="LTD361" s="251"/>
      <c r="LTE361" s="606"/>
      <c r="LTF361" s="253"/>
      <c r="LTH361" s="113"/>
      <c r="LTI361" s="607"/>
      <c r="LTJ361" s="249"/>
      <c r="LTK361" s="605"/>
      <c r="LTL361" s="321"/>
      <c r="LTM361" s="251"/>
      <c r="LTN361" s="606"/>
      <c r="LTO361" s="253"/>
      <c r="LTQ361" s="113"/>
      <c r="LTR361" s="607"/>
      <c r="LTS361" s="249"/>
      <c r="LTT361" s="605"/>
      <c r="LTU361" s="321"/>
      <c r="LTV361" s="251"/>
      <c r="LTW361" s="606"/>
      <c r="LTX361" s="253"/>
      <c r="LTZ361" s="113"/>
      <c r="LUA361" s="607"/>
      <c r="LUB361" s="249"/>
      <c r="LUC361" s="605"/>
      <c r="LUD361" s="321"/>
      <c r="LUE361" s="251"/>
      <c r="LUF361" s="606"/>
      <c r="LUG361" s="253"/>
      <c r="LUI361" s="113"/>
      <c r="LUJ361" s="607"/>
      <c r="LUK361" s="249"/>
      <c r="LUL361" s="605"/>
      <c r="LUM361" s="321"/>
      <c r="LUN361" s="251"/>
      <c r="LUO361" s="606"/>
      <c r="LUP361" s="253"/>
      <c r="LUR361" s="113"/>
      <c r="LUS361" s="607"/>
      <c r="LUT361" s="249"/>
      <c r="LUU361" s="605"/>
      <c r="LUV361" s="321"/>
      <c r="LUW361" s="251"/>
      <c r="LUX361" s="606"/>
      <c r="LUY361" s="253"/>
      <c r="LVA361" s="113"/>
      <c r="LVB361" s="607"/>
      <c r="LVC361" s="249"/>
      <c r="LVD361" s="605"/>
      <c r="LVE361" s="321"/>
      <c r="LVF361" s="251"/>
      <c r="LVG361" s="606"/>
      <c r="LVH361" s="253"/>
      <c r="LVJ361" s="113"/>
      <c r="LVK361" s="607"/>
      <c r="LVL361" s="249"/>
      <c r="LVM361" s="605"/>
      <c r="LVN361" s="321"/>
      <c r="LVO361" s="251"/>
      <c r="LVP361" s="606"/>
      <c r="LVQ361" s="253"/>
      <c r="LVS361" s="113"/>
      <c r="LVT361" s="607"/>
      <c r="LVU361" s="249"/>
      <c r="LVV361" s="605"/>
      <c r="LVW361" s="321"/>
      <c r="LVX361" s="251"/>
      <c r="LVY361" s="606"/>
      <c r="LVZ361" s="253"/>
      <c r="LWB361" s="113"/>
      <c r="LWC361" s="607"/>
      <c r="LWD361" s="249"/>
      <c r="LWE361" s="605"/>
      <c r="LWF361" s="321"/>
      <c r="LWG361" s="251"/>
      <c r="LWH361" s="606"/>
      <c r="LWI361" s="253"/>
      <c r="LWK361" s="113"/>
      <c r="LWL361" s="607"/>
      <c r="LWM361" s="249"/>
      <c r="LWN361" s="605"/>
      <c r="LWO361" s="321"/>
      <c r="LWP361" s="251"/>
      <c r="LWQ361" s="606"/>
      <c r="LWR361" s="253"/>
      <c r="LWT361" s="113"/>
      <c r="LWU361" s="607"/>
      <c r="LWV361" s="249"/>
      <c r="LWW361" s="605"/>
      <c r="LWX361" s="321"/>
      <c r="LWY361" s="251"/>
      <c r="LWZ361" s="606"/>
      <c r="LXA361" s="253"/>
      <c r="LXC361" s="113"/>
      <c r="LXD361" s="607"/>
      <c r="LXE361" s="249"/>
      <c r="LXF361" s="605"/>
      <c r="LXG361" s="321"/>
      <c r="LXH361" s="251"/>
      <c r="LXI361" s="606"/>
      <c r="LXJ361" s="253"/>
      <c r="LXL361" s="113"/>
      <c r="LXM361" s="607"/>
      <c r="LXN361" s="249"/>
      <c r="LXO361" s="605"/>
      <c r="LXP361" s="321"/>
      <c r="LXQ361" s="251"/>
      <c r="LXR361" s="606"/>
      <c r="LXS361" s="253"/>
      <c r="LXU361" s="113"/>
      <c r="LXV361" s="607"/>
      <c r="LXW361" s="249"/>
      <c r="LXX361" s="605"/>
      <c r="LXY361" s="321"/>
      <c r="LXZ361" s="251"/>
      <c r="LYA361" s="606"/>
      <c r="LYB361" s="253"/>
      <c r="LYD361" s="113"/>
      <c r="LYE361" s="607"/>
      <c r="LYF361" s="249"/>
      <c r="LYG361" s="605"/>
      <c r="LYH361" s="321"/>
      <c r="LYI361" s="251"/>
      <c r="LYJ361" s="606"/>
      <c r="LYK361" s="253"/>
      <c r="LYM361" s="113"/>
      <c r="LYN361" s="607"/>
      <c r="LYO361" s="249"/>
      <c r="LYP361" s="605"/>
      <c r="LYQ361" s="321"/>
      <c r="LYR361" s="251"/>
      <c r="LYS361" s="606"/>
      <c r="LYT361" s="253"/>
      <c r="LYV361" s="113"/>
      <c r="LYW361" s="607"/>
      <c r="LYX361" s="249"/>
      <c r="LYY361" s="605"/>
      <c r="LYZ361" s="321"/>
      <c r="LZA361" s="251"/>
      <c r="LZB361" s="606"/>
      <c r="LZC361" s="253"/>
      <c r="LZE361" s="113"/>
      <c r="LZF361" s="607"/>
      <c r="LZG361" s="249"/>
      <c r="LZH361" s="605"/>
      <c r="LZI361" s="321"/>
      <c r="LZJ361" s="251"/>
      <c r="LZK361" s="606"/>
      <c r="LZL361" s="253"/>
      <c r="LZN361" s="113"/>
      <c r="LZO361" s="607"/>
      <c r="LZP361" s="249"/>
      <c r="LZQ361" s="605"/>
      <c r="LZR361" s="321"/>
      <c r="LZS361" s="251"/>
      <c r="LZT361" s="606"/>
      <c r="LZU361" s="253"/>
      <c r="LZW361" s="113"/>
      <c r="LZX361" s="607"/>
      <c r="LZY361" s="249"/>
      <c r="LZZ361" s="605"/>
      <c r="MAA361" s="321"/>
      <c r="MAB361" s="251"/>
      <c r="MAC361" s="606"/>
      <c r="MAD361" s="253"/>
      <c r="MAF361" s="113"/>
      <c r="MAG361" s="607"/>
      <c r="MAH361" s="249"/>
      <c r="MAI361" s="605"/>
      <c r="MAJ361" s="321"/>
      <c r="MAK361" s="251"/>
      <c r="MAL361" s="606"/>
      <c r="MAM361" s="253"/>
      <c r="MAO361" s="113"/>
      <c r="MAP361" s="607"/>
      <c r="MAQ361" s="249"/>
      <c r="MAR361" s="605"/>
      <c r="MAS361" s="321"/>
      <c r="MAT361" s="251"/>
      <c r="MAU361" s="606"/>
      <c r="MAV361" s="253"/>
      <c r="MAX361" s="113"/>
      <c r="MAY361" s="607"/>
      <c r="MAZ361" s="249"/>
      <c r="MBA361" s="605"/>
      <c r="MBB361" s="321"/>
      <c r="MBC361" s="251"/>
      <c r="MBD361" s="606"/>
      <c r="MBE361" s="253"/>
      <c r="MBG361" s="113"/>
      <c r="MBH361" s="607"/>
      <c r="MBI361" s="249"/>
      <c r="MBJ361" s="605"/>
      <c r="MBK361" s="321"/>
      <c r="MBL361" s="251"/>
      <c r="MBM361" s="606"/>
      <c r="MBN361" s="253"/>
      <c r="MBP361" s="113"/>
      <c r="MBQ361" s="607"/>
      <c r="MBR361" s="249"/>
      <c r="MBS361" s="605"/>
      <c r="MBT361" s="321"/>
      <c r="MBU361" s="251"/>
      <c r="MBV361" s="606"/>
      <c r="MBW361" s="253"/>
      <c r="MBY361" s="113"/>
      <c r="MBZ361" s="607"/>
      <c r="MCA361" s="249"/>
      <c r="MCB361" s="605"/>
      <c r="MCC361" s="321"/>
      <c r="MCD361" s="251"/>
      <c r="MCE361" s="606"/>
      <c r="MCF361" s="253"/>
      <c r="MCH361" s="113"/>
      <c r="MCI361" s="607"/>
      <c r="MCJ361" s="249"/>
      <c r="MCK361" s="605"/>
      <c r="MCL361" s="321"/>
      <c r="MCM361" s="251"/>
      <c r="MCN361" s="606"/>
      <c r="MCO361" s="253"/>
      <c r="MCQ361" s="113"/>
      <c r="MCR361" s="607"/>
      <c r="MCS361" s="249"/>
      <c r="MCT361" s="605"/>
      <c r="MCU361" s="321"/>
      <c r="MCV361" s="251"/>
      <c r="MCW361" s="606"/>
      <c r="MCX361" s="253"/>
      <c r="MCZ361" s="113"/>
      <c r="MDA361" s="607"/>
      <c r="MDB361" s="249"/>
      <c r="MDC361" s="605"/>
      <c r="MDD361" s="321"/>
      <c r="MDE361" s="251"/>
      <c r="MDF361" s="606"/>
      <c r="MDG361" s="253"/>
      <c r="MDI361" s="113"/>
      <c r="MDJ361" s="607"/>
      <c r="MDK361" s="249"/>
      <c r="MDL361" s="605"/>
      <c r="MDM361" s="321"/>
      <c r="MDN361" s="251"/>
      <c r="MDO361" s="606"/>
      <c r="MDP361" s="253"/>
      <c r="MDR361" s="113"/>
      <c r="MDS361" s="607"/>
      <c r="MDT361" s="249"/>
      <c r="MDU361" s="605"/>
      <c r="MDV361" s="321"/>
      <c r="MDW361" s="251"/>
      <c r="MDX361" s="606"/>
      <c r="MDY361" s="253"/>
      <c r="MEA361" s="113"/>
      <c r="MEB361" s="607"/>
      <c r="MEC361" s="249"/>
      <c r="MED361" s="605"/>
      <c r="MEE361" s="321"/>
      <c r="MEF361" s="251"/>
      <c r="MEG361" s="606"/>
      <c r="MEH361" s="253"/>
      <c r="MEJ361" s="113"/>
      <c r="MEK361" s="607"/>
      <c r="MEL361" s="249"/>
      <c r="MEM361" s="605"/>
      <c r="MEN361" s="321"/>
      <c r="MEO361" s="251"/>
      <c r="MEP361" s="606"/>
      <c r="MEQ361" s="253"/>
      <c r="MES361" s="113"/>
      <c r="MET361" s="607"/>
      <c r="MEU361" s="249"/>
      <c r="MEV361" s="605"/>
      <c r="MEW361" s="321"/>
      <c r="MEX361" s="251"/>
      <c r="MEY361" s="606"/>
      <c r="MEZ361" s="253"/>
      <c r="MFB361" s="113"/>
      <c r="MFC361" s="607"/>
      <c r="MFD361" s="249"/>
      <c r="MFE361" s="605"/>
      <c r="MFF361" s="321"/>
      <c r="MFG361" s="251"/>
      <c r="MFH361" s="606"/>
      <c r="MFI361" s="253"/>
      <c r="MFK361" s="113"/>
      <c r="MFL361" s="607"/>
      <c r="MFM361" s="249"/>
      <c r="MFN361" s="605"/>
      <c r="MFO361" s="321"/>
      <c r="MFP361" s="251"/>
      <c r="MFQ361" s="606"/>
      <c r="MFR361" s="253"/>
      <c r="MFT361" s="113"/>
      <c r="MFU361" s="607"/>
      <c r="MFV361" s="249"/>
      <c r="MFW361" s="605"/>
      <c r="MFX361" s="321"/>
      <c r="MFY361" s="251"/>
      <c r="MFZ361" s="606"/>
      <c r="MGA361" s="253"/>
      <c r="MGC361" s="113"/>
      <c r="MGD361" s="607"/>
      <c r="MGE361" s="249"/>
      <c r="MGF361" s="605"/>
      <c r="MGG361" s="321"/>
      <c r="MGH361" s="251"/>
      <c r="MGI361" s="606"/>
      <c r="MGJ361" s="253"/>
      <c r="MGL361" s="113"/>
      <c r="MGM361" s="607"/>
      <c r="MGN361" s="249"/>
      <c r="MGO361" s="605"/>
      <c r="MGP361" s="321"/>
      <c r="MGQ361" s="251"/>
      <c r="MGR361" s="606"/>
      <c r="MGS361" s="253"/>
      <c r="MGU361" s="113"/>
      <c r="MGV361" s="607"/>
      <c r="MGW361" s="249"/>
      <c r="MGX361" s="605"/>
      <c r="MGY361" s="321"/>
      <c r="MGZ361" s="251"/>
      <c r="MHA361" s="606"/>
      <c r="MHB361" s="253"/>
      <c r="MHD361" s="113"/>
      <c r="MHE361" s="607"/>
      <c r="MHF361" s="249"/>
      <c r="MHG361" s="605"/>
      <c r="MHH361" s="321"/>
      <c r="MHI361" s="251"/>
      <c r="MHJ361" s="606"/>
      <c r="MHK361" s="253"/>
      <c r="MHM361" s="113"/>
      <c r="MHN361" s="607"/>
      <c r="MHO361" s="249"/>
      <c r="MHP361" s="605"/>
      <c r="MHQ361" s="321"/>
      <c r="MHR361" s="251"/>
      <c r="MHS361" s="606"/>
      <c r="MHT361" s="253"/>
      <c r="MHV361" s="113"/>
      <c r="MHW361" s="607"/>
      <c r="MHX361" s="249"/>
      <c r="MHY361" s="605"/>
      <c r="MHZ361" s="321"/>
      <c r="MIA361" s="251"/>
      <c r="MIB361" s="606"/>
      <c r="MIC361" s="253"/>
      <c r="MIE361" s="113"/>
      <c r="MIF361" s="607"/>
      <c r="MIG361" s="249"/>
      <c r="MIH361" s="605"/>
      <c r="MII361" s="321"/>
      <c r="MIJ361" s="251"/>
      <c r="MIK361" s="606"/>
      <c r="MIL361" s="253"/>
      <c r="MIN361" s="113"/>
      <c r="MIO361" s="607"/>
      <c r="MIP361" s="249"/>
      <c r="MIQ361" s="605"/>
      <c r="MIR361" s="321"/>
      <c r="MIS361" s="251"/>
      <c r="MIT361" s="606"/>
      <c r="MIU361" s="253"/>
      <c r="MIW361" s="113"/>
      <c r="MIX361" s="607"/>
      <c r="MIY361" s="249"/>
      <c r="MIZ361" s="605"/>
      <c r="MJA361" s="321"/>
      <c r="MJB361" s="251"/>
      <c r="MJC361" s="606"/>
      <c r="MJD361" s="253"/>
      <c r="MJF361" s="113"/>
      <c r="MJG361" s="607"/>
      <c r="MJH361" s="249"/>
      <c r="MJI361" s="605"/>
      <c r="MJJ361" s="321"/>
      <c r="MJK361" s="251"/>
      <c r="MJL361" s="606"/>
      <c r="MJM361" s="253"/>
      <c r="MJO361" s="113"/>
      <c r="MJP361" s="607"/>
      <c r="MJQ361" s="249"/>
      <c r="MJR361" s="605"/>
      <c r="MJS361" s="321"/>
      <c r="MJT361" s="251"/>
      <c r="MJU361" s="606"/>
      <c r="MJV361" s="253"/>
      <c r="MJX361" s="113"/>
      <c r="MJY361" s="607"/>
      <c r="MJZ361" s="249"/>
      <c r="MKA361" s="605"/>
      <c r="MKB361" s="321"/>
      <c r="MKC361" s="251"/>
      <c r="MKD361" s="606"/>
      <c r="MKE361" s="253"/>
      <c r="MKG361" s="113"/>
      <c r="MKH361" s="607"/>
      <c r="MKI361" s="249"/>
      <c r="MKJ361" s="605"/>
      <c r="MKK361" s="321"/>
      <c r="MKL361" s="251"/>
      <c r="MKM361" s="606"/>
      <c r="MKN361" s="253"/>
      <c r="MKP361" s="113"/>
      <c r="MKQ361" s="607"/>
      <c r="MKR361" s="249"/>
      <c r="MKS361" s="605"/>
      <c r="MKT361" s="321"/>
      <c r="MKU361" s="251"/>
      <c r="MKV361" s="606"/>
      <c r="MKW361" s="253"/>
      <c r="MKY361" s="113"/>
      <c r="MKZ361" s="607"/>
      <c r="MLA361" s="249"/>
      <c r="MLB361" s="605"/>
      <c r="MLC361" s="321"/>
      <c r="MLD361" s="251"/>
      <c r="MLE361" s="606"/>
      <c r="MLF361" s="253"/>
      <c r="MLH361" s="113"/>
      <c r="MLI361" s="607"/>
      <c r="MLJ361" s="249"/>
      <c r="MLK361" s="605"/>
      <c r="MLL361" s="321"/>
      <c r="MLM361" s="251"/>
      <c r="MLN361" s="606"/>
      <c r="MLO361" s="253"/>
      <c r="MLQ361" s="113"/>
      <c r="MLR361" s="607"/>
      <c r="MLS361" s="249"/>
      <c r="MLT361" s="605"/>
      <c r="MLU361" s="321"/>
      <c r="MLV361" s="251"/>
      <c r="MLW361" s="606"/>
      <c r="MLX361" s="253"/>
      <c r="MLZ361" s="113"/>
      <c r="MMA361" s="607"/>
      <c r="MMB361" s="249"/>
      <c r="MMC361" s="605"/>
      <c r="MMD361" s="321"/>
      <c r="MME361" s="251"/>
      <c r="MMF361" s="606"/>
      <c r="MMG361" s="253"/>
      <c r="MMI361" s="113"/>
      <c r="MMJ361" s="607"/>
      <c r="MMK361" s="249"/>
      <c r="MML361" s="605"/>
      <c r="MMM361" s="321"/>
      <c r="MMN361" s="251"/>
      <c r="MMO361" s="606"/>
      <c r="MMP361" s="253"/>
      <c r="MMR361" s="113"/>
      <c r="MMS361" s="607"/>
      <c r="MMT361" s="249"/>
      <c r="MMU361" s="605"/>
      <c r="MMV361" s="321"/>
      <c r="MMW361" s="251"/>
      <c r="MMX361" s="606"/>
      <c r="MMY361" s="253"/>
      <c r="MNA361" s="113"/>
      <c r="MNB361" s="607"/>
      <c r="MNC361" s="249"/>
      <c r="MND361" s="605"/>
      <c r="MNE361" s="321"/>
      <c r="MNF361" s="251"/>
      <c r="MNG361" s="606"/>
      <c r="MNH361" s="253"/>
      <c r="MNJ361" s="113"/>
      <c r="MNK361" s="607"/>
      <c r="MNL361" s="249"/>
      <c r="MNM361" s="605"/>
      <c r="MNN361" s="321"/>
      <c r="MNO361" s="251"/>
      <c r="MNP361" s="606"/>
      <c r="MNQ361" s="253"/>
      <c r="MNS361" s="113"/>
      <c r="MNT361" s="607"/>
      <c r="MNU361" s="249"/>
      <c r="MNV361" s="605"/>
      <c r="MNW361" s="321"/>
      <c r="MNX361" s="251"/>
      <c r="MNY361" s="606"/>
      <c r="MNZ361" s="253"/>
      <c r="MOB361" s="113"/>
      <c r="MOC361" s="607"/>
      <c r="MOD361" s="249"/>
      <c r="MOE361" s="605"/>
      <c r="MOF361" s="321"/>
      <c r="MOG361" s="251"/>
      <c r="MOH361" s="606"/>
      <c r="MOI361" s="253"/>
      <c r="MOK361" s="113"/>
      <c r="MOL361" s="607"/>
      <c r="MOM361" s="249"/>
      <c r="MON361" s="605"/>
      <c r="MOO361" s="321"/>
      <c r="MOP361" s="251"/>
      <c r="MOQ361" s="606"/>
      <c r="MOR361" s="253"/>
      <c r="MOT361" s="113"/>
      <c r="MOU361" s="607"/>
      <c r="MOV361" s="249"/>
      <c r="MOW361" s="605"/>
      <c r="MOX361" s="321"/>
      <c r="MOY361" s="251"/>
      <c r="MOZ361" s="606"/>
      <c r="MPA361" s="253"/>
      <c r="MPC361" s="113"/>
      <c r="MPD361" s="607"/>
      <c r="MPE361" s="249"/>
      <c r="MPF361" s="605"/>
      <c r="MPG361" s="321"/>
      <c r="MPH361" s="251"/>
      <c r="MPI361" s="606"/>
      <c r="MPJ361" s="253"/>
      <c r="MPL361" s="113"/>
      <c r="MPM361" s="607"/>
      <c r="MPN361" s="249"/>
      <c r="MPO361" s="605"/>
      <c r="MPP361" s="321"/>
      <c r="MPQ361" s="251"/>
      <c r="MPR361" s="606"/>
      <c r="MPS361" s="253"/>
      <c r="MPU361" s="113"/>
      <c r="MPV361" s="607"/>
      <c r="MPW361" s="249"/>
      <c r="MPX361" s="605"/>
      <c r="MPY361" s="321"/>
      <c r="MPZ361" s="251"/>
      <c r="MQA361" s="606"/>
      <c r="MQB361" s="253"/>
      <c r="MQD361" s="113"/>
      <c r="MQE361" s="607"/>
      <c r="MQF361" s="249"/>
      <c r="MQG361" s="605"/>
      <c r="MQH361" s="321"/>
      <c r="MQI361" s="251"/>
      <c r="MQJ361" s="606"/>
      <c r="MQK361" s="253"/>
      <c r="MQM361" s="113"/>
      <c r="MQN361" s="607"/>
      <c r="MQO361" s="249"/>
      <c r="MQP361" s="605"/>
      <c r="MQQ361" s="321"/>
      <c r="MQR361" s="251"/>
      <c r="MQS361" s="606"/>
      <c r="MQT361" s="253"/>
      <c r="MQV361" s="113"/>
      <c r="MQW361" s="607"/>
      <c r="MQX361" s="249"/>
      <c r="MQY361" s="605"/>
      <c r="MQZ361" s="321"/>
      <c r="MRA361" s="251"/>
      <c r="MRB361" s="606"/>
      <c r="MRC361" s="253"/>
      <c r="MRE361" s="113"/>
      <c r="MRF361" s="607"/>
      <c r="MRG361" s="249"/>
      <c r="MRH361" s="605"/>
      <c r="MRI361" s="321"/>
      <c r="MRJ361" s="251"/>
      <c r="MRK361" s="606"/>
      <c r="MRL361" s="253"/>
      <c r="MRN361" s="113"/>
      <c r="MRO361" s="607"/>
      <c r="MRP361" s="249"/>
      <c r="MRQ361" s="605"/>
      <c r="MRR361" s="321"/>
      <c r="MRS361" s="251"/>
      <c r="MRT361" s="606"/>
      <c r="MRU361" s="253"/>
      <c r="MRW361" s="113"/>
      <c r="MRX361" s="607"/>
      <c r="MRY361" s="249"/>
      <c r="MRZ361" s="605"/>
      <c r="MSA361" s="321"/>
      <c r="MSB361" s="251"/>
      <c r="MSC361" s="606"/>
      <c r="MSD361" s="253"/>
      <c r="MSF361" s="113"/>
      <c r="MSG361" s="607"/>
      <c r="MSH361" s="249"/>
      <c r="MSI361" s="605"/>
      <c r="MSJ361" s="321"/>
      <c r="MSK361" s="251"/>
      <c r="MSL361" s="606"/>
      <c r="MSM361" s="253"/>
      <c r="MSO361" s="113"/>
      <c r="MSP361" s="607"/>
      <c r="MSQ361" s="249"/>
      <c r="MSR361" s="605"/>
      <c r="MSS361" s="321"/>
      <c r="MST361" s="251"/>
      <c r="MSU361" s="606"/>
      <c r="MSV361" s="253"/>
      <c r="MSX361" s="113"/>
      <c r="MSY361" s="607"/>
      <c r="MSZ361" s="249"/>
      <c r="MTA361" s="605"/>
      <c r="MTB361" s="321"/>
      <c r="MTC361" s="251"/>
      <c r="MTD361" s="606"/>
      <c r="MTE361" s="253"/>
      <c r="MTG361" s="113"/>
      <c r="MTH361" s="607"/>
      <c r="MTI361" s="249"/>
      <c r="MTJ361" s="605"/>
      <c r="MTK361" s="321"/>
      <c r="MTL361" s="251"/>
      <c r="MTM361" s="606"/>
      <c r="MTN361" s="253"/>
      <c r="MTP361" s="113"/>
      <c r="MTQ361" s="607"/>
      <c r="MTR361" s="249"/>
      <c r="MTS361" s="605"/>
      <c r="MTT361" s="321"/>
      <c r="MTU361" s="251"/>
      <c r="MTV361" s="606"/>
      <c r="MTW361" s="253"/>
      <c r="MTY361" s="113"/>
      <c r="MTZ361" s="607"/>
      <c r="MUA361" s="249"/>
      <c r="MUB361" s="605"/>
      <c r="MUC361" s="321"/>
      <c r="MUD361" s="251"/>
      <c r="MUE361" s="606"/>
      <c r="MUF361" s="253"/>
      <c r="MUH361" s="113"/>
      <c r="MUI361" s="607"/>
      <c r="MUJ361" s="249"/>
      <c r="MUK361" s="605"/>
      <c r="MUL361" s="321"/>
      <c r="MUM361" s="251"/>
      <c r="MUN361" s="606"/>
      <c r="MUO361" s="253"/>
      <c r="MUQ361" s="113"/>
      <c r="MUR361" s="607"/>
      <c r="MUS361" s="249"/>
      <c r="MUT361" s="605"/>
      <c r="MUU361" s="321"/>
      <c r="MUV361" s="251"/>
      <c r="MUW361" s="606"/>
      <c r="MUX361" s="253"/>
      <c r="MUZ361" s="113"/>
      <c r="MVA361" s="607"/>
      <c r="MVB361" s="249"/>
      <c r="MVC361" s="605"/>
      <c r="MVD361" s="321"/>
      <c r="MVE361" s="251"/>
      <c r="MVF361" s="606"/>
      <c r="MVG361" s="253"/>
      <c r="MVI361" s="113"/>
      <c r="MVJ361" s="607"/>
      <c r="MVK361" s="249"/>
      <c r="MVL361" s="605"/>
      <c r="MVM361" s="321"/>
      <c r="MVN361" s="251"/>
      <c r="MVO361" s="606"/>
      <c r="MVP361" s="253"/>
      <c r="MVR361" s="113"/>
      <c r="MVS361" s="607"/>
      <c r="MVT361" s="249"/>
      <c r="MVU361" s="605"/>
      <c r="MVV361" s="321"/>
      <c r="MVW361" s="251"/>
      <c r="MVX361" s="606"/>
      <c r="MVY361" s="253"/>
      <c r="MWA361" s="113"/>
      <c r="MWB361" s="607"/>
      <c r="MWC361" s="249"/>
      <c r="MWD361" s="605"/>
      <c r="MWE361" s="321"/>
      <c r="MWF361" s="251"/>
      <c r="MWG361" s="606"/>
      <c r="MWH361" s="253"/>
      <c r="MWJ361" s="113"/>
      <c r="MWK361" s="607"/>
      <c r="MWL361" s="249"/>
      <c r="MWM361" s="605"/>
      <c r="MWN361" s="321"/>
      <c r="MWO361" s="251"/>
      <c r="MWP361" s="606"/>
      <c r="MWQ361" s="253"/>
      <c r="MWS361" s="113"/>
      <c r="MWT361" s="607"/>
      <c r="MWU361" s="249"/>
      <c r="MWV361" s="605"/>
      <c r="MWW361" s="321"/>
      <c r="MWX361" s="251"/>
      <c r="MWY361" s="606"/>
      <c r="MWZ361" s="253"/>
      <c r="MXB361" s="113"/>
      <c r="MXC361" s="607"/>
      <c r="MXD361" s="249"/>
      <c r="MXE361" s="605"/>
      <c r="MXF361" s="321"/>
      <c r="MXG361" s="251"/>
      <c r="MXH361" s="606"/>
      <c r="MXI361" s="253"/>
      <c r="MXK361" s="113"/>
      <c r="MXL361" s="607"/>
      <c r="MXM361" s="249"/>
      <c r="MXN361" s="605"/>
      <c r="MXO361" s="321"/>
      <c r="MXP361" s="251"/>
      <c r="MXQ361" s="606"/>
      <c r="MXR361" s="253"/>
      <c r="MXT361" s="113"/>
      <c r="MXU361" s="607"/>
      <c r="MXV361" s="249"/>
      <c r="MXW361" s="605"/>
      <c r="MXX361" s="321"/>
      <c r="MXY361" s="251"/>
      <c r="MXZ361" s="606"/>
      <c r="MYA361" s="253"/>
      <c r="MYC361" s="113"/>
      <c r="MYD361" s="607"/>
      <c r="MYE361" s="249"/>
      <c r="MYF361" s="605"/>
      <c r="MYG361" s="321"/>
      <c r="MYH361" s="251"/>
      <c r="MYI361" s="606"/>
      <c r="MYJ361" s="253"/>
      <c r="MYL361" s="113"/>
      <c r="MYM361" s="607"/>
      <c r="MYN361" s="249"/>
      <c r="MYO361" s="605"/>
      <c r="MYP361" s="321"/>
      <c r="MYQ361" s="251"/>
      <c r="MYR361" s="606"/>
      <c r="MYS361" s="253"/>
      <c r="MYU361" s="113"/>
      <c r="MYV361" s="607"/>
      <c r="MYW361" s="249"/>
      <c r="MYX361" s="605"/>
      <c r="MYY361" s="321"/>
      <c r="MYZ361" s="251"/>
      <c r="MZA361" s="606"/>
      <c r="MZB361" s="253"/>
      <c r="MZD361" s="113"/>
      <c r="MZE361" s="607"/>
      <c r="MZF361" s="249"/>
      <c r="MZG361" s="605"/>
      <c r="MZH361" s="321"/>
      <c r="MZI361" s="251"/>
      <c r="MZJ361" s="606"/>
      <c r="MZK361" s="253"/>
      <c r="MZM361" s="113"/>
      <c r="MZN361" s="607"/>
      <c r="MZO361" s="249"/>
      <c r="MZP361" s="605"/>
      <c r="MZQ361" s="321"/>
      <c r="MZR361" s="251"/>
      <c r="MZS361" s="606"/>
      <c r="MZT361" s="253"/>
      <c r="MZV361" s="113"/>
      <c r="MZW361" s="607"/>
      <c r="MZX361" s="249"/>
      <c r="MZY361" s="605"/>
      <c r="MZZ361" s="321"/>
      <c r="NAA361" s="251"/>
      <c r="NAB361" s="606"/>
      <c r="NAC361" s="253"/>
      <c r="NAE361" s="113"/>
      <c r="NAF361" s="607"/>
      <c r="NAG361" s="249"/>
      <c r="NAH361" s="605"/>
      <c r="NAI361" s="321"/>
      <c r="NAJ361" s="251"/>
      <c r="NAK361" s="606"/>
      <c r="NAL361" s="253"/>
      <c r="NAN361" s="113"/>
      <c r="NAO361" s="607"/>
      <c r="NAP361" s="249"/>
      <c r="NAQ361" s="605"/>
      <c r="NAR361" s="321"/>
      <c r="NAS361" s="251"/>
      <c r="NAT361" s="606"/>
      <c r="NAU361" s="253"/>
      <c r="NAW361" s="113"/>
      <c r="NAX361" s="607"/>
      <c r="NAY361" s="249"/>
      <c r="NAZ361" s="605"/>
      <c r="NBA361" s="321"/>
      <c r="NBB361" s="251"/>
      <c r="NBC361" s="606"/>
      <c r="NBD361" s="253"/>
      <c r="NBF361" s="113"/>
      <c r="NBG361" s="607"/>
      <c r="NBH361" s="249"/>
      <c r="NBI361" s="605"/>
      <c r="NBJ361" s="321"/>
      <c r="NBK361" s="251"/>
      <c r="NBL361" s="606"/>
      <c r="NBM361" s="253"/>
      <c r="NBO361" s="113"/>
      <c r="NBP361" s="607"/>
      <c r="NBQ361" s="249"/>
      <c r="NBR361" s="605"/>
      <c r="NBS361" s="321"/>
      <c r="NBT361" s="251"/>
      <c r="NBU361" s="606"/>
      <c r="NBV361" s="253"/>
      <c r="NBX361" s="113"/>
      <c r="NBY361" s="607"/>
      <c r="NBZ361" s="249"/>
      <c r="NCA361" s="605"/>
      <c r="NCB361" s="321"/>
      <c r="NCC361" s="251"/>
      <c r="NCD361" s="606"/>
      <c r="NCE361" s="253"/>
      <c r="NCG361" s="113"/>
      <c r="NCH361" s="607"/>
      <c r="NCI361" s="249"/>
      <c r="NCJ361" s="605"/>
      <c r="NCK361" s="321"/>
      <c r="NCL361" s="251"/>
      <c r="NCM361" s="606"/>
      <c r="NCN361" s="253"/>
      <c r="NCP361" s="113"/>
      <c r="NCQ361" s="607"/>
      <c r="NCR361" s="249"/>
      <c r="NCS361" s="605"/>
      <c r="NCT361" s="321"/>
      <c r="NCU361" s="251"/>
      <c r="NCV361" s="606"/>
      <c r="NCW361" s="253"/>
      <c r="NCY361" s="113"/>
      <c r="NCZ361" s="607"/>
      <c r="NDA361" s="249"/>
      <c r="NDB361" s="605"/>
      <c r="NDC361" s="321"/>
      <c r="NDD361" s="251"/>
      <c r="NDE361" s="606"/>
      <c r="NDF361" s="253"/>
      <c r="NDH361" s="113"/>
      <c r="NDI361" s="607"/>
      <c r="NDJ361" s="249"/>
      <c r="NDK361" s="605"/>
      <c r="NDL361" s="321"/>
      <c r="NDM361" s="251"/>
      <c r="NDN361" s="606"/>
      <c r="NDO361" s="253"/>
      <c r="NDQ361" s="113"/>
      <c r="NDR361" s="607"/>
      <c r="NDS361" s="249"/>
      <c r="NDT361" s="605"/>
      <c r="NDU361" s="321"/>
      <c r="NDV361" s="251"/>
      <c r="NDW361" s="606"/>
      <c r="NDX361" s="253"/>
      <c r="NDZ361" s="113"/>
      <c r="NEA361" s="607"/>
      <c r="NEB361" s="249"/>
      <c r="NEC361" s="605"/>
      <c r="NED361" s="321"/>
      <c r="NEE361" s="251"/>
      <c r="NEF361" s="606"/>
      <c r="NEG361" s="253"/>
      <c r="NEI361" s="113"/>
      <c r="NEJ361" s="607"/>
      <c r="NEK361" s="249"/>
      <c r="NEL361" s="605"/>
      <c r="NEM361" s="321"/>
      <c r="NEN361" s="251"/>
      <c r="NEO361" s="606"/>
      <c r="NEP361" s="253"/>
      <c r="NER361" s="113"/>
      <c r="NES361" s="607"/>
      <c r="NET361" s="249"/>
      <c r="NEU361" s="605"/>
      <c r="NEV361" s="321"/>
      <c r="NEW361" s="251"/>
      <c r="NEX361" s="606"/>
      <c r="NEY361" s="253"/>
      <c r="NFA361" s="113"/>
      <c r="NFB361" s="607"/>
      <c r="NFC361" s="249"/>
      <c r="NFD361" s="605"/>
      <c r="NFE361" s="321"/>
      <c r="NFF361" s="251"/>
      <c r="NFG361" s="606"/>
      <c r="NFH361" s="253"/>
      <c r="NFJ361" s="113"/>
      <c r="NFK361" s="607"/>
      <c r="NFL361" s="249"/>
      <c r="NFM361" s="605"/>
      <c r="NFN361" s="321"/>
      <c r="NFO361" s="251"/>
      <c r="NFP361" s="606"/>
      <c r="NFQ361" s="253"/>
      <c r="NFS361" s="113"/>
      <c r="NFT361" s="607"/>
      <c r="NFU361" s="249"/>
      <c r="NFV361" s="605"/>
      <c r="NFW361" s="321"/>
      <c r="NFX361" s="251"/>
      <c r="NFY361" s="606"/>
      <c r="NFZ361" s="253"/>
      <c r="NGB361" s="113"/>
      <c r="NGC361" s="607"/>
      <c r="NGD361" s="249"/>
      <c r="NGE361" s="605"/>
      <c r="NGF361" s="321"/>
      <c r="NGG361" s="251"/>
      <c r="NGH361" s="606"/>
      <c r="NGI361" s="253"/>
      <c r="NGK361" s="113"/>
      <c r="NGL361" s="607"/>
      <c r="NGM361" s="249"/>
      <c r="NGN361" s="605"/>
      <c r="NGO361" s="321"/>
      <c r="NGP361" s="251"/>
      <c r="NGQ361" s="606"/>
      <c r="NGR361" s="253"/>
      <c r="NGT361" s="113"/>
      <c r="NGU361" s="607"/>
      <c r="NGV361" s="249"/>
      <c r="NGW361" s="605"/>
      <c r="NGX361" s="321"/>
      <c r="NGY361" s="251"/>
      <c r="NGZ361" s="606"/>
      <c r="NHA361" s="253"/>
      <c r="NHC361" s="113"/>
      <c r="NHD361" s="607"/>
      <c r="NHE361" s="249"/>
      <c r="NHF361" s="605"/>
      <c r="NHG361" s="321"/>
      <c r="NHH361" s="251"/>
      <c r="NHI361" s="606"/>
      <c r="NHJ361" s="253"/>
      <c r="NHL361" s="113"/>
      <c r="NHM361" s="607"/>
      <c r="NHN361" s="249"/>
      <c r="NHO361" s="605"/>
      <c r="NHP361" s="321"/>
      <c r="NHQ361" s="251"/>
      <c r="NHR361" s="606"/>
      <c r="NHS361" s="253"/>
      <c r="NHU361" s="113"/>
      <c r="NHV361" s="607"/>
      <c r="NHW361" s="249"/>
      <c r="NHX361" s="605"/>
      <c r="NHY361" s="321"/>
      <c r="NHZ361" s="251"/>
      <c r="NIA361" s="606"/>
      <c r="NIB361" s="253"/>
      <c r="NID361" s="113"/>
      <c r="NIE361" s="607"/>
      <c r="NIF361" s="249"/>
      <c r="NIG361" s="605"/>
      <c r="NIH361" s="321"/>
      <c r="NII361" s="251"/>
      <c r="NIJ361" s="606"/>
      <c r="NIK361" s="253"/>
      <c r="NIM361" s="113"/>
      <c r="NIN361" s="607"/>
      <c r="NIO361" s="249"/>
      <c r="NIP361" s="605"/>
      <c r="NIQ361" s="321"/>
      <c r="NIR361" s="251"/>
      <c r="NIS361" s="606"/>
      <c r="NIT361" s="253"/>
      <c r="NIV361" s="113"/>
      <c r="NIW361" s="607"/>
      <c r="NIX361" s="249"/>
      <c r="NIY361" s="605"/>
      <c r="NIZ361" s="321"/>
      <c r="NJA361" s="251"/>
      <c r="NJB361" s="606"/>
      <c r="NJC361" s="253"/>
      <c r="NJE361" s="113"/>
      <c r="NJF361" s="607"/>
      <c r="NJG361" s="249"/>
      <c r="NJH361" s="605"/>
      <c r="NJI361" s="321"/>
      <c r="NJJ361" s="251"/>
      <c r="NJK361" s="606"/>
      <c r="NJL361" s="253"/>
      <c r="NJN361" s="113"/>
      <c r="NJO361" s="607"/>
      <c r="NJP361" s="249"/>
      <c r="NJQ361" s="605"/>
      <c r="NJR361" s="321"/>
      <c r="NJS361" s="251"/>
      <c r="NJT361" s="606"/>
      <c r="NJU361" s="253"/>
      <c r="NJW361" s="113"/>
      <c r="NJX361" s="607"/>
      <c r="NJY361" s="249"/>
      <c r="NJZ361" s="605"/>
      <c r="NKA361" s="321"/>
      <c r="NKB361" s="251"/>
      <c r="NKC361" s="606"/>
      <c r="NKD361" s="253"/>
      <c r="NKF361" s="113"/>
      <c r="NKG361" s="607"/>
      <c r="NKH361" s="249"/>
      <c r="NKI361" s="605"/>
      <c r="NKJ361" s="321"/>
      <c r="NKK361" s="251"/>
      <c r="NKL361" s="606"/>
      <c r="NKM361" s="253"/>
      <c r="NKO361" s="113"/>
      <c r="NKP361" s="607"/>
      <c r="NKQ361" s="249"/>
      <c r="NKR361" s="605"/>
      <c r="NKS361" s="321"/>
      <c r="NKT361" s="251"/>
      <c r="NKU361" s="606"/>
      <c r="NKV361" s="253"/>
      <c r="NKX361" s="113"/>
      <c r="NKY361" s="607"/>
      <c r="NKZ361" s="249"/>
      <c r="NLA361" s="605"/>
      <c r="NLB361" s="321"/>
      <c r="NLC361" s="251"/>
      <c r="NLD361" s="606"/>
      <c r="NLE361" s="253"/>
      <c r="NLG361" s="113"/>
      <c r="NLH361" s="607"/>
      <c r="NLI361" s="249"/>
      <c r="NLJ361" s="605"/>
      <c r="NLK361" s="321"/>
      <c r="NLL361" s="251"/>
      <c r="NLM361" s="606"/>
      <c r="NLN361" s="253"/>
      <c r="NLP361" s="113"/>
      <c r="NLQ361" s="607"/>
      <c r="NLR361" s="249"/>
      <c r="NLS361" s="605"/>
      <c r="NLT361" s="321"/>
      <c r="NLU361" s="251"/>
      <c r="NLV361" s="606"/>
      <c r="NLW361" s="253"/>
      <c r="NLY361" s="113"/>
      <c r="NLZ361" s="607"/>
      <c r="NMA361" s="249"/>
      <c r="NMB361" s="605"/>
      <c r="NMC361" s="321"/>
      <c r="NMD361" s="251"/>
      <c r="NME361" s="606"/>
      <c r="NMF361" s="253"/>
      <c r="NMH361" s="113"/>
      <c r="NMI361" s="607"/>
      <c r="NMJ361" s="249"/>
      <c r="NMK361" s="605"/>
      <c r="NML361" s="321"/>
      <c r="NMM361" s="251"/>
      <c r="NMN361" s="606"/>
      <c r="NMO361" s="253"/>
      <c r="NMQ361" s="113"/>
      <c r="NMR361" s="607"/>
      <c r="NMS361" s="249"/>
      <c r="NMT361" s="605"/>
      <c r="NMU361" s="321"/>
      <c r="NMV361" s="251"/>
      <c r="NMW361" s="606"/>
      <c r="NMX361" s="253"/>
      <c r="NMZ361" s="113"/>
      <c r="NNA361" s="607"/>
      <c r="NNB361" s="249"/>
      <c r="NNC361" s="605"/>
      <c r="NND361" s="321"/>
      <c r="NNE361" s="251"/>
      <c r="NNF361" s="606"/>
      <c r="NNG361" s="253"/>
      <c r="NNI361" s="113"/>
      <c r="NNJ361" s="607"/>
      <c r="NNK361" s="249"/>
      <c r="NNL361" s="605"/>
      <c r="NNM361" s="321"/>
      <c r="NNN361" s="251"/>
      <c r="NNO361" s="606"/>
      <c r="NNP361" s="253"/>
      <c r="NNR361" s="113"/>
      <c r="NNS361" s="607"/>
      <c r="NNT361" s="249"/>
      <c r="NNU361" s="605"/>
      <c r="NNV361" s="321"/>
      <c r="NNW361" s="251"/>
      <c r="NNX361" s="606"/>
      <c r="NNY361" s="253"/>
      <c r="NOA361" s="113"/>
      <c r="NOB361" s="607"/>
      <c r="NOC361" s="249"/>
      <c r="NOD361" s="605"/>
      <c r="NOE361" s="321"/>
      <c r="NOF361" s="251"/>
      <c r="NOG361" s="606"/>
      <c r="NOH361" s="253"/>
      <c r="NOJ361" s="113"/>
      <c r="NOK361" s="607"/>
      <c r="NOL361" s="249"/>
      <c r="NOM361" s="605"/>
      <c r="NON361" s="321"/>
      <c r="NOO361" s="251"/>
      <c r="NOP361" s="606"/>
      <c r="NOQ361" s="253"/>
      <c r="NOS361" s="113"/>
      <c r="NOT361" s="607"/>
      <c r="NOU361" s="249"/>
      <c r="NOV361" s="605"/>
      <c r="NOW361" s="321"/>
      <c r="NOX361" s="251"/>
      <c r="NOY361" s="606"/>
      <c r="NOZ361" s="253"/>
      <c r="NPB361" s="113"/>
      <c r="NPC361" s="607"/>
      <c r="NPD361" s="249"/>
      <c r="NPE361" s="605"/>
      <c r="NPF361" s="321"/>
      <c r="NPG361" s="251"/>
      <c r="NPH361" s="606"/>
      <c r="NPI361" s="253"/>
      <c r="NPK361" s="113"/>
      <c r="NPL361" s="607"/>
      <c r="NPM361" s="249"/>
      <c r="NPN361" s="605"/>
      <c r="NPO361" s="321"/>
      <c r="NPP361" s="251"/>
      <c r="NPQ361" s="606"/>
      <c r="NPR361" s="253"/>
      <c r="NPT361" s="113"/>
      <c r="NPU361" s="607"/>
      <c r="NPV361" s="249"/>
      <c r="NPW361" s="605"/>
      <c r="NPX361" s="321"/>
      <c r="NPY361" s="251"/>
      <c r="NPZ361" s="606"/>
      <c r="NQA361" s="253"/>
      <c r="NQC361" s="113"/>
      <c r="NQD361" s="607"/>
      <c r="NQE361" s="249"/>
      <c r="NQF361" s="605"/>
      <c r="NQG361" s="321"/>
      <c r="NQH361" s="251"/>
      <c r="NQI361" s="606"/>
      <c r="NQJ361" s="253"/>
      <c r="NQL361" s="113"/>
      <c r="NQM361" s="607"/>
      <c r="NQN361" s="249"/>
      <c r="NQO361" s="605"/>
      <c r="NQP361" s="321"/>
      <c r="NQQ361" s="251"/>
      <c r="NQR361" s="606"/>
      <c r="NQS361" s="253"/>
      <c r="NQU361" s="113"/>
      <c r="NQV361" s="607"/>
      <c r="NQW361" s="249"/>
      <c r="NQX361" s="605"/>
      <c r="NQY361" s="321"/>
      <c r="NQZ361" s="251"/>
      <c r="NRA361" s="606"/>
      <c r="NRB361" s="253"/>
      <c r="NRD361" s="113"/>
      <c r="NRE361" s="607"/>
      <c r="NRF361" s="249"/>
      <c r="NRG361" s="605"/>
      <c r="NRH361" s="321"/>
      <c r="NRI361" s="251"/>
      <c r="NRJ361" s="606"/>
      <c r="NRK361" s="253"/>
      <c r="NRM361" s="113"/>
      <c r="NRN361" s="607"/>
      <c r="NRO361" s="249"/>
      <c r="NRP361" s="605"/>
      <c r="NRQ361" s="321"/>
      <c r="NRR361" s="251"/>
      <c r="NRS361" s="606"/>
      <c r="NRT361" s="253"/>
      <c r="NRV361" s="113"/>
      <c r="NRW361" s="607"/>
      <c r="NRX361" s="249"/>
      <c r="NRY361" s="605"/>
      <c r="NRZ361" s="321"/>
      <c r="NSA361" s="251"/>
      <c r="NSB361" s="606"/>
      <c r="NSC361" s="253"/>
      <c r="NSE361" s="113"/>
      <c r="NSF361" s="607"/>
      <c r="NSG361" s="249"/>
      <c r="NSH361" s="605"/>
      <c r="NSI361" s="321"/>
      <c r="NSJ361" s="251"/>
      <c r="NSK361" s="606"/>
      <c r="NSL361" s="253"/>
      <c r="NSN361" s="113"/>
      <c r="NSO361" s="607"/>
      <c r="NSP361" s="249"/>
      <c r="NSQ361" s="605"/>
      <c r="NSR361" s="321"/>
      <c r="NSS361" s="251"/>
      <c r="NST361" s="606"/>
      <c r="NSU361" s="253"/>
      <c r="NSW361" s="113"/>
      <c r="NSX361" s="607"/>
      <c r="NSY361" s="249"/>
      <c r="NSZ361" s="605"/>
      <c r="NTA361" s="321"/>
      <c r="NTB361" s="251"/>
      <c r="NTC361" s="606"/>
      <c r="NTD361" s="253"/>
      <c r="NTF361" s="113"/>
      <c r="NTG361" s="607"/>
      <c r="NTH361" s="249"/>
      <c r="NTI361" s="605"/>
      <c r="NTJ361" s="321"/>
      <c r="NTK361" s="251"/>
      <c r="NTL361" s="606"/>
      <c r="NTM361" s="253"/>
      <c r="NTO361" s="113"/>
      <c r="NTP361" s="607"/>
      <c r="NTQ361" s="249"/>
      <c r="NTR361" s="605"/>
      <c r="NTS361" s="321"/>
      <c r="NTT361" s="251"/>
      <c r="NTU361" s="606"/>
      <c r="NTV361" s="253"/>
      <c r="NTX361" s="113"/>
      <c r="NTY361" s="607"/>
      <c r="NTZ361" s="249"/>
      <c r="NUA361" s="605"/>
      <c r="NUB361" s="321"/>
      <c r="NUC361" s="251"/>
      <c r="NUD361" s="606"/>
      <c r="NUE361" s="253"/>
      <c r="NUG361" s="113"/>
      <c r="NUH361" s="607"/>
      <c r="NUI361" s="249"/>
      <c r="NUJ361" s="605"/>
      <c r="NUK361" s="321"/>
      <c r="NUL361" s="251"/>
      <c r="NUM361" s="606"/>
      <c r="NUN361" s="253"/>
      <c r="NUP361" s="113"/>
      <c r="NUQ361" s="607"/>
      <c r="NUR361" s="249"/>
      <c r="NUS361" s="605"/>
      <c r="NUT361" s="321"/>
      <c r="NUU361" s="251"/>
      <c r="NUV361" s="606"/>
      <c r="NUW361" s="253"/>
      <c r="NUY361" s="113"/>
      <c r="NUZ361" s="607"/>
      <c r="NVA361" s="249"/>
      <c r="NVB361" s="605"/>
      <c r="NVC361" s="321"/>
      <c r="NVD361" s="251"/>
      <c r="NVE361" s="606"/>
      <c r="NVF361" s="253"/>
      <c r="NVH361" s="113"/>
      <c r="NVI361" s="607"/>
      <c r="NVJ361" s="249"/>
      <c r="NVK361" s="605"/>
      <c r="NVL361" s="321"/>
      <c r="NVM361" s="251"/>
      <c r="NVN361" s="606"/>
      <c r="NVO361" s="253"/>
      <c r="NVQ361" s="113"/>
      <c r="NVR361" s="607"/>
      <c r="NVS361" s="249"/>
      <c r="NVT361" s="605"/>
      <c r="NVU361" s="321"/>
      <c r="NVV361" s="251"/>
      <c r="NVW361" s="606"/>
      <c r="NVX361" s="253"/>
      <c r="NVZ361" s="113"/>
      <c r="NWA361" s="607"/>
      <c r="NWB361" s="249"/>
      <c r="NWC361" s="605"/>
      <c r="NWD361" s="321"/>
      <c r="NWE361" s="251"/>
      <c r="NWF361" s="606"/>
      <c r="NWG361" s="253"/>
      <c r="NWI361" s="113"/>
      <c r="NWJ361" s="607"/>
      <c r="NWK361" s="249"/>
      <c r="NWL361" s="605"/>
      <c r="NWM361" s="321"/>
      <c r="NWN361" s="251"/>
      <c r="NWO361" s="606"/>
      <c r="NWP361" s="253"/>
      <c r="NWR361" s="113"/>
      <c r="NWS361" s="607"/>
      <c r="NWT361" s="249"/>
      <c r="NWU361" s="605"/>
      <c r="NWV361" s="321"/>
      <c r="NWW361" s="251"/>
      <c r="NWX361" s="606"/>
      <c r="NWY361" s="253"/>
      <c r="NXA361" s="113"/>
      <c r="NXB361" s="607"/>
      <c r="NXC361" s="249"/>
      <c r="NXD361" s="605"/>
      <c r="NXE361" s="321"/>
      <c r="NXF361" s="251"/>
      <c r="NXG361" s="606"/>
      <c r="NXH361" s="253"/>
      <c r="NXJ361" s="113"/>
      <c r="NXK361" s="607"/>
      <c r="NXL361" s="249"/>
      <c r="NXM361" s="605"/>
      <c r="NXN361" s="321"/>
      <c r="NXO361" s="251"/>
      <c r="NXP361" s="606"/>
      <c r="NXQ361" s="253"/>
      <c r="NXS361" s="113"/>
      <c r="NXT361" s="607"/>
      <c r="NXU361" s="249"/>
      <c r="NXV361" s="605"/>
      <c r="NXW361" s="321"/>
      <c r="NXX361" s="251"/>
      <c r="NXY361" s="606"/>
      <c r="NXZ361" s="253"/>
      <c r="NYB361" s="113"/>
      <c r="NYC361" s="607"/>
      <c r="NYD361" s="249"/>
      <c r="NYE361" s="605"/>
      <c r="NYF361" s="321"/>
      <c r="NYG361" s="251"/>
      <c r="NYH361" s="606"/>
      <c r="NYI361" s="253"/>
      <c r="NYK361" s="113"/>
      <c r="NYL361" s="607"/>
      <c r="NYM361" s="249"/>
      <c r="NYN361" s="605"/>
      <c r="NYO361" s="321"/>
      <c r="NYP361" s="251"/>
      <c r="NYQ361" s="606"/>
      <c r="NYR361" s="253"/>
      <c r="NYT361" s="113"/>
      <c r="NYU361" s="607"/>
      <c r="NYV361" s="249"/>
      <c r="NYW361" s="605"/>
      <c r="NYX361" s="321"/>
      <c r="NYY361" s="251"/>
      <c r="NYZ361" s="606"/>
      <c r="NZA361" s="253"/>
      <c r="NZC361" s="113"/>
      <c r="NZD361" s="607"/>
      <c r="NZE361" s="249"/>
      <c r="NZF361" s="605"/>
      <c r="NZG361" s="321"/>
      <c r="NZH361" s="251"/>
      <c r="NZI361" s="606"/>
      <c r="NZJ361" s="253"/>
      <c r="NZL361" s="113"/>
      <c r="NZM361" s="607"/>
      <c r="NZN361" s="249"/>
      <c r="NZO361" s="605"/>
      <c r="NZP361" s="321"/>
      <c r="NZQ361" s="251"/>
      <c r="NZR361" s="606"/>
      <c r="NZS361" s="253"/>
      <c r="NZU361" s="113"/>
      <c r="NZV361" s="607"/>
      <c r="NZW361" s="249"/>
      <c r="NZX361" s="605"/>
      <c r="NZY361" s="321"/>
      <c r="NZZ361" s="251"/>
      <c r="OAA361" s="606"/>
      <c r="OAB361" s="253"/>
      <c r="OAD361" s="113"/>
      <c r="OAE361" s="607"/>
      <c r="OAF361" s="249"/>
      <c r="OAG361" s="605"/>
      <c r="OAH361" s="321"/>
      <c r="OAI361" s="251"/>
      <c r="OAJ361" s="606"/>
      <c r="OAK361" s="253"/>
      <c r="OAM361" s="113"/>
      <c r="OAN361" s="607"/>
      <c r="OAO361" s="249"/>
      <c r="OAP361" s="605"/>
      <c r="OAQ361" s="321"/>
      <c r="OAR361" s="251"/>
      <c r="OAS361" s="606"/>
      <c r="OAT361" s="253"/>
      <c r="OAV361" s="113"/>
      <c r="OAW361" s="607"/>
      <c r="OAX361" s="249"/>
      <c r="OAY361" s="605"/>
      <c r="OAZ361" s="321"/>
      <c r="OBA361" s="251"/>
      <c r="OBB361" s="606"/>
      <c r="OBC361" s="253"/>
      <c r="OBE361" s="113"/>
      <c r="OBF361" s="607"/>
      <c r="OBG361" s="249"/>
      <c r="OBH361" s="605"/>
      <c r="OBI361" s="321"/>
      <c r="OBJ361" s="251"/>
      <c r="OBK361" s="606"/>
      <c r="OBL361" s="253"/>
      <c r="OBN361" s="113"/>
      <c r="OBO361" s="607"/>
      <c r="OBP361" s="249"/>
      <c r="OBQ361" s="605"/>
      <c r="OBR361" s="321"/>
      <c r="OBS361" s="251"/>
      <c r="OBT361" s="606"/>
      <c r="OBU361" s="253"/>
      <c r="OBW361" s="113"/>
      <c r="OBX361" s="607"/>
      <c r="OBY361" s="249"/>
      <c r="OBZ361" s="605"/>
      <c r="OCA361" s="321"/>
      <c r="OCB361" s="251"/>
      <c r="OCC361" s="606"/>
      <c r="OCD361" s="253"/>
      <c r="OCF361" s="113"/>
      <c r="OCG361" s="607"/>
      <c r="OCH361" s="249"/>
      <c r="OCI361" s="605"/>
      <c r="OCJ361" s="321"/>
      <c r="OCK361" s="251"/>
      <c r="OCL361" s="606"/>
      <c r="OCM361" s="253"/>
      <c r="OCO361" s="113"/>
      <c r="OCP361" s="607"/>
      <c r="OCQ361" s="249"/>
      <c r="OCR361" s="605"/>
      <c r="OCS361" s="321"/>
      <c r="OCT361" s="251"/>
      <c r="OCU361" s="606"/>
      <c r="OCV361" s="253"/>
      <c r="OCX361" s="113"/>
      <c r="OCY361" s="607"/>
      <c r="OCZ361" s="249"/>
      <c r="ODA361" s="605"/>
      <c r="ODB361" s="321"/>
      <c r="ODC361" s="251"/>
      <c r="ODD361" s="606"/>
      <c r="ODE361" s="253"/>
      <c r="ODG361" s="113"/>
      <c r="ODH361" s="607"/>
      <c r="ODI361" s="249"/>
      <c r="ODJ361" s="605"/>
      <c r="ODK361" s="321"/>
      <c r="ODL361" s="251"/>
      <c r="ODM361" s="606"/>
      <c r="ODN361" s="253"/>
      <c r="ODP361" s="113"/>
      <c r="ODQ361" s="607"/>
      <c r="ODR361" s="249"/>
      <c r="ODS361" s="605"/>
      <c r="ODT361" s="321"/>
      <c r="ODU361" s="251"/>
      <c r="ODV361" s="606"/>
      <c r="ODW361" s="253"/>
      <c r="ODY361" s="113"/>
      <c r="ODZ361" s="607"/>
      <c r="OEA361" s="249"/>
      <c r="OEB361" s="605"/>
      <c r="OEC361" s="321"/>
      <c r="OED361" s="251"/>
      <c r="OEE361" s="606"/>
      <c r="OEF361" s="253"/>
      <c r="OEH361" s="113"/>
      <c r="OEI361" s="607"/>
      <c r="OEJ361" s="249"/>
      <c r="OEK361" s="605"/>
      <c r="OEL361" s="321"/>
      <c r="OEM361" s="251"/>
      <c r="OEN361" s="606"/>
      <c r="OEO361" s="253"/>
      <c r="OEQ361" s="113"/>
      <c r="OER361" s="607"/>
      <c r="OES361" s="249"/>
      <c r="OET361" s="605"/>
      <c r="OEU361" s="321"/>
      <c r="OEV361" s="251"/>
      <c r="OEW361" s="606"/>
      <c r="OEX361" s="253"/>
      <c r="OEZ361" s="113"/>
      <c r="OFA361" s="607"/>
      <c r="OFB361" s="249"/>
      <c r="OFC361" s="605"/>
      <c r="OFD361" s="321"/>
      <c r="OFE361" s="251"/>
      <c r="OFF361" s="606"/>
      <c r="OFG361" s="253"/>
      <c r="OFI361" s="113"/>
      <c r="OFJ361" s="607"/>
      <c r="OFK361" s="249"/>
      <c r="OFL361" s="605"/>
      <c r="OFM361" s="321"/>
      <c r="OFN361" s="251"/>
      <c r="OFO361" s="606"/>
      <c r="OFP361" s="253"/>
      <c r="OFR361" s="113"/>
      <c r="OFS361" s="607"/>
      <c r="OFT361" s="249"/>
      <c r="OFU361" s="605"/>
      <c r="OFV361" s="321"/>
      <c r="OFW361" s="251"/>
      <c r="OFX361" s="606"/>
      <c r="OFY361" s="253"/>
      <c r="OGA361" s="113"/>
      <c r="OGB361" s="607"/>
      <c r="OGC361" s="249"/>
      <c r="OGD361" s="605"/>
      <c r="OGE361" s="321"/>
      <c r="OGF361" s="251"/>
      <c r="OGG361" s="606"/>
      <c r="OGH361" s="253"/>
      <c r="OGJ361" s="113"/>
      <c r="OGK361" s="607"/>
      <c r="OGL361" s="249"/>
      <c r="OGM361" s="605"/>
      <c r="OGN361" s="321"/>
      <c r="OGO361" s="251"/>
      <c r="OGP361" s="606"/>
      <c r="OGQ361" s="253"/>
      <c r="OGS361" s="113"/>
      <c r="OGT361" s="607"/>
      <c r="OGU361" s="249"/>
      <c r="OGV361" s="605"/>
      <c r="OGW361" s="321"/>
      <c r="OGX361" s="251"/>
      <c r="OGY361" s="606"/>
      <c r="OGZ361" s="253"/>
      <c r="OHB361" s="113"/>
      <c r="OHC361" s="607"/>
      <c r="OHD361" s="249"/>
      <c r="OHE361" s="605"/>
      <c r="OHF361" s="321"/>
      <c r="OHG361" s="251"/>
      <c r="OHH361" s="606"/>
      <c r="OHI361" s="253"/>
      <c r="OHK361" s="113"/>
      <c r="OHL361" s="607"/>
      <c r="OHM361" s="249"/>
      <c r="OHN361" s="605"/>
      <c r="OHO361" s="321"/>
      <c r="OHP361" s="251"/>
      <c r="OHQ361" s="606"/>
      <c r="OHR361" s="253"/>
      <c r="OHT361" s="113"/>
      <c r="OHU361" s="607"/>
      <c r="OHV361" s="249"/>
      <c r="OHW361" s="605"/>
      <c r="OHX361" s="321"/>
      <c r="OHY361" s="251"/>
      <c r="OHZ361" s="606"/>
      <c r="OIA361" s="253"/>
      <c r="OIC361" s="113"/>
      <c r="OID361" s="607"/>
      <c r="OIE361" s="249"/>
      <c r="OIF361" s="605"/>
      <c r="OIG361" s="321"/>
      <c r="OIH361" s="251"/>
      <c r="OII361" s="606"/>
      <c r="OIJ361" s="253"/>
      <c r="OIL361" s="113"/>
      <c r="OIM361" s="607"/>
      <c r="OIN361" s="249"/>
      <c r="OIO361" s="605"/>
      <c r="OIP361" s="321"/>
      <c r="OIQ361" s="251"/>
      <c r="OIR361" s="606"/>
      <c r="OIS361" s="253"/>
      <c r="OIU361" s="113"/>
      <c r="OIV361" s="607"/>
      <c r="OIW361" s="249"/>
      <c r="OIX361" s="605"/>
      <c r="OIY361" s="321"/>
      <c r="OIZ361" s="251"/>
      <c r="OJA361" s="606"/>
      <c r="OJB361" s="253"/>
      <c r="OJD361" s="113"/>
      <c r="OJE361" s="607"/>
      <c r="OJF361" s="249"/>
      <c r="OJG361" s="605"/>
      <c r="OJH361" s="321"/>
      <c r="OJI361" s="251"/>
      <c r="OJJ361" s="606"/>
      <c r="OJK361" s="253"/>
      <c r="OJM361" s="113"/>
      <c r="OJN361" s="607"/>
      <c r="OJO361" s="249"/>
      <c r="OJP361" s="605"/>
      <c r="OJQ361" s="321"/>
      <c r="OJR361" s="251"/>
      <c r="OJS361" s="606"/>
      <c r="OJT361" s="253"/>
      <c r="OJV361" s="113"/>
      <c r="OJW361" s="607"/>
      <c r="OJX361" s="249"/>
      <c r="OJY361" s="605"/>
      <c r="OJZ361" s="321"/>
      <c r="OKA361" s="251"/>
      <c r="OKB361" s="606"/>
      <c r="OKC361" s="253"/>
      <c r="OKE361" s="113"/>
      <c r="OKF361" s="607"/>
      <c r="OKG361" s="249"/>
      <c r="OKH361" s="605"/>
      <c r="OKI361" s="321"/>
      <c r="OKJ361" s="251"/>
      <c r="OKK361" s="606"/>
      <c r="OKL361" s="253"/>
      <c r="OKN361" s="113"/>
      <c r="OKO361" s="607"/>
      <c r="OKP361" s="249"/>
      <c r="OKQ361" s="605"/>
      <c r="OKR361" s="321"/>
      <c r="OKS361" s="251"/>
      <c r="OKT361" s="606"/>
      <c r="OKU361" s="253"/>
      <c r="OKW361" s="113"/>
      <c r="OKX361" s="607"/>
      <c r="OKY361" s="249"/>
      <c r="OKZ361" s="605"/>
      <c r="OLA361" s="321"/>
      <c r="OLB361" s="251"/>
      <c r="OLC361" s="606"/>
      <c r="OLD361" s="253"/>
      <c r="OLF361" s="113"/>
      <c r="OLG361" s="607"/>
      <c r="OLH361" s="249"/>
      <c r="OLI361" s="605"/>
      <c r="OLJ361" s="321"/>
      <c r="OLK361" s="251"/>
      <c r="OLL361" s="606"/>
      <c r="OLM361" s="253"/>
      <c r="OLO361" s="113"/>
      <c r="OLP361" s="607"/>
      <c r="OLQ361" s="249"/>
      <c r="OLR361" s="605"/>
      <c r="OLS361" s="321"/>
      <c r="OLT361" s="251"/>
      <c r="OLU361" s="606"/>
      <c r="OLV361" s="253"/>
      <c r="OLX361" s="113"/>
      <c r="OLY361" s="607"/>
      <c r="OLZ361" s="249"/>
      <c r="OMA361" s="605"/>
      <c r="OMB361" s="321"/>
      <c r="OMC361" s="251"/>
      <c r="OMD361" s="606"/>
      <c r="OME361" s="253"/>
      <c r="OMG361" s="113"/>
      <c r="OMH361" s="607"/>
      <c r="OMI361" s="249"/>
      <c r="OMJ361" s="605"/>
      <c r="OMK361" s="321"/>
      <c r="OML361" s="251"/>
      <c r="OMM361" s="606"/>
      <c r="OMN361" s="253"/>
      <c r="OMP361" s="113"/>
      <c r="OMQ361" s="607"/>
      <c r="OMR361" s="249"/>
      <c r="OMS361" s="605"/>
      <c r="OMT361" s="321"/>
      <c r="OMU361" s="251"/>
      <c r="OMV361" s="606"/>
      <c r="OMW361" s="253"/>
      <c r="OMY361" s="113"/>
      <c r="OMZ361" s="607"/>
      <c r="ONA361" s="249"/>
      <c r="ONB361" s="605"/>
      <c r="ONC361" s="321"/>
      <c r="OND361" s="251"/>
      <c r="ONE361" s="606"/>
      <c r="ONF361" s="253"/>
      <c r="ONH361" s="113"/>
      <c r="ONI361" s="607"/>
      <c r="ONJ361" s="249"/>
      <c r="ONK361" s="605"/>
      <c r="ONL361" s="321"/>
      <c r="ONM361" s="251"/>
      <c r="ONN361" s="606"/>
      <c r="ONO361" s="253"/>
      <c r="ONQ361" s="113"/>
      <c r="ONR361" s="607"/>
      <c r="ONS361" s="249"/>
      <c r="ONT361" s="605"/>
      <c r="ONU361" s="321"/>
      <c r="ONV361" s="251"/>
      <c r="ONW361" s="606"/>
      <c r="ONX361" s="253"/>
      <c r="ONZ361" s="113"/>
      <c r="OOA361" s="607"/>
      <c r="OOB361" s="249"/>
      <c r="OOC361" s="605"/>
      <c r="OOD361" s="321"/>
      <c r="OOE361" s="251"/>
      <c r="OOF361" s="606"/>
      <c r="OOG361" s="253"/>
      <c r="OOI361" s="113"/>
      <c r="OOJ361" s="607"/>
      <c r="OOK361" s="249"/>
      <c r="OOL361" s="605"/>
      <c r="OOM361" s="321"/>
      <c r="OON361" s="251"/>
      <c r="OOO361" s="606"/>
      <c r="OOP361" s="253"/>
      <c r="OOR361" s="113"/>
      <c r="OOS361" s="607"/>
      <c r="OOT361" s="249"/>
      <c r="OOU361" s="605"/>
      <c r="OOV361" s="321"/>
      <c r="OOW361" s="251"/>
      <c r="OOX361" s="606"/>
      <c r="OOY361" s="253"/>
      <c r="OPA361" s="113"/>
      <c r="OPB361" s="607"/>
      <c r="OPC361" s="249"/>
      <c r="OPD361" s="605"/>
      <c r="OPE361" s="321"/>
      <c r="OPF361" s="251"/>
      <c r="OPG361" s="606"/>
      <c r="OPH361" s="253"/>
      <c r="OPJ361" s="113"/>
      <c r="OPK361" s="607"/>
      <c r="OPL361" s="249"/>
      <c r="OPM361" s="605"/>
      <c r="OPN361" s="321"/>
      <c r="OPO361" s="251"/>
      <c r="OPP361" s="606"/>
      <c r="OPQ361" s="253"/>
      <c r="OPS361" s="113"/>
      <c r="OPT361" s="607"/>
      <c r="OPU361" s="249"/>
      <c r="OPV361" s="605"/>
      <c r="OPW361" s="321"/>
      <c r="OPX361" s="251"/>
      <c r="OPY361" s="606"/>
      <c r="OPZ361" s="253"/>
      <c r="OQB361" s="113"/>
      <c r="OQC361" s="607"/>
      <c r="OQD361" s="249"/>
      <c r="OQE361" s="605"/>
      <c r="OQF361" s="321"/>
      <c r="OQG361" s="251"/>
      <c r="OQH361" s="606"/>
      <c r="OQI361" s="253"/>
      <c r="OQK361" s="113"/>
      <c r="OQL361" s="607"/>
      <c r="OQM361" s="249"/>
      <c r="OQN361" s="605"/>
      <c r="OQO361" s="321"/>
      <c r="OQP361" s="251"/>
      <c r="OQQ361" s="606"/>
      <c r="OQR361" s="253"/>
      <c r="OQT361" s="113"/>
      <c r="OQU361" s="607"/>
      <c r="OQV361" s="249"/>
      <c r="OQW361" s="605"/>
      <c r="OQX361" s="321"/>
      <c r="OQY361" s="251"/>
      <c r="OQZ361" s="606"/>
      <c r="ORA361" s="253"/>
      <c r="ORC361" s="113"/>
      <c r="ORD361" s="607"/>
      <c r="ORE361" s="249"/>
      <c r="ORF361" s="605"/>
      <c r="ORG361" s="321"/>
      <c r="ORH361" s="251"/>
      <c r="ORI361" s="606"/>
      <c r="ORJ361" s="253"/>
      <c r="ORL361" s="113"/>
      <c r="ORM361" s="607"/>
      <c r="ORN361" s="249"/>
      <c r="ORO361" s="605"/>
      <c r="ORP361" s="321"/>
      <c r="ORQ361" s="251"/>
      <c r="ORR361" s="606"/>
      <c r="ORS361" s="253"/>
      <c r="ORU361" s="113"/>
      <c r="ORV361" s="607"/>
      <c r="ORW361" s="249"/>
      <c r="ORX361" s="605"/>
      <c r="ORY361" s="321"/>
      <c r="ORZ361" s="251"/>
      <c r="OSA361" s="606"/>
      <c r="OSB361" s="253"/>
      <c r="OSD361" s="113"/>
      <c r="OSE361" s="607"/>
      <c r="OSF361" s="249"/>
      <c r="OSG361" s="605"/>
      <c r="OSH361" s="321"/>
      <c r="OSI361" s="251"/>
      <c r="OSJ361" s="606"/>
      <c r="OSK361" s="253"/>
      <c r="OSM361" s="113"/>
      <c r="OSN361" s="607"/>
      <c r="OSO361" s="249"/>
      <c r="OSP361" s="605"/>
      <c r="OSQ361" s="321"/>
      <c r="OSR361" s="251"/>
      <c r="OSS361" s="606"/>
      <c r="OST361" s="253"/>
      <c r="OSV361" s="113"/>
      <c r="OSW361" s="607"/>
      <c r="OSX361" s="249"/>
      <c r="OSY361" s="605"/>
      <c r="OSZ361" s="321"/>
      <c r="OTA361" s="251"/>
      <c r="OTB361" s="606"/>
      <c r="OTC361" s="253"/>
      <c r="OTE361" s="113"/>
      <c r="OTF361" s="607"/>
      <c r="OTG361" s="249"/>
      <c r="OTH361" s="605"/>
      <c r="OTI361" s="321"/>
      <c r="OTJ361" s="251"/>
      <c r="OTK361" s="606"/>
      <c r="OTL361" s="253"/>
      <c r="OTN361" s="113"/>
      <c r="OTO361" s="607"/>
      <c r="OTP361" s="249"/>
      <c r="OTQ361" s="605"/>
      <c r="OTR361" s="321"/>
      <c r="OTS361" s="251"/>
      <c r="OTT361" s="606"/>
      <c r="OTU361" s="253"/>
      <c r="OTW361" s="113"/>
      <c r="OTX361" s="607"/>
      <c r="OTY361" s="249"/>
      <c r="OTZ361" s="605"/>
      <c r="OUA361" s="321"/>
      <c r="OUB361" s="251"/>
      <c r="OUC361" s="606"/>
      <c r="OUD361" s="253"/>
      <c r="OUF361" s="113"/>
      <c r="OUG361" s="607"/>
      <c r="OUH361" s="249"/>
      <c r="OUI361" s="605"/>
      <c r="OUJ361" s="321"/>
      <c r="OUK361" s="251"/>
      <c r="OUL361" s="606"/>
      <c r="OUM361" s="253"/>
      <c r="OUO361" s="113"/>
      <c r="OUP361" s="607"/>
      <c r="OUQ361" s="249"/>
      <c r="OUR361" s="605"/>
      <c r="OUS361" s="321"/>
      <c r="OUT361" s="251"/>
      <c r="OUU361" s="606"/>
      <c r="OUV361" s="253"/>
      <c r="OUX361" s="113"/>
      <c r="OUY361" s="607"/>
      <c r="OUZ361" s="249"/>
      <c r="OVA361" s="605"/>
      <c r="OVB361" s="321"/>
      <c r="OVC361" s="251"/>
      <c r="OVD361" s="606"/>
      <c r="OVE361" s="253"/>
      <c r="OVG361" s="113"/>
      <c r="OVH361" s="607"/>
      <c r="OVI361" s="249"/>
      <c r="OVJ361" s="605"/>
      <c r="OVK361" s="321"/>
      <c r="OVL361" s="251"/>
      <c r="OVM361" s="606"/>
      <c r="OVN361" s="253"/>
      <c r="OVP361" s="113"/>
      <c r="OVQ361" s="607"/>
      <c r="OVR361" s="249"/>
      <c r="OVS361" s="605"/>
      <c r="OVT361" s="321"/>
      <c r="OVU361" s="251"/>
      <c r="OVV361" s="606"/>
      <c r="OVW361" s="253"/>
      <c r="OVY361" s="113"/>
      <c r="OVZ361" s="607"/>
      <c r="OWA361" s="249"/>
      <c r="OWB361" s="605"/>
      <c r="OWC361" s="321"/>
      <c r="OWD361" s="251"/>
      <c r="OWE361" s="606"/>
      <c r="OWF361" s="253"/>
      <c r="OWH361" s="113"/>
      <c r="OWI361" s="607"/>
      <c r="OWJ361" s="249"/>
      <c r="OWK361" s="605"/>
      <c r="OWL361" s="321"/>
      <c r="OWM361" s="251"/>
      <c r="OWN361" s="606"/>
      <c r="OWO361" s="253"/>
      <c r="OWQ361" s="113"/>
      <c r="OWR361" s="607"/>
      <c r="OWS361" s="249"/>
      <c r="OWT361" s="605"/>
      <c r="OWU361" s="321"/>
      <c r="OWV361" s="251"/>
      <c r="OWW361" s="606"/>
      <c r="OWX361" s="253"/>
      <c r="OWZ361" s="113"/>
      <c r="OXA361" s="607"/>
      <c r="OXB361" s="249"/>
      <c r="OXC361" s="605"/>
      <c r="OXD361" s="321"/>
      <c r="OXE361" s="251"/>
      <c r="OXF361" s="606"/>
      <c r="OXG361" s="253"/>
      <c r="OXI361" s="113"/>
      <c r="OXJ361" s="607"/>
      <c r="OXK361" s="249"/>
      <c r="OXL361" s="605"/>
      <c r="OXM361" s="321"/>
      <c r="OXN361" s="251"/>
      <c r="OXO361" s="606"/>
      <c r="OXP361" s="253"/>
      <c r="OXR361" s="113"/>
      <c r="OXS361" s="607"/>
      <c r="OXT361" s="249"/>
      <c r="OXU361" s="605"/>
      <c r="OXV361" s="321"/>
      <c r="OXW361" s="251"/>
      <c r="OXX361" s="606"/>
      <c r="OXY361" s="253"/>
      <c r="OYA361" s="113"/>
      <c r="OYB361" s="607"/>
      <c r="OYC361" s="249"/>
      <c r="OYD361" s="605"/>
      <c r="OYE361" s="321"/>
      <c r="OYF361" s="251"/>
      <c r="OYG361" s="606"/>
      <c r="OYH361" s="253"/>
      <c r="OYJ361" s="113"/>
      <c r="OYK361" s="607"/>
      <c r="OYL361" s="249"/>
      <c r="OYM361" s="605"/>
      <c r="OYN361" s="321"/>
      <c r="OYO361" s="251"/>
      <c r="OYP361" s="606"/>
      <c r="OYQ361" s="253"/>
      <c r="OYS361" s="113"/>
      <c r="OYT361" s="607"/>
      <c r="OYU361" s="249"/>
      <c r="OYV361" s="605"/>
      <c r="OYW361" s="321"/>
      <c r="OYX361" s="251"/>
      <c r="OYY361" s="606"/>
      <c r="OYZ361" s="253"/>
      <c r="OZB361" s="113"/>
      <c r="OZC361" s="607"/>
      <c r="OZD361" s="249"/>
      <c r="OZE361" s="605"/>
      <c r="OZF361" s="321"/>
      <c r="OZG361" s="251"/>
      <c r="OZH361" s="606"/>
      <c r="OZI361" s="253"/>
      <c r="OZK361" s="113"/>
      <c r="OZL361" s="607"/>
      <c r="OZM361" s="249"/>
      <c r="OZN361" s="605"/>
      <c r="OZO361" s="321"/>
      <c r="OZP361" s="251"/>
      <c r="OZQ361" s="606"/>
      <c r="OZR361" s="253"/>
      <c r="OZT361" s="113"/>
      <c r="OZU361" s="607"/>
      <c r="OZV361" s="249"/>
      <c r="OZW361" s="605"/>
      <c r="OZX361" s="321"/>
      <c r="OZY361" s="251"/>
      <c r="OZZ361" s="606"/>
      <c r="PAA361" s="253"/>
      <c r="PAC361" s="113"/>
      <c r="PAD361" s="607"/>
      <c r="PAE361" s="249"/>
      <c r="PAF361" s="605"/>
      <c r="PAG361" s="321"/>
      <c r="PAH361" s="251"/>
      <c r="PAI361" s="606"/>
      <c r="PAJ361" s="253"/>
      <c r="PAL361" s="113"/>
      <c r="PAM361" s="607"/>
      <c r="PAN361" s="249"/>
      <c r="PAO361" s="605"/>
      <c r="PAP361" s="321"/>
      <c r="PAQ361" s="251"/>
      <c r="PAR361" s="606"/>
      <c r="PAS361" s="253"/>
      <c r="PAU361" s="113"/>
      <c r="PAV361" s="607"/>
      <c r="PAW361" s="249"/>
      <c r="PAX361" s="605"/>
      <c r="PAY361" s="321"/>
      <c r="PAZ361" s="251"/>
      <c r="PBA361" s="606"/>
      <c r="PBB361" s="253"/>
      <c r="PBD361" s="113"/>
      <c r="PBE361" s="607"/>
      <c r="PBF361" s="249"/>
      <c r="PBG361" s="605"/>
      <c r="PBH361" s="321"/>
      <c r="PBI361" s="251"/>
      <c r="PBJ361" s="606"/>
      <c r="PBK361" s="253"/>
      <c r="PBM361" s="113"/>
      <c r="PBN361" s="607"/>
      <c r="PBO361" s="249"/>
      <c r="PBP361" s="605"/>
      <c r="PBQ361" s="321"/>
      <c r="PBR361" s="251"/>
      <c r="PBS361" s="606"/>
      <c r="PBT361" s="253"/>
      <c r="PBV361" s="113"/>
      <c r="PBW361" s="607"/>
      <c r="PBX361" s="249"/>
      <c r="PBY361" s="605"/>
      <c r="PBZ361" s="321"/>
      <c r="PCA361" s="251"/>
      <c r="PCB361" s="606"/>
      <c r="PCC361" s="253"/>
      <c r="PCE361" s="113"/>
      <c r="PCF361" s="607"/>
      <c r="PCG361" s="249"/>
      <c r="PCH361" s="605"/>
      <c r="PCI361" s="321"/>
      <c r="PCJ361" s="251"/>
      <c r="PCK361" s="606"/>
      <c r="PCL361" s="253"/>
      <c r="PCN361" s="113"/>
      <c r="PCO361" s="607"/>
      <c r="PCP361" s="249"/>
      <c r="PCQ361" s="605"/>
      <c r="PCR361" s="321"/>
      <c r="PCS361" s="251"/>
      <c r="PCT361" s="606"/>
      <c r="PCU361" s="253"/>
      <c r="PCW361" s="113"/>
      <c r="PCX361" s="607"/>
      <c r="PCY361" s="249"/>
      <c r="PCZ361" s="605"/>
      <c r="PDA361" s="321"/>
      <c r="PDB361" s="251"/>
      <c r="PDC361" s="606"/>
      <c r="PDD361" s="253"/>
      <c r="PDF361" s="113"/>
      <c r="PDG361" s="607"/>
      <c r="PDH361" s="249"/>
      <c r="PDI361" s="605"/>
      <c r="PDJ361" s="321"/>
      <c r="PDK361" s="251"/>
      <c r="PDL361" s="606"/>
      <c r="PDM361" s="253"/>
      <c r="PDO361" s="113"/>
      <c r="PDP361" s="607"/>
      <c r="PDQ361" s="249"/>
      <c r="PDR361" s="605"/>
      <c r="PDS361" s="321"/>
      <c r="PDT361" s="251"/>
      <c r="PDU361" s="606"/>
      <c r="PDV361" s="253"/>
      <c r="PDX361" s="113"/>
      <c r="PDY361" s="607"/>
      <c r="PDZ361" s="249"/>
      <c r="PEA361" s="605"/>
      <c r="PEB361" s="321"/>
      <c r="PEC361" s="251"/>
      <c r="PED361" s="606"/>
      <c r="PEE361" s="253"/>
      <c r="PEG361" s="113"/>
      <c r="PEH361" s="607"/>
      <c r="PEI361" s="249"/>
      <c r="PEJ361" s="605"/>
      <c r="PEK361" s="321"/>
      <c r="PEL361" s="251"/>
      <c r="PEM361" s="606"/>
      <c r="PEN361" s="253"/>
      <c r="PEP361" s="113"/>
      <c r="PEQ361" s="607"/>
      <c r="PER361" s="249"/>
      <c r="PES361" s="605"/>
      <c r="PET361" s="321"/>
      <c r="PEU361" s="251"/>
      <c r="PEV361" s="606"/>
      <c r="PEW361" s="253"/>
      <c r="PEY361" s="113"/>
      <c r="PEZ361" s="607"/>
      <c r="PFA361" s="249"/>
      <c r="PFB361" s="605"/>
      <c r="PFC361" s="321"/>
      <c r="PFD361" s="251"/>
      <c r="PFE361" s="606"/>
      <c r="PFF361" s="253"/>
      <c r="PFH361" s="113"/>
      <c r="PFI361" s="607"/>
      <c r="PFJ361" s="249"/>
      <c r="PFK361" s="605"/>
      <c r="PFL361" s="321"/>
      <c r="PFM361" s="251"/>
      <c r="PFN361" s="606"/>
      <c r="PFO361" s="253"/>
      <c r="PFQ361" s="113"/>
      <c r="PFR361" s="607"/>
      <c r="PFS361" s="249"/>
      <c r="PFT361" s="605"/>
      <c r="PFU361" s="321"/>
      <c r="PFV361" s="251"/>
      <c r="PFW361" s="606"/>
      <c r="PFX361" s="253"/>
      <c r="PFZ361" s="113"/>
      <c r="PGA361" s="607"/>
      <c r="PGB361" s="249"/>
      <c r="PGC361" s="605"/>
      <c r="PGD361" s="321"/>
      <c r="PGE361" s="251"/>
      <c r="PGF361" s="606"/>
      <c r="PGG361" s="253"/>
      <c r="PGI361" s="113"/>
      <c r="PGJ361" s="607"/>
      <c r="PGK361" s="249"/>
      <c r="PGL361" s="605"/>
      <c r="PGM361" s="321"/>
      <c r="PGN361" s="251"/>
      <c r="PGO361" s="606"/>
      <c r="PGP361" s="253"/>
      <c r="PGR361" s="113"/>
      <c r="PGS361" s="607"/>
      <c r="PGT361" s="249"/>
      <c r="PGU361" s="605"/>
      <c r="PGV361" s="321"/>
      <c r="PGW361" s="251"/>
      <c r="PGX361" s="606"/>
      <c r="PGY361" s="253"/>
      <c r="PHA361" s="113"/>
      <c r="PHB361" s="607"/>
      <c r="PHC361" s="249"/>
      <c r="PHD361" s="605"/>
      <c r="PHE361" s="321"/>
      <c r="PHF361" s="251"/>
      <c r="PHG361" s="606"/>
      <c r="PHH361" s="253"/>
      <c r="PHJ361" s="113"/>
      <c r="PHK361" s="607"/>
      <c r="PHL361" s="249"/>
      <c r="PHM361" s="605"/>
      <c r="PHN361" s="321"/>
      <c r="PHO361" s="251"/>
      <c r="PHP361" s="606"/>
      <c r="PHQ361" s="253"/>
      <c r="PHS361" s="113"/>
      <c r="PHT361" s="607"/>
      <c r="PHU361" s="249"/>
      <c r="PHV361" s="605"/>
      <c r="PHW361" s="321"/>
      <c r="PHX361" s="251"/>
      <c r="PHY361" s="606"/>
      <c r="PHZ361" s="253"/>
      <c r="PIB361" s="113"/>
      <c r="PIC361" s="607"/>
      <c r="PID361" s="249"/>
      <c r="PIE361" s="605"/>
      <c r="PIF361" s="321"/>
      <c r="PIG361" s="251"/>
      <c r="PIH361" s="606"/>
      <c r="PII361" s="253"/>
      <c r="PIK361" s="113"/>
      <c r="PIL361" s="607"/>
      <c r="PIM361" s="249"/>
      <c r="PIN361" s="605"/>
      <c r="PIO361" s="321"/>
      <c r="PIP361" s="251"/>
      <c r="PIQ361" s="606"/>
      <c r="PIR361" s="253"/>
      <c r="PIT361" s="113"/>
      <c r="PIU361" s="607"/>
      <c r="PIV361" s="249"/>
      <c r="PIW361" s="605"/>
      <c r="PIX361" s="321"/>
      <c r="PIY361" s="251"/>
      <c r="PIZ361" s="606"/>
      <c r="PJA361" s="253"/>
      <c r="PJC361" s="113"/>
      <c r="PJD361" s="607"/>
      <c r="PJE361" s="249"/>
      <c r="PJF361" s="605"/>
      <c r="PJG361" s="321"/>
      <c r="PJH361" s="251"/>
      <c r="PJI361" s="606"/>
      <c r="PJJ361" s="253"/>
      <c r="PJL361" s="113"/>
      <c r="PJM361" s="607"/>
      <c r="PJN361" s="249"/>
      <c r="PJO361" s="605"/>
      <c r="PJP361" s="321"/>
      <c r="PJQ361" s="251"/>
      <c r="PJR361" s="606"/>
      <c r="PJS361" s="253"/>
      <c r="PJU361" s="113"/>
      <c r="PJV361" s="607"/>
      <c r="PJW361" s="249"/>
      <c r="PJX361" s="605"/>
      <c r="PJY361" s="321"/>
      <c r="PJZ361" s="251"/>
      <c r="PKA361" s="606"/>
      <c r="PKB361" s="253"/>
      <c r="PKD361" s="113"/>
      <c r="PKE361" s="607"/>
      <c r="PKF361" s="249"/>
      <c r="PKG361" s="605"/>
      <c r="PKH361" s="321"/>
      <c r="PKI361" s="251"/>
      <c r="PKJ361" s="606"/>
      <c r="PKK361" s="253"/>
      <c r="PKM361" s="113"/>
      <c r="PKN361" s="607"/>
      <c r="PKO361" s="249"/>
      <c r="PKP361" s="605"/>
      <c r="PKQ361" s="321"/>
      <c r="PKR361" s="251"/>
      <c r="PKS361" s="606"/>
      <c r="PKT361" s="253"/>
      <c r="PKV361" s="113"/>
      <c r="PKW361" s="607"/>
      <c r="PKX361" s="249"/>
      <c r="PKY361" s="605"/>
      <c r="PKZ361" s="321"/>
      <c r="PLA361" s="251"/>
      <c r="PLB361" s="606"/>
      <c r="PLC361" s="253"/>
      <c r="PLE361" s="113"/>
      <c r="PLF361" s="607"/>
      <c r="PLG361" s="249"/>
      <c r="PLH361" s="605"/>
      <c r="PLI361" s="321"/>
      <c r="PLJ361" s="251"/>
      <c r="PLK361" s="606"/>
      <c r="PLL361" s="253"/>
      <c r="PLN361" s="113"/>
      <c r="PLO361" s="607"/>
      <c r="PLP361" s="249"/>
      <c r="PLQ361" s="605"/>
      <c r="PLR361" s="321"/>
      <c r="PLS361" s="251"/>
      <c r="PLT361" s="606"/>
      <c r="PLU361" s="253"/>
      <c r="PLW361" s="113"/>
      <c r="PLX361" s="607"/>
      <c r="PLY361" s="249"/>
      <c r="PLZ361" s="605"/>
      <c r="PMA361" s="321"/>
      <c r="PMB361" s="251"/>
      <c r="PMC361" s="606"/>
      <c r="PMD361" s="253"/>
      <c r="PMF361" s="113"/>
      <c r="PMG361" s="607"/>
      <c r="PMH361" s="249"/>
      <c r="PMI361" s="605"/>
      <c r="PMJ361" s="321"/>
      <c r="PMK361" s="251"/>
      <c r="PML361" s="606"/>
      <c r="PMM361" s="253"/>
      <c r="PMO361" s="113"/>
      <c r="PMP361" s="607"/>
      <c r="PMQ361" s="249"/>
      <c r="PMR361" s="605"/>
      <c r="PMS361" s="321"/>
      <c r="PMT361" s="251"/>
      <c r="PMU361" s="606"/>
      <c r="PMV361" s="253"/>
      <c r="PMX361" s="113"/>
      <c r="PMY361" s="607"/>
      <c r="PMZ361" s="249"/>
      <c r="PNA361" s="605"/>
      <c r="PNB361" s="321"/>
      <c r="PNC361" s="251"/>
      <c r="PND361" s="606"/>
      <c r="PNE361" s="253"/>
      <c r="PNG361" s="113"/>
      <c r="PNH361" s="607"/>
      <c r="PNI361" s="249"/>
      <c r="PNJ361" s="605"/>
      <c r="PNK361" s="321"/>
      <c r="PNL361" s="251"/>
      <c r="PNM361" s="606"/>
      <c r="PNN361" s="253"/>
      <c r="PNP361" s="113"/>
      <c r="PNQ361" s="607"/>
      <c r="PNR361" s="249"/>
      <c r="PNS361" s="605"/>
      <c r="PNT361" s="321"/>
      <c r="PNU361" s="251"/>
      <c r="PNV361" s="606"/>
      <c r="PNW361" s="253"/>
      <c r="PNY361" s="113"/>
      <c r="PNZ361" s="607"/>
      <c r="POA361" s="249"/>
      <c r="POB361" s="605"/>
      <c r="POC361" s="321"/>
      <c r="POD361" s="251"/>
      <c r="POE361" s="606"/>
      <c r="POF361" s="253"/>
      <c r="POH361" s="113"/>
      <c r="POI361" s="607"/>
      <c r="POJ361" s="249"/>
      <c r="POK361" s="605"/>
      <c r="POL361" s="321"/>
      <c r="POM361" s="251"/>
      <c r="PON361" s="606"/>
      <c r="POO361" s="253"/>
      <c r="POQ361" s="113"/>
      <c r="POR361" s="607"/>
      <c r="POS361" s="249"/>
      <c r="POT361" s="605"/>
      <c r="POU361" s="321"/>
      <c r="POV361" s="251"/>
      <c r="POW361" s="606"/>
      <c r="POX361" s="253"/>
      <c r="POZ361" s="113"/>
      <c r="PPA361" s="607"/>
      <c r="PPB361" s="249"/>
      <c r="PPC361" s="605"/>
      <c r="PPD361" s="321"/>
      <c r="PPE361" s="251"/>
      <c r="PPF361" s="606"/>
      <c r="PPG361" s="253"/>
      <c r="PPI361" s="113"/>
      <c r="PPJ361" s="607"/>
      <c r="PPK361" s="249"/>
      <c r="PPL361" s="605"/>
      <c r="PPM361" s="321"/>
      <c r="PPN361" s="251"/>
      <c r="PPO361" s="606"/>
      <c r="PPP361" s="253"/>
      <c r="PPR361" s="113"/>
      <c r="PPS361" s="607"/>
      <c r="PPT361" s="249"/>
      <c r="PPU361" s="605"/>
      <c r="PPV361" s="321"/>
      <c r="PPW361" s="251"/>
      <c r="PPX361" s="606"/>
      <c r="PPY361" s="253"/>
      <c r="PQA361" s="113"/>
      <c r="PQB361" s="607"/>
      <c r="PQC361" s="249"/>
      <c r="PQD361" s="605"/>
      <c r="PQE361" s="321"/>
      <c r="PQF361" s="251"/>
      <c r="PQG361" s="606"/>
      <c r="PQH361" s="253"/>
      <c r="PQJ361" s="113"/>
      <c r="PQK361" s="607"/>
      <c r="PQL361" s="249"/>
      <c r="PQM361" s="605"/>
      <c r="PQN361" s="321"/>
      <c r="PQO361" s="251"/>
      <c r="PQP361" s="606"/>
      <c r="PQQ361" s="253"/>
      <c r="PQS361" s="113"/>
      <c r="PQT361" s="607"/>
      <c r="PQU361" s="249"/>
      <c r="PQV361" s="605"/>
      <c r="PQW361" s="321"/>
      <c r="PQX361" s="251"/>
      <c r="PQY361" s="606"/>
      <c r="PQZ361" s="253"/>
      <c r="PRB361" s="113"/>
      <c r="PRC361" s="607"/>
      <c r="PRD361" s="249"/>
      <c r="PRE361" s="605"/>
      <c r="PRF361" s="321"/>
      <c r="PRG361" s="251"/>
      <c r="PRH361" s="606"/>
      <c r="PRI361" s="253"/>
      <c r="PRK361" s="113"/>
      <c r="PRL361" s="607"/>
      <c r="PRM361" s="249"/>
      <c r="PRN361" s="605"/>
      <c r="PRO361" s="321"/>
      <c r="PRP361" s="251"/>
      <c r="PRQ361" s="606"/>
      <c r="PRR361" s="253"/>
      <c r="PRT361" s="113"/>
      <c r="PRU361" s="607"/>
      <c r="PRV361" s="249"/>
      <c r="PRW361" s="605"/>
      <c r="PRX361" s="321"/>
      <c r="PRY361" s="251"/>
      <c r="PRZ361" s="606"/>
      <c r="PSA361" s="253"/>
      <c r="PSC361" s="113"/>
      <c r="PSD361" s="607"/>
      <c r="PSE361" s="249"/>
      <c r="PSF361" s="605"/>
      <c r="PSG361" s="321"/>
      <c r="PSH361" s="251"/>
      <c r="PSI361" s="606"/>
      <c r="PSJ361" s="253"/>
      <c r="PSL361" s="113"/>
      <c r="PSM361" s="607"/>
      <c r="PSN361" s="249"/>
      <c r="PSO361" s="605"/>
      <c r="PSP361" s="321"/>
      <c r="PSQ361" s="251"/>
      <c r="PSR361" s="606"/>
      <c r="PSS361" s="253"/>
      <c r="PSU361" s="113"/>
      <c r="PSV361" s="607"/>
      <c r="PSW361" s="249"/>
      <c r="PSX361" s="605"/>
      <c r="PSY361" s="321"/>
      <c r="PSZ361" s="251"/>
      <c r="PTA361" s="606"/>
      <c r="PTB361" s="253"/>
      <c r="PTD361" s="113"/>
      <c r="PTE361" s="607"/>
      <c r="PTF361" s="249"/>
      <c r="PTG361" s="605"/>
      <c r="PTH361" s="321"/>
      <c r="PTI361" s="251"/>
      <c r="PTJ361" s="606"/>
      <c r="PTK361" s="253"/>
      <c r="PTM361" s="113"/>
      <c r="PTN361" s="607"/>
      <c r="PTO361" s="249"/>
      <c r="PTP361" s="605"/>
      <c r="PTQ361" s="321"/>
      <c r="PTR361" s="251"/>
      <c r="PTS361" s="606"/>
      <c r="PTT361" s="253"/>
      <c r="PTV361" s="113"/>
      <c r="PTW361" s="607"/>
      <c r="PTX361" s="249"/>
      <c r="PTY361" s="605"/>
      <c r="PTZ361" s="321"/>
      <c r="PUA361" s="251"/>
      <c r="PUB361" s="606"/>
      <c r="PUC361" s="253"/>
      <c r="PUE361" s="113"/>
      <c r="PUF361" s="607"/>
      <c r="PUG361" s="249"/>
      <c r="PUH361" s="605"/>
      <c r="PUI361" s="321"/>
      <c r="PUJ361" s="251"/>
      <c r="PUK361" s="606"/>
      <c r="PUL361" s="253"/>
      <c r="PUN361" s="113"/>
      <c r="PUO361" s="607"/>
      <c r="PUP361" s="249"/>
      <c r="PUQ361" s="605"/>
      <c r="PUR361" s="321"/>
      <c r="PUS361" s="251"/>
      <c r="PUT361" s="606"/>
      <c r="PUU361" s="253"/>
      <c r="PUW361" s="113"/>
      <c r="PUX361" s="607"/>
      <c r="PUY361" s="249"/>
      <c r="PUZ361" s="605"/>
      <c r="PVA361" s="321"/>
      <c r="PVB361" s="251"/>
      <c r="PVC361" s="606"/>
      <c r="PVD361" s="253"/>
      <c r="PVF361" s="113"/>
      <c r="PVG361" s="607"/>
      <c r="PVH361" s="249"/>
      <c r="PVI361" s="605"/>
      <c r="PVJ361" s="321"/>
      <c r="PVK361" s="251"/>
      <c r="PVL361" s="606"/>
      <c r="PVM361" s="253"/>
      <c r="PVO361" s="113"/>
      <c r="PVP361" s="607"/>
      <c r="PVQ361" s="249"/>
      <c r="PVR361" s="605"/>
      <c r="PVS361" s="321"/>
      <c r="PVT361" s="251"/>
      <c r="PVU361" s="606"/>
      <c r="PVV361" s="253"/>
      <c r="PVX361" s="113"/>
      <c r="PVY361" s="607"/>
      <c r="PVZ361" s="249"/>
      <c r="PWA361" s="605"/>
      <c r="PWB361" s="321"/>
      <c r="PWC361" s="251"/>
      <c r="PWD361" s="606"/>
      <c r="PWE361" s="253"/>
      <c r="PWG361" s="113"/>
      <c r="PWH361" s="607"/>
      <c r="PWI361" s="249"/>
      <c r="PWJ361" s="605"/>
      <c r="PWK361" s="321"/>
      <c r="PWL361" s="251"/>
      <c r="PWM361" s="606"/>
      <c r="PWN361" s="253"/>
      <c r="PWP361" s="113"/>
      <c r="PWQ361" s="607"/>
      <c r="PWR361" s="249"/>
      <c r="PWS361" s="605"/>
      <c r="PWT361" s="321"/>
      <c r="PWU361" s="251"/>
      <c r="PWV361" s="606"/>
      <c r="PWW361" s="253"/>
      <c r="PWY361" s="113"/>
      <c r="PWZ361" s="607"/>
      <c r="PXA361" s="249"/>
      <c r="PXB361" s="605"/>
      <c r="PXC361" s="321"/>
      <c r="PXD361" s="251"/>
      <c r="PXE361" s="606"/>
      <c r="PXF361" s="253"/>
      <c r="PXH361" s="113"/>
      <c r="PXI361" s="607"/>
      <c r="PXJ361" s="249"/>
      <c r="PXK361" s="605"/>
      <c r="PXL361" s="321"/>
      <c r="PXM361" s="251"/>
      <c r="PXN361" s="606"/>
      <c r="PXO361" s="253"/>
      <c r="PXQ361" s="113"/>
      <c r="PXR361" s="607"/>
      <c r="PXS361" s="249"/>
      <c r="PXT361" s="605"/>
      <c r="PXU361" s="321"/>
      <c r="PXV361" s="251"/>
      <c r="PXW361" s="606"/>
      <c r="PXX361" s="253"/>
      <c r="PXZ361" s="113"/>
      <c r="PYA361" s="607"/>
      <c r="PYB361" s="249"/>
      <c r="PYC361" s="605"/>
      <c r="PYD361" s="321"/>
      <c r="PYE361" s="251"/>
      <c r="PYF361" s="606"/>
      <c r="PYG361" s="253"/>
      <c r="PYI361" s="113"/>
      <c r="PYJ361" s="607"/>
      <c r="PYK361" s="249"/>
      <c r="PYL361" s="605"/>
      <c r="PYM361" s="321"/>
      <c r="PYN361" s="251"/>
      <c r="PYO361" s="606"/>
      <c r="PYP361" s="253"/>
      <c r="PYR361" s="113"/>
      <c r="PYS361" s="607"/>
      <c r="PYT361" s="249"/>
      <c r="PYU361" s="605"/>
      <c r="PYV361" s="321"/>
      <c r="PYW361" s="251"/>
      <c r="PYX361" s="606"/>
      <c r="PYY361" s="253"/>
      <c r="PZA361" s="113"/>
      <c r="PZB361" s="607"/>
      <c r="PZC361" s="249"/>
      <c r="PZD361" s="605"/>
      <c r="PZE361" s="321"/>
      <c r="PZF361" s="251"/>
      <c r="PZG361" s="606"/>
      <c r="PZH361" s="253"/>
      <c r="PZJ361" s="113"/>
      <c r="PZK361" s="607"/>
      <c r="PZL361" s="249"/>
      <c r="PZM361" s="605"/>
      <c r="PZN361" s="321"/>
      <c r="PZO361" s="251"/>
      <c r="PZP361" s="606"/>
      <c r="PZQ361" s="253"/>
      <c r="PZS361" s="113"/>
      <c r="PZT361" s="607"/>
      <c r="PZU361" s="249"/>
      <c r="PZV361" s="605"/>
      <c r="PZW361" s="321"/>
      <c r="PZX361" s="251"/>
      <c r="PZY361" s="606"/>
      <c r="PZZ361" s="253"/>
      <c r="QAB361" s="113"/>
      <c r="QAC361" s="607"/>
      <c r="QAD361" s="249"/>
      <c r="QAE361" s="605"/>
      <c r="QAF361" s="321"/>
      <c r="QAG361" s="251"/>
      <c r="QAH361" s="606"/>
      <c r="QAI361" s="253"/>
      <c r="QAK361" s="113"/>
      <c r="QAL361" s="607"/>
      <c r="QAM361" s="249"/>
      <c r="QAN361" s="605"/>
      <c r="QAO361" s="321"/>
      <c r="QAP361" s="251"/>
      <c r="QAQ361" s="606"/>
      <c r="QAR361" s="253"/>
      <c r="QAT361" s="113"/>
      <c r="QAU361" s="607"/>
      <c r="QAV361" s="249"/>
      <c r="QAW361" s="605"/>
      <c r="QAX361" s="321"/>
      <c r="QAY361" s="251"/>
      <c r="QAZ361" s="606"/>
      <c r="QBA361" s="253"/>
      <c r="QBC361" s="113"/>
      <c r="QBD361" s="607"/>
      <c r="QBE361" s="249"/>
      <c r="QBF361" s="605"/>
      <c r="QBG361" s="321"/>
      <c r="QBH361" s="251"/>
      <c r="QBI361" s="606"/>
      <c r="QBJ361" s="253"/>
      <c r="QBL361" s="113"/>
      <c r="QBM361" s="607"/>
      <c r="QBN361" s="249"/>
      <c r="QBO361" s="605"/>
      <c r="QBP361" s="321"/>
      <c r="QBQ361" s="251"/>
      <c r="QBR361" s="606"/>
      <c r="QBS361" s="253"/>
      <c r="QBU361" s="113"/>
      <c r="QBV361" s="607"/>
      <c r="QBW361" s="249"/>
      <c r="QBX361" s="605"/>
      <c r="QBY361" s="321"/>
      <c r="QBZ361" s="251"/>
      <c r="QCA361" s="606"/>
      <c r="QCB361" s="253"/>
      <c r="QCD361" s="113"/>
      <c r="QCE361" s="607"/>
      <c r="QCF361" s="249"/>
      <c r="QCG361" s="605"/>
      <c r="QCH361" s="321"/>
      <c r="QCI361" s="251"/>
      <c r="QCJ361" s="606"/>
      <c r="QCK361" s="253"/>
      <c r="QCM361" s="113"/>
      <c r="QCN361" s="607"/>
      <c r="QCO361" s="249"/>
      <c r="QCP361" s="605"/>
      <c r="QCQ361" s="321"/>
      <c r="QCR361" s="251"/>
      <c r="QCS361" s="606"/>
      <c r="QCT361" s="253"/>
      <c r="QCV361" s="113"/>
      <c r="QCW361" s="607"/>
      <c r="QCX361" s="249"/>
      <c r="QCY361" s="605"/>
      <c r="QCZ361" s="321"/>
      <c r="QDA361" s="251"/>
      <c r="QDB361" s="606"/>
      <c r="QDC361" s="253"/>
      <c r="QDE361" s="113"/>
      <c r="QDF361" s="607"/>
      <c r="QDG361" s="249"/>
      <c r="QDH361" s="605"/>
      <c r="QDI361" s="321"/>
      <c r="QDJ361" s="251"/>
      <c r="QDK361" s="606"/>
      <c r="QDL361" s="253"/>
      <c r="QDN361" s="113"/>
      <c r="QDO361" s="607"/>
      <c r="QDP361" s="249"/>
      <c r="QDQ361" s="605"/>
      <c r="QDR361" s="321"/>
      <c r="QDS361" s="251"/>
      <c r="QDT361" s="606"/>
      <c r="QDU361" s="253"/>
      <c r="QDW361" s="113"/>
      <c r="QDX361" s="607"/>
      <c r="QDY361" s="249"/>
      <c r="QDZ361" s="605"/>
      <c r="QEA361" s="321"/>
      <c r="QEB361" s="251"/>
      <c r="QEC361" s="606"/>
      <c r="QED361" s="253"/>
      <c r="QEF361" s="113"/>
      <c r="QEG361" s="607"/>
      <c r="QEH361" s="249"/>
      <c r="QEI361" s="605"/>
      <c r="QEJ361" s="321"/>
      <c r="QEK361" s="251"/>
      <c r="QEL361" s="606"/>
      <c r="QEM361" s="253"/>
      <c r="QEO361" s="113"/>
      <c r="QEP361" s="607"/>
      <c r="QEQ361" s="249"/>
      <c r="QER361" s="605"/>
      <c r="QES361" s="321"/>
      <c r="QET361" s="251"/>
      <c r="QEU361" s="606"/>
      <c r="QEV361" s="253"/>
      <c r="QEX361" s="113"/>
      <c r="QEY361" s="607"/>
      <c r="QEZ361" s="249"/>
      <c r="QFA361" s="605"/>
      <c r="QFB361" s="321"/>
      <c r="QFC361" s="251"/>
      <c r="QFD361" s="606"/>
      <c r="QFE361" s="253"/>
      <c r="QFG361" s="113"/>
      <c r="QFH361" s="607"/>
      <c r="QFI361" s="249"/>
      <c r="QFJ361" s="605"/>
      <c r="QFK361" s="321"/>
      <c r="QFL361" s="251"/>
      <c r="QFM361" s="606"/>
      <c r="QFN361" s="253"/>
      <c r="QFP361" s="113"/>
      <c r="QFQ361" s="607"/>
      <c r="QFR361" s="249"/>
      <c r="QFS361" s="605"/>
      <c r="QFT361" s="321"/>
      <c r="QFU361" s="251"/>
      <c r="QFV361" s="606"/>
      <c r="QFW361" s="253"/>
      <c r="QFY361" s="113"/>
      <c r="QFZ361" s="607"/>
      <c r="QGA361" s="249"/>
      <c r="QGB361" s="605"/>
      <c r="QGC361" s="321"/>
      <c r="QGD361" s="251"/>
      <c r="QGE361" s="606"/>
      <c r="QGF361" s="253"/>
      <c r="QGH361" s="113"/>
      <c r="QGI361" s="607"/>
      <c r="QGJ361" s="249"/>
      <c r="QGK361" s="605"/>
      <c r="QGL361" s="321"/>
      <c r="QGM361" s="251"/>
      <c r="QGN361" s="606"/>
      <c r="QGO361" s="253"/>
      <c r="QGQ361" s="113"/>
      <c r="QGR361" s="607"/>
      <c r="QGS361" s="249"/>
      <c r="QGT361" s="605"/>
      <c r="QGU361" s="321"/>
      <c r="QGV361" s="251"/>
      <c r="QGW361" s="606"/>
      <c r="QGX361" s="253"/>
      <c r="QGZ361" s="113"/>
      <c r="QHA361" s="607"/>
      <c r="QHB361" s="249"/>
      <c r="QHC361" s="605"/>
      <c r="QHD361" s="321"/>
      <c r="QHE361" s="251"/>
      <c r="QHF361" s="606"/>
      <c r="QHG361" s="253"/>
      <c r="QHI361" s="113"/>
      <c r="QHJ361" s="607"/>
      <c r="QHK361" s="249"/>
      <c r="QHL361" s="605"/>
      <c r="QHM361" s="321"/>
      <c r="QHN361" s="251"/>
      <c r="QHO361" s="606"/>
      <c r="QHP361" s="253"/>
      <c r="QHR361" s="113"/>
      <c r="QHS361" s="607"/>
      <c r="QHT361" s="249"/>
      <c r="QHU361" s="605"/>
      <c r="QHV361" s="321"/>
      <c r="QHW361" s="251"/>
      <c r="QHX361" s="606"/>
      <c r="QHY361" s="253"/>
      <c r="QIA361" s="113"/>
      <c r="QIB361" s="607"/>
      <c r="QIC361" s="249"/>
      <c r="QID361" s="605"/>
      <c r="QIE361" s="321"/>
      <c r="QIF361" s="251"/>
      <c r="QIG361" s="606"/>
      <c r="QIH361" s="253"/>
      <c r="QIJ361" s="113"/>
      <c r="QIK361" s="607"/>
      <c r="QIL361" s="249"/>
      <c r="QIM361" s="605"/>
      <c r="QIN361" s="321"/>
      <c r="QIO361" s="251"/>
      <c r="QIP361" s="606"/>
      <c r="QIQ361" s="253"/>
      <c r="QIS361" s="113"/>
      <c r="QIT361" s="607"/>
      <c r="QIU361" s="249"/>
      <c r="QIV361" s="605"/>
      <c r="QIW361" s="321"/>
      <c r="QIX361" s="251"/>
      <c r="QIY361" s="606"/>
      <c r="QIZ361" s="253"/>
      <c r="QJB361" s="113"/>
      <c r="QJC361" s="607"/>
      <c r="QJD361" s="249"/>
      <c r="QJE361" s="605"/>
      <c r="QJF361" s="321"/>
      <c r="QJG361" s="251"/>
      <c r="QJH361" s="606"/>
      <c r="QJI361" s="253"/>
      <c r="QJK361" s="113"/>
      <c r="QJL361" s="607"/>
      <c r="QJM361" s="249"/>
      <c r="QJN361" s="605"/>
      <c r="QJO361" s="321"/>
      <c r="QJP361" s="251"/>
      <c r="QJQ361" s="606"/>
      <c r="QJR361" s="253"/>
      <c r="QJT361" s="113"/>
      <c r="QJU361" s="607"/>
      <c r="QJV361" s="249"/>
      <c r="QJW361" s="605"/>
      <c r="QJX361" s="321"/>
      <c r="QJY361" s="251"/>
      <c r="QJZ361" s="606"/>
      <c r="QKA361" s="253"/>
      <c r="QKC361" s="113"/>
      <c r="QKD361" s="607"/>
      <c r="QKE361" s="249"/>
      <c r="QKF361" s="605"/>
      <c r="QKG361" s="321"/>
      <c r="QKH361" s="251"/>
      <c r="QKI361" s="606"/>
      <c r="QKJ361" s="253"/>
      <c r="QKL361" s="113"/>
      <c r="QKM361" s="607"/>
      <c r="QKN361" s="249"/>
      <c r="QKO361" s="605"/>
      <c r="QKP361" s="321"/>
      <c r="QKQ361" s="251"/>
      <c r="QKR361" s="606"/>
      <c r="QKS361" s="253"/>
      <c r="QKU361" s="113"/>
      <c r="QKV361" s="607"/>
      <c r="QKW361" s="249"/>
      <c r="QKX361" s="605"/>
      <c r="QKY361" s="321"/>
      <c r="QKZ361" s="251"/>
      <c r="QLA361" s="606"/>
      <c r="QLB361" s="253"/>
      <c r="QLD361" s="113"/>
      <c r="QLE361" s="607"/>
      <c r="QLF361" s="249"/>
      <c r="QLG361" s="605"/>
      <c r="QLH361" s="321"/>
      <c r="QLI361" s="251"/>
      <c r="QLJ361" s="606"/>
      <c r="QLK361" s="253"/>
      <c r="QLM361" s="113"/>
      <c r="QLN361" s="607"/>
      <c r="QLO361" s="249"/>
      <c r="QLP361" s="605"/>
      <c r="QLQ361" s="321"/>
      <c r="QLR361" s="251"/>
      <c r="QLS361" s="606"/>
      <c r="QLT361" s="253"/>
      <c r="QLV361" s="113"/>
      <c r="QLW361" s="607"/>
      <c r="QLX361" s="249"/>
      <c r="QLY361" s="605"/>
      <c r="QLZ361" s="321"/>
      <c r="QMA361" s="251"/>
      <c r="QMB361" s="606"/>
      <c r="QMC361" s="253"/>
      <c r="QME361" s="113"/>
      <c r="QMF361" s="607"/>
      <c r="QMG361" s="249"/>
      <c r="QMH361" s="605"/>
      <c r="QMI361" s="321"/>
      <c r="QMJ361" s="251"/>
      <c r="QMK361" s="606"/>
      <c r="QML361" s="253"/>
      <c r="QMN361" s="113"/>
      <c r="QMO361" s="607"/>
      <c r="QMP361" s="249"/>
      <c r="QMQ361" s="605"/>
      <c r="QMR361" s="321"/>
      <c r="QMS361" s="251"/>
      <c r="QMT361" s="606"/>
      <c r="QMU361" s="253"/>
      <c r="QMW361" s="113"/>
      <c r="QMX361" s="607"/>
      <c r="QMY361" s="249"/>
      <c r="QMZ361" s="605"/>
      <c r="QNA361" s="321"/>
      <c r="QNB361" s="251"/>
      <c r="QNC361" s="606"/>
      <c r="QND361" s="253"/>
      <c r="QNF361" s="113"/>
      <c r="QNG361" s="607"/>
      <c r="QNH361" s="249"/>
      <c r="QNI361" s="605"/>
      <c r="QNJ361" s="321"/>
      <c r="QNK361" s="251"/>
      <c r="QNL361" s="606"/>
      <c r="QNM361" s="253"/>
      <c r="QNO361" s="113"/>
      <c r="QNP361" s="607"/>
      <c r="QNQ361" s="249"/>
      <c r="QNR361" s="605"/>
      <c r="QNS361" s="321"/>
      <c r="QNT361" s="251"/>
      <c r="QNU361" s="606"/>
      <c r="QNV361" s="253"/>
      <c r="QNX361" s="113"/>
      <c r="QNY361" s="607"/>
      <c r="QNZ361" s="249"/>
      <c r="QOA361" s="605"/>
      <c r="QOB361" s="321"/>
      <c r="QOC361" s="251"/>
      <c r="QOD361" s="606"/>
      <c r="QOE361" s="253"/>
      <c r="QOG361" s="113"/>
      <c r="QOH361" s="607"/>
      <c r="QOI361" s="249"/>
      <c r="QOJ361" s="605"/>
      <c r="QOK361" s="321"/>
      <c r="QOL361" s="251"/>
      <c r="QOM361" s="606"/>
      <c r="QON361" s="253"/>
      <c r="QOP361" s="113"/>
      <c r="QOQ361" s="607"/>
      <c r="QOR361" s="249"/>
      <c r="QOS361" s="605"/>
      <c r="QOT361" s="321"/>
      <c r="QOU361" s="251"/>
      <c r="QOV361" s="606"/>
      <c r="QOW361" s="253"/>
      <c r="QOY361" s="113"/>
      <c r="QOZ361" s="607"/>
      <c r="QPA361" s="249"/>
      <c r="QPB361" s="605"/>
      <c r="QPC361" s="321"/>
      <c r="QPD361" s="251"/>
      <c r="QPE361" s="606"/>
      <c r="QPF361" s="253"/>
      <c r="QPH361" s="113"/>
      <c r="QPI361" s="607"/>
      <c r="QPJ361" s="249"/>
      <c r="QPK361" s="605"/>
      <c r="QPL361" s="321"/>
      <c r="QPM361" s="251"/>
      <c r="QPN361" s="606"/>
      <c r="QPO361" s="253"/>
      <c r="QPQ361" s="113"/>
      <c r="QPR361" s="607"/>
      <c r="QPS361" s="249"/>
      <c r="QPT361" s="605"/>
      <c r="QPU361" s="321"/>
      <c r="QPV361" s="251"/>
      <c r="QPW361" s="606"/>
      <c r="QPX361" s="253"/>
      <c r="QPZ361" s="113"/>
      <c r="QQA361" s="607"/>
      <c r="QQB361" s="249"/>
      <c r="QQC361" s="605"/>
      <c r="QQD361" s="321"/>
      <c r="QQE361" s="251"/>
      <c r="QQF361" s="606"/>
      <c r="QQG361" s="253"/>
      <c r="QQI361" s="113"/>
      <c r="QQJ361" s="607"/>
      <c r="QQK361" s="249"/>
      <c r="QQL361" s="605"/>
      <c r="QQM361" s="321"/>
      <c r="QQN361" s="251"/>
      <c r="QQO361" s="606"/>
      <c r="QQP361" s="253"/>
      <c r="QQR361" s="113"/>
      <c r="QQS361" s="607"/>
      <c r="QQT361" s="249"/>
      <c r="QQU361" s="605"/>
      <c r="QQV361" s="321"/>
      <c r="QQW361" s="251"/>
      <c r="QQX361" s="606"/>
      <c r="QQY361" s="253"/>
      <c r="QRA361" s="113"/>
      <c r="QRB361" s="607"/>
      <c r="QRC361" s="249"/>
      <c r="QRD361" s="605"/>
      <c r="QRE361" s="321"/>
      <c r="QRF361" s="251"/>
      <c r="QRG361" s="606"/>
      <c r="QRH361" s="253"/>
      <c r="QRJ361" s="113"/>
      <c r="QRK361" s="607"/>
      <c r="QRL361" s="249"/>
      <c r="QRM361" s="605"/>
      <c r="QRN361" s="321"/>
      <c r="QRO361" s="251"/>
      <c r="QRP361" s="606"/>
      <c r="QRQ361" s="253"/>
      <c r="QRS361" s="113"/>
      <c r="QRT361" s="607"/>
      <c r="QRU361" s="249"/>
      <c r="QRV361" s="605"/>
      <c r="QRW361" s="321"/>
      <c r="QRX361" s="251"/>
      <c r="QRY361" s="606"/>
      <c r="QRZ361" s="253"/>
      <c r="QSB361" s="113"/>
      <c r="QSC361" s="607"/>
      <c r="QSD361" s="249"/>
      <c r="QSE361" s="605"/>
      <c r="QSF361" s="321"/>
      <c r="QSG361" s="251"/>
      <c r="QSH361" s="606"/>
      <c r="QSI361" s="253"/>
      <c r="QSK361" s="113"/>
      <c r="QSL361" s="607"/>
      <c r="QSM361" s="249"/>
      <c r="QSN361" s="605"/>
      <c r="QSO361" s="321"/>
      <c r="QSP361" s="251"/>
      <c r="QSQ361" s="606"/>
      <c r="QSR361" s="253"/>
      <c r="QST361" s="113"/>
      <c r="QSU361" s="607"/>
      <c r="QSV361" s="249"/>
      <c r="QSW361" s="605"/>
      <c r="QSX361" s="321"/>
      <c r="QSY361" s="251"/>
      <c r="QSZ361" s="606"/>
      <c r="QTA361" s="253"/>
      <c r="QTC361" s="113"/>
      <c r="QTD361" s="607"/>
      <c r="QTE361" s="249"/>
      <c r="QTF361" s="605"/>
      <c r="QTG361" s="321"/>
      <c r="QTH361" s="251"/>
      <c r="QTI361" s="606"/>
      <c r="QTJ361" s="253"/>
      <c r="QTL361" s="113"/>
      <c r="QTM361" s="607"/>
      <c r="QTN361" s="249"/>
      <c r="QTO361" s="605"/>
      <c r="QTP361" s="321"/>
      <c r="QTQ361" s="251"/>
      <c r="QTR361" s="606"/>
      <c r="QTS361" s="253"/>
      <c r="QTU361" s="113"/>
      <c r="QTV361" s="607"/>
      <c r="QTW361" s="249"/>
      <c r="QTX361" s="605"/>
      <c r="QTY361" s="321"/>
      <c r="QTZ361" s="251"/>
      <c r="QUA361" s="606"/>
      <c r="QUB361" s="253"/>
      <c r="QUD361" s="113"/>
      <c r="QUE361" s="607"/>
      <c r="QUF361" s="249"/>
      <c r="QUG361" s="605"/>
      <c r="QUH361" s="321"/>
      <c r="QUI361" s="251"/>
      <c r="QUJ361" s="606"/>
      <c r="QUK361" s="253"/>
      <c r="QUM361" s="113"/>
      <c r="QUN361" s="607"/>
      <c r="QUO361" s="249"/>
      <c r="QUP361" s="605"/>
      <c r="QUQ361" s="321"/>
      <c r="QUR361" s="251"/>
      <c r="QUS361" s="606"/>
      <c r="QUT361" s="253"/>
      <c r="QUV361" s="113"/>
      <c r="QUW361" s="607"/>
      <c r="QUX361" s="249"/>
      <c r="QUY361" s="605"/>
      <c r="QUZ361" s="321"/>
      <c r="QVA361" s="251"/>
      <c r="QVB361" s="606"/>
      <c r="QVC361" s="253"/>
      <c r="QVE361" s="113"/>
      <c r="QVF361" s="607"/>
      <c r="QVG361" s="249"/>
      <c r="QVH361" s="605"/>
      <c r="QVI361" s="321"/>
      <c r="QVJ361" s="251"/>
      <c r="QVK361" s="606"/>
      <c r="QVL361" s="253"/>
      <c r="QVN361" s="113"/>
      <c r="QVO361" s="607"/>
      <c r="QVP361" s="249"/>
      <c r="QVQ361" s="605"/>
      <c r="QVR361" s="321"/>
      <c r="QVS361" s="251"/>
      <c r="QVT361" s="606"/>
      <c r="QVU361" s="253"/>
      <c r="QVW361" s="113"/>
      <c r="QVX361" s="607"/>
      <c r="QVY361" s="249"/>
      <c r="QVZ361" s="605"/>
      <c r="QWA361" s="321"/>
      <c r="QWB361" s="251"/>
      <c r="QWC361" s="606"/>
      <c r="QWD361" s="253"/>
      <c r="QWF361" s="113"/>
      <c r="QWG361" s="607"/>
      <c r="QWH361" s="249"/>
      <c r="QWI361" s="605"/>
      <c r="QWJ361" s="321"/>
      <c r="QWK361" s="251"/>
      <c r="QWL361" s="606"/>
      <c r="QWM361" s="253"/>
      <c r="QWO361" s="113"/>
      <c r="QWP361" s="607"/>
      <c r="QWQ361" s="249"/>
      <c r="QWR361" s="605"/>
      <c r="QWS361" s="321"/>
      <c r="QWT361" s="251"/>
      <c r="QWU361" s="606"/>
      <c r="QWV361" s="253"/>
      <c r="QWX361" s="113"/>
      <c r="QWY361" s="607"/>
      <c r="QWZ361" s="249"/>
      <c r="QXA361" s="605"/>
      <c r="QXB361" s="321"/>
      <c r="QXC361" s="251"/>
      <c r="QXD361" s="606"/>
      <c r="QXE361" s="253"/>
      <c r="QXG361" s="113"/>
      <c r="QXH361" s="607"/>
      <c r="QXI361" s="249"/>
      <c r="QXJ361" s="605"/>
      <c r="QXK361" s="321"/>
      <c r="QXL361" s="251"/>
      <c r="QXM361" s="606"/>
      <c r="QXN361" s="253"/>
      <c r="QXP361" s="113"/>
      <c r="QXQ361" s="607"/>
      <c r="QXR361" s="249"/>
      <c r="QXS361" s="605"/>
      <c r="QXT361" s="321"/>
      <c r="QXU361" s="251"/>
      <c r="QXV361" s="606"/>
      <c r="QXW361" s="253"/>
      <c r="QXY361" s="113"/>
      <c r="QXZ361" s="607"/>
      <c r="QYA361" s="249"/>
      <c r="QYB361" s="605"/>
      <c r="QYC361" s="321"/>
      <c r="QYD361" s="251"/>
      <c r="QYE361" s="606"/>
      <c r="QYF361" s="253"/>
      <c r="QYH361" s="113"/>
      <c r="QYI361" s="607"/>
      <c r="QYJ361" s="249"/>
      <c r="QYK361" s="605"/>
      <c r="QYL361" s="321"/>
      <c r="QYM361" s="251"/>
      <c r="QYN361" s="606"/>
      <c r="QYO361" s="253"/>
      <c r="QYQ361" s="113"/>
      <c r="QYR361" s="607"/>
      <c r="QYS361" s="249"/>
      <c r="QYT361" s="605"/>
      <c r="QYU361" s="321"/>
      <c r="QYV361" s="251"/>
      <c r="QYW361" s="606"/>
      <c r="QYX361" s="253"/>
      <c r="QYZ361" s="113"/>
      <c r="QZA361" s="607"/>
      <c r="QZB361" s="249"/>
      <c r="QZC361" s="605"/>
      <c r="QZD361" s="321"/>
      <c r="QZE361" s="251"/>
      <c r="QZF361" s="606"/>
      <c r="QZG361" s="253"/>
      <c r="QZI361" s="113"/>
      <c r="QZJ361" s="607"/>
      <c r="QZK361" s="249"/>
      <c r="QZL361" s="605"/>
      <c r="QZM361" s="321"/>
      <c r="QZN361" s="251"/>
      <c r="QZO361" s="606"/>
      <c r="QZP361" s="253"/>
      <c r="QZR361" s="113"/>
      <c r="QZS361" s="607"/>
      <c r="QZT361" s="249"/>
      <c r="QZU361" s="605"/>
      <c r="QZV361" s="321"/>
      <c r="QZW361" s="251"/>
      <c r="QZX361" s="606"/>
      <c r="QZY361" s="253"/>
      <c r="RAA361" s="113"/>
      <c r="RAB361" s="607"/>
      <c r="RAC361" s="249"/>
      <c r="RAD361" s="605"/>
      <c r="RAE361" s="321"/>
      <c r="RAF361" s="251"/>
      <c r="RAG361" s="606"/>
      <c r="RAH361" s="253"/>
      <c r="RAJ361" s="113"/>
      <c r="RAK361" s="607"/>
      <c r="RAL361" s="249"/>
      <c r="RAM361" s="605"/>
      <c r="RAN361" s="321"/>
      <c r="RAO361" s="251"/>
      <c r="RAP361" s="606"/>
      <c r="RAQ361" s="253"/>
      <c r="RAS361" s="113"/>
      <c r="RAT361" s="607"/>
      <c r="RAU361" s="249"/>
      <c r="RAV361" s="605"/>
      <c r="RAW361" s="321"/>
      <c r="RAX361" s="251"/>
      <c r="RAY361" s="606"/>
      <c r="RAZ361" s="253"/>
      <c r="RBB361" s="113"/>
      <c r="RBC361" s="607"/>
      <c r="RBD361" s="249"/>
      <c r="RBE361" s="605"/>
      <c r="RBF361" s="321"/>
      <c r="RBG361" s="251"/>
      <c r="RBH361" s="606"/>
      <c r="RBI361" s="253"/>
      <c r="RBK361" s="113"/>
      <c r="RBL361" s="607"/>
      <c r="RBM361" s="249"/>
      <c r="RBN361" s="605"/>
      <c r="RBO361" s="321"/>
      <c r="RBP361" s="251"/>
      <c r="RBQ361" s="606"/>
      <c r="RBR361" s="253"/>
      <c r="RBT361" s="113"/>
      <c r="RBU361" s="607"/>
      <c r="RBV361" s="249"/>
      <c r="RBW361" s="605"/>
      <c r="RBX361" s="321"/>
      <c r="RBY361" s="251"/>
      <c r="RBZ361" s="606"/>
      <c r="RCA361" s="253"/>
      <c r="RCC361" s="113"/>
      <c r="RCD361" s="607"/>
      <c r="RCE361" s="249"/>
      <c r="RCF361" s="605"/>
      <c r="RCG361" s="321"/>
      <c r="RCH361" s="251"/>
      <c r="RCI361" s="606"/>
      <c r="RCJ361" s="253"/>
      <c r="RCL361" s="113"/>
      <c r="RCM361" s="607"/>
      <c r="RCN361" s="249"/>
      <c r="RCO361" s="605"/>
      <c r="RCP361" s="321"/>
      <c r="RCQ361" s="251"/>
      <c r="RCR361" s="606"/>
      <c r="RCS361" s="253"/>
      <c r="RCU361" s="113"/>
      <c r="RCV361" s="607"/>
      <c r="RCW361" s="249"/>
      <c r="RCX361" s="605"/>
      <c r="RCY361" s="321"/>
      <c r="RCZ361" s="251"/>
      <c r="RDA361" s="606"/>
      <c r="RDB361" s="253"/>
      <c r="RDD361" s="113"/>
      <c r="RDE361" s="607"/>
      <c r="RDF361" s="249"/>
      <c r="RDG361" s="605"/>
      <c r="RDH361" s="321"/>
      <c r="RDI361" s="251"/>
      <c r="RDJ361" s="606"/>
      <c r="RDK361" s="253"/>
      <c r="RDM361" s="113"/>
      <c r="RDN361" s="607"/>
      <c r="RDO361" s="249"/>
      <c r="RDP361" s="605"/>
      <c r="RDQ361" s="321"/>
      <c r="RDR361" s="251"/>
      <c r="RDS361" s="606"/>
      <c r="RDT361" s="253"/>
      <c r="RDV361" s="113"/>
      <c r="RDW361" s="607"/>
      <c r="RDX361" s="249"/>
      <c r="RDY361" s="605"/>
      <c r="RDZ361" s="321"/>
      <c r="REA361" s="251"/>
      <c r="REB361" s="606"/>
      <c r="REC361" s="253"/>
      <c r="REE361" s="113"/>
      <c r="REF361" s="607"/>
      <c r="REG361" s="249"/>
      <c r="REH361" s="605"/>
      <c r="REI361" s="321"/>
      <c r="REJ361" s="251"/>
      <c r="REK361" s="606"/>
      <c r="REL361" s="253"/>
      <c r="REN361" s="113"/>
      <c r="REO361" s="607"/>
      <c r="REP361" s="249"/>
      <c r="REQ361" s="605"/>
      <c r="RER361" s="321"/>
      <c r="RES361" s="251"/>
      <c r="RET361" s="606"/>
      <c r="REU361" s="253"/>
      <c r="REW361" s="113"/>
      <c r="REX361" s="607"/>
      <c r="REY361" s="249"/>
      <c r="REZ361" s="605"/>
      <c r="RFA361" s="321"/>
      <c r="RFB361" s="251"/>
      <c r="RFC361" s="606"/>
      <c r="RFD361" s="253"/>
      <c r="RFF361" s="113"/>
      <c r="RFG361" s="607"/>
      <c r="RFH361" s="249"/>
      <c r="RFI361" s="605"/>
      <c r="RFJ361" s="321"/>
      <c r="RFK361" s="251"/>
      <c r="RFL361" s="606"/>
      <c r="RFM361" s="253"/>
      <c r="RFO361" s="113"/>
      <c r="RFP361" s="607"/>
      <c r="RFQ361" s="249"/>
      <c r="RFR361" s="605"/>
      <c r="RFS361" s="321"/>
      <c r="RFT361" s="251"/>
      <c r="RFU361" s="606"/>
      <c r="RFV361" s="253"/>
      <c r="RFX361" s="113"/>
      <c r="RFY361" s="607"/>
      <c r="RFZ361" s="249"/>
      <c r="RGA361" s="605"/>
      <c r="RGB361" s="321"/>
      <c r="RGC361" s="251"/>
      <c r="RGD361" s="606"/>
      <c r="RGE361" s="253"/>
      <c r="RGG361" s="113"/>
      <c r="RGH361" s="607"/>
      <c r="RGI361" s="249"/>
      <c r="RGJ361" s="605"/>
      <c r="RGK361" s="321"/>
      <c r="RGL361" s="251"/>
      <c r="RGM361" s="606"/>
      <c r="RGN361" s="253"/>
      <c r="RGP361" s="113"/>
      <c r="RGQ361" s="607"/>
      <c r="RGR361" s="249"/>
      <c r="RGS361" s="605"/>
      <c r="RGT361" s="321"/>
      <c r="RGU361" s="251"/>
      <c r="RGV361" s="606"/>
      <c r="RGW361" s="253"/>
      <c r="RGY361" s="113"/>
      <c r="RGZ361" s="607"/>
      <c r="RHA361" s="249"/>
      <c r="RHB361" s="605"/>
      <c r="RHC361" s="321"/>
      <c r="RHD361" s="251"/>
      <c r="RHE361" s="606"/>
      <c r="RHF361" s="253"/>
      <c r="RHH361" s="113"/>
      <c r="RHI361" s="607"/>
      <c r="RHJ361" s="249"/>
      <c r="RHK361" s="605"/>
      <c r="RHL361" s="321"/>
      <c r="RHM361" s="251"/>
      <c r="RHN361" s="606"/>
      <c r="RHO361" s="253"/>
      <c r="RHQ361" s="113"/>
      <c r="RHR361" s="607"/>
      <c r="RHS361" s="249"/>
      <c r="RHT361" s="605"/>
      <c r="RHU361" s="321"/>
      <c r="RHV361" s="251"/>
      <c r="RHW361" s="606"/>
      <c r="RHX361" s="253"/>
      <c r="RHZ361" s="113"/>
      <c r="RIA361" s="607"/>
      <c r="RIB361" s="249"/>
      <c r="RIC361" s="605"/>
      <c r="RID361" s="321"/>
      <c r="RIE361" s="251"/>
      <c r="RIF361" s="606"/>
      <c r="RIG361" s="253"/>
      <c r="RII361" s="113"/>
      <c r="RIJ361" s="607"/>
      <c r="RIK361" s="249"/>
      <c r="RIL361" s="605"/>
      <c r="RIM361" s="321"/>
      <c r="RIN361" s="251"/>
      <c r="RIO361" s="606"/>
      <c r="RIP361" s="253"/>
      <c r="RIR361" s="113"/>
      <c r="RIS361" s="607"/>
      <c r="RIT361" s="249"/>
      <c r="RIU361" s="605"/>
      <c r="RIV361" s="321"/>
      <c r="RIW361" s="251"/>
      <c r="RIX361" s="606"/>
      <c r="RIY361" s="253"/>
      <c r="RJA361" s="113"/>
      <c r="RJB361" s="607"/>
      <c r="RJC361" s="249"/>
      <c r="RJD361" s="605"/>
      <c r="RJE361" s="321"/>
      <c r="RJF361" s="251"/>
      <c r="RJG361" s="606"/>
      <c r="RJH361" s="253"/>
      <c r="RJJ361" s="113"/>
      <c r="RJK361" s="607"/>
      <c r="RJL361" s="249"/>
      <c r="RJM361" s="605"/>
      <c r="RJN361" s="321"/>
      <c r="RJO361" s="251"/>
      <c r="RJP361" s="606"/>
      <c r="RJQ361" s="253"/>
      <c r="RJS361" s="113"/>
      <c r="RJT361" s="607"/>
      <c r="RJU361" s="249"/>
      <c r="RJV361" s="605"/>
      <c r="RJW361" s="321"/>
      <c r="RJX361" s="251"/>
      <c r="RJY361" s="606"/>
      <c r="RJZ361" s="253"/>
      <c r="RKB361" s="113"/>
      <c r="RKC361" s="607"/>
      <c r="RKD361" s="249"/>
      <c r="RKE361" s="605"/>
      <c r="RKF361" s="321"/>
      <c r="RKG361" s="251"/>
      <c r="RKH361" s="606"/>
      <c r="RKI361" s="253"/>
      <c r="RKK361" s="113"/>
      <c r="RKL361" s="607"/>
      <c r="RKM361" s="249"/>
      <c r="RKN361" s="605"/>
      <c r="RKO361" s="321"/>
      <c r="RKP361" s="251"/>
      <c r="RKQ361" s="606"/>
      <c r="RKR361" s="253"/>
      <c r="RKT361" s="113"/>
      <c r="RKU361" s="607"/>
      <c r="RKV361" s="249"/>
      <c r="RKW361" s="605"/>
      <c r="RKX361" s="321"/>
      <c r="RKY361" s="251"/>
      <c r="RKZ361" s="606"/>
      <c r="RLA361" s="253"/>
      <c r="RLC361" s="113"/>
      <c r="RLD361" s="607"/>
      <c r="RLE361" s="249"/>
      <c r="RLF361" s="605"/>
      <c r="RLG361" s="321"/>
      <c r="RLH361" s="251"/>
      <c r="RLI361" s="606"/>
      <c r="RLJ361" s="253"/>
      <c r="RLL361" s="113"/>
      <c r="RLM361" s="607"/>
      <c r="RLN361" s="249"/>
      <c r="RLO361" s="605"/>
      <c r="RLP361" s="321"/>
      <c r="RLQ361" s="251"/>
      <c r="RLR361" s="606"/>
      <c r="RLS361" s="253"/>
      <c r="RLU361" s="113"/>
      <c r="RLV361" s="607"/>
      <c r="RLW361" s="249"/>
      <c r="RLX361" s="605"/>
      <c r="RLY361" s="321"/>
      <c r="RLZ361" s="251"/>
      <c r="RMA361" s="606"/>
      <c r="RMB361" s="253"/>
      <c r="RMD361" s="113"/>
      <c r="RME361" s="607"/>
      <c r="RMF361" s="249"/>
      <c r="RMG361" s="605"/>
      <c r="RMH361" s="321"/>
      <c r="RMI361" s="251"/>
      <c r="RMJ361" s="606"/>
      <c r="RMK361" s="253"/>
      <c r="RMM361" s="113"/>
      <c r="RMN361" s="607"/>
      <c r="RMO361" s="249"/>
      <c r="RMP361" s="605"/>
      <c r="RMQ361" s="321"/>
      <c r="RMR361" s="251"/>
      <c r="RMS361" s="606"/>
      <c r="RMT361" s="253"/>
      <c r="RMV361" s="113"/>
      <c r="RMW361" s="607"/>
      <c r="RMX361" s="249"/>
      <c r="RMY361" s="605"/>
      <c r="RMZ361" s="321"/>
      <c r="RNA361" s="251"/>
      <c r="RNB361" s="606"/>
      <c r="RNC361" s="253"/>
      <c r="RNE361" s="113"/>
      <c r="RNF361" s="607"/>
      <c r="RNG361" s="249"/>
      <c r="RNH361" s="605"/>
      <c r="RNI361" s="321"/>
      <c r="RNJ361" s="251"/>
      <c r="RNK361" s="606"/>
      <c r="RNL361" s="253"/>
      <c r="RNN361" s="113"/>
      <c r="RNO361" s="607"/>
      <c r="RNP361" s="249"/>
      <c r="RNQ361" s="605"/>
      <c r="RNR361" s="321"/>
      <c r="RNS361" s="251"/>
      <c r="RNT361" s="606"/>
      <c r="RNU361" s="253"/>
      <c r="RNW361" s="113"/>
      <c r="RNX361" s="607"/>
      <c r="RNY361" s="249"/>
      <c r="RNZ361" s="605"/>
      <c r="ROA361" s="321"/>
      <c r="ROB361" s="251"/>
      <c r="ROC361" s="606"/>
      <c r="ROD361" s="253"/>
      <c r="ROF361" s="113"/>
      <c r="ROG361" s="607"/>
      <c r="ROH361" s="249"/>
      <c r="ROI361" s="605"/>
      <c r="ROJ361" s="321"/>
      <c r="ROK361" s="251"/>
      <c r="ROL361" s="606"/>
      <c r="ROM361" s="253"/>
      <c r="ROO361" s="113"/>
      <c r="ROP361" s="607"/>
      <c r="ROQ361" s="249"/>
      <c r="ROR361" s="605"/>
      <c r="ROS361" s="321"/>
      <c r="ROT361" s="251"/>
      <c r="ROU361" s="606"/>
      <c r="ROV361" s="253"/>
      <c r="ROX361" s="113"/>
      <c r="ROY361" s="607"/>
      <c r="ROZ361" s="249"/>
      <c r="RPA361" s="605"/>
      <c r="RPB361" s="321"/>
      <c r="RPC361" s="251"/>
      <c r="RPD361" s="606"/>
      <c r="RPE361" s="253"/>
      <c r="RPG361" s="113"/>
      <c r="RPH361" s="607"/>
      <c r="RPI361" s="249"/>
      <c r="RPJ361" s="605"/>
      <c r="RPK361" s="321"/>
      <c r="RPL361" s="251"/>
      <c r="RPM361" s="606"/>
      <c r="RPN361" s="253"/>
      <c r="RPP361" s="113"/>
      <c r="RPQ361" s="607"/>
      <c r="RPR361" s="249"/>
      <c r="RPS361" s="605"/>
      <c r="RPT361" s="321"/>
      <c r="RPU361" s="251"/>
      <c r="RPV361" s="606"/>
      <c r="RPW361" s="253"/>
      <c r="RPY361" s="113"/>
      <c r="RPZ361" s="607"/>
      <c r="RQA361" s="249"/>
      <c r="RQB361" s="605"/>
      <c r="RQC361" s="321"/>
      <c r="RQD361" s="251"/>
      <c r="RQE361" s="606"/>
      <c r="RQF361" s="253"/>
      <c r="RQH361" s="113"/>
      <c r="RQI361" s="607"/>
      <c r="RQJ361" s="249"/>
      <c r="RQK361" s="605"/>
      <c r="RQL361" s="321"/>
      <c r="RQM361" s="251"/>
      <c r="RQN361" s="606"/>
      <c r="RQO361" s="253"/>
      <c r="RQQ361" s="113"/>
      <c r="RQR361" s="607"/>
      <c r="RQS361" s="249"/>
      <c r="RQT361" s="605"/>
      <c r="RQU361" s="321"/>
      <c r="RQV361" s="251"/>
      <c r="RQW361" s="606"/>
      <c r="RQX361" s="253"/>
      <c r="RQZ361" s="113"/>
      <c r="RRA361" s="607"/>
      <c r="RRB361" s="249"/>
      <c r="RRC361" s="605"/>
      <c r="RRD361" s="321"/>
      <c r="RRE361" s="251"/>
      <c r="RRF361" s="606"/>
      <c r="RRG361" s="253"/>
      <c r="RRI361" s="113"/>
      <c r="RRJ361" s="607"/>
      <c r="RRK361" s="249"/>
      <c r="RRL361" s="605"/>
      <c r="RRM361" s="321"/>
      <c r="RRN361" s="251"/>
      <c r="RRO361" s="606"/>
      <c r="RRP361" s="253"/>
      <c r="RRR361" s="113"/>
      <c r="RRS361" s="607"/>
      <c r="RRT361" s="249"/>
      <c r="RRU361" s="605"/>
      <c r="RRV361" s="321"/>
      <c r="RRW361" s="251"/>
      <c r="RRX361" s="606"/>
      <c r="RRY361" s="253"/>
      <c r="RSA361" s="113"/>
      <c r="RSB361" s="607"/>
      <c r="RSC361" s="249"/>
      <c r="RSD361" s="605"/>
      <c r="RSE361" s="321"/>
      <c r="RSF361" s="251"/>
      <c r="RSG361" s="606"/>
      <c r="RSH361" s="253"/>
      <c r="RSJ361" s="113"/>
      <c r="RSK361" s="607"/>
      <c r="RSL361" s="249"/>
      <c r="RSM361" s="605"/>
      <c r="RSN361" s="321"/>
      <c r="RSO361" s="251"/>
      <c r="RSP361" s="606"/>
      <c r="RSQ361" s="253"/>
      <c r="RSS361" s="113"/>
      <c r="RST361" s="607"/>
      <c r="RSU361" s="249"/>
      <c r="RSV361" s="605"/>
      <c r="RSW361" s="321"/>
      <c r="RSX361" s="251"/>
      <c r="RSY361" s="606"/>
      <c r="RSZ361" s="253"/>
      <c r="RTB361" s="113"/>
      <c r="RTC361" s="607"/>
      <c r="RTD361" s="249"/>
      <c r="RTE361" s="605"/>
      <c r="RTF361" s="321"/>
      <c r="RTG361" s="251"/>
      <c r="RTH361" s="606"/>
      <c r="RTI361" s="253"/>
      <c r="RTK361" s="113"/>
      <c r="RTL361" s="607"/>
      <c r="RTM361" s="249"/>
      <c r="RTN361" s="605"/>
      <c r="RTO361" s="321"/>
      <c r="RTP361" s="251"/>
      <c r="RTQ361" s="606"/>
      <c r="RTR361" s="253"/>
      <c r="RTT361" s="113"/>
      <c r="RTU361" s="607"/>
      <c r="RTV361" s="249"/>
      <c r="RTW361" s="605"/>
      <c r="RTX361" s="321"/>
      <c r="RTY361" s="251"/>
      <c r="RTZ361" s="606"/>
      <c r="RUA361" s="253"/>
      <c r="RUC361" s="113"/>
      <c r="RUD361" s="607"/>
      <c r="RUE361" s="249"/>
      <c r="RUF361" s="605"/>
      <c r="RUG361" s="321"/>
      <c r="RUH361" s="251"/>
      <c r="RUI361" s="606"/>
      <c r="RUJ361" s="253"/>
      <c r="RUL361" s="113"/>
      <c r="RUM361" s="607"/>
      <c r="RUN361" s="249"/>
      <c r="RUO361" s="605"/>
      <c r="RUP361" s="321"/>
      <c r="RUQ361" s="251"/>
      <c r="RUR361" s="606"/>
      <c r="RUS361" s="253"/>
      <c r="RUU361" s="113"/>
      <c r="RUV361" s="607"/>
      <c r="RUW361" s="249"/>
      <c r="RUX361" s="605"/>
      <c r="RUY361" s="321"/>
      <c r="RUZ361" s="251"/>
      <c r="RVA361" s="606"/>
      <c r="RVB361" s="253"/>
      <c r="RVD361" s="113"/>
      <c r="RVE361" s="607"/>
      <c r="RVF361" s="249"/>
      <c r="RVG361" s="605"/>
      <c r="RVH361" s="321"/>
      <c r="RVI361" s="251"/>
      <c r="RVJ361" s="606"/>
      <c r="RVK361" s="253"/>
      <c r="RVM361" s="113"/>
      <c r="RVN361" s="607"/>
      <c r="RVO361" s="249"/>
      <c r="RVP361" s="605"/>
      <c r="RVQ361" s="321"/>
      <c r="RVR361" s="251"/>
      <c r="RVS361" s="606"/>
      <c r="RVT361" s="253"/>
      <c r="RVV361" s="113"/>
      <c r="RVW361" s="607"/>
      <c r="RVX361" s="249"/>
      <c r="RVY361" s="605"/>
      <c r="RVZ361" s="321"/>
      <c r="RWA361" s="251"/>
      <c r="RWB361" s="606"/>
      <c r="RWC361" s="253"/>
      <c r="RWE361" s="113"/>
      <c r="RWF361" s="607"/>
      <c r="RWG361" s="249"/>
      <c r="RWH361" s="605"/>
      <c r="RWI361" s="321"/>
      <c r="RWJ361" s="251"/>
      <c r="RWK361" s="606"/>
      <c r="RWL361" s="253"/>
      <c r="RWN361" s="113"/>
      <c r="RWO361" s="607"/>
      <c r="RWP361" s="249"/>
      <c r="RWQ361" s="605"/>
      <c r="RWR361" s="321"/>
      <c r="RWS361" s="251"/>
      <c r="RWT361" s="606"/>
      <c r="RWU361" s="253"/>
      <c r="RWW361" s="113"/>
      <c r="RWX361" s="607"/>
      <c r="RWY361" s="249"/>
      <c r="RWZ361" s="605"/>
      <c r="RXA361" s="321"/>
      <c r="RXB361" s="251"/>
      <c r="RXC361" s="606"/>
      <c r="RXD361" s="253"/>
      <c r="RXF361" s="113"/>
      <c r="RXG361" s="607"/>
      <c r="RXH361" s="249"/>
      <c r="RXI361" s="605"/>
      <c r="RXJ361" s="321"/>
      <c r="RXK361" s="251"/>
      <c r="RXL361" s="606"/>
      <c r="RXM361" s="253"/>
      <c r="RXO361" s="113"/>
      <c r="RXP361" s="607"/>
      <c r="RXQ361" s="249"/>
      <c r="RXR361" s="605"/>
      <c r="RXS361" s="321"/>
      <c r="RXT361" s="251"/>
      <c r="RXU361" s="606"/>
      <c r="RXV361" s="253"/>
      <c r="RXX361" s="113"/>
      <c r="RXY361" s="607"/>
      <c r="RXZ361" s="249"/>
      <c r="RYA361" s="605"/>
      <c r="RYB361" s="321"/>
      <c r="RYC361" s="251"/>
      <c r="RYD361" s="606"/>
      <c r="RYE361" s="253"/>
      <c r="RYG361" s="113"/>
      <c r="RYH361" s="607"/>
      <c r="RYI361" s="249"/>
      <c r="RYJ361" s="605"/>
      <c r="RYK361" s="321"/>
      <c r="RYL361" s="251"/>
      <c r="RYM361" s="606"/>
      <c r="RYN361" s="253"/>
      <c r="RYP361" s="113"/>
      <c r="RYQ361" s="607"/>
      <c r="RYR361" s="249"/>
      <c r="RYS361" s="605"/>
      <c r="RYT361" s="321"/>
      <c r="RYU361" s="251"/>
      <c r="RYV361" s="606"/>
      <c r="RYW361" s="253"/>
      <c r="RYY361" s="113"/>
      <c r="RYZ361" s="607"/>
      <c r="RZA361" s="249"/>
      <c r="RZB361" s="605"/>
      <c r="RZC361" s="321"/>
      <c r="RZD361" s="251"/>
      <c r="RZE361" s="606"/>
      <c r="RZF361" s="253"/>
      <c r="RZH361" s="113"/>
      <c r="RZI361" s="607"/>
      <c r="RZJ361" s="249"/>
      <c r="RZK361" s="605"/>
      <c r="RZL361" s="321"/>
      <c r="RZM361" s="251"/>
      <c r="RZN361" s="606"/>
      <c r="RZO361" s="253"/>
      <c r="RZQ361" s="113"/>
      <c r="RZR361" s="607"/>
      <c r="RZS361" s="249"/>
      <c r="RZT361" s="605"/>
      <c r="RZU361" s="321"/>
      <c r="RZV361" s="251"/>
      <c r="RZW361" s="606"/>
      <c r="RZX361" s="253"/>
      <c r="RZZ361" s="113"/>
      <c r="SAA361" s="607"/>
      <c r="SAB361" s="249"/>
      <c r="SAC361" s="605"/>
      <c r="SAD361" s="321"/>
      <c r="SAE361" s="251"/>
      <c r="SAF361" s="606"/>
      <c r="SAG361" s="253"/>
      <c r="SAI361" s="113"/>
      <c r="SAJ361" s="607"/>
      <c r="SAK361" s="249"/>
      <c r="SAL361" s="605"/>
      <c r="SAM361" s="321"/>
      <c r="SAN361" s="251"/>
      <c r="SAO361" s="606"/>
      <c r="SAP361" s="253"/>
      <c r="SAR361" s="113"/>
      <c r="SAS361" s="607"/>
      <c r="SAT361" s="249"/>
      <c r="SAU361" s="605"/>
      <c r="SAV361" s="321"/>
      <c r="SAW361" s="251"/>
      <c r="SAX361" s="606"/>
      <c r="SAY361" s="253"/>
      <c r="SBA361" s="113"/>
      <c r="SBB361" s="607"/>
      <c r="SBC361" s="249"/>
      <c r="SBD361" s="605"/>
      <c r="SBE361" s="321"/>
      <c r="SBF361" s="251"/>
      <c r="SBG361" s="606"/>
      <c r="SBH361" s="253"/>
      <c r="SBJ361" s="113"/>
      <c r="SBK361" s="607"/>
      <c r="SBL361" s="249"/>
      <c r="SBM361" s="605"/>
      <c r="SBN361" s="321"/>
      <c r="SBO361" s="251"/>
      <c r="SBP361" s="606"/>
      <c r="SBQ361" s="253"/>
      <c r="SBS361" s="113"/>
      <c r="SBT361" s="607"/>
      <c r="SBU361" s="249"/>
      <c r="SBV361" s="605"/>
      <c r="SBW361" s="321"/>
      <c r="SBX361" s="251"/>
      <c r="SBY361" s="606"/>
      <c r="SBZ361" s="253"/>
      <c r="SCB361" s="113"/>
      <c r="SCC361" s="607"/>
      <c r="SCD361" s="249"/>
      <c r="SCE361" s="605"/>
      <c r="SCF361" s="321"/>
      <c r="SCG361" s="251"/>
      <c r="SCH361" s="606"/>
      <c r="SCI361" s="253"/>
      <c r="SCK361" s="113"/>
      <c r="SCL361" s="607"/>
      <c r="SCM361" s="249"/>
      <c r="SCN361" s="605"/>
      <c r="SCO361" s="321"/>
      <c r="SCP361" s="251"/>
      <c r="SCQ361" s="606"/>
      <c r="SCR361" s="253"/>
      <c r="SCT361" s="113"/>
      <c r="SCU361" s="607"/>
      <c r="SCV361" s="249"/>
      <c r="SCW361" s="605"/>
      <c r="SCX361" s="321"/>
      <c r="SCY361" s="251"/>
      <c r="SCZ361" s="606"/>
      <c r="SDA361" s="253"/>
      <c r="SDC361" s="113"/>
      <c r="SDD361" s="607"/>
      <c r="SDE361" s="249"/>
      <c r="SDF361" s="605"/>
      <c r="SDG361" s="321"/>
      <c r="SDH361" s="251"/>
      <c r="SDI361" s="606"/>
      <c r="SDJ361" s="253"/>
      <c r="SDL361" s="113"/>
      <c r="SDM361" s="607"/>
      <c r="SDN361" s="249"/>
      <c r="SDO361" s="605"/>
      <c r="SDP361" s="321"/>
      <c r="SDQ361" s="251"/>
      <c r="SDR361" s="606"/>
      <c r="SDS361" s="253"/>
      <c r="SDU361" s="113"/>
      <c r="SDV361" s="607"/>
      <c r="SDW361" s="249"/>
      <c r="SDX361" s="605"/>
      <c r="SDY361" s="321"/>
      <c r="SDZ361" s="251"/>
      <c r="SEA361" s="606"/>
      <c r="SEB361" s="253"/>
      <c r="SED361" s="113"/>
      <c r="SEE361" s="607"/>
      <c r="SEF361" s="249"/>
      <c r="SEG361" s="605"/>
      <c r="SEH361" s="321"/>
      <c r="SEI361" s="251"/>
      <c r="SEJ361" s="606"/>
      <c r="SEK361" s="253"/>
      <c r="SEM361" s="113"/>
      <c r="SEN361" s="607"/>
      <c r="SEO361" s="249"/>
      <c r="SEP361" s="605"/>
      <c r="SEQ361" s="321"/>
      <c r="SER361" s="251"/>
      <c r="SES361" s="606"/>
      <c r="SET361" s="253"/>
      <c r="SEV361" s="113"/>
      <c r="SEW361" s="607"/>
      <c r="SEX361" s="249"/>
      <c r="SEY361" s="605"/>
      <c r="SEZ361" s="321"/>
      <c r="SFA361" s="251"/>
      <c r="SFB361" s="606"/>
      <c r="SFC361" s="253"/>
      <c r="SFE361" s="113"/>
      <c r="SFF361" s="607"/>
      <c r="SFG361" s="249"/>
      <c r="SFH361" s="605"/>
      <c r="SFI361" s="321"/>
      <c r="SFJ361" s="251"/>
      <c r="SFK361" s="606"/>
      <c r="SFL361" s="253"/>
      <c r="SFN361" s="113"/>
      <c r="SFO361" s="607"/>
      <c r="SFP361" s="249"/>
      <c r="SFQ361" s="605"/>
      <c r="SFR361" s="321"/>
      <c r="SFS361" s="251"/>
      <c r="SFT361" s="606"/>
      <c r="SFU361" s="253"/>
      <c r="SFW361" s="113"/>
      <c r="SFX361" s="607"/>
      <c r="SFY361" s="249"/>
      <c r="SFZ361" s="605"/>
      <c r="SGA361" s="321"/>
      <c r="SGB361" s="251"/>
      <c r="SGC361" s="606"/>
      <c r="SGD361" s="253"/>
      <c r="SGF361" s="113"/>
      <c r="SGG361" s="607"/>
      <c r="SGH361" s="249"/>
      <c r="SGI361" s="605"/>
      <c r="SGJ361" s="321"/>
      <c r="SGK361" s="251"/>
      <c r="SGL361" s="606"/>
      <c r="SGM361" s="253"/>
      <c r="SGO361" s="113"/>
      <c r="SGP361" s="607"/>
      <c r="SGQ361" s="249"/>
      <c r="SGR361" s="605"/>
      <c r="SGS361" s="321"/>
      <c r="SGT361" s="251"/>
      <c r="SGU361" s="606"/>
      <c r="SGV361" s="253"/>
      <c r="SGX361" s="113"/>
      <c r="SGY361" s="607"/>
      <c r="SGZ361" s="249"/>
      <c r="SHA361" s="605"/>
      <c r="SHB361" s="321"/>
      <c r="SHC361" s="251"/>
      <c r="SHD361" s="606"/>
      <c r="SHE361" s="253"/>
      <c r="SHG361" s="113"/>
      <c r="SHH361" s="607"/>
      <c r="SHI361" s="249"/>
      <c r="SHJ361" s="605"/>
      <c r="SHK361" s="321"/>
      <c r="SHL361" s="251"/>
      <c r="SHM361" s="606"/>
      <c r="SHN361" s="253"/>
      <c r="SHP361" s="113"/>
      <c r="SHQ361" s="607"/>
      <c r="SHR361" s="249"/>
      <c r="SHS361" s="605"/>
      <c r="SHT361" s="321"/>
      <c r="SHU361" s="251"/>
      <c r="SHV361" s="606"/>
      <c r="SHW361" s="253"/>
      <c r="SHY361" s="113"/>
      <c r="SHZ361" s="607"/>
      <c r="SIA361" s="249"/>
      <c r="SIB361" s="605"/>
      <c r="SIC361" s="321"/>
      <c r="SID361" s="251"/>
      <c r="SIE361" s="606"/>
      <c r="SIF361" s="253"/>
      <c r="SIH361" s="113"/>
      <c r="SII361" s="607"/>
      <c r="SIJ361" s="249"/>
      <c r="SIK361" s="605"/>
      <c r="SIL361" s="321"/>
      <c r="SIM361" s="251"/>
      <c r="SIN361" s="606"/>
      <c r="SIO361" s="253"/>
      <c r="SIQ361" s="113"/>
      <c r="SIR361" s="607"/>
      <c r="SIS361" s="249"/>
      <c r="SIT361" s="605"/>
      <c r="SIU361" s="321"/>
      <c r="SIV361" s="251"/>
      <c r="SIW361" s="606"/>
      <c r="SIX361" s="253"/>
      <c r="SIZ361" s="113"/>
      <c r="SJA361" s="607"/>
      <c r="SJB361" s="249"/>
      <c r="SJC361" s="605"/>
      <c r="SJD361" s="321"/>
      <c r="SJE361" s="251"/>
      <c r="SJF361" s="606"/>
      <c r="SJG361" s="253"/>
      <c r="SJI361" s="113"/>
      <c r="SJJ361" s="607"/>
      <c r="SJK361" s="249"/>
      <c r="SJL361" s="605"/>
      <c r="SJM361" s="321"/>
      <c r="SJN361" s="251"/>
      <c r="SJO361" s="606"/>
      <c r="SJP361" s="253"/>
      <c r="SJR361" s="113"/>
      <c r="SJS361" s="607"/>
      <c r="SJT361" s="249"/>
      <c r="SJU361" s="605"/>
      <c r="SJV361" s="321"/>
      <c r="SJW361" s="251"/>
      <c r="SJX361" s="606"/>
      <c r="SJY361" s="253"/>
      <c r="SKA361" s="113"/>
      <c r="SKB361" s="607"/>
      <c r="SKC361" s="249"/>
      <c r="SKD361" s="605"/>
      <c r="SKE361" s="321"/>
      <c r="SKF361" s="251"/>
      <c r="SKG361" s="606"/>
      <c r="SKH361" s="253"/>
      <c r="SKJ361" s="113"/>
      <c r="SKK361" s="607"/>
      <c r="SKL361" s="249"/>
      <c r="SKM361" s="605"/>
      <c r="SKN361" s="321"/>
      <c r="SKO361" s="251"/>
      <c r="SKP361" s="606"/>
      <c r="SKQ361" s="253"/>
      <c r="SKS361" s="113"/>
      <c r="SKT361" s="607"/>
      <c r="SKU361" s="249"/>
      <c r="SKV361" s="605"/>
      <c r="SKW361" s="321"/>
      <c r="SKX361" s="251"/>
      <c r="SKY361" s="606"/>
      <c r="SKZ361" s="253"/>
      <c r="SLB361" s="113"/>
      <c r="SLC361" s="607"/>
      <c r="SLD361" s="249"/>
      <c r="SLE361" s="605"/>
      <c r="SLF361" s="321"/>
      <c r="SLG361" s="251"/>
      <c r="SLH361" s="606"/>
      <c r="SLI361" s="253"/>
      <c r="SLK361" s="113"/>
      <c r="SLL361" s="607"/>
      <c r="SLM361" s="249"/>
      <c r="SLN361" s="605"/>
      <c r="SLO361" s="321"/>
      <c r="SLP361" s="251"/>
      <c r="SLQ361" s="606"/>
      <c r="SLR361" s="253"/>
      <c r="SLT361" s="113"/>
      <c r="SLU361" s="607"/>
      <c r="SLV361" s="249"/>
      <c r="SLW361" s="605"/>
      <c r="SLX361" s="321"/>
      <c r="SLY361" s="251"/>
      <c r="SLZ361" s="606"/>
      <c r="SMA361" s="253"/>
      <c r="SMC361" s="113"/>
      <c r="SMD361" s="607"/>
      <c r="SME361" s="249"/>
      <c r="SMF361" s="605"/>
      <c r="SMG361" s="321"/>
      <c r="SMH361" s="251"/>
      <c r="SMI361" s="606"/>
      <c r="SMJ361" s="253"/>
      <c r="SML361" s="113"/>
      <c r="SMM361" s="607"/>
      <c r="SMN361" s="249"/>
      <c r="SMO361" s="605"/>
      <c r="SMP361" s="321"/>
      <c r="SMQ361" s="251"/>
      <c r="SMR361" s="606"/>
      <c r="SMS361" s="253"/>
      <c r="SMU361" s="113"/>
      <c r="SMV361" s="607"/>
      <c r="SMW361" s="249"/>
      <c r="SMX361" s="605"/>
      <c r="SMY361" s="321"/>
      <c r="SMZ361" s="251"/>
      <c r="SNA361" s="606"/>
      <c r="SNB361" s="253"/>
      <c r="SND361" s="113"/>
      <c r="SNE361" s="607"/>
      <c r="SNF361" s="249"/>
      <c r="SNG361" s="605"/>
      <c r="SNH361" s="321"/>
      <c r="SNI361" s="251"/>
      <c r="SNJ361" s="606"/>
      <c r="SNK361" s="253"/>
      <c r="SNM361" s="113"/>
      <c r="SNN361" s="607"/>
      <c r="SNO361" s="249"/>
      <c r="SNP361" s="605"/>
      <c r="SNQ361" s="321"/>
      <c r="SNR361" s="251"/>
      <c r="SNS361" s="606"/>
      <c r="SNT361" s="253"/>
      <c r="SNV361" s="113"/>
      <c r="SNW361" s="607"/>
      <c r="SNX361" s="249"/>
      <c r="SNY361" s="605"/>
      <c r="SNZ361" s="321"/>
      <c r="SOA361" s="251"/>
      <c r="SOB361" s="606"/>
      <c r="SOC361" s="253"/>
      <c r="SOE361" s="113"/>
      <c r="SOF361" s="607"/>
      <c r="SOG361" s="249"/>
      <c r="SOH361" s="605"/>
      <c r="SOI361" s="321"/>
      <c r="SOJ361" s="251"/>
      <c r="SOK361" s="606"/>
      <c r="SOL361" s="253"/>
      <c r="SON361" s="113"/>
      <c r="SOO361" s="607"/>
      <c r="SOP361" s="249"/>
      <c r="SOQ361" s="605"/>
      <c r="SOR361" s="321"/>
      <c r="SOS361" s="251"/>
      <c r="SOT361" s="606"/>
      <c r="SOU361" s="253"/>
      <c r="SOW361" s="113"/>
      <c r="SOX361" s="607"/>
      <c r="SOY361" s="249"/>
      <c r="SOZ361" s="605"/>
      <c r="SPA361" s="321"/>
      <c r="SPB361" s="251"/>
      <c r="SPC361" s="606"/>
      <c r="SPD361" s="253"/>
      <c r="SPF361" s="113"/>
      <c r="SPG361" s="607"/>
      <c r="SPH361" s="249"/>
      <c r="SPI361" s="605"/>
      <c r="SPJ361" s="321"/>
      <c r="SPK361" s="251"/>
      <c r="SPL361" s="606"/>
      <c r="SPM361" s="253"/>
      <c r="SPO361" s="113"/>
      <c r="SPP361" s="607"/>
      <c r="SPQ361" s="249"/>
      <c r="SPR361" s="605"/>
      <c r="SPS361" s="321"/>
      <c r="SPT361" s="251"/>
      <c r="SPU361" s="606"/>
      <c r="SPV361" s="253"/>
      <c r="SPX361" s="113"/>
      <c r="SPY361" s="607"/>
      <c r="SPZ361" s="249"/>
      <c r="SQA361" s="605"/>
      <c r="SQB361" s="321"/>
      <c r="SQC361" s="251"/>
      <c r="SQD361" s="606"/>
      <c r="SQE361" s="253"/>
      <c r="SQG361" s="113"/>
      <c r="SQH361" s="607"/>
      <c r="SQI361" s="249"/>
      <c r="SQJ361" s="605"/>
      <c r="SQK361" s="321"/>
      <c r="SQL361" s="251"/>
      <c r="SQM361" s="606"/>
      <c r="SQN361" s="253"/>
      <c r="SQP361" s="113"/>
      <c r="SQQ361" s="607"/>
      <c r="SQR361" s="249"/>
      <c r="SQS361" s="605"/>
      <c r="SQT361" s="321"/>
      <c r="SQU361" s="251"/>
      <c r="SQV361" s="606"/>
      <c r="SQW361" s="253"/>
      <c r="SQY361" s="113"/>
      <c r="SQZ361" s="607"/>
      <c r="SRA361" s="249"/>
      <c r="SRB361" s="605"/>
      <c r="SRC361" s="321"/>
      <c r="SRD361" s="251"/>
      <c r="SRE361" s="606"/>
      <c r="SRF361" s="253"/>
      <c r="SRH361" s="113"/>
      <c r="SRI361" s="607"/>
      <c r="SRJ361" s="249"/>
      <c r="SRK361" s="605"/>
      <c r="SRL361" s="321"/>
      <c r="SRM361" s="251"/>
      <c r="SRN361" s="606"/>
      <c r="SRO361" s="253"/>
      <c r="SRQ361" s="113"/>
      <c r="SRR361" s="607"/>
      <c r="SRS361" s="249"/>
      <c r="SRT361" s="605"/>
      <c r="SRU361" s="321"/>
      <c r="SRV361" s="251"/>
      <c r="SRW361" s="606"/>
      <c r="SRX361" s="253"/>
      <c r="SRZ361" s="113"/>
      <c r="SSA361" s="607"/>
      <c r="SSB361" s="249"/>
      <c r="SSC361" s="605"/>
      <c r="SSD361" s="321"/>
      <c r="SSE361" s="251"/>
      <c r="SSF361" s="606"/>
      <c r="SSG361" s="253"/>
      <c r="SSI361" s="113"/>
      <c r="SSJ361" s="607"/>
      <c r="SSK361" s="249"/>
      <c r="SSL361" s="605"/>
      <c r="SSM361" s="321"/>
      <c r="SSN361" s="251"/>
      <c r="SSO361" s="606"/>
      <c r="SSP361" s="253"/>
      <c r="SSR361" s="113"/>
      <c r="SSS361" s="607"/>
      <c r="SST361" s="249"/>
      <c r="SSU361" s="605"/>
      <c r="SSV361" s="321"/>
      <c r="SSW361" s="251"/>
      <c r="SSX361" s="606"/>
      <c r="SSY361" s="253"/>
      <c r="STA361" s="113"/>
      <c r="STB361" s="607"/>
      <c r="STC361" s="249"/>
      <c r="STD361" s="605"/>
      <c r="STE361" s="321"/>
      <c r="STF361" s="251"/>
      <c r="STG361" s="606"/>
      <c r="STH361" s="253"/>
      <c r="STJ361" s="113"/>
      <c r="STK361" s="607"/>
      <c r="STL361" s="249"/>
      <c r="STM361" s="605"/>
      <c r="STN361" s="321"/>
      <c r="STO361" s="251"/>
      <c r="STP361" s="606"/>
      <c r="STQ361" s="253"/>
      <c r="STS361" s="113"/>
      <c r="STT361" s="607"/>
      <c r="STU361" s="249"/>
      <c r="STV361" s="605"/>
      <c r="STW361" s="321"/>
      <c r="STX361" s="251"/>
      <c r="STY361" s="606"/>
      <c r="STZ361" s="253"/>
      <c r="SUB361" s="113"/>
      <c r="SUC361" s="607"/>
      <c r="SUD361" s="249"/>
      <c r="SUE361" s="605"/>
      <c r="SUF361" s="321"/>
      <c r="SUG361" s="251"/>
      <c r="SUH361" s="606"/>
      <c r="SUI361" s="253"/>
      <c r="SUK361" s="113"/>
      <c r="SUL361" s="607"/>
      <c r="SUM361" s="249"/>
      <c r="SUN361" s="605"/>
      <c r="SUO361" s="321"/>
      <c r="SUP361" s="251"/>
      <c r="SUQ361" s="606"/>
      <c r="SUR361" s="253"/>
      <c r="SUT361" s="113"/>
      <c r="SUU361" s="607"/>
      <c r="SUV361" s="249"/>
      <c r="SUW361" s="605"/>
      <c r="SUX361" s="321"/>
      <c r="SUY361" s="251"/>
      <c r="SUZ361" s="606"/>
      <c r="SVA361" s="253"/>
      <c r="SVC361" s="113"/>
      <c r="SVD361" s="607"/>
      <c r="SVE361" s="249"/>
      <c r="SVF361" s="605"/>
      <c r="SVG361" s="321"/>
      <c r="SVH361" s="251"/>
      <c r="SVI361" s="606"/>
      <c r="SVJ361" s="253"/>
      <c r="SVL361" s="113"/>
      <c r="SVM361" s="607"/>
      <c r="SVN361" s="249"/>
      <c r="SVO361" s="605"/>
      <c r="SVP361" s="321"/>
      <c r="SVQ361" s="251"/>
      <c r="SVR361" s="606"/>
      <c r="SVS361" s="253"/>
      <c r="SVU361" s="113"/>
      <c r="SVV361" s="607"/>
      <c r="SVW361" s="249"/>
      <c r="SVX361" s="605"/>
      <c r="SVY361" s="321"/>
      <c r="SVZ361" s="251"/>
      <c r="SWA361" s="606"/>
      <c r="SWB361" s="253"/>
      <c r="SWD361" s="113"/>
      <c r="SWE361" s="607"/>
      <c r="SWF361" s="249"/>
      <c r="SWG361" s="605"/>
      <c r="SWH361" s="321"/>
      <c r="SWI361" s="251"/>
      <c r="SWJ361" s="606"/>
      <c r="SWK361" s="253"/>
      <c r="SWM361" s="113"/>
      <c r="SWN361" s="607"/>
      <c r="SWO361" s="249"/>
      <c r="SWP361" s="605"/>
      <c r="SWQ361" s="321"/>
      <c r="SWR361" s="251"/>
      <c r="SWS361" s="606"/>
      <c r="SWT361" s="253"/>
      <c r="SWV361" s="113"/>
      <c r="SWW361" s="607"/>
      <c r="SWX361" s="249"/>
      <c r="SWY361" s="605"/>
      <c r="SWZ361" s="321"/>
      <c r="SXA361" s="251"/>
      <c r="SXB361" s="606"/>
      <c r="SXC361" s="253"/>
      <c r="SXE361" s="113"/>
      <c r="SXF361" s="607"/>
      <c r="SXG361" s="249"/>
      <c r="SXH361" s="605"/>
      <c r="SXI361" s="321"/>
      <c r="SXJ361" s="251"/>
      <c r="SXK361" s="606"/>
      <c r="SXL361" s="253"/>
      <c r="SXN361" s="113"/>
      <c r="SXO361" s="607"/>
      <c r="SXP361" s="249"/>
      <c r="SXQ361" s="605"/>
      <c r="SXR361" s="321"/>
      <c r="SXS361" s="251"/>
      <c r="SXT361" s="606"/>
      <c r="SXU361" s="253"/>
      <c r="SXW361" s="113"/>
      <c r="SXX361" s="607"/>
      <c r="SXY361" s="249"/>
      <c r="SXZ361" s="605"/>
      <c r="SYA361" s="321"/>
      <c r="SYB361" s="251"/>
      <c r="SYC361" s="606"/>
      <c r="SYD361" s="253"/>
      <c r="SYF361" s="113"/>
      <c r="SYG361" s="607"/>
      <c r="SYH361" s="249"/>
      <c r="SYI361" s="605"/>
      <c r="SYJ361" s="321"/>
      <c r="SYK361" s="251"/>
      <c r="SYL361" s="606"/>
      <c r="SYM361" s="253"/>
      <c r="SYO361" s="113"/>
      <c r="SYP361" s="607"/>
      <c r="SYQ361" s="249"/>
      <c r="SYR361" s="605"/>
      <c r="SYS361" s="321"/>
      <c r="SYT361" s="251"/>
      <c r="SYU361" s="606"/>
      <c r="SYV361" s="253"/>
      <c r="SYX361" s="113"/>
      <c r="SYY361" s="607"/>
      <c r="SYZ361" s="249"/>
      <c r="SZA361" s="605"/>
      <c r="SZB361" s="321"/>
      <c r="SZC361" s="251"/>
      <c r="SZD361" s="606"/>
      <c r="SZE361" s="253"/>
      <c r="SZG361" s="113"/>
      <c r="SZH361" s="607"/>
      <c r="SZI361" s="249"/>
      <c r="SZJ361" s="605"/>
      <c r="SZK361" s="321"/>
      <c r="SZL361" s="251"/>
      <c r="SZM361" s="606"/>
      <c r="SZN361" s="253"/>
      <c r="SZP361" s="113"/>
      <c r="SZQ361" s="607"/>
      <c r="SZR361" s="249"/>
      <c r="SZS361" s="605"/>
      <c r="SZT361" s="321"/>
      <c r="SZU361" s="251"/>
      <c r="SZV361" s="606"/>
      <c r="SZW361" s="253"/>
      <c r="SZY361" s="113"/>
      <c r="SZZ361" s="607"/>
      <c r="TAA361" s="249"/>
      <c r="TAB361" s="605"/>
      <c r="TAC361" s="321"/>
      <c r="TAD361" s="251"/>
      <c r="TAE361" s="606"/>
      <c r="TAF361" s="253"/>
      <c r="TAH361" s="113"/>
      <c r="TAI361" s="607"/>
      <c r="TAJ361" s="249"/>
      <c r="TAK361" s="605"/>
      <c r="TAL361" s="321"/>
      <c r="TAM361" s="251"/>
      <c r="TAN361" s="606"/>
      <c r="TAO361" s="253"/>
      <c r="TAQ361" s="113"/>
      <c r="TAR361" s="607"/>
      <c r="TAS361" s="249"/>
      <c r="TAT361" s="605"/>
      <c r="TAU361" s="321"/>
      <c r="TAV361" s="251"/>
      <c r="TAW361" s="606"/>
      <c r="TAX361" s="253"/>
      <c r="TAZ361" s="113"/>
      <c r="TBA361" s="607"/>
      <c r="TBB361" s="249"/>
      <c r="TBC361" s="605"/>
      <c r="TBD361" s="321"/>
      <c r="TBE361" s="251"/>
      <c r="TBF361" s="606"/>
      <c r="TBG361" s="253"/>
      <c r="TBI361" s="113"/>
      <c r="TBJ361" s="607"/>
      <c r="TBK361" s="249"/>
      <c r="TBL361" s="605"/>
      <c r="TBM361" s="321"/>
      <c r="TBN361" s="251"/>
      <c r="TBO361" s="606"/>
      <c r="TBP361" s="253"/>
      <c r="TBR361" s="113"/>
      <c r="TBS361" s="607"/>
      <c r="TBT361" s="249"/>
      <c r="TBU361" s="605"/>
      <c r="TBV361" s="321"/>
      <c r="TBW361" s="251"/>
      <c r="TBX361" s="606"/>
      <c r="TBY361" s="253"/>
      <c r="TCA361" s="113"/>
      <c r="TCB361" s="607"/>
      <c r="TCC361" s="249"/>
      <c r="TCD361" s="605"/>
      <c r="TCE361" s="321"/>
      <c r="TCF361" s="251"/>
      <c r="TCG361" s="606"/>
      <c r="TCH361" s="253"/>
      <c r="TCJ361" s="113"/>
      <c r="TCK361" s="607"/>
      <c r="TCL361" s="249"/>
      <c r="TCM361" s="605"/>
      <c r="TCN361" s="321"/>
      <c r="TCO361" s="251"/>
      <c r="TCP361" s="606"/>
      <c r="TCQ361" s="253"/>
      <c r="TCS361" s="113"/>
      <c r="TCT361" s="607"/>
      <c r="TCU361" s="249"/>
      <c r="TCV361" s="605"/>
      <c r="TCW361" s="321"/>
      <c r="TCX361" s="251"/>
      <c r="TCY361" s="606"/>
      <c r="TCZ361" s="253"/>
      <c r="TDB361" s="113"/>
      <c r="TDC361" s="607"/>
      <c r="TDD361" s="249"/>
      <c r="TDE361" s="605"/>
      <c r="TDF361" s="321"/>
      <c r="TDG361" s="251"/>
      <c r="TDH361" s="606"/>
      <c r="TDI361" s="253"/>
      <c r="TDK361" s="113"/>
      <c r="TDL361" s="607"/>
      <c r="TDM361" s="249"/>
      <c r="TDN361" s="605"/>
      <c r="TDO361" s="321"/>
      <c r="TDP361" s="251"/>
      <c r="TDQ361" s="606"/>
      <c r="TDR361" s="253"/>
      <c r="TDT361" s="113"/>
      <c r="TDU361" s="607"/>
      <c r="TDV361" s="249"/>
      <c r="TDW361" s="605"/>
      <c r="TDX361" s="321"/>
      <c r="TDY361" s="251"/>
      <c r="TDZ361" s="606"/>
      <c r="TEA361" s="253"/>
      <c r="TEC361" s="113"/>
      <c r="TED361" s="607"/>
      <c r="TEE361" s="249"/>
      <c r="TEF361" s="605"/>
      <c r="TEG361" s="321"/>
      <c r="TEH361" s="251"/>
      <c r="TEI361" s="606"/>
      <c r="TEJ361" s="253"/>
      <c r="TEL361" s="113"/>
      <c r="TEM361" s="607"/>
      <c r="TEN361" s="249"/>
      <c r="TEO361" s="605"/>
      <c r="TEP361" s="321"/>
      <c r="TEQ361" s="251"/>
      <c r="TER361" s="606"/>
      <c r="TES361" s="253"/>
      <c r="TEU361" s="113"/>
      <c r="TEV361" s="607"/>
      <c r="TEW361" s="249"/>
      <c r="TEX361" s="605"/>
      <c r="TEY361" s="321"/>
      <c r="TEZ361" s="251"/>
      <c r="TFA361" s="606"/>
      <c r="TFB361" s="253"/>
      <c r="TFD361" s="113"/>
      <c r="TFE361" s="607"/>
      <c r="TFF361" s="249"/>
      <c r="TFG361" s="605"/>
      <c r="TFH361" s="321"/>
      <c r="TFI361" s="251"/>
      <c r="TFJ361" s="606"/>
      <c r="TFK361" s="253"/>
      <c r="TFM361" s="113"/>
      <c r="TFN361" s="607"/>
      <c r="TFO361" s="249"/>
      <c r="TFP361" s="605"/>
      <c r="TFQ361" s="321"/>
      <c r="TFR361" s="251"/>
      <c r="TFS361" s="606"/>
      <c r="TFT361" s="253"/>
      <c r="TFV361" s="113"/>
      <c r="TFW361" s="607"/>
      <c r="TFX361" s="249"/>
      <c r="TFY361" s="605"/>
      <c r="TFZ361" s="321"/>
      <c r="TGA361" s="251"/>
      <c r="TGB361" s="606"/>
      <c r="TGC361" s="253"/>
      <c r="TGE361" s="113"/>
      <c r="TGF361" s="607"/>
      <c r="TGG361" s="249"/>
      <c r="TGH361" s="605"/>
      <c r="TGI361" s="321"/>
      <c r="TGJ361" s="251"/>
      <c r="TGK361" s="606"/>
      <c r="TGL361" s="253"/>
      <c r="TGN361" s="113"/>
      <c r="TGO361" s="607"/>
      <c r="TGP361" s="249"/>
      <c r="TGQ361" s="605"/>
      <c r="TGR361" s="321"/>
      <c r="TGS361" s="251"/>
      <c r="TGT361" s="606"/>
      <c r="TGU361" s="253"/>
      <c r="TGW361" s="113"/>
      <c r="TGX361" s="607"/>
      <c r="TGY361" s="249"/>
      <c r="TGZ361" s="605"/>
      <c r="THA361" s="321"/>
      <c r="THB361" s="251"/>
      <c r="THC361" s="606"/>
      <c r="THD361" s="253"/>
      <c r="THF361" s="113"/>
      <c r="THG361" s="607"/>
      <c r="THH361" s="249"/>
      <c r="THI361" s="605"/>
      <c r="THJ361" s="321"/>
      <c r="THK361" s="251"/>
      <c r="THL361" s="606"/>
      <c r="THM361" s="253"/>
      <c r="THO361" s="113"/>
      <c r="THP361" s="607"/>
      <c r="THQ361" s="249"/>
      <c r="THR361" s="605"/>
      <c r="THS361" s="321"/>
      <c r="THT361" s="251"/>
      <c r="THU361" s="606"/>
      <c r="THV361" s="253"/>
      <c r="THX361" s="113"/>
      <c r="THY361" s="607"/>
      <c r="THZ361" s="249"/>
      <c r="TIA361" s="605"/>
      <c r="TIB361" s="321"/>
      <c r="TIC361" s="251"/>
      <c r="TID361" s="606"/>
      <c r="TIE361" s="253"/>
      <c r="TIG361" s="113"/>
      <c r="TIH361" s="607"/>
      <c r="TII361" s="249"/>
      <c r="TIJ361" s="605"/>
      <c r="TIK361" s="321"/>
      <c r="TIL361" s="251"/>
      <c r="TIM361" s="606"/>
      <c r="TIN361" s="253"/>
      <c r="TIP361" s="113"/>
      <c r="TIQ361" s="607"/>
      <c r="TIR361" s="249"/>
      <c r="TIS361" s="605"/>
      <c r="TIT361" s="321"/>
      <c r="TIU361" s="251"/>
      <c r="TIV361" s="606"/>
      <c r="TIW361" s="253"/>
      <c r="TIY361" s="113"/>
      <c r="TIZ361" s="607"/>
      <c r="TJA361" s="249"/>
      <c r="TJB361" s="605"/>
      <c r="TJC361" s="321"/>
      <c r="TJD361" s="251"/>
      <c r="TJE361" s="606"/>
      <c r="TJF361" s="253"/>
      <c r="TJH361" s="113"/>
      <c r="TJI361" s="607"/>
      <c r="TJJ361" s="249"/>
      <c r="TJK361" s="605"/>
      <c r="TJL361" s="321"/>
      <c r="TJM361" s="251"/>
      <c r="TJN361" s="606"/>
      <c r="TJO361" s="253"/>
      <c r="TJQ361" s="113"/>
      <c r="TJR361" s="607"/>
      <c r="TJS361" s="249"/>
      <c r="TJT361" s="605"/>
      <c r="TJU361" s="321"/>
      <c r="TJV361" s="251"/>
      <c r="TJW361" s="606"/>
      <c r="TJX361" s="253"/>
      <c r="TJZ361" s="113"/>
      <c r="TKA361" s="607"/>
      <c r="TKB361" s="249"/>
      <c r="TKC361" s="605"/>
      <c r="TKD361" s="321"/>
      <c r="TKE361" s="251"/>
      <c r="TKF361" s="606"/>
      <c r="TKG361" s="253"/>
      <c r="TKI361" s="113"/>
      <c r="TKJ361" s="607"/>
      <c r="TKK361" s="249"/>
      <c r="TKL361" s="605"/>
      <c r="TKM361" s="321"/>
      <c r="TKN361" s="251"/>
      <c r="TKO361" s="606"/>
      <c r="TKP361" s="253"/>
      <c r="TKR361" s="113"/>
      <c r="TKS361" s="607"/>
      <c r="TKT361" s="249"/>
      <c r="TKU361" s="605"/>
      <c r="TKV361" s="321"/>
      <c r="TKW361" s="251"/>
      <c r="TKX361" s="606"/>
      <c r="TKY361" s="253"/>
      <c r="TLA361" s="113"/>
      <c r="TLB361" s="607"/>
      <c r="TLC361" s="249"/>
      <c r="TLD361" s="605"/>
      <c r="TLE361" s="321"/>
      <c r="TLF361" s="251"/>
      <c r="TLG361" s="606"/>
      <c r="TLH361" s="253"/>
      <c r="TLJ361" s="113"/>
      <c r="TLK361" s="607"/>
      <c r="TLL361" s="249"/>
      <c r="TLM361" s="605"/>
      <c r="TLN361" s="321"/>
      <c r="TLO361" s="251"/>
      <c r="TLP361" s="606"/>
      <c r="TLQ361" s="253"/>
      <c r="TLS361" s="113"/>
      <c r="TLT361" s="607"/>
      <c r="TLU361" s="249"/>
      <c r="TLV361" s="605"/>
      <c r="TLW361" s="321"/>
      <c r="TLX361" s="251"/>
      <c r="TLY361" s="606"/>
      <c r="TLZ361" s="253"/>
      <c r="TMB361" s="113"/>
      <c r="TMC361" s="607"/>
      <c r="TMD361" s="249"/>
      <c r="TME361" s="605"/>
      <c r="TMF361" s="321"/>
      <c r="TMG361" s="251"/>
      <c r="TMH361" s="606"/>
      <c r="TMI361" s="253"/>
      <c r="TMK361" s="113"/>
      <c r="TML361" s="607"/>
      <c r="TMM361" s="249"/>
      <c r="TMN361" s="605"/>
      <c r="TMO361" s="321"/>
      <c r="TMP361" s="251"/>
      <c r="TMQ361" s="606"/>
      <c r="TMR361" s="253"/>
      <c r="TMT361" s="113"/>
      <c r="TMU361" s="607"/>
      <c r="TMV361" s="249"/>
      <c r="TMW361" s="605"/>
      <c r="TMX361" s="321"/>
      <c r="TMY361" s="251"/>
      <c r="TMZ361" s="606"/>
      <c r="TNA361" s="253"/>
      <c r="TNC361" s="113"/>
      <c r="TND361" s="607"/>
      <c r="TNE361" s="249"/>
      <c r="TNF361" s="605"/>
      <c r="TNG361" s="321"/>
      <c r="TNH361" s="251"/>
      <c r="TNI361" s="606"/>
      <c r="TNJ361" s="253"/>
      <c r="TNL361" s="113"/>
      <c r="TNM361" s="607"/>
      <c r="TNN361" s="249"/>
      <c r="TNO361" s="605"/>
      <c r="TNP361" s="321"/>
      <c r="TNQ361" s="251"/>
      <c r="TNR361" s="606"/>
      <c r="TNS361" s="253"/>
      <c r="TNU361" s="113"/>
      <c r="TNV361" s="607"/>
      <c r="TNW361" s="249"/>
      <c r="TNX361" s="605"/>
      <c r="TNY361" s="321"/>
      <c r="TNZ361" s="251"/>
      <c r="TOA361" s="606"/>
      <c r="TOB361" s="253"/>
      <c r="TOD361" s="113"/>
      <c r="TOE361" s="607"/>
      <c r="TOF361" s="249"/>
      <c r="TOG361" s="605"/>
      <c r="TOH361" s="321"/>
      <c r="TOI361" s="251"/>
      <c r="TOJ361" s="606"/>
      <c r="TOK361" s="253"/>
      <c r="TOM361" s="113"/>
      <c r="TON361" s="607"/>
      <c r="TOO361" s="249"/>
      <c r="TOP361" s="605"/>
      <c r="TOQ361" s="321"/>
      <c r="TOR361" s="251"/>
      <c r="TOS361" s="606"/>
      <c r="TOT361" s="253"/>
      <c r="TOV361" s="113"/>
      <c r="TOW361" s="607"/>
      <c r="TOX361" s="249"/>
      <c r="TOY361" s="605"/>
      <c r="TOZ361" s="321"/>
      <c r="TPA361" s="251"/>
      <c r="TPB361" s="606"/>
      <c r="TPC361" s="253"/>
      <c r="TPE361" s="113"/>
      <c r="TPF361" s="607"/>
      <c r="TPG361" s="249"/>
      <c r="TPH361" s="605"/>
      <c r="TPI361" s="321"/>
      <c r="TPJ361" s="251"/>
      <c r="TPK361" s="606"/>
      <c r="TPL361" s="253"/>
      <c r="TPN361" s="113"/>
      <c r="TPO361" s="607"/>
      <c r="TPP361" s="249"/>
      <c r="TPQ361" s="605"/>
      <c r="TPR361" s="321"/>
      <c r="TPS361" s="251"/>
      <c r="TPT361" s="606"/>
      <c r="TPU361" s="253"/>
      <c r="TPW361" s="113"/>
      <c r="TPX361" s="607"/>
      <c r="TPY361" s="249"/>
      <c r="TPZ361" s="605"/>
      <c r="TQA361" s="321"/>
      <c r="TQB361" s="251"/>
      <c r="TQC361" s="606"/>
      <c r="TQD361" s="253"/>
      <c r="TQF361" s="113"/>
      <c r="TQG361" s="607"/>
      <c r="TQH361" s="249"/>
      <c r="TQI361" s="605"/>
      <c r="TQJ361" s="321"/>
      <c r="TQK361" s="251"/>
      <c r="TQL361" s="606"/>
      <c r="TQM361" s="253"/>
      <c r="TQO361" s="113"/>
      <c r="TQP361" s="607"/>
      <c r="TQQ361" s="249"/>
      <c r="TQR361" s="605"/>
      <c r="TQS361" s="321"/>
      <c r="TQT361" s="251"/>
      <c r="TQU361" s="606"/>
      <c r="TQV361" s="253"/>
      <c r="TQX361" s="113"/>
      <c r="TQY361" s="607"/>
      <c r="TQZ361" s="249"/>
      <c r="TRA361" s="605"/>
      <c r="TRB361" s="321"/>
      <c r="TRC361" s="251"/>
      <c r="TRD361" s="606"/>
      <c r="TRE361" s="253"/>
      <c r="TRG361" s="113"/>
      <c r="TRH361" s="607"/>
      <c r="TRI361" s="249"/>
      <c r="TRJ361" s="605"/>
      <c r="TRK361" s="321"/>
      <c r="TRL361" s="251"/>
      <c r="TRM361" s="606"/>
      <c r="TRN361" s="253"/>
      <c r="TRP361" s="113"/>
      <c r="TRQ361" s="607"/>
      <c r="TRR361" s="249"/>
      <c r="TRS361" s="605"/>
      <c r="TRT361" s="321"/>
      <c r="TRU361" s="251"/>
      <c r="TRV361" s="606"/>
      <c r="TRW361" s="253"/>
      <c r="TRY361" s="113"/>
      <c r="TRZ361" s="607"/>
      <c r="TSA361" s="249"/>
      <c r="TSB361" s="605"/>
      <c r="TSC361" s="321"/>
      <c r="TSD361" s="251"/>
      <c r="TSE361" s="606"/>
      <c r="TSF361" s="253"/>
      <c r="TSH361" s="113"/>
      <c r="TSI361" s="607"/>
      <c r="TSJ361" s="249"/>
      <c r="TSK361" s="605"/>
      <c r="TSL361" s="321"/>
      <c r="TSM361" s="251"/>
      <c r="TSN361" s="606"/>
      <c r="TSO361" s="253"/>
      <c r="TSQ361" s="113"/>
      <c r="TSR361" s="607"/>
      <c r="TSS361" s="249"/>
      <c r="TST361" s="605"/>
      <c r="TSU361" s="321"/>
      <c r="TSV361" s="251"/>
      <c r="TSW361" s="606"/>
      <c r="TSX361" s="253"/>
      <c r="TSZ361" s="113"/>
      <c r="TTA361" s="607"/>
      <c r="TTB361" s="249"/>
      <c r="TTC361" s="605"/>
      <c r="TTD361" s="321"/>
      <c r="TTE361" s="251"/>
      <c r="TTF361" s="606"/>
      <c r="TTG361" s="253"/>
      <c r="TTI361" s="113"/>
      <c r="TTJ361" s="607"/>
      <c r="TTK361" s="249"/>
      <c r="TTL361" s="605"/>
      <c r="TTM361" s="321"/>
      <c r="TTN361" s="251"/>
      <c r="TTO361" s="606"/>
      <c r="TTP361" s="253"/>
      <c r="TTR361" s="113"/>
      <c r="TTS361" s="607"/>
      <c r="TTT361" s="249"/>
      <c r="TTU361" s="605"/>
      <c r="TTV361" s="321"/>
      <c r="TTW361" s="251"/>
      <c r="TTX361" s="606"/>
      <c r="TTY361" s="253"/>
      <c r="TUA361" s="113"/>
      <c r="TUB361" s="607"/>
      <c r="TUC361" s="249"/>
      <c r="TUD361" s="605"/>
      <c r="TUE361" s="321"/>
      <c r="TUF361" s="251"/>
      <c r="TUG361" s="606"/>
      <c r="TUH361" s="253"/>
      <c r="TUJ361" s="113"/>
      <c r="TUK361" s="607"/>
      <c r="TUL361" s="249"/>
      <c r="TUM361" s="605"/>
      <c r="TUN361" s="321"/>
      <c r="TUO361" s="251"/>
      <c r="TUP361" s="606"/>
      <c r="TUQ361" s="253"/>
      <c r="TUS361" s="113"/>
      <c r="TUT361" s="607"/>
      <c r="TUU361" s="249"/>
      <c r="TUV361" s="605"/>
      <c r="TUW361" s="321"/>
      <c r="TUX361" s="251"/>
      <c r="TUY361" s="606"/>
      <c r="TUZ361" s="253"/>
      <c r="TVB361" s="113"/>
      <c r="TVC361" s="607"/>
      <c r="TVD361" s="249"/>
      <c r="TVE361" s="605"/>
      <c r="TVF361" s="321"/>
      <c r="TVG361" s="251"/>
      <c r="TVH361" s="606"/>
      <c r="TVI361" s="253"/>
      <c r="TVK361" s="113"/>
      <c r="TVL361" s="607"/>
      <c r="TVM361" s="249"/>
      <c r="TVN361" s="605"/>
      <c r="TVO361" s="321"/>
      <c r="TVP361" s="251"/>
      <c r="TVQ361" s="606"/>
      <c r="TVR361" s="253"/>
      <c r="TVT361" s="113"/>
      <c r="TVU361" s="607"/>
      <c r="TVV361" s="249"/>
      <c r="TVW361" s="605"/>
      <c r="TVX361" s="321"/>
      <c r="TVY361" s="251"/>
      <c r="TVZ361" s="606"/>
      <c r="TWA361" s="253"/>
      <c r="TWC361" s="113"/>
      <c r="TWD361" s="607"/>
      <c r="TWE361" s="249"/>
      <c r="TWF361" s="605"/>
      <c r="TWG361" s="321"/>
      <c r="TWH361" s="251"/>
      <c r="TWI361" s="606"/>
      <c r="TWJ361" s="253"/>
      <c r="TWL361" s="113"/>
      <c r="TWM361" s="607"/>
      <c r="TWN361" s="249"/>
      <c r="TWO361" s="605"/>
      <c r="TWP361" s="321"/>
      <c r="TWQ361" s="251"/>
      <c r="TWR361" s="606"/>
      <c r="TWS361" s="253"/>
      <c r="TWU361" s="113"/>
      <c r="TWV361" s="607"/>
      <c r="TWW361" s="249"/>
      <c r="TWX361" s="605"/>
      <c r="TWY361" s="321"/>
      <c r="TWZ361" s="251"/>
      <c r="TXA361" s="606"/>
      <c r="TXB361" s="253"/>
      <c r="TXD361" s="113"/>
      <c r="TXE361" s="607"/>
      <c r="TXF361" s="249"/>
      <c r="TXG361" s="605"/>
      <c r="TXH361" s="321"/>
      <c r="TXI361" s="251"/>
      <c r="TXJ361" s="606"/>
      <c r="TXK361" s="253"/>
      <c r="TXM361" s="113"/>
      <c r="TXN361" s="607"/>
      <c r="TXO361" s="249"/>
      <c r="TXP361" s="605"/>
      <c r="TXQ361" s="321"/>
      <c r="TXR361" s="251"/>
      <c r="TXS361" s="606"/>
      <c r="TXT361" s="253"/>
      <c r="TXV361" s="113"/>
      <c r="TXW361" s="607"/>
      <c r="TXX361" s="249"/>
      <c r="TXY361" s="605"/>
      <c r="TXZ361" s="321"/>
      <c r="TYA361" s="251"/>
      <c r="TYB361" s="606"/>
      <c r="TYC361" s="253"/>
      <c r="TYE361" s="113"/>
      <c r="TYF361" s="607"/>
      <c r="TYG361" s="249"/>
      <c r="TYH361" s="605"/>
      <c r="TYI361" s="321"/>
      <c r="TYJ361" s="251"/>
      <c r="TYK361" s="606"/>
      <c r="TYL361" s="253"/>
      <c r="TYN361" s="113"/>
      <c r="TYO361" s="607"/>
      <c r="TYP361" s="249"/>
      <c r="TYQ361" s="605"/>
      <c r="TYR361" s="321"/>
      <c r="TYS361" s="251"/>
      <c r="TYT361" s="606"/>
      <c r="TYU361" s="253"/>
      <c r="TYW361" s="113"/>
      <c r="TYX361" s="607"/>
      <c r="TYY361" s="249"/>
      <c r="TYZ361" s="605"/>
      <c r="TZA361" s="321"/>
      <c r="TZB361" s="251"/>
      <c r="TZC361" s="606"/>
      <c r="TZD361" s="253"/>
      <c r="TZF361" s="113"/>
      <c r="TZG361" s="607"/>
      <c r="TZH361" s="249"/>
      <c r="TZI361" s="605"/>
      <c r="TZJ361" s="321"/>
      <c r="TZK361" s="251"/>
      <c r="TZL361" s="606"/>
      <c r="TZM361" s="253"/>
      <c r="TZO361" s="113"/>
      <c r="TZP361" s="607"/>
      <c r="TZQ361" s="249"/>
      <c r="TZR361" s="605"/>
      <c r="TZS361" s="321"/>
      <c r="TZT361" s="251"/>
      <c r="TZU361" s="606"/>
      <c r="TZV361" s="253"/>
      <c r="TZX361" s="113"/>
      <c r="TZY361" s="607"/>
      <c r="TZZ361" s="249"/>
      <c r="UAA361" s="605"/>
      <c r="UAB361" s="321"/>
      <c r="UAC361" s="251"/>
      <c r="UAD361" s="606"/>
      <c r="UAE361" s="253"/>
      <c r="UAG361" s="113"/>
      <c r="UAH361" s="607"/>
      <c r="UAI361" s="249"/>
      <c r="UAJ361" s="605"/>
      <c r="UAK361" s="321"/>
      <c r="UAL361" s="251"/>
      <c r="UAM361" s="606"/>
      <c r="UAN361" s="253"/>
      <c r="UAP361" s="113"/>
      <c r="UAQ361" s="607"/>
      <c r="UAR361" s="249"/>
      <c r="UAS361" s="605"/>
      <c r="UAT361" s="321"/>
      <c r="UAU361" s="251"/>
      <c r="UAV361" s="606"/>
      <c r="UAW361" s="253"/>
      <c r="UAY361" s="113"/>
      <c r="UAZ361" s="607"/>
      <c r="UBA361" s="249"/>
      <c r="UBB361" s="605"/>
      <c r="UBC361" s="321"/>
      <c r="UBD361" s="251"/>
      <c r="UBE361" s="606"/>
      <c r="UBF361" s="253"/>
      <c r="UBH361" s="113"/>
      <c r="UBI361" s="607"/>
      <c r="UBJ361" s="249"/>
      <c r="UBK361" s="605"/>
      <c r="UBL361" s="321"/>
      <c r="UBM361" s="251"/>
      <c r="UBN361" s="606"/>
      <c r="UBO361" s="253"/>
      <c r="UBQ361" s="113"/>
      <c r="UBR361" s="607"/>
      <c r="UBS361" s="249"/>
      <c r="UBT361" s="605"/>
      <c r="UBU361" s="321"/>
      <c r="UBV361" s="251"/>
      <c r="UBW361" s="606"/>
      <c r="UBX361" s="253"/>
      <c r="UBZ361" s="113"/>
      <c r="UCA361" s="607"/>
      <c r="UCB361" s="249"/>
      <c r="UCC361" s="605"/>
      <c r="UCD361" s="321"/>
      <c r="UCE361" s="251"/>
      <c r="UCF361" s="606"/>
      <c r="UCG361" s="253"/>
      <c r="UCI361" s="113"/>
      <c r="UCJ361" s="607"/>
      <c r="UCK361" s="249"/>
      <c r="UCL361" s="605"/>
      <c r="UCM361" s="321"/>
      <c r="UCN361" s="251"/>
      <c r="UCO361" s="606"/>
      <c r="UCP361" s="253"/>
      <c r="UCR361" s="113"/>
      <c r="UCS361" s="607"/>
      <c r="UCT361" s="249"/>
      <c r="UCU361" s="605"/>
      <c r="UCV361" s="321"/>
      <c r="UCW361" s="251"/>
      <c r="UCX361" s="606"/>
      <c r="UCY361" s="253"/>
      <c r="UDA361" s="113"/>
      <c r="UDB361" s="607"/>
      <c r="UDC361" s="249"/>
      <c r="UDD361" s="605"/>
      <c r="UDE361" s="321"/>
      <c r="UDF361" s="251"/>
      <c r="UDG361" s="606"/>
      <c r="UDH361" s="253"/>
      <c r="UDJ361" s="113"/>
      <c r="UDK361" s="607"/>
      <c r="UDL361" s="249"/>
      <c r="UDM361" s="605"/>
      <c r="UDN361" s="321"/>
      <c r="UDO361" s="251"/>
      <c r="UDP361" s="606"/>
      <c r="UDQ361" s="253"/>
      <c r="UDS361" s="113"/>
      <c r="UDT361" s="607"/>
      <c r="UDU361" s="249"/>
      <c r="UDV361" s="605"/>
      <c r="UDW361" s="321"/>
      <c r="UDX361" s="251"/>
      <c r="UDY361" s="606"/>
      <c r="UDZ361" s="253"/>
      <c r="UEB361" s="113"/>
      <c r="UEC361" s="607"/>
      <c r="UED361" s="249"/>
      <c r="UEE361" s="605"/>
      <c r="UEF361" s="321"/>
      <c r="UEG361" s="251"/>
      <c r="UEH361" s="606"/>
      <c r="UEI361" s="253"/>
      <c r="UEK361" s="113"/>
      <c r="UEL361" s="607"/>
      <c r="UEM361" s="249"/>
      <c r="UEN361" s="605"/>
      <c r="UEO361" s="321"/>
      <c r="UEP361" s="251"/>
      <c r="UEQ361" s="606"/>
      <c r="UER361" s="253"/>
      <c r="UET361" s="113"/>
      <c r="UEU361" s="607"/>
      <c r="UEV361" s="249"/>
      <c r="UEW361" s="605"/>
      <c r="UEX361" s="321"/>
      <c r="UEY361" s="251"/>
      <c r="UEZ361" s="606"/>
      <c r="UFA361" s="253"/>
      <c r="UFC361" s="113"/>
      <c r="UFD361" s="607"/>
      <c r="UFE361" s="249"/>
      <c r="UFF361" s="605"/>
      <c r="UFG361" s="321"/>
      <c r="UFH361" s="251"/>
      <c r="UFI361" s="606"/>
      <c r="UFJ361" s="253"/>
      <c r="UFL361" s="113"/>
      <c r="UFM361" s="607"/>
      <c r="UFN361" s="249"/>
      <c r="UFO361" s="605"/>
      <c r="UFP361" s="321"/>
      <c r="UFQ361" s="251"/>
      <c r="UFR361" s="606"/>
      <c r="UFS361" s="253"/>
      <c r="UFU361" s="113"/>
      <c r="UFV361" s="607"/>
      <c r="UFW361" s="249"/>
      <c r="UFX361" s="605"/>
      <c r="UFY361" s="321"/>
      <c r="UFZ361" s="251"/>
      <c r="UGA361" s="606"/>
      <c r="UGB361" s="253"/>
      <c r="UGD361" s="113"/>
      <c r="UGE361" s="607"/>
      <c r="UGF361" s="249"/>
      <c r="UGG361" s="605"/>
      <c r="UGH361" s="321"/>
      <c r="UGI361" s="251"/>
      <c r="UGJ361" s="606"/>
      <c r="UGK361" s="253"/>
      <c r="UGM361" s="113"/>
      <c r="UGN361" s="607"/>
      <c r="UGO361" s="249"/>
      <c r="UGP361" s="605"/>
      <c r="UGQ361" s="321"/>
      <c r="UGR361" s="251"/>
      <c r="UGS361" s="606"/>
      <c r="UGT361" s="253"/>
      <c r="UGV361" s="113"/>
      <c r="UGW361" s="607"/>
      <c r="UGX361" s="249"/>
      <c r="UGY361" s="605"/>
      <c r="UGZ361" s="321"/>
      <c r="UHA361" s="251"/>
      <c r="UHB361" s="606"/>
      <c r="UHC361" s="253"/>
      <c r="UHE361" s="113"/>
      <c r="UHF361" s="607"/>
      <c r="UHG361" s="249"/>
      <c r="UHH361" s="605"/>
      <c r="UHI361" s="321"/>
      <c r="UHJ361" s="251"/>
      <c r="UHK361" s="606"/>
      <c r="UHL361" s="253"/>
      <c r="UHN361" s="113"/>
      <c r="UHO361" s="607"/>
      <c r="UHP361" s="249"/>
      <c r="UHQ361" s="605"/>
      <c r="UHR361" s="321"/>
      <c r="UHS361" s="251"/>
      <c r="UHT361" s="606"/>
      <c r="UHU361" s="253"/>
      <c r="UHW361" s="113"/>
      <c r="UHX361" s="607"/>
      <c r="UHY361" s="249"/>
      <c r="UHZ361" s="605"/>
      <c r="UIA361" s="321"/>
      <c r="UIB361" s="251"/>
      <c r="UIC361" s="606"/>
      <c r="UID361" s="253"/>
      <c r="UIF361" s="113"/>
      <c r="UIG361" s="607"/>
      <c r="UIH361" s="249"/>
      <c r="UII361" s="605"/>
      <c r="UIJ361" s="321"/>
      <c r="UIK361" s="251"/>
      <c r="UIL361" s="606"/>
      <c r="UIM361" s="253"/>
      <c r="UIO361" s="113"/>
      <c r="UIP361" s="607"/>
      <c r="UIQ361" s="249"/>
      <c r="UIR361" s="605"/>
      <c r="UIS361" s="321"/>
      <c r="UIT361" s="251"/>
      <c r="UIU361" s="606"/>
      <c r="UIV361" s="253"/>
      <c r="UIX361" s="113"/>
      <c r="UIY361" s="607"/>
      <c r="UIZ361" s="249"/>
      <c r="UJA361" s="605"/>
      <c r="UJB361" s="321"/>
      <c r="UJC361" s="251"/>
      <c r="UJD361" s="606"/>
      <c r="UJE361" s="253"/>
      <c r="UJG361" s="113"/>
      <c r="UJH361" s="607"/>
      <c r="UJI361" s="249"/>
      <c r="UJJ361" s="605"/>
      <c r="UJK361" s="321"/>
      <c r="UJL361" s="251"/>
      <c r="UJM361" s="606"/>
      <c r="UJN361" s="253"/>
      <c r="UJP361" s="113"/>
      <c r="UJQ361" s="607"/>
      <c r="UJR361" s="249"/>
      <c r="UJS361" s="605"/>
      <c r="UJT361" s="321"/>
      <c r="UJU361" s="251"/>
      <c r="UJV361" s="606"/>
      <c r="UJW361" s="253"/>
      <c r="UJY361" s="113"/>
      <c r="UJZ361" s="607"/>
      <c r="UKA361" s="249"/>
      <c r="UKB361" s="605"/>
      <c r="UKC361" s="321"/>
      <c r="UKD361" s="251"/>
      <c r="UKE361" s="606"/>
      <c r="UKF361" s="253"/>
      <c r="UKH361" s="113"/>
      <c r="UKI361" s="607"/>
      <c r="UKJ361" s="249"/>
      <c r="UKK361" s="605"/>
      <c r="UKL361" s="321"/>
      <c r="UKM361" s="251"/>
      <c r="UKN361" s="606"/>
      <c r="UKO361" s="253"/>
      <c r="UKQ361" s="113"/>
      <c r="UKR361" s="607"/>
      <c r="UKS361" s="249"/>
      <c r="UKT361" s="605"/>
      <c r="UKU361" s="321"/>
      <c r="UKV361" s="251"/>
      <c r="UKW361" s="606"/>
      <c r="UKX361" s="253"/>
      <c r="UKZ361" s="113"/>
      <c r="ULA361" s="607"/>
      <c r="ULB361" s="249"/>
      <c r="ULC361" s="605"/>
      <c r="ULD361" s="321"/>
      <c r="ULE361" s="251"/>
      <c r="ULF361" s="606"/>
      <c r="ULG361" s="253"/>
      <c r="ULI361" s="113"/>
      <c r="ULJ361" s="607"/>
      <c r="ULK361" s="249"/>
      <c r="ULL361" s="605"/>
      <c r="ULM361" s="321"/>
      <c r="ULN361" s="251"/>
      <c r="ULO361" s="606"/>
      <c r="ULP361" s="253"/>
      <c r="ULR361" s="113"/>
      <c r="ULS361" s="607"/>
      <c r="ULT361" s="249"/>
      <c r="ULU361" s="605"/>
      <c r="ULV361" s="321"/>
      <c r="ULW361" s="251"/>
      <c r="ULX361" s="606"/>
      <c r="ULY361" s="253"/>
      <c r="UMA361" s="113"/>
      <c r="UMB361" s="607"/>
      <c r="UMC361" s="249"/>
      <c r="UMD361" s="605"/>
      <c r="UME361" s="321"/>
      <c r="UMF361" s="251"/>
      <c r="UMG361" s="606"/>
      <c r="UMH361" s="253"/>
      <c r="UMJ361" s="113"/>
      <c r="UMK361" s="607"/>
      <c r="UML361" s="249"/>
      <c r="UMM361" s="605"/>
      <c r="UMN361" s="321"/>
      <c r="UMO361" s="251"/>
      <c r="UMP361" s="606"/>
      <c r="UMQ361" s="253"/>
      <c r="UMS361" s="113"/>
      <c r="UMT361" s="607"/>
      <c r="UMU361" s="249"/>
      <c r="UMV361" s="605"/>
      <c r="UMW361" s="321"/>
      <c r="UMX361" s="251"/>
      <c r="UMY361" s="606"/>
      <c r="UMZ361" s="253"/>
      <c r="UNB361" s="113"/>
      <c r="UNC361" s="607"/>
      <c r="UND361" s="249"/>
      <c r="UNE361" s="605"/>
      <c r="UNF361" s="321"/>
      <c r="UNG361" s="251"/>
      <c r="UNH361" s="606"/>
      <c r="UNI361" s="253"/>
      <c r="UNK361" s="113"/>
      <c r="UNL361" s="607"/>
      <c r="UNM361" s="249"/>
      <c r="UNN361" s="605"/>
      <c r="UNO361" s="321"/>
      <c r="UNP361" s="251"/>
      <c r="UNQ361" s="606"/>
      <c r="UNR361" s="253"/>
      <c r="UNT361" s="113"/>
      <c r="UNU361" s="607"/>
      <c r="UNV361" s="249"/>
      <c r="UNW361" s="605"/>
      <c r="UNX361" s="321"/>
      <c r="UNY361" s="251"/>
      <c r="UNZ361" s="606"/>
      <c r="UOA361" s="253"/>
      <c r="UOC361" s="113"/>
      <c r="UOD361" s="607"/>
      <c r="UOE361" s="249"/>
      <c r="UOF361" s="605"/>
      <c r="UOG361" s="321"/>
      <c r="UOH361" s="251"/>
      <c r="UOI361" s="606"/>
      <c r="UOJ361" s="253"/>
      <c r="UOL361" s="113"/>
      <c r="UOM361" s="607"/>
      <c r="UON361" s="249"/>
      <c r="UOO361" s="605"/>
      <c r="UOP361" s="321"/>
      <c r="UOQ361" s="251"/>
      <c r="UOR361" s="606"/>
      <c r="UOS361" s="253"/>
      <c r="UOU361" s="113"/>
      <c r="UOV361" s="607"/>
      <c r="UOW361" s="249"/>
      <c r="UOX361" s="605"/>
      <c r="UOY361" s="321"/>
      <c r="UOZ361" s="251"/>
      <c r="UPA361" s="606"/>
      <c r="UPB361" s="253"/>
      <c r="UPD361" s="113"/>
      <c r="UPE361" s="607"/>
      <c r="UPF361" s="249"/>
      <c r="UPG361" s="605"/>
      <c r="UPH361" s="321"/>
      <c r="UPI361" s="251"/>
      <c r="UPJ361" s="606"/>
      <c r="UPK361" s="253"/>
      <c r="UPM361" s="113"/>
      <c r="UPN361" s="607"/>
      <c r="UPO361" s="249"/>
      <c r="UPP361" s="605"/>
      <c r="UPQ361" s="321"/>
      <c r="UPR361" s="251"/>
      <c r="UPS361" s="606"/>
      <c r="UPT361" s="253"/>
      <c r="UPV361" s="113"/>
      <c r="UPW361" s="607"/>
      <c r="UPX361" s="249"/>
      <c r="UPY361" s="605"/>
      <c r="UPZ361" s="321"/>
      <c r="UQA361" s="251"/>
      <c r="UQB361" s="606"/>
      <c r="UQC361" s="253"/>
      <c r="UQE361" s="113"/>
      <c r="UQF361" s="607"/>
      <c r="UQG361" s="249"/>
      <c r="UQH361" s="605"/>
      <c r="UQI361" s="321"/>
      <c r="UQJ361" s="251"/>
      <c r="UQK361" s="606"/>
      <c r="UQL361" s="253"/>
      <c r="UQN361" s="113"/>
      <c r="UQO361" s="607"/>
      <c r="UQP361" s="249"/>
      <c r="UQQ361" s="605"/>
      <c r="UQR361" s="321"/>
      <c r="UQS361" s="251"/>
      <c r="UQT361" s="606"/>
      <c r="UQU361" s="253"/>
      <c r="UQW361" s="113"/>
      <c r="UQX361" s="607"/>
      <c r="UQY361" s="249"/>
      <c r="UQZ361" s="605"/>
      <c r="URA361" s="321"/>
      <c r="URB361" s="251"/>
      <c r="URC361" s="606"/>
      <c r="URD361" s="253"/>
      <c r="URF361" s="113"/>
      <c r="URG361" s="607"/>
      <c r="URH361" s="249"/>
      <c r="URI361" s="605"/>
      <c r="URJ361" s="321"/>
      <c r="URK361" s="251"/>
      <c r="URL361" s="606"/>
      <c r="URM361" s="253"/>
      <c r="URO361" s="113"/>
      <c r="URP361" s="607"/>
      <c r="URQ361" s="249"/>
      <c r="URR361" s="605"/>
      <c r="URS361" s="321"/>
      <c r="URT361" s="251"/>
      <c r="URU361" s="606"/>
      <c r="URV361" s="253"/>
      <c r="URX361" s="113"/>
      <c r="URY361" s="607"/>
      <c r="URZ361" s="249"/>
      <c r="USA361" s="605"/>
      <c r="USB361" s="321"/>
      <c r="USC361" s="251"/>
      <c r="USD361" s="606"/>
      <c r="USE361" s="253"/>
      <c r="USG361" s="113"/>
      <c r="USH361" s="607"/>
      <c r="USI361" s="249"/>
      <c r="USJ361" s="605"/>
      <c r="USK361" s="321"/>
      <c r="USL361" s="251"/>
      <c r="USM361" s="606"/>
      <c r="USN361" s="253"/>
      <c r="USP361" s="113"/>
      <c r="USQ361" s="607"/>
      <c r="USR361" s="249"/>
      <c r="USS361" s="605"/>
      <c r="UST361" s="321"/>
      <c r="USU361" s="251"/>
      <c r="USV361" s="606"/>
      <c r="USW361" s="253"/>
      <c r="USY361" s="113"/>
      <c r="USZ361" s="607"/>
      <c r="UTA361" s="249"/>
      <c r="UTB361" s="605"/>
      <c r="UTC361" s="321"/>
      <c r="UTD361" s="251"/>
      <c r="UTE361" s="606"/>
      <c r="UTF361" s="253"/>
      <c r="UTH361" s="113"/>
      <c r="UTI361" s="607"/>
      <c r="UTJ361" s="249"/>
      <c r="UTK361" s="605"/>
      <c r="UTL361" s="321"/>
      <c r="UTM361" s="251"/>
      <c r="UTN361" s="606"/>
      <c r="UTO361" s="253"/>
      <c r="UTQ361" s="113"/>
      <c r="UTR361" s="607"/>
      <c r="UTS361" s="249"/>
      <c r="UTT361" s="605"/>
      <c r="UTU361" s="321"/>
      <c r="UTV361" s="251"/>
      <c r="UTW361" s="606"/>
      <c r="UTX361" s="253"/>
      <c r="UTZ361" s="113"/>
      <c r="UUA361" s="607"/>
      <c r="UUB361" s="249"/>
      <c r="UUC361" s="605"/>
      <c r="UUD361" s="321"/>
      <c r="UUE361" s="251"/>
      <c r="UUF361" s="606"/>
      <c r="UUG361" s="253"/>
      <c r="UUI361" s="113"/>
      <c r="UUJ361" s="607"/>
      <c r="UUK361" s="249"/>
      <c r="UUL361" s="605"/>
      <c r="UUM361" s="321"/>
      <c r="UUN361" s="251"/>
      <c r="UUO361" s="606"/>
      <c r="UUP361" s="253"/>
      <c r="UUR361" s="113"/>
      <c r="UUS361" s="607"/>
      <c r="UUT361" s="249"/>
      <c r="UUU361" s="605"/>
      <c r="UUV361" s="321"/>
      <c r="UUW361" s="251"/>
      <c r="UUX361" s="606"/>
      <c r="UUY361" s="253"/>
      <c r="UVA361" s="113"/>
      <c r="UVB361" s="607"/>
      <c r="UVC361" s="249"/>
      <c r="UVD361" s="605"/>
      <c r="UVE361" s="321"/>
      <c r="UVF361" s="251"/>
      <c r="UVG361" s="606"/>
      <c r="UVH361" s="253"/>
      <c r="UVJ361" s="113"/>
      <c r="UVK361" s="607"/>
      <c r="UVL361" s="249"/>
      <c r="UVM361" s="605"/>
      <c r="UVN361" s="321"/>
      <c r="UVO361" s="251"/>
      <c r="UVP361" s="606"/>
      <c r="UVQ361" s="253"/>
      <c r="UVS361" s="113"/>
      <c r="UVT361" s="607"/>
      <c r="UVU361" s="249"/>
      <c r="UVV361" s="605"/>
      <c r="UVW361" s="321"/>
      <c r="UVX361" s="251"/>
      <c r="UVY361" s="606"/>
      <c r="UVZ361" s="253"/>
      <c r="UWB361" s="113"/>
      <c r="UWC361" s="607"/>
      <c r="UWD361" s="249"/>
      <c r="UWE361" s="605"/>
      <c r="UWF361" s="321"/>
      <c r="UWG361" s="251"/>
      <c r="UWH361" s="606"/>
      <c r="UWI361" s="253"/>
      <c r="UWK361" s="113"/>
      <c r="UWL361" s="607"/>
      <c r="UWM361" s="249"/>
      <c r="UWN361" s="605"/>
      <c r="UWO361" s="321"/>
      <c r="UWP361" s="251"/>
      <c r="UWQ361" s="606"/>
      <c r="UWR361" s="253"/>
      <c r="UWT361" s="113"/>
      <c r="UWU361" s="607"/>
      <c r="UWV361" s="249"/>
      <c r="UWW361" s="605"/>
      <c r="UWX361" s="321"/>
      <c r="UWY361" s="251"/>
      <c r="UWZ361" s="606"/>
      <c r="UXA361" s="253"/>
      <c r="UXC361" s="113"/>
      <c r="UXD361" s="607"/>
      <c r="UXE361" s="249"/>
      <c r="UXF361" s="605"/>
      <c r="UXG361" s="321"/>
      <c r="UXH361" s="251"/>
      <c r="UXI361" s="606"/>
      <c r="UXJ361" s="253"/>
      <c r="UXL361" s="113"/>
      <c r="UXM361" s="607"/>
      <c r="UXN361" s="249"/>
      <c r="UXO361" s="605"/>
      <c r="UXP361" s="321"/>
      <c r="UXQ361" s="251"/>
      <c r="UXR361" s="606"/>
      <c r="UXS361" s="253"/>
      <c r="UXU361" s="113"/>
      <c r="UXV361" s="607"/>
      <c r="UXW361" s="249"/>
      <c r="UXX361" s="605"/>
      <c r="UXY361" s="321"/>
      <c r="UXZ361" s="251"/>
      <c r="UYA361" s="606"/>
      <c r="UYB361" s="253"/>
      <c r="UYD361" s="113"/>
      <c r="UYE361" s="607"/>
      <c r="UYF361" s="249"/>
      <c r="UYG361" s="605"/>
      <c r="UYH361" s="321"/>
      <c r="UYI361" s="251"/>
      <c r="UYJ361" s="606"/>
      <c r="UYK361" s="253"/>
      <c r="UYM361" s="113"/>
      <c r="UYN361" s="607"/>
      <c r="UYO361" s="249"/>
      <c r="UYP361" s="605"/>
      <c r="UYQ361" s="321"/>
      <c r="UYR361" s="251"/>
      <c r="UYS361" s="606"/>
      <c r="UYT361" s="253"/>
      <c r="UYV361" s="113"/>
      <c r="UYW361" s="607"/>
      <c r="UYX361" s="249"/>
      <c r="UYY361" s="605"/>
      <c r="UYZ361" s="321"/>
      <c r="UZA361" s="251"/>
      <c r="UZB361" s="606"/>
      <c r="UZC361" s="253"/>
      <c r="UZE361" s="113"/>
      <c r="UZF361" s="607"/>
      <c r="UZG361" s="249"/>
      <c r="UZH361" s="605"/>
      <c r="UZI361" s="321"/>
      <c r="UZJ361" s="251"/>
      <c r="UZK361" s="606"/>
      <c r="UZL361" s="253"/>
      <c r="UZN361" s="113"/>
      <c r="UZO361" s="607"/>
      <c r="UZP361" s="249"/>
      <c r="UZQ361" s="605"/>
      <c r="UZR361" s="321"/>
      <c r="UZS361" s="251"/>
      <c r="UZT361" s="606"/>
      <c r="UZU361" s="253"/>
      <c r="UZW361" s="113"/>
      <c r="UZX361" s="607"/>
      <c r="UZY361" s="249"/>
      <c r="UZZ361" s="605"/>
      <c r="VAA361" s="321"/>
      <c r="VAB361" s="251"/>
      <c r="VAC361" s="606"/>
      <c r="VAD361" s="253"/>
      <c r="VAF361" s="113"/>
      <c r="VAG361" s="607"/>
      <c r="VAH361" s="249"/>
      <c r="VAI361" s="605"/>
      <c r="VAJ361" s="321"/>
      <c r="VAK361" s="251"/>
      <c r="VAL361" s="606"/>
      <c r="VAM361" s="253"/>
      <c r="VAO361" s="113"/>
      <c r="VAP361" s="607"/>
      <c r="VAQ361" s="249"/>
      <c r="VAR361" s="605"/>
      <c r="VAS361" s="321"/>
      <c r="VAT361" s="251"/>
      <c r="VAU361" s="606"/>
      <c r="VAV361" s="253"/>
      <c r="VAX361" s="113"/>
      <c r="VAY361" s="607"/>
      <c r="VAZ361" s="249"/>
      <c r="VBA361" s="605"/>
      <c r="VBB361" s="321"/>
      <c r="VBC361" s="251"/>
      <c r="VBD361" s="606"/>
      <c r="VBE361" s="253"/>
      <c r="VBG361" s="113"/>
      <c r="VBH361" s="607"/>
      <c r="VBI361" s="249"/>
      <c r="VBJ361" s="605"/>
      <c r="VBK361" s="321"/>
      <c r="VBL361" s="251"/>
      <c r="VBM361" s="606"/>
      <c r="VBN361" s="253"/>
      <c r="VBP361" s="113"/>
      <c r="VBQ361" s="607"/>
      <c r="VBR361" s="249"/>
      <c r="VBS361" s="605"/>
      <c r="VBT361" s="321"/>
      <c r="VBU361" s="251"/>
      <c r="VBV361" s="606"/>
      <c r="VBW361" s="253"/>
      <c r="VBY361" s="113"/>
      <c r="VBZ361" s="607"/>
      <c r="VCA361" s="249"/>
      <c r="VCB361" s="605"/>
      <c r="VCC361" s="321"/>
      <c r="VCD361" s="251"/>
      <c r="VCE361" s="606"/>
      <c r="VCF361" s="253"/>
      <c r="VCH361" s="113"/>
      <c r="VCI361" s="607"/>
      <c r="VCJ361" s="249"/>
      <c r="VCK361" s="605"/>
      <c r="VCL361" s="321"/>
      <c r="VCM361" s="251"/>
      <c r="VCN361" s="606"/>
      <c r="VCO361" s="253"/>
      <c r="VCQ361" s="113"/>
      <c r="VCR361" s="607"/>
      <c r="VCS361" s="249"/>
      <c r="VCT361" s="605"/>
      <c r="VCU361" s="321"/>
      <c r="VCV361" s="251"/>
      <c r="VCW361" s="606"/>
      <c r="VCX361" s="253"/>
      <c r="VCZ361" s="113"/>
      <c r="VDA361" s="607"/>
      <c r="VDB361" s="249"/>
      <c r="VDC361" s="605"/>
      <c r="VDD361" s="321"/>
      <c r="VDE361" s="251"/>
      <c r="VDF361" s="606"/>
      <c r="VDG361" s="253"/>
      <c r="VDI361" s="113"/>
      <c r="VDJ361" s="607"/>
      <c r="VDK361" s="249"/>
      <c r="VDL361" s="605"/>
      <c r="VDM361" s="321"/>
      <c r="VDN361" s="251"/>
      <c r="VDO361" s="606"/>
      <c r="VDP361" s="253"/>
      <c r="VDR361" s="113"/>
      <c r="VDS361" s="607"/>
      <c r="VDT361" s="249"/>
      <c r="VDU361" s="605"/>
      <c r="VDV361" s="321"/>
      <c r="VDW361" s="251"/>
      <c r="VDX361" s="606"/>
      <c r="VDY361" s="253"/>
      <c r="VEA361" s="113"/>
      <c r="VEB361" s="607"/>
      <c r="VEC361" s="249"/>
      <c r="VED361" s="605"/>
      <c r="VEE361" s="321"/>
      <c r="VEF361" s="251"/>
      <c r="VEG361" s="606"/>
      <c r="VEH361" s="253"/>
      <c r="VEJ361" s="113"/>
      <c r="VEK361" s="607"/>
      <c r="VEL361" s="249"/>
      <c r="VEM361" s="605"/>
      <c r="VEN361" s="321"/>
      <c r="VEO361" s="251"/>
      <c r="VEP361" s="606"/>
      <c r="VEQ361" s="253"/>
      <c r="VES361" s="113"/>
      <c r="VET361" s="607"/>
      <c r="VEU361" s="249"/>
      <c r="VEV361" s="605"/>
      <c r="VEW361" s="321"/>
      <c r="VEX361" s="251"/>
      <c r="VEY361" s="606"/>
      <c r="VEZ361" s="253"/>
      <c r="VFB361" s="113"/>
      <c r="VFC361" s="607"/>
      <c r="VFD361" s="249"/>
      <c r="VFE361" s="605"/>
      <c r="VFF361" s="321"/>
      <c r="VFG361" s="251"/>
      <c r="VFH361" s="606"/>
      <c r="VFI361" s="253"/>
      <c r="VFK361" s="113"/>
      <c r="VFL361" s="607"/>
      <c r="VFM361" s="249"/>
      <c r="VFN361" s="605"/>
      <c r="VFO361" s="321"/>
      <c r="VFP361" s="251"/>
      <c r="VFQ361" s="606"/>
      <c r="VFR361" s="253"/>
      <c r="VFT361" s="113"/>
      <c r="VFU361" s="607"/>
      <c r="VFV361" s="249"/>
      <c r="VFW361" s="605"/>
      <c r="VFX361" s="321"/>
      <c r="VFY361" s="251"/>
      <c r="VFZ361" s="606"/>
      <c r="VGA361" s="253"/>
      <c r="VGC361" s="113"/>
      <c r="VGD361" s="607"/>
      <c r="VGE361" s="249"/>
      <c r="VGF361" s="605"/>
      <c r="VGG361" s="321"/>
      <c r="VGH361" s="251"/>
      <c r="VGI361" s="606"/>
      <c r="VGJ361" s="253"/>
      <c r="VGL361" s="113"/>
      <c r="VGM361" s="607"/>
      <c r="VGN361" s="249"/>
      <c r="VGO361" s="605"/>
      <c r="VGP361" s="321"/>
      <c r="VGQ361" s="251"/>
      <c r="VGR361" s="606"/>
      <c r="VGS361" s="253"/>
      <c r="VGU361" s="113"/>
      <c r="VGV361" s="607"/>
      <c r="VGW361" s="249"/>
      <c r="VGX361" s="605"/>
      <c r="VGY361" s="321"/>
      <c r="VGZ361" s="251"/>
      <c r="VHA361" s="606"/>
      <c r="VHB361" s="253"/>
      <c r="VHD361" s="113"/>
      <c r="VHE361" s="607"/>
      <c r="VHF361" s="249"/>
      <c r="VHG361" s="605"/>
      <c r="VHH361" s="321"/>
      <c r="VHI361" s="251"/>
      <c r="VHJ361" s="606"/>
      <c r="VHK361" s="253"/>
      <c r="VHM361" s="113"/>
      <c r="VHN361" s="607"/>
      <c r="VHO361" s="249"/>
      <c r="VHP361" s="605"/>
      <c r="VHQ361" s="321"/>
      <c r="VHR361" s="251"/>
      <c r="VHS361" s="606"/>
      <c r="VHT361" s="253"/>
      <c r="VHV361" s="113"/>
      <c r="VHW361" s="607"/>
      <c r="VHX361" s="249"/>
      <c r="VHY361" s="605"/>
      <c r="VHZ361" s="321"/>
      <c r="VIA361" s="251"/>
      <c r="VIB361" s="606"/>
      <c r="VIC361" s="253"/>
      <c r="VIE361" s="113"/>
      <c r="VIF361" s="607"/>
      <c r="VIG361" s="249"/>
      <c r="VIH361" s="605"/>
      <c r="VII361" s="321"/>
      <c r="VIJ361" s="251"/>
      <c r="VIK361" s="606"/>
      <c r="VIL361" s="253"/>
      <c r="VIN361" s="113"/>
      <c r="VIO361" s="607"/>
      <c r="VIP361" s="249"/>
      <c r="VIQ361" s="605"/>
      <c r="VIR361" s="321"/>
      <c r="VIS361" s="251"/>
      <c r="VIT361" s="606"/>
      <c r="VIU361" s="253"/>
      <c r="VIW361" s="113"/>
      <c r="VIX361" s="607"/>
      <c r="VIY361" s="249"/>
      <c r="VIZ361" s="605"/>
      <c r="VJA361" s="321"/>
      <c r="VJB361" s="251"/>
      <c r="VJC361" s="606"/>
      <c r="VJD361" s="253"/>
      <c r="VJF361" s="113"/>
      <c r="VJG361" s="607"/>
      <c r="VJH361" s="249"/>
      <c r="VJI361" s="605"/>
      <c r="VJJ361" s="321"/>
      <c r="VJK361" s="251"/>
      <c r="VJL361" s="606"/>
      <c r="VJM361" s="253"/>
      <c r="VJO361" s="113"/>
      <c r="VJP361" s="607"/>
      <c r="VJQ361" s="249"/>
      <c r="VJR361" s="605"/>
      <c r="VJS361" s="321"/>
      <c r="VJT361" s="251"/>
      <c r="VJU361" s="606"/>
      <c r="VJV361" s="253"/>
      <c r="VJX361" s="113"/>
      <c r="VJY361" s="607"/>
      <c r="VJZ361" s="249"/>
      <c r="VKA361" s="605"/>
      <c r="VKB361" s="321"/>
      <c r="VKC361" s="251"/>
      <c r="VKD361" s="606"/>
      <c r="VKE361" s="253"/>
      <c r="VKG361" s="113"/>
      <c r="VKH361" s="607"/>
      <c r="VKI361" s="249"/>
      <c r="VKJ361" s="605"/>
      <c r="VKK361" s="321"/>
      <c r="VKL361" s="251"/>
      <c r="VKM361" s="606"/>
      <c r="VKN361" s="253"/>
      <c r="VKP361" s="113"/>
      <c r="VKQ361" s="607"/>
      <c r="VKR361" s="249"/>
      <c r="VKS361" s="605"/>
      <c r="VKT361" s="321"/>
      <c r="VKU361" s="251"/>
      <c r="VKV361" s="606"/>
      <c r="VKW361" s="253"/>
      <c r="VKY361" s="113"/>
      <c r="VKZ361" s="607"/>
      <c r="VLA361" s="249"/>
      <c r="VLB361" s="605"/>
      <c r="VLC361" s="321"/>
      <c r="VLD361" s="251"/>
      <c r="VLE361" s="606"/>
      <c r="VLF361" s="253"/>
      <c r="VLH361" s="113"/>
      <c r="VLI361" s="607"/>
      <c r="VLJ361" s="249"/>
      <c r="VLK361" s="605"/>
      <c r="VLL361" s="321"/>
      <c r="VLM361" s="251"/>
      <c r="VLN361" s="606"/>
      <c r="VLO361" s="253"/>
      <c r="VLQ361" s="113"/>
      <c r="VLR361" s="607"/>
      <c r="VLS361" s="249"/>
      <c r="VLT361" s="605"/>
      <c r="VLU361" s="321"/>
      <c r="VLV361" s="251"/>
      <c r="VLW361" s="606"/>
      <c r="VLX361" s="253"/>
      <c r="VLZ361" s="113"/>
      <c r="VMA361" s="607"/>
      <c r="VMB361" s="249"/>
      <c r="VMC361" s="605"/>
      <c r="VMD361" s="321"/>
      <c r="VME361" s="251"/>
      <c r="VMF361" s="606"/>
      <c r="VMG361" s="253"/>
      <c r="VMI361" s="113"/>
      <c r="VMJ361" s="607"/>
      <c r="VMK361" s="249"/>
      <c r="VML361" s="605"/>
      <c r="VMM361" s="321"/>
      <c r="VMN361" s="251"/>
      <c r="VMO361" s="606"/>
      <c r="VMP361" s="253"/>
      <c r="VMR361" s="113"/>
      <c r="VMS361" s="607"/>
      <c r="VMT361" s="249"/>
      <c r="VMU361" s="605"/>
      <c r="VMV361" s="321"/>
      <c r="VMW361" s="251"/>
      <c r="VMX361" s="606"/>
      <c r="VMY361" s="253"/>
      <c r="VNA361" s="113"/>
      <c r="VNB361" s="607"/>
      <c r="VNC361" s="249"/>
      <c r="VND361" s="605"/>
      <c r="VNE361" s="321"/>
      <c r="VNF361" s="251"/>
      <c r="VNG361" s="606"/>
      <c r="VNH361" s="253"/>
      <c r="VNJ361" s="113"/>
      <c r="VNK361" s="607"/>
      <c r="VNL361" s="249"/>
      <c r="VNM361" s="605"/>
      <c r="VNN361" s="321"/>
      <c r="VNO361" s="251"/>
      <c r="VNP361" s="606"/>
      <c r="VNQ361" s="253"/>
      <c r="VNS361" s="113"/>
      <c r="VNT361" s="607"/>
      <c r="VNU361" s="249"/>
      <c r="VNV361" s="605"/>
      <c r="VNW361" s="321"/>
      <c r="VNX361" s="251"/>
      <c r="VNY361" s="606"/>
      <c r="VNZ361" s="253"/>
      <c r="VOB361" s="113"/>
      <c r="VOC361" s="607"/>
      <c r="VOD361" s="249"/>
      <c r="VOE361" s="605"/>
      <c r="VOF361" s="321"/>
      <c r="VOG361" s="251"/>
      <c r="VOH361" s="606"/>
      <c r="VOI361" s="253"/>
      <c r="VOK361" s="113"/>
      <c r="VOL361" s="607"/>
      <c r="VOM361" s="249"/>
      <c r="VON361" s="605"/>
      <c r="VOO361" s="321"/>
      <c r="VOP361" s="251"/>
      <c r="VOQ361" s="606"/>
      <c r="VOR361" s="253"/>
      <c r="VOT361" s="113"/>
      <c r="VOU361" s="607"/>
      <c r="VOV361" s="249"/>
      <c r="VOW361" s="605"/>
      <c r="VOX361" s="321"/>
      <c r="VOY361" s="251"/>
      <c r="VOZ361" s="606"/>
      <c r="VPA361" s="253"/>
      <c r="VPC361" s="113"/>
      <c r="VPD361" s="607"/>
      <c r="VPE361" s="249"/>
      <c r="VPF361" s="605"/>
      <c r="VPG361" s="321"/>
      <c r="VPH361" s="251"/>
      <c r="VPI361" s="606"/>
      <c r="VPJ361" s="253"/>
      <c r="VPL361" s="113"/>
      <c r="VPM361" s="607"/>
      <c r="VPN361" s="249"/>
      <c r="VPO361" s="605"/>
      <c r="VPP361" s="321"/>
      <c r="VPQ361" s="251"/>
      <c r="VPR361" s="606"/>
      <c r="VPS361" s="253"/>
      <c r="VPU361" s="113"/>
      <c r="VPV361" s="607"/>
      <c r="VPW361" s="249"/>
      <c r="VPX361" s="605"/>
      <c r="VPY361" s="321"/>
      <c r="VPZ361" s="251"/>
      <c r="VQA361" s="606"/>
      <c r="VQB361" s="253"/>
      <c r="VQD361" s="113"/>
      <c r="VQE361" s="607"/>
      <c r="VQF361" s="249"/>
      <c r="VQG361" s="605"/>
      <c r="VQH361" s="321"/>
      <c r="VQI361" s="251"/>
      <c r="VQJ361" s="606"/>
      <c r="VQK361" s="253"/>
      <c r="VQM361" s="113"/>
      <c r="VQN361" s="607"/>
      <c r="VQO361" s="249"/>
      <c r="VQP361" s="605"/>
      <c r="VQQ361" s="321"/>
      <c r="VQR361" s="251"/>
      <c r="VQS361" s="606"/>
      <c r="VQT361" s="253"/>
      <c r="VQV361" s="113"/>
      <c r="VQW361" s="607"/>
      <c r="VQX361" s="249"/>
      <c r="VQY361" s="605"/>
      <c r="VQZ361" s="321"/>
      <c r="VRA361" s="251"/>
      <c r="VRB361" s="606"/>
      <c r="VRC361" s="253"/>
      <c r="VRE361" s="113"/>
      <c r="VRF361" s="607"/>
      <c r="VRG361" s="249"/>
      <c r="VRH361" s="605"/>
      <c r="VRI361" s="321"/>
      <c r="VRJ361" s="251"/>
      <c r="VRK361" s="606"/>
      <c r="VRL361" s="253"/>
      <c r="VRN361" s="113"/>
      <c r="VRO361" s="607"/>
      <c r="VRP361" s="249"/>
      <c r="VRQ361" s="605"/>
      <c r="VRR361" s="321"/>
      <c r="VRS361" s="251"/>
      <c r="VRT361" s="606"/>
      <c r="VRU361" s="253"/>
      <c r="VRW361" s="113"/>
      <c r="VRX361" s="607"/>
      <c r="VRY361" s="249"/>
      <c r="VRZ361" s="605"/>
      <c r="VSA361" s="321"/>
      <c r="VSB361" s="251"/>
      <c r="VSC361" s="606"/>
      <c r="VSD361" s="253"/>
      <c r="VSF361" s="113"/>
      <c r="VSG361" s="607"/>
      <c r="VSH361" s="249"/>
      <c r="VSI361" s="605"/>
      <c r="VSJ361" s="321"/>
      <c r="VSK361" s="251"/>
      <c r="VSL361" s="606"/>
      <c r="VSM361" s="253"/>
      <c r="VSO361" s="113"/>
      <c r="VSP361" s="607"/>
      <c r="VSQ361" s="249"/>
      <c r="VSR361" s="605"/>
      <c r="VSS361" s="321"/>
      <c r="VST361" s="251"/>
      <c r="VSU361" s="606"/>
      <c r="VSV361" s="253"/>
      <c r="VSX361" s="113"/>
      <c r="VSY361" s="607"/>
      <c r="VSZ361" s="249"/>
      <c r="VTA361" s="605"/>
      <c r="VTB361" s="321"/>
      <c r="VTC361" s="251"/>
      <c r="VTD361" s="606"/>
      <c r="VTE361" s="253"/>
      <c r="VTG361" s="113"/>
      <c r="VTH361" s="607"/>
      <c r="VTI361" s="249"/>
      <c r="VTJ361" s="605"/>
      <c r="VTK361" s="321"/>
      <c r="VTL361" s="251"/>
      <c r="VTM361" s="606"/>
      <c r="VTN361" s="253"/>
      <c r="VTP361" s="113"/>
      <c r="VTQ361" s="607"/>
      <c r="VTR361" s="249"/>
      <c r="VTS361" s="605"/>
      <c r="VTT361" s="321"/>
      <c r="VTU361" s="251"/>
      <c r="VTV361" s="606"/>
      <c r="VTW361" s="253"/>
      <c r="VTY361" s="113"/>
      <c r="VTZ361" s="607"/>
      <c r="VUA361" s="249"/>
      <c r="VUB361" s="605"/>
      <c r="VUC361" s="321"/>
      <c r="VUD361" s="251"/>
      <c r="VUE361" s="606"/>
      <c r="VUF361" s="253"/>
      <c r="VUH361" s="113"/>
      <c r="VUI361" s="607"/>
      <c r="VUJ361" s="249"/>
      <c r="VUK361" s="605"/>
      <c r="VUL361" s="321"/>
      <c r="VUM361" s="251"/>
      <c r="VUN361" s="606"/>
      <c r="VUO361" s="253"/>
      <c r="VUQ361" s="113"/>
      <c r="VUR361" s="607"/>
      <c r="VUS361" s="249"/>
      <c r="VUT361" s="605"/>
      <c r="VUU361" s="321"/>
      <c r="VUV361" s="251"/>
      <c r="VUW361" s="606"/>
      <c r="VUX361" s="253"/>
      <c r="VUZ361" s="113"/>
      <c r="VVA361" s="607"/>
      <c r="VVB361" s="249"/>
      <c r="VVC361" s="605"/>
      <c r="VVD361" s="321"/>
      <c r="VVE361" s="251"/>
      <c r="VVF361" s="606"/>
      <c r="VVG361" s="253"/>
      <c r="VVI361" s="113"/>
      <c r="VVJ361" s="607"/>
      <c r="VVK361" s="249"/>
      <c r="VVL361" s="605"/>
      <c r="VVM361" s="321"/>
      <c r="VVN361" s="251"/>
      <c r="VVO361" s="606"/>
      <c r="VVP361" s="253"/>
      <c r="VVR361" s="113"/>
      <c r="VVS361" s="607"/>
      <c r="VVT361" s="249"/>
      <c r="VVU361" s="605"/>
      <c r="VVV361" s="321"/>
      <c r="VVW361" s="251"/>
      <c r="VVX361" s="606"/>
      <c r="VVY361" s="253"/>
      <c r="VWA361" s="113"/>
      <c r="VWB361" s="607"/>
      <c r="VWC361" s="249"/>
      <c r="VWD361" s="605"/>
      <c r="VWE361" s="321"/>
      <c r="VWF361" s="251"/>
      <c r="VWG361" s="606"/>
      <c r="VWH361" s="253"/>
      <c r="VWJ361" s="113"/>
      <c r="VWK361" s="607"/>
      <c r="VWL361" s="249"/>
      <c r="VWM361" s="605"/>
      <c r="VWN361" s="321"/>
      <c r="VWO361" s="251"/>
      <c r="VWP361" s="606"/>
      <c r="VWQ361" s="253"/>
      <c r="VWS361" s="113"/>
      <c r="VWT361" s="607"/>
      <c r="VWU361" s="249"/>
      <c r="VWV361" s="605"/>
      <c r="VWW361" s="321"/>
      <c r="VWX361" s="251"/>
      <c r="VWY361" s="606"/>
      <c r="VWZ361" s="253"/>
      <c r="VXB361" s="113"/>
      <c r="VXC361" s="607"/>
      <c r="VXD361" s="249"/>
      <c r="VXE361" s="605"/>
      <c r="VXF361" s="321"/>
      <c r="VXG361" s="251"/>
      <c r="VXH361" s="606"/>
      <c r="VXI361" s="253"/>
      <c r="VXK361" s="113"/>
      <c r="VXL361" s="607"/>
      <c r="VXM361" s="249"/>
      <c r="VXN361" s="605"/>
      <c r="VXO361" s="321"/>
      <c r="VXP361" s="251"/>
      <c r="VXQ361" s="606"/>
      <c r="VXR361" s="253"/>
      <c r="VXT361" s="113"/>
      <c r="VXU361" s="607"/>
      <c r="VXV361" s="249"/>
      <c r="VXW361" s="605"/>
      <c r="VXX361" s="321"/>
      <c r="VXY361" s="251"/>
      <c r="VXZ361" s="606"/>
      <c r="VYA361" s="253"/>
      <c r="VYC361" s="113"/>
      <c r="VYD361" s="607"/>
      <c r="VYE361" s="249"/>
      <c r="VYF361" s="605"/>
      <c r="VYG361" s="321"/>
      <c r="VYH361" s="251"/>
      <c r="VYI361" s="606"/>
      <c r="VYJ361" s="253"/>
      <c r="VYL361" s="113"/>
      <c r="VYM361" s="607"/>
      <c r="VYN361" s="249"/>
      <c r="VYO361" s="605"/>
      <c r="VYP361" s="321"/>
      <c r="VYQ361" s="251"/>
      <c r="VYR361" s="606"/>
      <c r="VYS361" s="253"/>
      <c r="VYU361" s="113"/>
      <c r="VYV361" s="607"/>
      <c r="VYW361" s="249"/>
      <c r="VYX361" s="605"/>
      <c r="VYY361" s="321"/>
      <c r="VYZ361" s="251"/>
      <c r="VZA361" s="606"/>
      <c r="VZB361" s="253"/>
      <c r="VZD361" s="113"/>
      <c r="VZE361" s="607"/>
      <c r="VZF361" s="249"/>
      <c r="VZG361" s="605"/>
      <c r="VZH361" s="321"/>
      <c r="VZI361" s="251"/>
      <c r="VZJ361" s="606"/>
      <c r="VZK361" s="253"/>
      <c r="VZM361" s="113"/>
      <c r="VZN361" s="607"/>
      <c r="VZO361" s="249"/>
      <c r="VZP361" s="605"/>
      <c r="VZQ361" s="321"/>
      <c r="VZR361" s="251"/>
      <c r="VZS361" s="606"/>
      <c r="VZT361" s="253"/>
      <c r="VZV361" s="113"/>
      <c r="VZW361" s="607"/>
      <c r="VZX361" s="249"/>
      <c r="VZY361" s="605"/>
      <c r="VZZ361" s="321"/>
      <c r="WAA361" s="251"/>
      <c r="WAB361" s="606"/>
      <c r="WAC361" s="253"/>
      <c r="WAE361" s="113"/>
      <c r="WAF361" s="607"/>
      <c r="WAG361" s="249"/>
      <c r="WAH361" s="605"/>
      <c r="WAI361" s="321"/>
      <c r="WAJ361" s="251"/>
      <c r="WAK361" s="606"/>
      <c r="WAL361" s="253"/>
      <c r="WAN361" s="113"/>
      <c r="WAO361" s="607"/>
      <c r="WAP361" s="249"/>
      <c r="WAQ361" s="605"/>
      <c r="WAR361" s="321"/>
      <c r="WAS361" s="251"/>
      <c r="WAT361" s="606"/>
      <c r="WAU361" s="253"/>
      <c r="WAW361" s="113"/>
      <c r="WAX361" s="607"/>
      <c r="WAY361" s="249"/>
      <c r="WAZ361" s="605"/>
      <c r="WBA361" s="321"/>
      <c r="WBB361" s="251"/>
      <c r="WBC361" s="606"/>
      <c r="WBD361" s="253"/>
      <c r="WBF361" s="113"/>
      <c r="WBG361" s="607"/>
      <c r="WBH361" s="249"/>
      <c r="WBI361" s="605"/>
      <c r="WBJ361" s="321"/>
      <c r="WBK361" s="251"/>
      <c r="WBL361" s="606"/>
      <c r="WBM361" s="253"/>
      <c r="WBO361" s="113"/>
      <c r="WBP361" s="607"/>
      <c r="WBQ361" s="249"/>
      <c r="WBR361" s="605"/>
      <c r="WBS361" s="321"/>
      <c r="WBT361" s="251"/>
      <c r="WBU361" s="606"/>
      <c r="WBV361" s="253"/>
      <c r="WBX361" s="113"/>
      <c r="WBY361" s="607"/>
      <c r="WBZ361" s="249"/>
      <c r="WCA361" s="605"/>
      <c r="WCB361" s="321"/>
      <c r="WCC361" s="251"/>
      <c r="WCD361" s="606"/>
      <c r="WCE361" s="253"/>
      <c r="WCG361" s="113"/>
      <c r="WCH361" s="607"/>
      <c r="WCI361" s="249"/>
      <c r="WCJ361" s="605"/>
      <c r="WCK361" s="321"/>
      <c r="WCL361" s="251"/>
      <c r="WCM361" s="606"/>
      <c r="WCN361" s="253"/>
      <c r="WCP361" s="113"/>
      <c r="WCQ361" s="607"/>
      <c r="WCR361" s="249"/>
      <c r="WCS361" s="605"/>
      <c r="WCT361" s="321"/>
      <c r="WCU361" s="251"/>
      <c r="WCV361" s="606"/>
      <c r="WCW361" s="253"/>
      <c r="WCY361" s="113"/>
      <c r="WCZ361" s="607"/>
      <c r="WDA361" s="249"/>
      <c r="WDB361" s="605"/>
      <c r="WDC361" s="321"/>
      <c r="WDD361" s="251"/>
      <c r="WDE361" s="606"/>
      <c r="WDF361" s="253"/>
      <c r="WDH361" s="113"/>
      <c r="WDI361" s="607"/>
      <c r="WDJ361" s="249"/>
      <c r="WDK361" s="605"/>
      <c r="WDL361" s="321"/>
      <c r="WDM361" s="251"/>
      <c r="WDN361" s="606"/>
      <c r="WDO361" s="253"/>
      <c r="WDQ361" s="113"/>
      <c r="WDR361" s="607"/>
      <c r="WDS361" s="249"/>
      <c r="WDT361" s="605"/>
      <c r="WDU361" s="321"/>
      <c r="WDV361" s="251"/>
      <c r="WDW361" s="606"/>
      <c r="WDX361" s="253"/>
      <c r="WDZ361" s="113"/>
      <c r="WEA361" s="607"/>
      <c r="WEB361" s="249"/>
      <c r="WEC361" s="605"/>
      <c r="WED361" s="321"/>
      <c r="WEE361" s="251"/>
      <c r="WEF361" s="606"/>
      <c r="WEG361" s="253"/>
      <c r="WEI361" s="113"/>
      <c r="WEJ361" s="607"/>
      <c r="WEK361" s="249"/>
      <c r="WEL361" s="605"/>
      <c r="WEM361" s="321"/>
      <c r="WEN361" s="251"/>
      <c r="WEO361" s="606"/>
      <c r="WEP361" s="253"/>
      <c r="WER361" s="113"/>
      <c r="WES361" s="607"/>
      <c r="WET361" s="249"/>
      <c r="WEU361" s="605"/>
      <c r="WEV361" s="321"/>
      <c r="WEW361" s="251"/>
      <c r="WEX361" s="606"/>
      <c r="WEY361" s="253"/>
      <c r="WFA361" s="113"/>
      <c r="WFB361" s="607"/>
      <c r="WFC361" s="249"/>
      <c r="WFD361" s="605"/>
      <c r="WFE361" s="321"/>
      <c r="WFF361" s="251"/>
      <c r="WFG361" s="606"/>
      <c r="WFH361" s="253"/>
      <c r="WFJ361" s="113"/>
      <c r="WFK361" s="607"/>
      <c r="WFL361" s="249"/>
      <c r="WFM361" s="605"/>
      <c r="WFN361" s="321"/>
      <c r="WFO361" s="251"/>
      <c r="WFP361" s="606"/>
      <c r="WFQ361" s="253"/>
      <c r="WFS361" s="113"/>
      <c r="WFT361" s="607"/>
      <c r="WFU361" s="249"/>
      <c r="WFV361" s="605"/>
      <c r="WFW361" s="321"/>
      <c r="WFX361" s="251"/>
      <c r="WFY361" s="606"/>
      <c r="WFZ361" s="253"/>
      <c r="WGB361" s="113"/>
      <c r="WGC361" s="607"/>
      <c r="WGD361" s="249"/>
      <c r="WGE361" s="605"/>
      <c r="WGF361" s="321"/>
      <c r="WGG361" s="251"/>
      <c r="WGH361" s="606"/>
      <c r="WGI361" s="253"/>
      <c r="WGK361" s="113"/>
      <c r="WGL361" s="607"/>
      <c r="WGM361" s="249"/>
      <c r="WGN361" s="605"/>
      <c r="WGO361" s="321"/>
      <c r="WGP361" s="251"/>
      <c r="WGQ361" s="606"/>
      <c r="WGR361" s="253"/>
      <c r="WGT361" s="113"/>
      <c r="WGU361" s="607"/>
      <c r="WGV361" s="249"/>
      <c r="WGW361" s="605"/>
      <c r="WGX361" s="321"/>
      <c r="WGY361" s="251"/>
      <c r="WGZ361" s="606"/>
      <c r="WHA361" s="253"/>
      <c r="WHC361" s="113"/>
      <c r="WHD361" s="607"/>
      <c r="WHE361" s="249"/>
      <c r="WHF361" s="605"/>
      <c r="WHG361" s="321"/>
      <c r="WHH361" s="251"/>
      <c r="WHI361" s="606"/>
      <c r="WHJ361" s="253"/>
      <c r="WHL361" s="113"/>
      <c r="WHM361" s="607"/>
      <c r="WHN361" s="249"/>
      <c r="WHO361" s="605"/>
      <c r="WHP361" s="321"/>
      <c r="WHQ361" s="251"/>
      <c r="WHR361" s="606"/>
      <c r="WHS361" s="253"/>
      <c r="WHU361" s="113"/>
      <c r="WHV361" s="607"/>
      <c r="WHW361" s="249"/>
      <c r="WHX361" s="605"/>
      <c r="WHY361" s="321"/>
      <c r="WHZ361" s="251"/>
      <c r="WIA361" s="606"/>
      <c r="WIB361" s="253"/>
      <c r="WID361" s="113"/>
      <c r="WIE361" s="607"/>
      <c r="WIF361" s="249"/>
      <c r="WIG361" s="605"/>
      <c r="WIH361" s="321"/>
      <c r="WII361" s="251"/>
      <c r="WIJ361" s="606"/>
      <c r="WIK361" s="253"/>
      <c r="WIM361" s="113"/>
      <c r="WIN361" s="607"/>
      <c r="WIO361" s="249"/>
      <c r="WIP361" s="605"/>
      <c r="WIQ361" s="321"/>
      <c r="WIR361" s="251"/>
      <c r="WIS361" s="606"/>
      <c r="WIT361" s="253"/>
      <c r="WIV361" s="113"/>
      <c r="WIW361" s="607"/>
      <c r="WIX361" s="249"/>
      <c r="WIY361" s="605"/>
      <c r="WIZ361" s="321"/>
      <c r="WJA361" s="251"/>
      <c r="WJB361" s="606"/>
      <c r="WJC361" s="253"/>
      <c r="WJE361" s="113"/>
      <c r="WJF361" s="607"/>
      <c r="WJG361" s="249"/>
      <c r="WJH361" s="605"/>
      <c r="WJI361" s="321"/>
      <c r="WJJ361" s="251"/>
      <c r="WJK361" s="606"/>
      <c r="WJL361" s="253"/>
      <c r="WJN361" s="113"/>
      <c r="WJO361" s="607"/>
      <c r="WJP361" s="249"/>
      <c r="WJQ361" s="605"/>
      <c r="WJR361" s="321"/>
      <c r="WJS361" s="251"/>
      <c r="WJT361" s="606"/>
      <c r="WJU361" s="253"/>
      <c r="WJW361" s="113"/>
      <c r="WJX361" s="607"/>
      <c r="WJY361" s="249"/>
      <c r="WJZ361" s="605"/>
      <c r="WKA361" s="321"/>
      <c r="WKB361" s="251"/>
      <c r="WKC361" s="606"/>
      <c r="WKD361" s="253"/>
      <c r="WKF361" s="113"/>
      <c r="WKG361" s="607"/>
      <c r="WKH361" s="249"/>
      <c r="WKI361" s="605"/>
      <c r="WKJ361" s="321"/>
      <c r="WKK361" s="251"/>
      <c r="WKL361" s="606"/>
      <c r="WKM361" s="253"/>
      <c r="WKO361" s="113"/>
      <c r="WKP361" s="607"/>
      <c r="WKQ361" s="249"/>
      <c r="WKR361" s="605"/>
      <c r="WKS361" s="321"/>
      <c r="WKT361" s="251"/>
      <c r="WKU361" s="606"/>
      <c r="WKV361" s="253"/>
      <c r="WKX361" s="113"/>
      <c r="WKY361" s="607"/>
      <c r="WKZ361" s="249"/>
      <c r="WLA361" s="605"/>
      <c r="WLB361" s="321"/>
      <c r="WLC361" s="251"/>
      <c r="WLD361" s="606"/>
      <c r="WLE361" s="253"/>
      <c r="WLG361" s="113"/>
      <c r="WLH361" s="607"/>
      <c r="WLI361" s="249"/>
      <c r="WLJ361" s="605"/>
      <c r="WLK361" s="321"/>
      <c r="WLL361" s="251"/>
      <c r="WLM361" s="606"/>
      <c r="WLN361" s="253"/>
      <c r="WLP361" s="113"/>
      <c r="WLQ361" s="607"/>
      <c r="WLR361" s="249"/>
      <c r="WLS361" s="605"/>
      <c r="WLT361" s="321"/>
      <c r="WLU361" s="251"/>
      <c r="WLV361" s="606"/>
      <c r="WLW361" s="253"/>
      <c r="WLY361" s="113"/>
      <c r="WLZ361" s="607"/>
      <c r="WMA361" s="249"/>
      <c r="WMB361" s="605"/>
      <c r="WMC361" s="321"/>
      <c r="WMD361" s="251"/>
      <c r="WME361" s="606"/>
      <c r="WMF361" s="253"/>
      <c r="WMH361" s="113"/>
      <c r="WMI361" s="607"/>
      <c r="WMJ361" s="249"/>
      <c r="WMK361" s="605"/>
      <c r="WML361" s="321"/>
      <c r="WMM361" s="251"/>
      <c r="WMN361" s="606"/>
      <c r="WMO361" s="253"/>
      <c r="WMQ361" s="113"/>
      <c r="WMR361" s="607"/>
      <c r="WMS361" s="249"/>
      <c r="WMT361" s="605"/>
      <c r="WMU361" s="321"/>
      <c r="WMV361" s="251"/>
      <c r="WMW361" s="606"/>
      <c r="WMX361" s="253"/>
      <c r="WMZ361" s="113"/>
      <c r="WNA361" s="607"/>
      <c r="WNB361" s="249"/>
      <c r="WNC361" s="605"/>
      <c r="WND361" s="321"/>
      <c r="WNE361" s="251"/>
      <c r="WNF361" s="606"/>
      <c r="WNG361" s="253"/>
      <c r="WNI361" s="113"/>
      <c r="WNJ361" s="607"/>
      <c r="WNK361" s="249"/>
      <c r="WNL361" s="605"/>
      <c r="WNM361" s="321"/>
      <c r="WNN361" s="251"/>
      <c r="WNO361" s="606"/>
      <c r="WNP361" s="253"/>
      <c r="WNR361" s="113"/>
      <c r="WNS361" s="607"/>
      <c r="WNT361" s="249"/>
      <c r="WNU361" s="605"/>
      <c r="WNV361" s="321"/>
      <c r="WNW361" s="251"/>
      <c r="WNX361" s="606"/>
      <c r="WNY361" s="253"/>
      <c r="WOA361" s="113"/>
      <c r="WOB361" s="607"/>
      <c r="WOC361" s="249"/>
      <c r="WOD361" s="605"/>
      <c r="WOE361" s="321"/>
      <c r="WOF361" s="251"/>
      <c r="WOG361" s="606"/>
      <c r="WOH361" s="253"/>
      <c r="WOJ361" s="113"/>
      <c r="WOK361" s="607"/>
      <c r="WOL361" s="249"/>
      <c r="WOM361" s="605"/>
      <c r="WON361" s="321"/>
      <c r="WOO361" s="251"/>
      <c r="WOP361" s="606"/>
      <c r="WOQ361" s="253"/>
      <c r="WOS361" s="113"/>
      <c r="WOT361" s="607"/>
      <c r="WOU361" s="249"/>
      <c r="WOV361" s="605"/>
      <c r="WOW361" s="321"/>
      <c r="WOX361" s="251"/>
      <c r="WOY361" s="606"/>
      <c r="WOZ361" s="253"/>
      <c r="WPB361" s="113"/>
      <c r="WPC361" s="607"/>
      <c r="WPD361" s="249"/>
      <c r="WPE361" s="605"/>
      <c r="WPF361" s="321"/>
      <c r="WPG361" s="251"/>
      <c r="WPH361" s="606"/>
      <c r="WPI361" s="253"/>
      <c r="WPK361" s="113"/>
      <c r="WPL361" s="607"/>
      <c r="WPM361" s="249"/>
      <c r="WPN361" s="605"/>
      <c r="WPO361" s="321"/>
      <c r="WPP361" s="251"/>
      <c r="WPQ361" s="606"/>
      <c r="WPR361" s="253"/>
      <c r="WPT361" s="113"/>
      <c r="WPU361" s="607"/>
      <c r="WPV361" s="249"/>
      <c r="WPW361" s="605"/>
      <c r="WPX361" s="321"/>
      <c r="WPY361" s="251"/>
      <c r="WPZ361" s="606"/>
      <c r="WQA361" s="253"/>
      <c r="WQC361" s="113"/>
      <c r="WQD361" s="607"/>
      <c r="WQE361" s="249"/>
      <c r="WQF361" s="605"/>
      <c r="WQG361" s="321"/>
      <c r="WQH361" s="251"/>
      <c r="WQI361" s="606"/>
      <c r="WQJ361" s="253"/>
      <c r="WQL361" s="113"/>
      <c r="WQM361" s="607"/>
      <c r="WQN361" s="249"/>
      <c r="WQO361" s="605"/>
      <c r="WQP361" s="321"/>
      <c r="WQQ361" s="251"/>
      <c r="WQR361" s="606"/>
      <c r="WQS361" s="253"/>
      <c r="WQU361" s="113"/>
      <c r="WQV361" s="607"/>
      <c r="WQW361" s="249"/>
      <c r="WQX361" s="605"/>
      <c r="WQY361" s="321"/>
      <c r="WQZ361" s="251"/>
      <c r="WRA361" s="606"/>
      <c r="WRB361" s="253"/>
      <c r="WRD361" s="113"/>
      <c r="WRE361" s="607"/>
      <c r="WRF361" s="249"/>
      <c r="WRG361" s="605"/>
      <c r="WRH361" s="321"/>
      <c r="WRI361" s="251"/>
      <c r="WRJ361" s="606"/>
      <c r="WRK361" s="253"/>
      <c r="WRM361" s="113"/>
      <c r="WRN361" s="607"/>
      <c r="WRO361" s="249"/>
      <c r="WRP361" s="605"/>
      <c r="WRQ361" s="321"/>
      <c r="WRR361" s="251"/>
      <c r="WRS361" s="606"/>
      <c r="WRT361" s="253"/>
      <c r="WRV361" s="113"/>
      <c r="WRW361" s="607"/>
      <c r="WRX361" s="249"/>
      <c r="WRY361" s="605"/>
      <c r="WRZ361" s="321"/>
      <c r="WSA361" s="251"/>
      <c r="WSB361" s="606"/>
      <c r="WSC361" s="253"/>
      <c r="WSE361" s="113"/>
      <c r="WSF361" s="607"/>
      <c r="WSG361" s="249"/>
      <c r="WSH361" s="605"/>
      <c r="WSI361" s="321"/>
      <c r="WSJ361" s="251"/>
      <c r="WSK361" s="606"/>
      <c r="WSL361" s="253"/>
      <c r="WSN361" s="113"/>
      <c r="WSO361" s="607"/>
      <c r="WSP361" s="249"/>
      <c r="WSQ361" s="605"/>
      <c r="WSR361" s="321"/>
      <c r="WSS361" s="251"/>
      <c r="WST361" s="606"/>
      <c r="WSU361" s="253"/>
      <c r="WSW361" s="113"/>
      <c r="WSX361" s="607"/>
      <c r="WSY361" s="249"/>
      <c r="WSZ361" s="605"/>
      <c r="WTA361" s="321"/>
      <c r="WTB361" s="251"/>
      <c r="WTC361" s="606"/>
      <c r="WTD361" s="253"/>
      <c r="WTF361" s="113"/>
      <c r="WTG361" s="607"/>
      <c r="WTH361" s="249"/>
      <c r="WTI361" s="605"/>
      <c r="WTJ361" s="321"/>
      <c r="WTK361" s="251"/>
      <c r="WTL361" s="606"/>
      <c r="WTM361" s="253"/>
      <c r="WTO361" s="113"/>
      <c r="WTP361" s="607"/>
      <c r="WTQ361" s="249"/>
      <c r="WTR361" s="605"/>
      <c r="WTS361" s="321"/>
      <c r="WTT361" s="251"/>
      <c r="WTU361" s="606"/>
      <c r="WTV361" s="253"/>
      <c r="WTX361" s="113"/>
      <c r="WTY361" s="607"/>
      <c r="WTZ361" s="249"/>
      <c r="WUA361" s="605"/>
      <c r="WUB361" s="321"/>
      <c r="WUC361" s="251"/>
      <c r="WUD361" s="606"/>
      <c r="WUE361" s="253"/>
      <c r="WUG361" s="113"/>
      <c r="WUH361" s="607"/>
      <c r="WUI361" s="249"/>
      <c r="WUJ361" s="605"/>
      <c r="WUK361" s="321"/>
      <c r="WUL361" s="251"/>
      <c r="WUM361" s="606"/>
      <c r="WUN361" s="253"/>
      <c r="WUP361" s="113"/>
      <c r="WUQ361" s="607"/>
      <c r="WUR361" s="249"/>
      <c r="WUS361" s="605"/>
      <c r="WUT361" s="321"/>
      <c r="WUU361" s="251"/>
      <c r="WUV361" s="606"/>
      <c r="WUW361" s="253"/>
      <c r="WUY361" s="113"/>
      <c r="WUZ361" s="607"/>
      <c r="WVA361" s="249"/>
      <c r="WVB361" s="605"/>
      <c r="WVC361" s="321"/>
      <c r="WVD361" s="251"/>
      <c r="WVE361" s="606"/>
      <c r="WVF361" s="253"/>
      <c r="WVH361" s="113"/>
      <c r="WVI361" s="607"/>
      <c r="WVJ361" s="249"/>
      <c r="WVK361" s="605"/>
      <c r="WVL361" s="321"/>
      <c r="WVM361" s="251"/>
      <c r="WVN361" s="606"/>
      <c r="WVO361" s="253"/>
      <c r="WVQ361" s="113"/>
      <c r="WVR361" s="607"/>
      <c r="WVS361" s="249"/>
      <c r="WVT361" s="605"/>
      <c r="WVU361" s="321"/>
      <c r="WVV361" s="251"/>
      <c r="WVW361" s="606"/>
      <c r="WVX361" s="253"/>
      <c r="WVZ361" s="113"/>
      <c r="WWA361" s="607"/>
      <c r="WWB361" s="249"/>
      <c r="WWC361" s="605"/>
      <c r="WWD361" s="321"/>
      <c r="WWE361" s="251"/>
      <c r="WWF361" s="606"/>
      <c r="WWG361" s="253"/>
      <c r="WWI361" s="113"/>
      <c r="WWJ361" s="607"/>
      <c r="WWK361" s="249"/>
      <c r="WWL361" s="605"/>
      <c r="WWM361" s="321"/>
      <c r="WWN361" s="251"/>
      <c r="WWO361" s="606"/>
      <c r="WWP361" s="253"/>
      <c r="WWR361" s="113"/>
      <c r="WWS361" s="607"/>
      <c r="WWT361" s="249"/>
      <c r="WWU361" s="605"/>
      <c r="WWV361" s="321"/>
      <c r="WWW361" s="251"/>
      <c r="WWX361" s="606"/>
      <c r="WWY361" s="253"/>
      <c r="WXA361" s="113"/>
      <c r="WXB361" s="607"/>
      <c r="WXC361" s="249"/>
      <c r="WXD361" s="605"/>
      <c r="WXE361" s="321"/>
      <c r="WXF361" s="251"/>
      <c r="WXG361" s="606"/>
      <c r="WXH361" s="253"/>
      <c r="WXJ361" s="113"/>
      <c r="WXK361" s="607"/>
      <c r="WXL361" s="249"/>
      <c r="WXM361" s="605"/>
      <c r="WXN361" s="321"/>
      <c r="WXO361" s="251"/>
      <c r="WXP361" s="606"/>
      <c r="WXQ361" s="253"/>
      <c r="WXS361" s="113"/>
      <c r="WXT361" s="607"/>
      <c r="WXU361" s="249"/>
      <c r="WXV361" s="605"/>
      <c r="WXW361" s="321"/>
      <c r="WXX361" s="251"/>
      <c r="WXY361" s="606"/>
      <c r="WXZ361" s="253"/>
      <c r="WYB361" s="113"/>
      <c r="WYC361" s="607"/>
      <c r="WYD361" s="249"/>
      <c r="WYE361" s="605"/>
      <c r="WYF361" s="321"/>
      <c r="WYG361" s="251"/>
      <c r="WYH361" s="606"/>
      <c r="WYI361" s="253"/>
      <c r="WYK361" s="113"/>
      <c r="WYL361" s="607"/>
      <c r="WYM361" s="249"/>
      <c r="WYN361" s="605"/>
      <c r="WYO361" s="321"/>
      <c r="WYP361" s="251"/>
      <c r="WYQ361" s="606"/>
      <c r="WYR361" s="253"/>
      <c r="WYT361" s="113"/>
      <c r="WYU361" s="607"/>
      <c r="WYV361" s="249"/>
      <c r="WYW361" s="605"/>
      <c r="WYX361" s="321"/>
      <c r="WYY361" s="251"/>
      <c r="WYZ361" s="606"/>
      <c r="WZA361" s="253"/>
      <c r="WZC361" s="113"/>
      <c r="WZD361" s="607"/>
      <c r="WZE361" s="249"/>
      <c r="WZF361" s="605"/>
      <c r="WZG361" s="321"/>
      <c r="WZH361" s="251"/>
      <c r="WZI361" s="606"/>
      <c r="WZJ361" s="253"/>
      <c r="WZL361" s="113"/>
      <c r="WZM361" s="607"/>
      <c r="WZN361" s="249"/>
      <c r="WZO361" s="605"/>
      <c r="WZP361" s="321"/>
      <c r="WZQ361" s="251"/>
      <c r="WZR361" s="606"/>
      <c r="WZS361" s="253"/>
      <c r="WZU361" s="113"/>
      <c r="WZV361" s="607"/>
      <c r="WZW361" s="249"/>
      <c r="WZX361" s="605"/>
      <c r="WZY361" s="321"/>
      <c r="WZZ361" s="251"/>
      <c r="XAA361" s="606"/>
      <c r="XAB361" s="253"/>
      <c r="XAD361" s="113"/>
      <c r="XAE361" s="607"/>
      <c r="XAF361" s="249"/>
      <c r="XAG361" s="605"/>
      <c r="XAH361" s="321"/>
      <c r="XAI361" s="251"/>
      <c r="XAJ361" s="606"/>
      <c r="XAK361" s="253"/>
      <c r="XAM361" s="113"/>
      <c r="XAN361" s="607"/>
      <c r="XAO361" s="249"/>
      <c r="XAP361" s="605"/>
      <c r="XAQ361" s="321"/>
      <c r="XAR361" s="251"/>
      <c r="XAS361" s="606"/>
      <c r="XAT361" s="253"/>
      <c r="XAV361" s="113"/>
      <c r="XAW361" s="607"/>
      <c r="XAX361" s="249"/>
      <c r="XAY361" s="605"/>
      <c r="XAZ361" s="321"/>
      <c r="XBA361" s="251"/>
      <c r="XBB361" s="606"/>
      <c r="XBC361" s="253"/>
      <c r="XBE361" s="113"/>
      <c r="XBF361" s="607"/>
      <c r="XBG361" s="249"/>
      <c r="XBH361" s="605"/>
      <c r="XBI361" s="321"/>
      <c r="XBJ361" s="251"/>
      <c r="XBK361" s="606"/>
      <c r="XBL361" s="253"/>
      <c r="XBN361" s="113"/>
      <c r="XBO361" s="607"/>
      <c r="XBP361" s="249"/>
      <c r="XBQ361" s="605"/>
      <c r="XBR361" s="321"/>
      <c r="XBS361" s="251"/>
      <c r="XBT361" s="606"/>
      <c r="XBU361" s="253"/>
      <c r="XBW361" s="113"/>
      <c r="XBX361" s="607"/>
      <c r="XBY361" s="249"/>
      <c r="XBZ361" s="605"/>
      <c r="XCA361" s="321"/>
      <c r="XCB361" s="251"/>
      <c r="XCC361" s="606"/>
      <c r="XCD361" s="253"/>
      <c r="XCF361" s="113"/>
      <c r="XCG361" s="607"/>
      <c r="XCH361" s="249"/>
      <c r="XCI361" s="605"/>
      <c r="XCJ361" s="321"/>
      <c r="XCK361" s="251"/>
      <c r="XCL361" s="606"/>
      <c r="XCM361" s="253"/>
      <c r="XCO361" s="113"/>
      <c r="XCP361" s="607"/>
      <c r="XCQ361" s="249"/>
      <c r="XCR361" s="605"/>
      <c r="XCS361" s="321"/>
      <c r="XCT361" s="251"/>
      <c r="XCU361" s="606"/>
      <c r="XCV361" s="253"/>
      <c r="XCX361" s="113"/>
      <c r="XCY361" s="607"/>
      <c r="XCZ361" s="249"/>
      <c r="XDA361" s="605"/>
      <c r="XDB361" s="321"/>
      <c r="XDC361" s="251"/>
      <c r="XDD361" s="606"/>
      <c r="XDE361" s="253"/>
      <c r="XDG361" s="113"/>
      <c r="XDH361" s="607"/>
      <c r="XDI361" s="249"/>
      <c r="XDJ361" s="605"/>
      <c r="XDK361" s="321"/>
      <c r="XDL361" s="251"/>
      <c r="XDM361" s="606"/>
      <c r="XDN361" s="253"/>
      <c r="XDP361" s="113"/>
      <c r="XDQ361" s="607"/>
      <c r="XDR361" s="249"/>
      <c r="XDS361" s="605"/>
      <c r="XDT361" s="321"/>
      <c r="XDU361" s="251"/>
      <c r="XDV361" s="606"/>
      <c r="XDW361" s="253"/>
      <c r="XDY361" s="113"/>
      <c r="XDZ361" s="607"/>
      <c r="XEA361" s="249"/>
      <c r="XEB361" s="605"/>
      <c r="XEC361" s="321"/>
      <c r="XED361" s="251"/>
      <c r="XEE361" s="606"/>
      <c r="XEF361" s="253"/>
      <c r="XEH361" s="113"/>
      <c r="XEI361" s="607"/>
      <c r="XEJ361" s="249"/>
      <c r="XEK361" s="605"/>
      <c r="XEL361" s="321"/>
      <c r="XEM361" s="251"/>
      <c r="XEN361" s="606"/>
      <c r="XEO361" s="253"/>
      <c r="XEQ361" s="113"/>
      <c r="XER361" s="607"/>
      <c r="XES361" s="249"/>
      <c r="XET361" s="605"/>
      <c r="XEU361" s="321"/>
      <c r="XEV361" s="251"/>
      <c r="XEW361" s="606"/>
      <c r="XEX361" s="253"/>
      <c r="XEZ361" s="113"/>
      <c r="XFA361" s="607"/>
      <c r="XFB361" s="249"/>
      <c r="XFC361" s="605"/>
    </row>
    <row r="362" spans="1:16383" ht="16" hidden="1" outlineLevel="2" thickBot="1" x14ac:dyDescent="0.4">
      <c r="A362" s="254" t="s">
        <v>32</v>
      </c>
      <c r="B362" s="255" t="str">
        <f ca="1">TEXT(TODAY(),"ddd")</f>
        <v>Sun</v>
      </c>
      <c r="C362" s="256">
        <v>22350</v>
      </c>
      <c r="D362" s="322">
        <f>C362-C350</f>
        <v>82</v>
      </c>
      <c r="E362" s="356"/>
      <c r="F362" s="608"/>
      <c r="G362" s="609">
        <v>4766</v>
      </c>
      <c r="H362" s="260">
        <f>(C363-G362)/G362</f>
        <v>0.34830046160302142</v>
      </c>
      <c r="J362" s="596"/>
      <c r="K362" s="597"/>
      <c r="L362" s="610"/>
      <c r="M362" s="610"/>
      <c r="N362" s="598"/>
      <c r="O362" s="599"/>
      <c r="P362" s="611"/>
      <c r="Q362" s="600"/>
      <c r="R362" s="95"/>
      <c r="S362" s="596"/>
      <c r="T362" s="597"/>
      <c r="U362" s="610"/>
      <c r="V362" s="610"/>
      <c r="W362" s="598"/>
      <c r="X362" s="599"/>
      <c r="Y362" s="611"/>
      <c r="Z362" s="600"/>
      <c r="AA362" s="596"/>
      <c r="AB362" s="597"/>
      <c r="AC362" s="610"/>
      <c r="AD362" s="610"/>
      <c r="AE362" s="598"/>
      <c r="AF362" s="599"/>
      <c r="AG362" s="611"/>
      <c r="AH362" s="600"/>
      <c r="AI362" s="95"/>
      <c r="AJ362" s="596"/>
      <c r="AK362" s="597"/>
      <c r="AL362" s="610"/>
      <c r="AM362" s="610"/>
      <c r="AN362" s="598"/>
      <c r="AO362" s="599"/>
      <c r="AP362" s="611"/>
      <c r="AQ362" s="600"/>
      <c r="AR362" s="95"/>
      <c r="AS362" s="596"/>
      <c r="AT362" s="597"/>
      <c r="AU362" s="610"/>
      <c r="AV362" s="610"/>
      <c r="AW362" s="598"/>
      <c r="AX362" s="599"/>
      <c r="AY362" s="611"/>
      <c r="AZ362" s="600"/>
      <c r="BA362" s="95"/>
      <c r="BB362" s="596"/>
      <c r="BC362" s="597"/>
      <c r="BD362" s="610"/>
      <c r="BE362" s="610"/>
      <c r="BF362" s="598"/>
      <c r="BG362" s="599"/>
      <c r="BH362" s="611"/>
      <c r="BI362" s="600"/>
      <c r="BJ362" s="95"/>
      <c r="BK362" s="596"/>
      <c r="BL362" s="597"/>
      <c r="BM362" s="610"/>
      <c r="BN362" s="610"/>
      <c r="BO362" s="598"/>
      <c r="BP362" s="599"/>
      <c r="BQ362" s="611"/>
      <c r="BR362" s="600"/>
      <c r="BS362" s="95"/>
      <c r="BT362" s="596"/>
      <c r="BU362" s="597"/>
      <c r="BV362" s="610"/>
      <c r="BW362" s="610"/>
      <c r="BX362" s="598"/>
      <c r="BY362" s="599"/>
      <c r="BZ362" s="611"/>
      <c r="CA362" s="600"/>
      <c r="CB362" s="95"/>
      <c r="CC362" s="596"/>
      <c r="CD362" s="597"/>
      <c r="CE362" s="610"/>
      <c r="CF362" s="610"/>
      <c r="CG362" s="598"/>
      <c r="CH362" s="599"/>
      <c r="CI362" s="611"/>
      <c r="CJ362" s="600"/>
      <c r="CK362" s="95"/>
      <c r="CL362" s="596"/>
      <c r="CM362" s="597"/>
      <c r="CN362" s="610"/>
      <c r="CO362" s="610"/>
      <c r="CP362" s="598"/>
      <c r="CQ362" s="599"/>
      <c r="CR362" s="611"/>
      <c r="CS362" s="600"/>
      <c r="CT362" s="95"/>
      <c r="CU362" s="596"/>
      <c r="CV362" s="597"/>
      <c r="CW362" s="610"/>
      <c r="CX362" s="610"/>
      <c r="CY362" s="598"/>
      <c r="CZ362" s="599"/>
      <c r="DA362" s="611"/>
      <c r="DB362" s="600"/>
      <c r="DC362" s="95"/>
      <c r="DD362" s="596"/>
      <c r="DE362" s="597"/>
      <c r="DF362" s="610"/>
      <c r="DG362" s="610"/>
      <c r="DH362" s="598"/>
      <c r="DI362" s="599"/>
      <c r="DJ362" s="611"/>
      <c r="DK362" s="600"/>
      <c r="DL362" s="95"/>
      <c r="DM362" s="596"/>
      <c r="DN362" s="597"/>
      <c r="DO362" s="610"/>
      <c r="DP362" s="610"/>
      <c r="DQ362" s="598"/>
      <c r="DR362" s="599"/>
      <c r="DS362" s="611"/>
      <c r="DT362" s="600"/>
      <c r="DU362" s="95"/>
      <c r="DV362" s="596"/>
      <c r="DW362" s="597"/>
      <c r="DX362" s="610"/>
      <c r="DY362" s="610"/>
      <c r="DZ362" s="598"/>
      <c r="EA362" s="599"/>
      <c r="EB362" s="611"/>
      <c r="EC362" s="600"/>
      <c r="ED362" s="95"/>
      <c r="EE362" s="596"/>
      <c r="EF362" s="597"/>
      <c r="EG362" s="610"/>
      <c r="EH362" s="610"/>
      <c r="EI362" s="598"/>
      <c r="EJ362" s="599"/>
      <c r="EK362" s="611"/>
      <c r="EL362" s="600"/>
      <c r="EM362" s="95"/>
      <c r="EN362" s="596"/>
      <c r="EO362" s="597"/>
      <c r="EP362" s="610"/>
      <c r="EQ362" s="610"/>
      <c r="ER362" s="598"/>
      <c r="ES362" s="599"/>
      <c r="ET362" s="611"/>
      <c r="EU362" s="600"/>
      <c r="EV362" s="95"/>
      <c r="EW362" s="596"/>
      <c r="EX362" s="597"/>
      <c r="EY362" s="610"/>
      <c r="EZ362" s="610"/>
      <c r="FA362" s="598"/>
      <c r="FB362" s="599"/>
      <c r="FC362" s="611"/>
      <c r="FD362" s="600"/>
      <c r="FE362" s="95"/>
      <c r="FF362" s="596"/>
      <c r="FG362" s="597"/>
      <c r="FH362" s="610"/>
      <c r="FI362" s="610"/>
      <c r="FJ362" s="598"/>
      <c r="FK362" s="599"/>
      <c r="FL362" s="611"/>
      <c r="FM362" s="600"/>
      <c r="FN362" s="95"/>
      <c r="FO362" s="596"/>
      <c r="FP362" s="597"/>
      <c r="FQ362" s="610"/>
      <c r="FR362" s="610"/>
      <c r="FS362" s="612"/>
      <c r="FT362" s="117"/>
      <c r="FU362" s="613"/>
      <c r="FV362" s="440"/>
      <c r="FX362" s="602"/>
      <c r="FY362" s="603"/>
      <c r="FZ362" s="614"/>
      <c r="GA362" s="614"/>
      <c r="GB362" s="612"/>
      <c r="GC362" s="117"/>
      <c r="GD362" s="613"/>
      <c r="GE362" s="440"/>
      <c r="GG362" s="602"/>
      <c r="GH362" s="603"/>
      <c r="GI362" s="614"/>
      <c r="GJ362" s="614"/>
      <c r="GK362" s="612"/>
      <c r="GL362" s="117"/>
      <c r="GM362" s="613"/>
      <c r="GN362" s="440"/>
      <c r="GP362" s="602"/>
      <c r="GQ362" s="603"/>
      <c r="GR362" s="614"/>
      <c r="GS362" s="614"/>
      <c r="GT362" s="612"/>
      <c r="GU362" s="117"/>
      <c r="GV362" s="613"/>
      <c r="GW362" s="440"/>
      <c r="GY362" s="602"/>
      <c r="GZ362" s="603"/>
      <c r="HA362" s="614"/>
      <c r="HB362" s="614"/>
      <c r="HC362" s="612"/>
      <c r="HD362" s="117"/>
      <c r="HE362" s="613"/>
      <c r="HF362" s="440"/>
      <c r="HH362" s="602"/>
      <c r="HI362" s="603"/>
      <c r="HJ362" s="614"/>
      <c r="HK362" s="614"/>
      <c r="HL362" s="612"/>
      <c r="HM362" s="117"/>
      <c r="HN362" s="613"/>
      <c r="HO362" s="440"/>
      <c r="HQ362" s="602"/>
      <c r="HR362" s="603"/>
      <c r="HS362" s="614"/>
      <c r="HT362" s="614"/>
      <c r="HU362" s="612"/>
      <c r="HV362" s="117"/>
      <c r="HW362" s="613"/>
      <c r="HX362" s="440"/>
      <c r="HZ362" s="602"/>
      <c r="IA362" s="603"/>
      <c r="IB362" s="614"/>
      <c r="IC362" s="614"/>
      <c r="ID362" s="612"/>
      <c r="IE362" s="117"/>
      <c r="IF362" s="613"/>
      <c r="IG362" s="440"/>
      <c r="II362" s="602"/>
      <c r="IJ362" s="603"/>
      <c r="IK362" s="614"/>
      <c r="IL362" s="614"/>
      <c r="IM362" s="612"/>
      <c r="IN362" s="117"/>
      <c r="IO362" s="613"/>
      <c r="IP362" s="440"/>
      <c r="IR362" s="602"/>
      <c r="IS362" s="603"/>
      <c r="IT362" s="614"/>
      <c r="IU362" s="614"/>
      <c r="IV362" s="612"/>
      <c r="IW362" s="117"/>
      <c r="IX362" s="613"/>
      <c r="IY362" s="440"/>
      <c r="JA362" s="602"/>
      <c r="JB362" s="603"/>
      <c r="JC362" s="614"/>
      <c r="JD362" s="614"/>
      <c r="JE362" s="612"/>
      <c r="JF362" s="117"/>
      <c r="JG362" s="613"/>
      <c r="JH362" s="440"/>
      <c r="JJ362" s="602"/>
      <c r="JK362" s="603"/>
      <c r="JL362" s="614"/>
      <c r="JM362" s="614"/>
      <c r="JN362" s="612"/>
      <c r="JO362" s="117"/>
      <c r="JP362" s="613"/>
      <c r="JQ362" s="440"/>
      <c r="JS362" s="602"/>
      <c r="JT362" s="603"/>
      <c r="JU362" s="614"/>
      <c r="JV362" s="614"/>
      <c r="JW362" s="612"/>
      <c r="JX362" s="117"/>
      <c r="JY362" s="613"/>
      <c r="JZ362" s="440"/>
      <c r="KB362" s="602"/>
      <c r="KC362" s="603"/>
      <c r="KD362" s="614"/>
      <c r="KE362" s="614"/>
      <c r="KF362" s="612"/>
      <c r="KG362" s="117"/>
      <c r="KH362" s="613"/>
      <c r="KI362" s="440"/>
      <c r="KK362" s="602"/>
      <c r="KL362" s="603"/>
      <c r="KM362" s="614"/>
      <c r="KN362" s="614"/>
      <c r="KO362" s="612"/>
      <c r="KP362" s="117"/>
      <c r="KQ362" s="613"/>
      <c r="KR362" s="440"/>
      <c r="KT362" s="602"/>
      <c r="KU362" s="603"/>
      <c r="KV362" s="614"/>
      <c r="KW362" s="614"/>
      <c r="KX362" s="612"/>
      <c r="KY362" s="117"/>
      <c r="KZ362" s="613"/>
      <c r="LA362" s="440"/>
      <c r="LC362" s="602"/>
      <c r="LD362" s="603"/>
      <c r="LE362" s="614"/>
      <c r="LF362" s="614"/>
      <c r="LG362" s="612"/>
      <c r="LH362" s="117"/>
      <c r="LI362" s="613"/>
      <c r="LJ362" s="440"/>
      <c r="LL362" s="602"/>
      <c r="LM362" s="603"/>
      <c r="LN362" s="614"/>
      <c r="LO362" s="614"/>
      <c r="LP362" s="612"/>
      <c r="LQ362" s="117"/>
      <c r="LR362" s="613"/>
      <c r="LS362" s="440"/>
      <c r="LU362" s="602"/>
      <c r="LV362" s="603"/>
      <c r="LW362" s="614"/>
      <c r="LX362" s="614"/>
      <c r="LY362" s="612"/>
      <c r="LZ362" s="117"/>
      <c r="MA362" s="613"/>
      <c r="MB362" s="440"/>
      <c r="MD362" s="602"/>
      <c r="ME362" s="603"/>
      <c r="MF362" s="614"/>
      <c r="MG362" s="614"/>
      <c r="MH362" s="612"/>
      <c r="MI362" s="117"/>
      <c r="MJ362" s="613"/>
      <c r="MK362" s="440"/>
      <c r="MM362" s="602"/>
      <c r="MN362" s="603"/>
      <c r="MO362" s="614"/>
      <c r="MP362" s="614"/>
      <c r="MQ362" s="612"/>
      <c r="MR362" s="117"/>
      <c r="MS362" s="613"/>
      <c r="MT362" s="440"/>
      <c r="MV362" s="602"/>
      <c r="MW362" s="603"/>
      <c r="MX362" s="614"/>
      <c r="MY362" s="614"/>
      <c r="MZ362" s="612"/>
      <c r="NA362" s="117"/>
      <c r="NB362" s="613"/>
      <c r="NC362" s="440"/>
      <c r="NE362" s="602"/>
      <c r="NF362" s="603"/>
      <c r="NG362" s="614"/>
      <c r="NH362" s="614"/>
      <c r="NI362" s="612"/>
      <c r="NJ362" s="117"/>
      <c r="NK362" s="613"/>
      <c r="NL362" s="440"/>
      <c r="NN362" s="602"/>
      <c r="NO362" s="603"/>
      <c r="NP362" s="614"/>
      <c r="NQ362" s="614"/>
      <c r="NR362" s="612"/>
      <c r="NS362" s="117"/>
      <c r="NT362" s="613"/>
      <c r="NU362" s="440"/>
      <c r="NW362" s="602"/>
      <c r="NX362" s="603"/>
      <c r="NY362" s="614"/>
      <c r="NZ362" s="614"/>
      <c r="OA362" s="612"/>
      <c r="OB362" s="117"/>
      <c r="OC362" s="613"/>
      <c r="OD362" s="440"/>
      <c r="OF362" s="602"/>
      <c r="OG362" s="603"/>
      <c r="OH362" s="614"/>
      <c r="OI362" s="614"/>
      <c r="OJ362" s="612"/>
      <c r="OK362" s="117"/>
      <c r="OL362" s="613"/>
      <c r="OM362" s="440"/>
      <c r="OO362" s="602"/>
      <c r="OP362" s="603"/>
      <c r="OQ362" s="614"/>
      <c r="OR362" s="614"/>
      <c r="OS362" s="612"/>
      <c r="OT362" s="117"/>
      <c r="OU362" s="613"/>
      <c r="OV362" s="440"/>
      <c r="OX362" s="602"/>
      <c r="OY362" s="603"/>
      <c r="OZ362" s="614"/>
      <c r="PA362" s="614"/>
      <c r="PB362" s="612"/>
      <c r="PC362" s="117"/>
      <c r="PD362" s="613"/>
      <c r="PE362" s="440"/>
      <c r="PG362" s="602"/>
      <c r="PH362" s="603"/>
      <c r="PI362" s="614"/>
      <c r="PJ362" s="614"/>
      <c r="PK362" s="612"/>
      <c r="PL362" s="117"/>
      <c r="PM362" s="613"/>
      <c r="PN362" s="440"/>
      <c r="PP362" s="602"/>
      <c r="PQ362" s="603"/>
      <c r="PR362" s="614"/>
      <c r="PS362" s="614"/>
      <c r="PT362" s="612"/>
      <c r="PU362" s="117"/>
      <c r="PV362" s="613"/>
      <c r="PW362" s="440"/>
      <c r="PY362" s="602"/>
      <c r="PZ362" s="603"/>
      <c r="QA362" s="614"/>
      <c r="QB362" s="614"/>
      <c r="QC362" s="612"/>
      <c r="QD362" s="117"/>
      <c r="QE362" s="613"/>
      <c r="QF362" s="440"/>
      <c r="QH362" s="602"/>
      <c r="QI362" s="603"/>
      <c r="QJ362" s="614"/>
      <c r="QK362" s="614"/>
      <c r="QL362" s="612"/>
      <c r="QM362" s="117"/>
      <c r="QN362" s="613"/>
      <c r="QO362" s="440"/>
      <c r="QQ362" s="602"/>
      <c r="QR362" s="603"/>
      <c r="QS362" s="614"/>
      <c r="QT362" s="614"/>
      <c r="QU362" s="612"/>
      <c r="QV362" s="117"/>
      <c r="QW362" s="613"/>
      <c r="QX362" s="440"/>
      <c r="QZ362" s="602"/>
      <c r="RA362" s="603"/>
      <c r="RB362" s="614"/>
      <c r="RC362" s="614"/>
      <c r="RD362" s="612"/>
      <c r="RE362" s="117"/>
      <c r="RF362" s="613"/>
      <c r="RG362" s="440"/>
      <c r="RI362" s="602"/>
      <c r="RJ362" s="603"/>
      <c r="RK362" s="614"/>
      <c r="RL362" s="614"/>
      <c r="RM362" s="612"/>
      <c r="RN362" s="117"/>
      <c r="RO362" s="613"/>
      <c r="RP362" s="440"/>
      <c r="RR362" s="602"/>
      <c r="RS362" s="603"/>
      <c r="RT362" s="614"/>
      <c r="RU362" s="614"/>
      <c r="RV362" s="612"/>
      <c r="RW362" s="117"/>
      <c r="RX362" s="613"/>
      <c r="RY362" s="440"/>
      <c r="SA362" s="602"/>
      <c r="SB362" s="603"/>
      <c r="SC362" s="614"/>
      <c r="SD362" s="614"/>
      <c r="SE362" s="612"/>
      <c r="SF362" s="117"/>
      <c r="SG362" s="613"/>
      <c r="SH362" s="440"/>
      <c r="SJ362" s="602"/>
      <c r="SK362" s="603"/>
      <c r="SL362" s="614"/>
      <c r="SM362" s="614"/>
      <c r="SN362" s="612"/>
      <c r="SO362" s="117"/>
      <c r="SP362" s="613"/>
      <c r="SQ362" s="440"/>
      <c r="SS362" s="602"/>
      <c r="ST362" s="603"/>
      <c r="SU362" s="614"/>
      <c r="SV362" s="614"/>
      <c r="SW362" s="612"/>
      <c r="SX362" s="117"/>
      <c r="SY362" s="613"/>
      <c r="SZ362" s="440"/>
      <c r="TB362" s="602"/>
      <c r="TC362" s="603"/>
      <c r="TD362" s="614"/>
      <c r="TE362" s="614"/>
      <c r="TF362" s="612"/>
      <c r="TG362" s="117"/>
      <c r="TH362" s="613"/>
      <c r="TI362" s="440"/>
      <c r="TK362" s="602"/>
      <c r="TL362" s="603"/>
      <c r="TM362" s="614"/>
      <c r="TN362" s="614"/>
      <c r="TO362" s="612"/>
      <c r="TP362" s="117"/>
      <c r="TQ362" s="613"/>
      <c r="TR362" s="440"/>
      <c r="TT362" s="602"/>
      <c r="TU362" s="603"/>
      <c r="TV362" s="614"/>
      <c r="TW362" s="614"/>
      <c r="TX362" s="612"/>
      <c r="TY362" s="117"/>
      <c r="TZ362" s="613"/>
      <c r="UA362" s="440"/>
      <c r="UC362" s="602"/>
      <c r="UD362" s="603"/>
      <c r="UE362" s="614"/>
      <c r="UF362" s="614"/>
      <c r="UG362" s="612"/>
      <c r="UH362" s="117"/>
      <c r="UI362" s="613"/>
      <c r="UJ362" s="440"/>
      <c r="UL362" s="602"/>
      <c r="UM362" s="603"/>
      <c r="UN362" s="614"/>
      <c r="UO362" s="614"/>
      <c r="UP362" s="612"/>
      <c r="UQ362" s="117"/>
      <c r="UR362" s="613"/>
      <c r="US362" s="440"/>
      <c r="UU362" s="602"/>
      <c r="UV362" s="603"/>
      <c r="UW362" s="614"/>
      <c r="UX362" s="614"/>
      <c r="UY362" s="612"/>
      <c r="UZ362" s="117"/>
      <c r="VA362" s="613"/>
      <c r="VB362" s="440"/>
      <c r="VD362" s="602"/>
      <c r="VE362" s="603"/>
      <c r="VF362" s="614"/>
      <c r="VG362" s="614"/>
      <c r="VH362" s="612"/>
      <c r="VI362" s="117"/>
      <c r="VJ362" s="613"/>
      <c r="VK362" s="440"/>
      <c r="VM362" s="602"/>
      <c r="VN362" s="603"/>
      <c r="VO362" s="614"/>
      <c r="VP362" s="614"/>
      <c r="VQ362" s="612"/>
      <c r="VR362" s="117"/>
      <c r="VS362" s="613"/>
      <c r="VT362" s="440"/>
      <c r="VV362" s="602"/>
      <c r="VW362" s="603"/>
      <c r="VX362" s="614"/>
      <c r="VY362" s="614"/>
      <c r="VZ362" s="612"/>
      <c r="WA362" s="117"/>
      <c r="WB362" s="613"/>
      <c r="WC362" s="440"/>
      <c r="WE362" s="602"/>
      <c r="WF362" s="603"/>
      <c r="WG362" s="614"/>
      <c r="WH362" s="614"/>
      <c r="WI362" s="612"/>
      <c r="WJ362" s="117"/>
      <c r="WK362" s="613"/>
      <c r="WL362" s="440"/>
      <c r="WN362" s="602"/>
      <c r="WO362" s="603"/>
      <c r="WP362" s="614"/>
      <c r="WQ362" s="614"/>
      <c r="WR362" s="612"/>
      <c r="WS362" s="117"/>
      <c r="WT362" s="613"/>
      <c r="WU362" s="440"/>
      <c r="WW362" s="602"/>
      <c r="WX362" s="603"/>
      <c r="WY362" s="614"/>
      <c r="WZ362" s="614"/>
      <c r="XA362" s="612"/>
      <c r="XB362" s="117"/>
      <c r="XC362" s="613"/>
      <c r="XD362" s="440"/>
      <c r="XF362" s="602"/>
      <c r="XG362" s="603"/>
      <c r="XH362" s="614"/>
      <c r="XI362" s="614"/>
      <c r="XJ362" s="612"/>
      <c r="XK362" s="117"/>
      <c r="XL362" s="613"/>
      <c r="XM362" s="440"/>
      <c r="XO362" s="602"/>
      <c r="XP362" s="603"/>
      <c r="XQ362" s="614"/>
      <c r="XR362" s="614"/>
      <c r="XS362" s="612"/>
      <c r="XT362" s="117"/>
      <c r="XU362" s="613"/>
      <c r="XV362" s="440"/>
      <c r="XX362" s="602"/>
      <c r="XY362" s="603"/>
      <c r="XZ362" s="614"/>
      <c r="YA362" s="614"/>
      <c r="YB362" s="612"/>
      <c r="YC362" s="117"/>
      <c r="YD362" s="613"/>
      <c r="YE362" s="440"/>
      <c r="YG362" s="602"/>
      <c r="YH362" s="603"/>
      <c r="YI362" s="614"/>
      <c r="YJ362" s="614"/>
      <c r="YK362" s="612"/>
      <c r="YL362" s="117"/>
      <c r="YM362" s="613"/>
      <c r="YN362" s="440"/>
      <c r="YP362" s="602"/>
      <c r="YQ362" s="603"/>
      <c r="YR362" s="614"/>
      <c r="YS362" s="614"/>
      <c r="YT362" s="612"/>
      <c r="YU362" s="117"/>
      <c r="YV362" s="613"/>
      <c r="YW362" s="440"/>
      <c r="YY362" s="602"/>
      <c r="YZ362" s="603"/>
      <c r="ZA362" s="614"/>
      <c r="ZB362" s="614"/>
      <c r="ZC362" s="612"/>
      <c r="ZD362" s="117"/>
      <c r="ZE362" s="613"/>
      <c r="ZF362" s="440"/>
      <c r="ZH362" s="602"/>
      <c r="ZI362" s="603"/>
      <c r="ZJ362" s="614"/>
      <c r="ZK362" s="614"/>
      <c r="ZL362" s="612"/>
      <c r="ZM362" s="117"/>
      <c r="ZN362" s="613"/>
      <c r="ZO362" s="440"/>
      <c r="ZQ362" s="602"/>
      <c r="ZR362" s="603"/>
      <c r="ZS362" s="614"/>
      <c r="ZT362" s="614"/>
      <c r="ZU362" s="612"/>
      <c r="ZV362" s="117"/>
      <c r="ZW362" s="613"/>
      <c r="ZX362" s="440"/>
      <c r="ZZ362" s="602"/>
      <c r="AAA362" s="603"/>
      <c r="AAB362" s="614"/>
      <c r="AAC362" s="614"/>
      <c r="AAD362" s="612"/>
      <c r="AAE362" s="117"/>
      <c r="AAF362" s="613"/>
      <c r="AAG362" s="440"/>
      <c r="AAI362" s="602"/>
      <c r="AAJ362" s="603"/>
      <c r="AAK362" s="614"/>
      <c r="AAL362" s="614"/>
      <c r="AAM362" s="612"/>
      <c r="AAN362" s="117"/>
      <c r="AAO362" s="613"/>
      <c r="AAP362" s="440"/>
      <c r="AAR362" s="602"/>
      <c r="AAS362" s="603"/>
      <c r="AAT362" s="614"/>
      <c r="AAU362" s="614"/>
      <c r="AAV362" s="612"/>
      <c r="AAW362" s="117"/>
      <c r="AAX362" s="613"/>
      <c r="AAY362" s="440"/>
      <c r="ABA362" s="602"/>
      <c r="ABB362" s="603"/>
      <c r="ABC362" s="614"/>
      <c r="ABD362" s="614"/>
      <c r="ABE362" s="612"/>
      <c r="ABF362" s="117"/>
      <c r="ABG362" s="613"/>
      <c r="ABH362" s="440"/>
      <c r="ABJ362" s="602"/>
      <c r="ABK362" s="603"/>
      <c r="ABL362" s="614"/>
      <c r="ABM362" s="614"/>
      <c r="ABN362" s="612"/>
      <c r="ABO362" s="117"/>
      <c r="ABP362" s="613"/>
      <c r="ABQ362" s="440"/>
      <c r="ABS362" s="602"/>
      <c r="ABT362" s="603"/>
      <c r="ABU362" s="614"/>
      <c r="ABV362" s="614"/>
      <c r="ABW362" s="612"/>
      <c r="ABX362" s="117"/>
      <c r="ABY362" s="613"/>
      <c r="ABZ362" s="440"/>
      <c r="ACB362" s="602"/>
      <c r="ACC362" s="603"/>
      <c r="ACD362" s="614"/>
      <c r="ACE362" s="614"/>
      <c r="ACF362" s="612"/>
      <c r="ACG362" s="117"/>
      <c r="ACH362" s="613"/>
      <c r="ACI362" s="440"/>
      <c r="ACK362" s="602"/>
      <c r="ACL362" s="603"/>
      <c r="ACM362" s="614"/>
      <c r="ACN362" s="614"/>
      <c r="ACO362" s="612"/>
      <c r="ACP362" s="117"/>
      <c r="ACQ362" s="613"/>
      <c r="ACR362" s="440"/>
      <c r="ACT362" s="602"/>
      <c r="ACU362" s="603"/>
      <c r="ACV362" s="614"/>
      <c r="ACW362" s="614"/>
      <c r="ACX362" s="612"/>
      <c r="ACY362" s="117"/>
      <c r="ACZ362" s="613"/>
      <c r="ADA362" s="440"/>
      <c r="ADC362" s="602"/>
      <c r="ADD362" s="603"/>
      <c r="ADE362" s="614"/>
      <c r="ADF362" s="614"/>
      <c r="ADG362" s="612"/>
      <c r="ADH362" s="117"/>
      <c r="ADI362" s="613"/>
      <c r="ADJ362" s="440"/>
      <c r="ADL362" s="602"/>
      <c r="ADM362" s="603"/>
      <c r="ADN362" s="614"/>
      <c r="ADO362" s="614"/>
      <c r="ADP362" s="612"/>
      <c r="ADQ362" s="117"/>
      <c r="ADR362" s="613"/>
      <c r="ADS362" s="440"/>
      <c r="ADU362" s="602"/>
      <c r="ADV362" s="603"/>
      <c r="ADW362" s="614"/>
      <c r="ADX362" s="614"/>
      <c r="ADY362" s="612"/>
      <c r="ADZ362" s="117"/>
      <c r="AEA362" s="613"/>
      <c r="AEB362" s="440"/>
      <c r="AED362" s="602"/>
      <c r="AEE362" s="603"/>
      <c r="AEF362" s="614"/>
      <c r="AEG362" s="614"/>
      <c r="AEH362" s="612"/>
      <c r="AEI362" s="117"/>
      <c r="AEJ362" s="613"/>
      <c r="AEK362" s="440"/>
      <c r="AEM362" s="602"/>
      <c r="AEN362" s="603"/>
      <c r="AEO362" s="614"/>
      <c r="AEP362" s="614"/>
      <c r="AEQ362" s="612"/>
      <c r="AER362" s="117"/>
      <c r="AES362" s="613"/>
      <c r="AET362" s="440"/>
      <c r="AEV362" s="602"/>
      <c r="AEW362" s="603"/>
      <c r="AEX362" s="614"/>
      <c r="AEY362" s="614"/>
      <c r="AEZ362" s="612"/>
      <c r="AFA362" s="117"/>
      <c r="AFB362" s="613"/>
      <c r="AFC362" s="440"/>
      <c r="AFE362" s="602"/>
      <c r="AFF362" s="603"/>
      <c r="AFG362" s="614"/>
      <c r="AFH362" s="614"/>
      <c r="AFI362" s="612"/>
      <c r="AFJ362" s="117"/>
      <c r="AFK362" s="613"/>
      <c r="AFL362" s="440"/>
      <c r="AFN362" s="602"/>
      <c r="AFO362" s="603"/>
      <c r="AFP362" s="614"/>
      <c r="AFQ362" s="614"/>
      <c r="AFR362" s="612"/>
      <c r="AFS362" s="117"/>
      <c r="AFT362" s="613"/>
      <c r="AFU362" s="440"/>
      <c r="AFW362" s="602"/>
      <c r="AFX362" s="603"/>
      <c r="AFY362" s="614"/>
      <c r="AFZ362" s="614"/>
      <c r="AGA362" s="612"/>
      <c r="AGB362" s="117"/>
      <c r="AGC362" s="613"/>
      <c r="AGD362" s="440"/>
      <c r="AGF362" s="602"/>
      <c r="AGG362" s="603"/>
      <c r="AGH362" s="614"/>
      <c r="AGI362" s="614"/>
      <c r="AGJ362" s="612"/>
      <c r="AGK362" s="117"/>
      <c r="AGL362" s="613"/>
      <c r="AGM362" s="440"/>
      <c r="AGO362" s="602"/>
      <c r="AGP362" s="603"/>
      <c r="AGQ362" s="614"/>
      <c r="AGR362" s="614"/>
      <c r="AGS362" s="612"/>
      <c r="AGT362" s="117"/>
      <c r="AGU362" s="613"/>
      <c r="AGV362" s="440"/>
      <c r="AGX362" s="602"/>
      <c r="AGY362" s="603"/>
      <c r="AGZ362" s="614"/>
      <c r="AHA362" s="614"/>
      <c r="AHB362" s="612"/>
      <c r="AHC362" s="117"/>
      <c r="AHD362" s="613"/>
      <c r="AHE362" s="440"/>
      <c r="AHG362" s="602"/>
      <c r="AHH362" s="603"/>
      <c r="AHI362" s="614"/>
      <c r="AHJ362" s="614"/>
      <c r="AHK362" s="612"/>
      <c r="AHL362" s="117"/>
      <c r="AHM362" s="613"/>
      <c r="AHN362" s="440"/>
      <c r="AHP362" s="602"/>
      <c r="AHQ362" s="603"/>
      <c r="AHR362" s="614"/>
      <c r="AHS362" s="614"/>
      <c r="AHT362" s="612"/>
      <c r="AHU362" s="117"/>
      <c r="AHV362" s="613"/>
      <c r="AHW362" s="440"/>
      <c r="AHY362" s="602"/>
      <c r="AHZ362" s="603"/>
      <c r="AIA362" s="614"/>
      <c r="AIB362" s="614"/>
      <c r="AIC362" s="612"/>
      <c r="AID362" s="117"/>
      <c r="AIE362" s="613"/>
      <c r="AIF362" s="440"/>
      <c r="AIH362" s="602"/>
      <c r="AII362" s="603"/>
      <c r="AIJ362" s="614"/>
      <c r="AIK362" s="614"/>
      <c r="AIL362" s="612"/>
      <c r="AIM362" s="117"/>
      <c r="AIN362" s="613"/>
      <c r="AIO362" s="440"/>
      <c r="AIQ362" s="602"/>
      <c r="AIR362" s="603"/>
      <c r="AIS362" s="614"/>
      <c r="AIT362" s="614"/>
      <c r="AIU362" s="612"/>
      <c r="AIV362" s="117"/>
      <c r="AIW362" s="613"/>
      <c r="AIX362" s="440"/>
      <c r="AIZ362" s="602"/>
      <c r="AJA362" s="603"/>
      <c r="AJB362" s="614"/>
      <c r="AJC362" s="614"/>
      <c r="AJD362" s="612"/>
      <c r="AJE362" s="117"/>
      <c r="AJF362" s="613"/>
      <c r="AJG362" s="440"/>
      <c r="AJI362" s="602"/>
      <c r="AJJ362" s="603"/>
      <c r="AJK362" s="614"/>
      <c r="AJL362" s="614"/>
      <c r="AJM362" s="612"/>
      <c r="AJN362" s="117"/>
      <c r="AJO362" s="613"/>
      <c r="AJP362" s="440"/>
      <c r="AJR362" s="602"/>
      <c r="AJS362" s="603"/>
      <c r="AJT362" s="614"/>
      <c r="AJU362" s="614"/>
      <c r="AJV362" s="612"/>
      <c r="AJW362" s="117"/>
      <c r="AJX362" s="613"/>
      <c r="AJY362" s="440"/>
      <c r="AKA362" s="602"/>
      <c r="AKB362" s="603"/>
      <c r="AKC362" s="614"/>
      <c r="AKD362" s="614"/>
      <c r="AKE362" s="612"/>
      <c r="AKF362" s="117"/>
      <c r="AKG362" s="613"/>
      <c r="AKH362" s="440"/>
      <c r="AKJ362" s="602"/>
      <c r="AKK362" s="603"/>
      <c r="AKL362" s="614"/>
      <c r="AKM362" s="614"/>
      <c r="AKN362" s="612"/>
      <c r="AKO362" s="117"/>
      <c r="AKP362" s="613"/>
      <c r="AKQ362" s="440"/>
      <c r="AKS362" s="602"/>
      <c r="AKT362" s="603"/>
      <c r="AKU362" s="614"/>
      <c r="AKV362" s="614"/>
      <c r="AKW362" s="612"/>
      <c r="AKX362" s="117"/>
      <c r="AKY362" s="613"/>
      <c r="AKZ362" s="440"/>
      <c r="ALB362" s="602"/>
      <c r="ALC362" s="603"/>
      <c r="ALD362" s="614"/>
      <c r="ALE362" s="614"/>
      <c r="ALF362" s="612"/>
      <c r="ALG362" s="117"/>
      <c r="ALH362" s="613"/>
      <c r="ALI362" s="440"/>
      <c r="ALK362" s="602"/>
      <c r="ALL362" s="603"/>
      <c r="ALM362" s="614"/>
      <c r="ALN362" s="614"/>
      <c r="ALO362" s="612"/>
      <c r="ALP362" s="117"/>
      <c r="ALQ362" s="613"/>
      <c r="ALR362" s="440"/>
      <c r="ALT362" s="602"/>
      <c r="ALU362" s="603"/>
      <c r="ALV362" s="614"/>
      <c r="ALW362" s="614"/>
      <c r="ALX362" s="612"/>
      <c r="ALY362" s="117"/>
      <c r="ALZ362" s="613"/>
      <c r="AMA362" s="440"/>
      <c r="AMC362" s="602"/>
      <c r="AMD362" s="603"/>
      <c r="AME362" s="614"/>
      <c r="AMF362" s="614"/>
      <c r="AMG362" s="612"/>
      <c r="AMH362" s="117"/>
      <c r="AMI362" s="613"/>
      <c r="AMJ362" s="440"/>
      <c r="AML362" s="602"/>
      <c r="AMM362" s="603"/>
      <c r="AMN362" s="614"/>
      <c r="AMO362" s="614"/>
      <c r="AMP362" s="612"/>
      <c r="AMQ362" s="117"/>
      <c r="AMR362" s="613"/>
      <c r="AMS362" s="440"/>
      <c r="AMU362" s="602"/>
      <c r="AMV362" s="603"/>
      <c r="AMW362" s="614"/>
      <c r="AMX362" s="614"/>
      <c r="AMY362" s="612"/>
      <c r="AMZ362" s="117"/>
      <c r="ANA362" s="613"/>
      <c r="ANB362" s="440"/>
      <c r="AND362" s="602"/>
      <c r="ANE362" s="603"/>
      <c r="ANF362" s="614"/>
      <c r="ANG362" s="614"/>
      <c r="ANH362" s="612"/>
      <c r="ANI362" s="117"/>
      <c r="ANJ362" s="613"/>
      <c r="ANK362" s="440"/>
      <c r="ANM362" s="602"/>
      <c r="ANN362" s="603"/>
      <c r="ANO362" s="614"/>
      <c r="ANP362" s="614"/>
      <c r="ANQ362" s="612"/>
      <c r="ANR362" s="117"/>
      <c r="ANS362" s="613"/>
      <c r="ANT362" s="440"/>
      <c r="ANV362" s="602"/>
      <c r="ANW362" s="603"/>
      <c r="ANX362" s="614"/>
      <c r="ANY362" s="614"/>
      <c r="ANZ362" s="612"/>
      <c r="AOA362" s="117"/>
      <c r="AOB362" s="613"/>
      <c r="AOC362" s="440"/>
      <c r="AOE362" s="602"/>
      <c r="AOF362" s="603"/>
      <c r="AOG362" s="614"/>
      <c r="AOH362" s="614"/>
      <c r="AOI362" s="612"/>
      <c r="AOJ362" s="117"/>
      <c r="AOK362" s="613"/>
      <c r="AOL362" s="440"/>
      <c r="AON362" s="602"/>
      <c r="AOO362" s="603"/>
      <c r="AOP362" s="614"/>
      <c r="AOQ362" s="614"/>
      <c r="AOR362" s="612"/>
      <c r="AOS362" s="117"/>
      <c r="AOT362" s="613"/>
      <c r="AOU362" s="440"/>
      <c r="AOW362" s="602"/>
      <c r="AOX362" s="603"/>
      <c r="AOY362" s="614"/>
      <c r="AOZ362" s="614"/>
      <c r="APA362" s="612"/>
      <c r="APB362" s="117"/>
      <c r="APC362" s="613"/>
      <c r="APD362" s="440"/>
      <c r="APF362" s="602"/>
      <c r="APG362" s="603"/>
      <c r="APH362" s="614"/>
      <c r="API362" s="614"/>
      <c r="APJ362" s="612"/>
      <c r="APK362" s="117"/>
      <c r="APL362" s="613"/>
      <c r="APM362" s="440"/>
      <c r="APO362" s="602"/>
      <c r="APP362" s="603"/>
      <c r="APQ362" s="614"/>
      <c r="APR362" s="614"/>
      <c r="APS362" s="612"/>
      <c r="APT362" s="117"/>
      <c r="APU362" s="613"/>
      <c r="APV362" s="440"/>
      <c r="APX362" s="602"/>
      <c r="APY362" s="603"/>
      <c r="APZ362" s="614"/>
      <c r="AQA362" s="614"/>
      <c r="AQB362" s="612"/>
      <c r="AQC362" s="117"/>
      <c r="AQD362" s="613"/>
      <c r="AQE362" s="440"/>
      <c r="AQG362" s="602"/>
      <c r="AQH362" s="603"/>
      <c r="AQI362" s="614"/>
      <c r="AQJ362" s="614"/>
      <c r="AQK362" s="612"/>
      <c r="AQL362" s="117"/>
      <c r="AQM362" s="613"/>
      <c r="AQN362" s="440"/>
      <c r="AQP362" s="602"/>
      <c r="AQQ362" s="603"/>
      <c r="AQR362" s="614"/>
      <c r="AQS362" s="614"/>
      <c r="AQT362" s="612"/>
      <c r="AQU362" s="117"/>
      <c r="AQV362" s="613"/>
      <c r="AQW362" s="440"/>
      <c r="AQY362" s="602"/>
      <c r="AQZ362" s="603"/>
      <c r="ARA362" s="614"/>
      <c r="ARB362" s="614"/>
      <c r="ARC362" s="612"/>
      <c r="ARD362" s="117"/>
      <c r="ARE362" s="613"/>
      <c r="ARF362" s="440"/>
      <c r="ARH362" s="602"/>
      <c r="ARI362" s="603"/>
      <c r="ARJ362" s="614"/>
      <c r="ARK362" s="614"/>
      <c r="ARL362" s="612"/>
      <c r="ARM362" s="117"/>
      <c r="ARN362" s="613"/>
      <c r="ARO362" s="440"/>
      <c r="ARQ362" s="602"/>
      <c r="ARR362" s="603"/>
      <c r="ARS362" s="614"/>
      <c r="ART362" s="614"/>
      <c r="ARU362" s="612"/>
      <c r="ARV362" s="117"/>
      <c r="ARW362" s="613"/>
      <c r="ARX362" s="440"/>
      <c r="ARZ362" s="602"/>
      <c r="ASA362" s="603"/>
      <c r="ASB362" s="614"/>
      <c r="ASC362" s="614"/>
      <c r="ASD362" s="612"/>
      <c r="ASE362" s="117"/>
      <c r="ASF362" s="613"/>
      <c r="ASG362" s="440"/>
      <c r="ASI362" s="602"/>
      <c r="ASJ362" s="603"/>
      <c r="ASK362" s="614"/>
      <c r="ASL362" s="614"/>
      <c r="ASM362" s="612"/>
      <c r="ASN362" s="117"/>
      <c r="ASO362" s="613"/>
      <c r="ASP362" s="440"/>
      <c r="ASR362" s="602"/>
      <c r="ASS362" s="603"/>
      <c r="AST362" s="614"/>
      <c r="ASU362" s="614"/>
      <c r="ASV362" s="612"/>
      <c r="ASW362" s="117"/>
      <c r="ASX362" s="613"/>
      <c r="ASY362" s="440"/>
      <c r="ATA362" s="602"/>
      <c r="ATB362" s="603"/>
      <c r="ATC362" s="614"/>
      <c r="ATD362" s="614"/>
      <c r="ATE362" s="612"/>
      <c r="ATF362" s="117"/>
      <c r="ATG362" s="613"/>
      <c r="ATH362" s="440"/>
      <c r="ATJ362" s="602"/>
      <c r="ATK362" s="603"/>
      <c r="ATL362" s="614"/>
      <c r="ATM362" s="614"/>
      <c r="ATN362" s="612"/>
      <c r="ATO362" s="117"/>
      <c r="ATP362" s="613"/>
      <c r="ATQ362" s="440"/>
      <c r="ATS362" s="602"/>
      <c r="ATT362" s="603"/>
      <c r="ATU362" s="614"/>
      <c r="ATV362" s="614"/>
      <c r="ATW362" s="612"/>
      <c r="ATX362" s="117"/>
      <c r="ATY362" s="613"/>
      <c r="ATZ362" s="440"/>
      <c r="AUB362" s="602"/>
      <c r="AUC362" s="603"/>
      <c r="AUD362" s="614"/>
      <c r="AUE362" s="614"/>
      <c r="AUF362" s="612"/>
      <c r="AUG362" s="117"/>
      <c r="AUH362" s="613"/>
      <c r="AUI362" s="440"/>
      <c r="AUK362" s="602"/>
      <c r="AUL362" s="603"/>
      <c r="AUM362" s="614"/>
      <c r="AUN362" s="614"/>
      <c r="AUO362" s="612"/>
      <c r="AUP362" s="117"/>
      <c r="AUQ362" s="613"/>
      <c r="AUR362" s="440"/>
      <c r="AUT362" s="602"/>
      <c r="AUU362" s="603"/>
      <c r="AUV362" s="614"/>
      <c r="AUW362" s="614"/>
      <c r="AUX362" s="612"/>
      <c r="AUY362" s="117"/>
      <c r="AUZ362" s="613"/>
      <c r="AVA362" s="440"/>
      <c r="AVC362" s="602"/>
      <c r="AVD362" s="603"/>
      <c r="AVE362" s="614"/>
      <c r="AVF362" s="614"/>
      <c r="AVG362" s="612"/>
      <c r="AVH362" s="117"/>
      <c r="AVI362" s="613"/>
      <c r="AVJ362" s="440"/>
      <c r="AVL362" s="602"/>
      <c r="AVM362" s="603"/>
      <c r="AVN362" s="614"/>
      <c r="AVO362" s="614"/>
      <c r="AVP362" s="612"/>
      <c r="AVQ362" s="117"/>
      <c r="AVR362" s="613"/>
      <c r="AVS362" s="440"/>
      <c r="AVU362" s="602"/>
      <c r="AVV362" s="603"/>
      <c r="AVW362" s="614"/>
      <c r="AVX362" s="614"/>
      <c r="AVY362" s="612"/>
      <c r="AVZ362" s="117"/>
      <c r="AWA362" s="613"/>
      <c r="AWB362" s="440"/>
      <c r="AWD362" s="602"/>
      <c r="AWE362" s="603"/>
      <c r="AWF362" s="614"/>
      <c r="AWG362" s="614"/>
      <c r="AWH362" s="612"/>
      <c r="AWI362" s="117"/>
      <c r="AWJ362" s="613"/>
      <c r="AWK362" s="440"/>
      <c r="AWM362" s="602"/>
      <c r="AWN362" s="603"/>
      <c r="AWO362" s="614"/>
      <c r="AWP362" s="614"/>
      <c r="AWQ362" s="612"/>
      <c r="AWR362" s="117"/>
      <c r="AWS362" s="613"/>
      <c r="AWT362" s="440"/>
      <c r="AWV362" s="602"/>
      <c r="AWW362" s="603"/>
      <c r="AWX362" s="614"/>
      <c r="AWY362" s="614"/>
      <c r="AWZ362" s="612"/>
      <c r="AXA362" s="117"/>
      <c r="AXB362" s="613"/>
      <c r="AXC362" s="440"/>
      <c r="AXE362" s="602"/>
      <c r="AXF362" s="603"/>
      <c r="AXG362" s="614"/>
      <c r="AXH362" s="614"/>
      <c r="AXI362" s="612"/>
      <c r="AXJ362" s="117"/>
      <c r="AXK362" s="613"/>
      <c r="AXL362" s="440"/>
      <c r="AXN362" s="602"/>
      <c r="AXO362" s="603"/>
      <c r="AXP362" s="614"/>
      <c r="AXQ362" s="614"/>
      <c r="AXR362" s="612"/>
      <c r="AXS362" s="117"/>
      <c r="AXT362" s="613"/>
      <c r="AXU362" s="440"/>
      <c r="AXW362" s="602"/>
      <c r="AXX362" s="603"/>
      <c r="AXY362" s="614"/>
      <c r="AXZ362" s="614"/>
      <c r="AYA362" s="612"/>
      <c r="AYB362" s="117"/>
      <c r="AYC362" s="613"/>
      <c r="AYD362" s="440"/>
      <c r="AYF362" s="602"/>
      <c r="AYG362" s="603"/>
      <c r="AYH362" s="614"/>
      <c r="AYI362" s="614"/>
      <c r="AYJ362" s="612"/>
      <c r="AYK362" s="117"/>
      <c r="AYL362" s="613"/>
      <c r="AYM362" s="440"/>
      <c r="AYO362" s="602"/>
      <c r="AYP362" s="603"/>
      <c r="AYQ362" s="614"/>
      <c r="AYR362" s="614"/>
      <c r="AYS362" s="612"/>
      <c r="AYT362" s="117"/>
      <c r="AYU362" s="613"/>
      <c r="AYV362" s="440"/>
      <c r="AYX362" s="602"/>
      <c r="AYY362" s="603"/>
      <c r="AYZ362" s="614"/>
      <c r="AZA362" s="614"/>
      <c r="AZB362" s="612"/>
      <c r="AZC362" s="117"/>
      <c r="AZD362" s="613"/>
      <c r="AZE362" s="440"/>
      <c r="AZG362" s="602"/>
      <c r="AZH362" s="603"/>
      <c r="AZI362" s="614"/>
      <c r="AZJ362" s="614"/>
      <c r="AZK362" s="612"/>
      <c r="AZL362" s="117"/>
      <c r="AZM362" s="613"/>
      <c r="AZN362" s="440"/>
      <c r="AZP362" s="602"/>
      <c r="AZQ362" s="603"/>
      <c r="AZR362" s="614"/>
      <c r="AZS362" s="614"/>
      <c r="AZT362" s="612"/>
      <c r="AZU362" s="117"/>
      <c r="AZV362" s="613"/>
      <c r="AZW362" s="440"/>
      <c r="AZY362" s="602"/>
      <c r="AZZ362" s="603"/>
      <c r="BAA362" s="614"/>
      <c r="BAB362" s="614"/>
      <c r="BAC362" s="612"/>
      <c r="BAD362" s="117"/>
      <c r="BAE362" s="613"/>
      <c r="BAF362" s="440"/>
      <c r="BAH362" s="602"/>
      <c r="BAI362" s="603"/>
      <c r="BAJ362" s="614"/>
      <c r="BAK362" s="614"/>
      <c r="BAL362" s="612"/>
      <c r="BAM362" s="117"/>
      <c r="BAN362" s="613"/>
      <c r="BAO362" s="440"/>
      <c r="BAQ362" s="602"/>
      <c r="BAR362" s="603"/>
      <c r="BAS362" s="614"/>
      <c r="BAT362" s="614"/>
      <c r="BAU362" s="612"/>
      <c r="BAV362" s="117"/>
      <c r="BAW362" s="613"/>
      <c r="BAX362" s="440"/>
      <c r="BAZ362" s="602"/>
      <c r="BBA362" s="603"/>
      <c r="BBB362" s="614"/>
      <c r="BBC362" s="614"/>
      <c r="BBD362" s="612"/>
      <c r="BBE362" s="117"/>
      <c r="BBF362" s="613"/>
      <c r="BBG362" s="440"/>
      <c r="BBI362" s="602"/>
      <c r="BBJ362" s="603"/>
      <c r="BBK362" s="614"/>
      <c r="BBL362" s="614"/>
      <c r="BBM362" s="612"/>
      <c r="BBN362" s="117"/>
      <c r="BBO362" s="613"/>
      <c r="BBP362" s="440"/>
      <c r="BBR362" s="602"/>
      <c r="BBS362" s="603"/>
      <c r="BBT362" s="614"/>
      <c r="BBU362" s="614"/>
      <c r="BBV362" s="612"/>
      <c r="BBW362" s="117"/>
      <c r="BBX362" s="613"/>
      <c r="BBY362" s="440"/>
      <c r="BCA362" s="602"/>
      <c r="BCB362" s="603"/>
      <c r="BCC362" s="614"/>
      <c r="BCD362" s="614"/>
      <c r="BCE362" s="612"/>
      <c r="BCF362" s="117"/>
      <c r="BCG362" s="613"/>
      <c r="BCH362" s="440"/>
      <c r="BCJ362" s="602"/>
      <c r="BCK362" s="603"/>
      <c r="BCL362" s="614"/>
      <c r="BCM362" s="614"/>
      <c r="BCN362" s="612"/>
      <c r="BCO362" s="117"/>
      <c r="BCP362" s="613"/>
      <c r="BCQ362" s="440"/>
      <c r="BCS362" s="602"/>
      <c r="BCT362" s="603"/>
      <c r="BCU362" s="614"/>
      <c r="BCV362" s="614"/>
      <c r="BCW362" s="612"/>
      <c r="BCX362" s="117"/>
      <c r="BCY362" s="613"/>
      <c r="BCZ362" s="440"/>
      <c r="BDB362" s="602"/>
      <c r="BDC362" s="603"/>
      <c r="BDD362" s="614"/>
      <c r="BDE362" s="614"/>
      <c r="BDF362" s="612"/>
      <c r="BDG362" s="117"/>
      <c r="BDH362" s="613"/>
      <c r="BDI362" s="440"/>
      <c r="BDK362" s="602"/>
      <c r="BDL362" s="603"/>
      <c r="BDM362" s="614"/>
      <c r="BDN362" s="614"/>
      <c r="BDO362" s="612"/>
      <c r="BDP362" s="117"/>
      <c r="BDQ362" s="613"/>
      <c r="BDR362" s="440"/>
      <c r="BDT362" s="602"/>
      <c r="BDU362" s="603"/>
      <c r="BDV362" s="614"/>
      <c r="BDW362" s="614"/>
      <c r="BDX362" s="612"/>
      <c r="BDY362" s="117"/>
      <c r="BDZ362" s="613"/>
      <c r="BEA362" s="440"/>
      <c r="BEC362" s="602"/>
      <c r="BED362" s="603"/>
      <c r="BEE362" s="614"/>
      <c r="BEF362" s="614"/>
      <c r="BEG362" s="612"/>
      <c r="BEH362" s="117"/>
      <c r="BEI362" s="613"/>
      <c r="BEJ362" s="440"/>
      <c r="BEL362" s="602"/>
      <c r="BEM362" s="603"/>
      <c r="BEN362" s="614"/>
      <c r="BEO362" s="614"/>
      <c r="BEP362" s="612"/>
      <c r="BEQ362" s="117"/>
      <c r="BER362" s="613"/>
      <c r="BES362" s="440"/>
      <c r="BEU362" s="602"/>
      <c r="BEV362" s="603"/>
      <c r="BEW362" s="614"/>
      <c r="BEX362" s="614"/>
      <c r="BEY362" s="612"/>
      <c r="BEZ362" s="117"/>
      <c r="BFA362" s="613"/>
      <c r="BFB362" s="440"/>
      <c r="BFD362" s="602"/>
      <c r="BFE362" s="603"/>
      <c r="BFF362" s="614"/>
      <c r="BFG362" s="614"/>
      <c r="BFH362" s="612"/>
      <c r="BFI362" s="117"/>
      <c r="BFJ362" s="613"/>
      <c r="BFK362" s="440"/>
      <c r="BFM362" s="602"/>
      <c r="BFN362" s="603"/>
      <c r="BFO362" s="614"/>
      <c r="BFP362" s="614"/>
      <c r="BFQ362" s="612"/>
      <c r="BFR362" s="117"/>
      <c r="BFS362" s="613"/>
      <c r="BFT362" s="440"/>
      <c r="BFV362" s="602"/>
      <c r="BFW362" s="603"/>
      <c r="BFX362" s="614"/>
      <c r="BFY362" s="614"/>
      <c r="BFZ362" s="612"/>
      <c r="BGA362" s="117"/>
      <c r="BGB362" s="613"/>
      <c r="BGC362" s="440"/>
      <c r="BGE362" s="602"/>
      <c r="BGF362" s="603"/>
      <c r="BGG362" s="614"/>
      <c r="BGH362" s="614"/>
      <c r="BGI362" s="612"/>
      <c r="BGJ362" s="117"/>
      <c r="BGK362" s="613"/>
      <c r="BGL362" s="440"/>
      <c r="BGN362" s="602"/>
      <c r="BGO362" s="603"/>
      <c r="BGP362" s="614"/>
      <c r="BGQ362" s="614"/>
      <c r="BGR362" s="612"/>
      <c r="BGS362" s="117"/>
      <c r="BGT362" s="613"/>
      <c r="BGU362" s="440"/>
      <c r="BGW362" s="602"/>
      <c r="BGX362" s="603"/>
      <c r="BGY362" s="614"/>
      <c r="BGZ362" s="614"/>
      <c r="BHA362" s="612"/>
      <c r="BHB362" s="117"/>
      <c r="BHC362" s="613"/>
      <c r="BHD362" s="440"/>
      <c r="BHF362" s="602"/>
      <c r="BHG362" s="603"/>
      <c r="BHH362" s="614"/>
      <c r="BHI362" s="614"/>
      <c r="BHJ362" s="612"/>
      <c r="BHK362" s="117"/>
      <c r="BHL362" s="613"/>
      <c r="BHM362" s="440"/>
      <c r="BHO362" s="602"/>
      <c r="BHP362" s="603"/>
      <c r="BHQ362" s="614"/>
      <c r="BHR362" s="614"/>
      <c r="BHS362" s="612"/>
      <c r="BHT362" s="117"/>
      <c r="BHU362" s="613"/>
      <c r="BHV362" s="440"/>
      <c r="BHX362" s="602"/>
      <c r="BHY362" s="603"/>
      <c r="BHZ362" s="614"/>
      <c r="BIA362" s="614"/>
      <c r="BIB362" s="612"/>
      <c r="BIC362" s="117"/>
      <c r="BID362" s="613"/>
      <c r="BIE362" s="440"/>
      <c r="BIG362" s="602"/>
      <c r="BIH362" s="603"/>
      <c r="BII362" s="614"/>
      <c r="BIJ362" s="614"/>
      <c r="BIK362" s="612"/>
      <c r="BIL362" s="117"/>
      <c r="BIM362" s="613"/>
      <c r="BIN362" s="440"/>
      <c r="BIP362" s="602"/>
      <c r="BIQ362" s="603"/>
      <c r="BIR362" s="614"/>
      <c r="BIS362" s="614"/>
      <c r="BIT362" s="612"/>
      <c r="BIU362" s="117"/>
      <c r="BIV362" s="613"/>
      <c r="BIW362" s="440"/>
      <c r="BIY362" s="602"/>
      <c r="BIZ362" s="603"/>
      <c r="BJA362" s="614"/>
      <c r="BJB362" s="614"/>
      <c r="BJC362" s="612"/>
      <c r="BJD362" s="117"/>
      <c r="BJE362" s="613"/>
      <c r="BJF362" s="440"/>
      <c r="BJH362" s="602"/>
      <c r="BJI362" s="603"/>
      <c r="BJJ362" s="614"/>
      <c r="BJK362" s="614"/>
      <c r="BJL362" s="612"/>
      <c r="BJM362" s="117"/>
      <c r="BJN362" s="613"/>
      <c r="BJO362" s="440"/>
      <c r="BJQ362" s="602"/>
      <c r="BJR362" s="603"/>
      <c r="BJS362" s="614"/>
      <c r="BJT362" s="614"/>
      <c r="BJU362" s="612"/>
      <c r="BJV362" s="117"/>
      <c r="BJW362" s="613"/>
      <c r="BJX362" s="440"/>
      <c r="BJZ362" s="602"/>
      <c r="BKA362" s="603"/>
      <c r="BKB362" s="614"/>
      <c r="BKC362" s="614"/>
      <c r="BKD362" s="612"/>
      <c r="BKE362" s="117"/>
      <c r="BKF362" s="613"/>
      <c r="BKG362" s="440"/>
      <c r="BKI362" s="602"/>
      <c r="BKJ362" s="603"/>
      <c r="BKK362" s="614"/>
      <c r="BKL362" s="614"/>
      <c r="BKM362" s="612"/>
      <c r="BKN362" s="117"/>
      <c r="BKO362" s="613"/>
      <c r="BKP362" s="440"/>
      <c r="BKR362" s="602"/>
      <c r="BKS362" s="603"/>
      <c r="BKT362" s="614"/>
      <c r="BKU362" s="614"/>
      <c r="BKV362" s="612"/>
      <c r="BKW362" s="117"/>
      <c r="BKX362" s="613"/>
      <c r="BKY362" s="440"/>
      <c r="BLA362" s="602"/>
      <c r="BLB362" s="603"/>
      <c r="BLC362" s="614"/>
      <c r="BLD362" s="614"/>
      <c r="BLE362" s="612"/>
      <c r="BLF362" s="117"/>
      <c r="BLG362" s="613"/>
      <c r="BLH362" s="440"/>
      <c r="BLJ362" s="602"/>
      <c r="BLK362" s="603"/>
      <c r="BLL362" s="614"/>
      <c r="BLM362" s="614"/>
      <c r="BLN362" s="612"/>
      <c r="BLO362" s="117"/>
      <c r="BLP362" s="613"/>
      <c r="BLQ362" s="440"/>
      <c r="BLS362" s="602"/>
      <c r="BLT362" s="603"/>
      <c r="BLU362" s="614"/>
      <c r="BLV362" s="614"/>
      <c r="BLW362" s="612"/>
      <c r="BLX362" s="117"/>
      <c r="BLY362" s="613"/>
      <c r="BLZ362" s="440"/>
      <c r="BMB362" s="602"/>
      <c r="BMC362" s="603"/>
      <c r="BMD362" s="614"/>
      <c r="BME362" s="614"/>
      <c r="BMF362" s="612"/>
      <c r="BMG362" s="117"/>
      <c r="BMH362" s="613"/>
      <c r="BMI362" s="440"/>
      <c r="BMK362" s="602"/>
      <c r="BML362" s="603"/>
      <c r="BMM362" s="614"/>
      <c r="BMN362" s="614"/>
      <c r="BMO362" s="612"/>
      <c r="BMP362" s="117"/>
      <c r="BMQ362" s="613"/>
      <c r="BMR362" s="440"/>
      <c r="BMT362" s="602"/>
      <c r="BMU362" s="603"/>
      <c r="BMV362" s="614"/>
      <c r="BMW362" s="614"/>
      <c r="BMX362" s="612"/>
      <c r="BMY362" s="117"/>
      <c r="BMZ362" s="613"/>
      <c r="BNA362" s="440"/>
      <c r="BNC362" s="602"/>
      <c r="BND362" s="603"/>
      <c r="BNE362" s="614"/>
      <c r="BNF362" s="614"/>
      <c r="BNG362" s="612"/>
      <c r="BNH362" s="117"/>
      <c r="BNI362" s="613"/>
      <c r="BNJ362" s="440"/>
      <c r="BNL362" s="602"/>
      <c r="BNM362" s="603"/>
      <c r="BNN362" s="614"/>
      <c r="BNO362" s="614"/>
      <c r="BNP362" s="612"/>
      <c r="BNQ362" s="117"/>
      <c r="BNR362" s="613"/>
      <c r="BNS362" s="440"/>
      <c r="BNU362" s="602"/>
      <c r="BNV362" s="603"/>
      <c r="BNW362" s="614"/>
      <c r="BNX362" s="614"/>
      <c r="BNY362" s="612"/>
      <c r="BNZ362" s="117"/>
      <c r="BOA362" s="613"/>
      <c r="BOB362" s="440"/>
      <c r="BOD362" s="602"/>
      <c r="BOE362" s="603"/>
      <c r="BOF362" s="614"/>
      <c r="BOG362" s="614"/>
      <c r="BOH362" s="612"/>
      <c r="BOI362" s="117"/>
      <c r="BOJ362" s="613"/>
      <c r="BOK362" s="440"/>
      <c r="BOM362" s="602"/>
      <c r="BON362" s="603"/>
      <c r="BOO362" s="614"/>
      <c r="BOP362" s="614"/>
      <c r="BOQ362" s="612"/>
      <c r="BOR362" s="117"/>
      <c r="BOS362" s="613"/>
      <c r="BOT362" s="440"/>
      <c r="BOV362" s="602"/>
      <c r="BOW362" s="603"/>
      <c r="BOX362" s="614"/>
      <c r="BOY362" s="614"/>
      <c r="BOZ362" s="612"/>
      <c r="BPA362" s="117"/>
      <c r="BPB362" s="613"/>
      <c r="BPC362" s="440"/>
      <c r="BPE362" s="602"/>
      <c r="BPF362" s="603"/>
      <c r="BPG362" s="614"/>
      <c r="BPH362" s="614"/>
      <c r="BPI362" s="612"/>
      <c r="BPJ362" s="117"/>
      <c r="BPK362" s="613"/>
      <c r="BPL362" s="440"/>
      <c r="BPN362" s="602"/>
      <c r="BPO362" s="603"/>
      <c r="BPP362" s="614"/>
      <c r="BPQ362" s="614"/>
      <c r="BPR362" s="612"/>
      <c r="BPS362" s="117"/>
      <c r="BPT362" s="613"/>
      <c r="BPU362" s="440"/>
      <c r="BPW362" s="602"/>
      <c r="BPX362" s="603"/>
      <c r="BPY362" s="614"/>
      <c r="BPZ362" s="614"/>
      <c r="BQA362" s="612"/>
      <c r="BQB362" s="117"/>
      <c r="BQC362" s="613"/>
      <c r="BQD362" s="440"/>
      <c r="BQF362" s="602"/>
      <c r="BQG362" s="603"/>
      <c r="BQH362" s="614"/>
      <c r="BQI362" s="614"/>
      <c r="BQJ362" s="612"/>
      <c r="BQK362" s="117"/>
      <c r="BQL362" s="613"/>
      <c r="BQM362" s="440"/>
      <c r="BQO362" s="602"/>
      <c r="BQP362" s="603"/>
      <c r="BQQ362" s="614"/>
      <c r="BQR362" s="614"/>
      <c r="BQS362" s="612"/>
      <c r="BQT362" s="117"/>
      <c r="BQU362" s="613"/>
      <c r="BQV362" s="440"/>
      <c r="BQX362" s="602"/>
      <c r="BQY362" s="603"/>
      <c r="BQZ362" s="614"/>
      <c r="BRA362" s="614"/>
      <c r="BRB362" s="612"/>
      <c r="BRC362" s="117"/>
      <c r="BRD362" s="613"/>
      <c r="BRE362" s="440"/>
      <c r="BRG362" s="602"/>
      <c r="BRH362" s="603"/>
      <c r="BRI362" s="614"/>
      <c r="BRJ362" s="614"/>
      <c r="BRK362" s="612"/>
      <c r="BRL362" s="117"/>
      <c r="BRM362" s="613"/>
      <c r="BRN362" s="440"/>
      <c r="BRP362" s="602"/>
      <c r="BRQ362" s="603"/>
      <c r="BRR362" s="614"/>
      <c r="BRS362" s="614"/>
      <c r="BRT362" s="612"/>
      <c r="BRU362" s="117"/>
      <c r="BRV362" s="613"/>
      <c r="BRW362" s="440"/>
      <c r="BRY362" s="602"/>
      <c r="BRZ362" s="603"/>
      <c r="BSA362" s="614"/>
      <c r="BSB362" s="614"/>
      <c r="BSC362" s="612"/>
      <c r="BSD362" s="117"/>
      <c r="BSE362" s="613"/>
      <c r="BSF362" s="440"/>
      <c r="BSH362" s="602"/>
      <c r="BSI362" s="603"/>
      <c r="BSJ362" s="614"/>
      <c r="BSK362" s="614"/>
      <c r="BSL362" s="612"/>
      <c r="BSM362" s="117"/>
      <c r="BSN362" s="613"/>
      <c r="BSO362" s="440"/>
      <c r="BSQ362" s="602"/>
      <c r="BSR362" s="603"/>
      <c r="BSS362" s="614"/>
      <c r="BST362" s="614"/>
      <c r="BSU362" s="612"/>
      <c r="BSV362" s="117"/>
      <c r="BSW362" s="613"/>
      <c r="BSX362" s="440"/>
      <c r="BSZ362" s="602"/>
      <c r="BTA362" s="603"/>
      <c r="BTB362" s="614"/>
      <c r="BTC362" s="614"/>
      <c r="BTD362" s="612"/>
      <c r="BTE362" s="117"/>
      <c r="BTF362" s="613"/>
      <c r="BTG362" s="440"/>
      <c r="BTI362" s="602"/>
      <c r="BTJ362" s="603"/>
      <c r="BTK362" s="614"/>
      <c r="BTL362" s="614"/>
      <c r="BTM362" s="612"/>
      <c r="BTN362" s="117"/>
      <c r="BTO362" s="613"/>
      <c r="BTP362" s="440"/>
      <c r="BTR362" s="602"/>
      <c r="BTS362" s="603"/>
      <c r="BTT362" s="614"/>
      <c r="BTU362" s="614"/>
      <c r="BTV362" s="612"/>
      <c r="BTW362" s="117"/>
      <c r="BTX362" s="613"/>
      <c r="BTY362" s="440"/>
      <c r="BUA362" s="602"/>
      <c r="BUB362" s="603"/>
      <c r="BUC362" s="614"/>
      <c r="BUD362" s="614"/>
      <c r="BUE362" s="612"/>
      <c r="BUF362" s="117"/>
      <c r="BUG362" s="613"/>
      <c r="BUH362" s="440"/>
      <c r="BUJ362" s="602"/>
      <c r="BUK362" s="603"/>
      <c r="BUL362" s="614"/>
      <c r="BUM362" s="614"/>
      <c r="BUN362" s="612"/>
      <c r="BUO362" s="117"/>
      <c r="BUP362" s="613"/>
      <c r="BUQ362" s="440"/>
      <c r="BUS362" s="602"/>
      <c r="BUT362" s="603"/>
      <c r="BUU362" s="614"/>
      <c r="BUV362" s="614"/>
      <c r="BUW362" s="612"/>
      <c r="BUX362" s="117"/>
      <c r="BUY362" s="613"/>
      <c r="BUZ362" s="440"/>
      <c r="BVB362" s="602"/>
      <c r="BVC362" s="603"/>
      <c r="BVD362" s="614"/>
      <c r="BVE362" s="614"/>
      <c r="BVF362" s="612"/>
      <c r="BVG362" s="117"/>
      <c r="BVH362" s="613"/>
      <c r="BVI362" s="440"/>
      <c r="BVK362" s="602"/>
      <c r="BVL362" s="603"/>
      <c r="BVM362" s="614"/>
      <c r="BVN362" s="614"/>
      <c r="BVO362" s="612"/>
      <c r="BVP362" s="117"/>
      <c r="BVQ362" s="613"/>
      <c r="BVR362" s="440"/>
      <c r="BVT362" s="602"/>
      <c r="BVU362" s="603"/>
      <c r="BVV362" s="614"/>
      <c r="BVW362" s="614"/>
      <c r="BVX362" s="612"/>
      <c r="BVY362" s="117"/>
      <c r="BVZ362" s="613"/>
      <c r="BWA362" s="440"/>
      <c r="BWC362" s="602"/>
      <c r="BWD362" s="603"/>
      <c r="BWE362" s="614"/>
      <c r="BWF362" s="614"/>
      <c r="BWG362" s="612"/>
      <c r="BWH362" s="117"/>
      <c r="BWI362" s="613"/>
      <c r="BWJ362" s="440"/>
      <c r="BWL362" s="602"/>
      <c r="BWM362" s="603"/>
      <c r="BWN362" s="614"/>
      <c r="BWO362" s="614"/>
      <c r="BWP362" s="612"/>
      <c r="BWQ362" s="117"/>
      <c r="BWR362" s="613"/>
      <c r="BWS362" s="440"/>
      <c r="BWU362" s="602"/>
      <c r="BWV362" s="603"/>
      <c r="BWW362" s="614"/>
      <c r="BWX362" s="614"/>
      <c r="BWY362" s="612"/>
      <c r="BWZ362" s="117"/>
      <c r="BXA362" s="613"/>
      <c r="BXB362" s="440"/>
      <c r="BXD362" s="602"/>
      <c r="BXE362" s="603"/>
      <c r="BXF362" s="614"/>
      <c r="BXG362" s="614"/>
      <c r="BXH362" s="612"/>
      <c r="BXI362" s="117"/>
      <c r="BXJ362" s="613"/>
      <c r="BXK362" s="440"/>
      <c r="BXM362" s="602"/>
      <c r="BXN362" s="603"/>
      <c r="BXO362" s="614"/>
      <c r="BXP362" s="614"/>
      <c r="BXQ362" s="612"/>
      <c r="BXR362" s="117"/>
      <c r="BXS362" s="613"/>
      <c r="BXT362" s="440"/>
      <c r="BXV362" s="602"/>
      <c r="BXW362" s="603"/>
      <c r="BXX362" s="614"/>
      <c r="BXY362" s="614"/>
      <c r="BXZ362" s="612"/>
      <c r="BYA362" s="117"/>
      <c r="BYB362" s="613"/>
      <c r="BYC362" s="440"/>
      <c r="BYE362" s="602"/>
      <c r="BYF362" s="603"/>
      <c r="BYG362" s="614"/>
      <c r="BYH362" s="614"/>
      <c r="BYI362" s="612"/>
      <c r="BYJ362" s="117"/>
      <c r="BYK362" s="613"/>
      <c r="BYL362" s="440"/>
      <c r="BYN362" s="602"/>
      <c r="BYO362" s="603"/>
      <c r="BYP362" s="614"/>
      <c r="BYQ362" s="614"/>
      <c r="BYR362" s="612"/>
      <c r="BYS362" s="117"/>
      <c r="BYT362" s="613"/>
      <c r="BYU362" s="440"/>
      <c r="BYW362" s="602"/>
      <c r="BYX362" s="603"/>
      <c r="BYY362" s="614"/>
      <c r="BYZ362" s="614"/>
      <c r="BZA362" s="612"/>
      <c r="BZB362" s="117"/>
      <c r="BZC362" s="613"/>
      <c r="BZD362" s="440"/>
      <c r="BZF362" s="602"/>
      <c r="BZG362" s="603"/>
      <c r="BZH362" s="614"/>
      <c r="BZI362" s="614"/>
      <c r="BZJ362" s="612"/>
      <c r="BZK362" s="117"/>
      <c r="BZL362" s="613"/>
      <c r="BZM362" s="440"/>
      <c r="BZO362" s="602"/>
      <c r="BZP362" s="603"/>
      <c r="BZQ362" s="614"/>
      <c r="BZR362" s="614"/>
      <c r="BZS362" s="612"/>
      <c r="BZT362" s="117"/>
      <c r="BZU362" s="613"/>
      <c r="BZV362" s="440"/>
      <c r="BZX362" s="602"/>
      <c r="BZY362" s="603"/>
      <c r="BZZ362" s="614"/>
      <c r="CAA362" s="614"/>
      <c r="CAB362" s="612"/>
      <c r="CAC362" s="117"/>
      <c r="CAD362" s="613"/>
      <c r="CAE362" s="440"/>
      <c r="CAG362" s="602"/>
      <c r="CAH362" s="603"/>
      <c r="CAI362" s="614"/>
      <c r="CAJ362" s="614"/>
      <c r="CAK362" s="612"/>
      <c r="CAL362" s="117"/>
      <c r="CAM362" s="613"/>
      <c r="CAN362" s="440"/>
      <c r="CAP362" s="602"/>
      <c r="CAQ362" s="603"/>
      <c r="CAR362" s="614"/>
      <c r="CAS362" s="614"/>
      <c r="CAT362" s="612"/>
      <c r="CAU362" s="117"/>
      <c r="CAV362" s="613"/>
      <c r="CAW362" s="440"/>
      <c r="CAY362" s="602"/>
      <c r="CAZ362" s="603"/>
      <c r="CBA362" s="614"/>
      <c r="CBB362" s="614"/>
      <c r="CBC362" s="612"/>
      <c r="CBD362" s="117"/>
      <c r="CBE362" s="613"/>
      <c r="CBF362" s="440"/>
      <c r="CBH362" s="602"/>
      <c r="CBI362" s="603"/>
      <c r="CBJ362" s="614"/>
      <c r="CBK362" s="614"/>
      <c r="CBL362" s="612"/>
      <c r="CBM362" s="117"/>
      <c r="CBN362" s="613"/>
      <c r="CBO362" s="440"/>
      <c r="CBQ362" s="602"/>
      <c r="CBR362" s="603"/>
      <c r="CBS362" s="614"/>
      <c r="CBT362" s="614"/>
      <c r="CBU362" s="612"/>
      <c r="CBV362" s="117"/>
      <c r="CBW362" s="613"/>
      <c r="CBX362" s="440"/>
      <c r="CBZ362" s="602"/>
      <c r="CCA362" s="603"/>
      <c r="CCB362" s="614"/>
      <c r="CCC362" s="614"/>
      <c r="CCD362" s="612"/>
      <c r="CCE362" s="117"/>
      <c r="CCF362" s="613"/>
      <c r="CCG362" s="440"/>
      <c r="CCI362" s="602"/>
      <c r="CCJ362" s="603"/>
      <c r="CCK362" s="614"/>
      <c r="CCL362" s="614"/>
      <c r="CCM362" s="612"/>
      <c r="CCN362" s="117"/>
      <c r="CCO362" s="613"/>
      <c r="CCP362" s="440"/>
      <c r="CCR362" s="602"/>
      <c r="CCS362" s="603"/>
      <c r="CCT362" s="614"/>
      <c r="CCU362" s="614"/>
      <c r="CCV362" s="612"/>
      <c r="CCW362" s="117"/>
      <c r="CCX362" s="613"/>
      <c r="CCY362" s="440"/>
      <c r="CDA362" s="602"/>
      <c r="CDB362" s="603"/>
      <c r="CDC362" s="614"/>
      <c r="CDD362" s="614"/>
      <c r="CDE362" s="612"/>
      <c r="CDF362" s="117"/>
      <c r="CDG362" s="613"/>
      <c r="CDH362" s="440"/>
      <c r="CDJ362" s="602"/>
      <c r="CDK362" s="603"/>
      <c r="CDL362" s="614"/>
      <c r="CDM362" s="614"/>
      <c r="CDN362" s="612"/>
      <c r="CDO362" s="117"/>
      <c r="CDP362" s="613"/>
      <c r="CDQ362" s="440"/>
      <c r="CDS362" s="602"/>
      <c r="CDT362" s="603"/>
      <c r="CDU362" s="614"/>
      <c r="CDV362" s="614"/>
      <c r="CDW362" s="612"/>
      <c r="CDX362" s="117"/>
      <c r="CDY362" s="613"/>
      <c r="CDZ362" s="440"/>
      <c r="CEB362" s="602"/>
      <c r="CEC362" s="603"/>
      <c r="CED362" s="614"/>
      <c r="CEE362" s="614"/>
      <c r="CEF362" s="612"/>
      <c r="CEG362" s="117"/>
      <c r="CEH362" s="613"/>
      <c r="CEI362" s="440"/>
      <c r="CEK362" s="602"/>
      <c r="CEL362" s="603"/>
      <c r="CEM362" s="614"/>
      <c r="CEN362" s="614"/>
      <c r="CEO362" s="612"/>
      <c r="CEP362" s="117"/>
      <c r="CEQ362" s="613"/>
      <c r="CER362" s="440"/>
      <c r="CET362" s="602"/>
      <c r="CEU362" s="603"/>
      <c r="CEV362" s="614"/>
      <c r="CEW362" s="614"/>
      <c r="CEX362" s="612"/>
      <c r="CEY362" s="117"/>
      <c r="CEZ362" s="613"/>
      <c r="CFA362" s="440"/>
      <c r="CFC362" s="602"/>
      <c r="CFD362" s="603"/>
      <c r="CFE362" s="614"/>
      <c r="CFF362" s="614"/>
      <c r="CFG362" s="612"/>
      <c r="CFH362" s="117"/>
      <c r="CFI362" s="613"/>
      <c r="CFJ362" s="440"/>
      <c r="CFL362" s="602"/>
      <c r="CFM362" s="603"/>
      <c r="CFN362" s="614"/>
      <c r="CFO362" s="614"/>
      <c r="CFP362" s="612"/>
      <c r="CFQ362" s="117"/>
      <c r="CFR362" s="613"/>
      <c r="CFS362" s="440"/>
      <c r="CFU362" s="602"/>
      <c r="CFV362" s="603"/>
      <c r="CFW362" s="614"/>
      <c r="CFX362" s="614"/>
      <c r="CFY362" s="612"/>
      <c r="CFZ362" s="117"/>
      <c r="CGA362" s="613"/>
      <c r="CGB362" s="440"/>
      <c r="CGD362" s="602"/>
      <c r="CGE362" s="603"/>
      <c r="CGF362" s="614"/>
      <c r="CGG362" s="614"/>
      <c r="CGH362" s="612"/>
      <c r="CGI362" s="117"/>
      <c r="CGJ362" s="613"/>
      <c r="CGK362" s="440"/>
      <c r="CGM362" s="602"/>
      <c r="CGN362" s="603"/>
      <c r="CGO362" s="614"/>
      <c r="CGP362" s="614"/>
      <c r="CGQ362" s="612"/>
      <c r="CGR362" s="117"/>
      <c r="CGS362" s="613"/>
      <c r="CGT362" s="440"/>
      <c r="CGV362" s="602"/>
      <c r="CGW362" s="603"/>
      <c r="CGX362" s="614"/>
      <c r="CGY362" s="614"/>
      <c r="CGZ362" s="612"/>
      <c r="CHA362" s="117"/>
      <c r="CHB362" s="613"/>
      <c r="CHC362" s="440"/>
      <c r="CHE362" s="602"/>
      <c r="CHF362" s="603"/>
      <c r="CHG362" s="614"/>
      <c r="CHH362" s="614"/>
      <c r="CHI362" s="612"/>
      <c r="CHJ362" s="117"/>
      <c r="CHK362" s="613"/>
      <c r="CHL362" s="440"/>
      <c r="CHN362" s="602"/>
      <c r="CHO362" s="603"/>
      <c r="CHP362" s="614"/>
      <c r="CHQ362" s="614"/>
      <c r="CHR362" s="612"/>
      <c r="CHS362" s="117"/>
      <c r="CHT362" s="613"/>
      <c r="CHU362" s="440"/>
      <c r="CHW362" s="602"/>
      <c r="CHX362" s="603"/>
      <c r="CHY362" s="614"/>
      <c r="CHZ362" s="614"/>
      <c r="CIA362" s="612"/>
      <c r="CIB362" s="117"/>
      <c r="CIC362" s="613"/>
      <c r="CID362" s="440"/>
      <c r="CIF362" s="602"/>
      <c r="CIG362" s="603"/>
      <c r="CIH362" s="614"/>
      <c r="CII362" s="614"/>
      <c r="CIJ362" s="612"/>
      <c r="CIK362" s="117"/>
      <c r="CIL362" s="613"/>
      <c r="CIM362" s="440"/>
      <c r="CIO362" s="602"/>
      <c r="CIP362" s="603"/>
      <c r="CIQ362" s="614"/>
      <c r="CIR362" s="614"/>
      <c r="CIS362" s="612"/>
      <c r="CIT362" s="117"/>
      <c r="CIU362" s="613"/>
      <c r="CIV362" s="440"/>
      <c r="CIX362" s="602"/>
      <c r="CIY362" s="603"/>
      <c r="CIZ362" s="614"/>
      <c r="CJA362" s="614"/>
      <c r="CJB362" s="612"/>
      <c r="CJC362" s="117"/>
      <c r="CJD362" s="613"/>
      <c r="CJE362" s="440"/>
      <c r="CJG362" s="602"/>
      <c r="CJH362" s="603"/>
      <c r="CJI362" s="614"/>
      <c r="CJJ362" s="614"/>
      <c r="CJK362" s="612"/>
      <c r="CJL362" s="117"/>
      <c r="CJM362" s="613"/>
      <c r="CJN362" s="440"/>
      <c r="CJP362" s="602"/>
      <c r="CJQ362" s="603"/>
      <c r="CJR362" s="614"/>
      <c r="CJS362" s="614"/>
      <c r="CJT362" s="612"/>
      <c r="CJU362" s="117"/>
      <c r="CJV362" s="613"/>
      <c r="CJW362" s="440"/>
      <c r="CJY362" s="602"/>
      <c r="CJZ362" s="603"/>
      <c r="CKA362" s="614"/>
      <c r="CKB362" s="614"/>
      <c r="CKC362" s="612"/>
      <c r="CKD362" s="117"/>
      <c r="CKE362" s="613"/>
      <c r="CKF362" s="440"/>
      <c r="CKH362" s="602"/>
      <c r="CKI362" s="603"/>
      <c r="CKJ362" s="614"/>
      <c r="CKK362" s="614"/>
      <c r="CKL362" s="612"/>
      <c r="CKM362" s="117"/>
      <c r="CKN362" s="613"/>
      <c r="CKO362" s="440"/>
      <c r="CKQ362" s="602"/>
      <c r="CKR362" s="603"/>
      <c r="CKS362" s="614"/>
      <c r="CKT362" s="614"/>
      <c r="CKU362" s="612"/>
      <c r="CKV362" s="117"/>
      <c r="CKW362" s="613"/>
      <c r="CKX362" s="440"/>
      <c r="CKZ362" s="602"/>
      <c r="CLA362" s="603"/>
      <c r="CLB362" s="614"/>
      <c r="CLC362" s="614"/>
      <c r="CLD362" s="612"/>
      <c r="CLE362" s="117"/>
      <c r="CLF362" s="613"/>
      <c r="CLG362" s="440"/>
      <c r="CLI362" s="602"/>
      <c r="CLJ362" s="603"/>
      <c r="CLK362" s="614"/>
      <c r="CLL362" s="614"/>
      <c r="CLM362" s="612"/>
      <c r="CLN362" s="117"/>
      <c r="CLO362" s="613"/>
      <c r="CLP362" s="440"/>
      <c r="CLR362" s="602"/>
      <c r="CLS362" s="603"/>
      <c r="CLT362" s="614"/>
      <c r="CLU362" s="614"/>
      <c r="CLV362" s="612"/>
      <c r="CLW362" s="117"/>
      <c r="CLX362" s="613"/>
      <c r="CLY362" s="440"/>
      <c r="CMA362" s="602"/>
      <c r="CMB362" s="603"/>
      <c r="CMC362" s="614"/>
      <c r="CMD362" s="614"/>
      <c r="CME362" s="612"/>
      <c r="CMF362" s="117"/>
      <c r="CMG362" s="613"/>
      <c r="CMH362" s="440"/>
      <c r="CMJ362" s="602"/>
      <c r="CMK362" s="603"/>
      <c r="CML362" s="614"/>
      <c r="CMM362" s="614"/>
      <c r="CMN362" s="612"/>
      <c r="CMO362" s="117"/>
      <c r="CMP362" s="613"/>
      <c r="CMQ362" s="440"/>
      <c r="CMS362" s="602"/>
      <c r="CMT362" s="603"/>
      <c r="CMU362" s="614"/>
      <c r="CMV362" s="614"/>
      <c r="CMW362" s="612"/>
      <c r="CMX362" s="117"/>
      <c r="CMY362" s="613"/>
      <c r="CMZ362" s="440"/>
      <c r="CNB362" s="602"/>
      <c r="CNC362" s="603"/>
      <c r="CND362" s="614"/>
      <c r="CNE362" s="614"/>
      <c r="CNF362" s="612"/>
      <c r="CNG362" s="117"/>
      <c r="CNH362" s="613"/>
      <c r="CNI362" s="440"/>
      <c r="CNK362" s="602"/>
      <c r="CNL362" s="603"/>
      <c r="CNM362" s="614"/>
      <c r="CNN362" s="614"/>
      <c r="CNO362" s="612"/>
      <c r="CNP362" s="117"/>
      <c r="CNQ362" s="613"/>
      <c r="CNR362" s="440"/>
      <c r="CNT362" s="602"/>
      <c r="CNU362" s="603"/>
      <c r="CNV362" s="614"/>
      <c r="CNW362" s="614"/>
      <c r="CNX362" s="612"/>
      <c r="CNY362" s="117"/>
      <c r="CNZ362" s="613"/>
      <c r="COA362" s="440"/>
      <c r="COC362" s="602"/>
      <c r="COD362" s="603"/>
      <c r="COE362" s="614"/>
      <c r="COF362" s="614"/>
      <c r="COG362" s="612"/>
      <c r="COH362" s="117"/>
      <c r="COI362" s="613"/>
      <c r="COJ362" s="440"/>
      <c r="COL362" s="602"/>
      <c r="COM362" s="603"/>
      <c r="CON362" s="614"/>
      <c r="COO362" s="614"/>
      <c r="COP362" s="612"/>
      <c r="COQ362" s="117"/>
      <c r="COR362" s="613"/>
      <c r="COS362" s="440"/>
      <c r="COU362" s="602"/>
      <c r="COV362" s="603"/>
      <c r="COW362" s="614"/>
      <c r="COX362" s="614"/>
      <c r="COY362" s="612"/>
      <c r="COZ362" s="117"/>
      <c r="CPA362" s="613"/>
      <c r="CPB362" s="440"/>
      <c r="CPD362" s="602"/>
      <c r="CPE362" s="603"/>
      <c r="CPF362" s="614"/>
      <c r="CPG362" s="614"/>
      <c r="CPH362" s="612"/>
      <c r="CPI362" s="117"/>
      <c r="CPJ362" s="613"/>
      <c r="CPK362" s="440"/>
      <c r="CPM362" s="602"/>
      <c r="CPN362" s="603"/>
      <c r="CPO362" s="614"/>
      <c r="CPP362" s="614"/>
      <c r="CPQ362" s="612"/>
      <c r="CPR362" s="117"/>
      <c r="CPS362" s="613"/>
      <c r="CPT362" s="440"/>
      <c r="CPV362" s="602"/>
      <c r="CPW362" s="603"/>
      <c r="CPX362" s="614"/>
      <c r="CPY362" s="614"/>
      <c r="CPZ362" s="612"/>
      <c r="CQA362" s="117"/>
      <c r="CQB362" s="613"/>
      <c r="CQC362" s="440"/>
      <c r="CQE362" s="602"/>
      <c r="CQF362" s="603"/>
      <c r="CQG362" s="614"/>
      <c r="CQH362" s="614"/>
      <c r="CQI362" s="612"/>
      <c r="CQJ362" s="117"/>
      <c r="CQK362" s="613"/>
      <c r="CQL362" s="440"/>
      <c r="CQN362" s="602"/>
      <c r="CQO362" s="603"/>
      <c r="CQP362" s="614"/>
      <c r="CQQ362" s="614"/>
      <c r="CQR362" s="612"/>
      <c r="CQS362" s="117"/>
      <c r="CQT362" s="613"/>
      <c r="CQU362" s="440"/>
      <c r="CQW362" s="602"/>
      <c r="CQX362" s="603"/>
      <c r="CQY362" s="614"/>
      <c r="CQZ362" s="614"/>
      <c r="CRA362" s="612"/>
      <c r="CRB362" s="117"/>
      <c r="CRC362" s="613"/>
      <c r="CRD362" s="440"/>
      <c r="CRF362" s="602"/>
      <c r="CRG362" s="603"/>
      <c r="CRH362" s="614"/>
      <c r="CRI362" s="614"/>
      <c r="CRJ362" s="612"/>
      <c r="CRK362" s="117"/>
      <c r="CRL362" s="613"/>
      <c r="CRM362" s="440"/>
      <c r="CRO362" s="602"/>
      <c r="CRP362" s="603"/>
      <c r="CRQ362" s="614"/>
      <c r="CRR362" s="614"/>
      <c r="CRS362" s="612"/>
      <c r="CRT362" s="117"/>
      <c r="CRU362" s="613"/>
      <c r="CRV362" s="440"/>
      <c r="CRX362" s="602"/>
      <c r="CRY362" s="603"/>
      <c r="CRZ362" s="614"/>
      <c r="CSA362" s="614"/>
      <c r="CSB362" s="612"/>
      <c r="CSC362" s="117"/>
      <c r="CSD362" s="613"/>
      <c r="CSE362" s="440"/>
      <c r="CSG362" s="602"/>
      <c r="CSH362" s="603"/>
      <c r="CSI362" s="614"/>
      <c r="CSJ362" s="614"/>
      <c r="CSK362" s="612"/>
      <c r="CSL362" s="117"/>
      <c r="CSM362" s="613"/>
      <c r="CSN362" s="440"/>
      <c r="CSP362" s="602"/>
      <c r="CSQ362" s="603"/>
      <c r="CSR362" s="614"/>
      <c r="CSS362" s="614"/>
      <c r="CST362" s="612"/>
      <c r="CSU362" s="117"/>
      <c r="CSV362" s="613"/>
      <c r="CSW362" s="440"/>
      <c r="CSY362" s="602"/>
      <c r="CSZ362" s="603"/>
      <c r="CTA362" s="614"/>
      <c r="CTB362" s="614"/>
      <c r="CTC362" s="612"/>
      <c r="CTD362" s="117"/>
      <c r="CTE362" s="613"/>
      <c r="CTF362" s="440"/>
      <c r="CTH362" s="602"/>
      <c r="CTI362" s="603"/>
      <c r="CTJ362" s="614"/>
      <c r="CTK362" s="614"/>
      <c r="CTL362" s="612"/>
      <c r="CTM362" s="117"/>
      <c r="CTN362" s="613"/>
      <c r="CTO362" s="440"/>
      <c r="CTQ362" s="602"/>
      <c r="CTR362" s="603"/>
      <c r="CTS362" s="614"/>
      <c r="CTT362" s="614"/>
      <c r="CTU362" s="612"/>
      <c r="CTV362" s="117"/>
      <c r="CTW362" s="613"/>
      <c r="CTX362" s="440"/>
      <c r="CTZ362" s="602"/>
      <c r="CUA362" s="603"/>
      <c r="CUB362" s="614"/>
      <c r="CUC362" s="614"/>
      <c r="CUD362" s="612"/>
      <c r="CUE362" s="117"/>
      <c r="CUF362" s="613"/>
      <c r="CUG362" s="440"/>
      <c r="CUI362" s="602"/>
      <c r="CUJ362" s="603"/>
      <c r="CUK362" s="614"/>
      <c r="CUL362" s="614"/>
      <c r="CUM362" s="612"/>
      <c r="CUN362" s="117"/>
      <c r="CUO362" s="613"/>
      <c r="CUP362" s="440"/>
      <c r="CUR362" s="602"/>
      <c r="CUS362" s="603"/>
      <c r="CUT362" s="614"/>
      <c r="CUU362" s="614"/>
      <c r="CUV362" s="612"/>
      <c r="CUW362" s="117"/>
      <c r="CUX362" s="613"/>
      <c r="CUY362" s="440"/>
      <c r="CVA362" s="602"/>
      <c r="CVB362" s="603"/>
      <c r="CVC362" s="614"/>
      <c r="CVD362" s="614"/>
      <c r="CVE362" s="612"/>
      <c r="CVF362" s="117"/>
      <c r="CVG362" s="613"/>
      <c r="CVH362" s="440"/>
      <c r="CVJ362" s="602"/>
      <c r="CVK362" s="603"/>
      <c r="CVL362" s="614"/>
      <c r="CVM362" s="614"/>
      <c r="CVN362" s="612"/>
      <c r="CVO362" s="117"/>
      <c r="CVP362" s="613"/>
      <c r="CVQ362" s="440"/>
      <c r="CVS362" s="602"/>
      <c r="CVT362" s="603"/>
      <c r="CVU362" s="614"/>
      <c r="CVV362" s="614"/>
      <c r="CVW362" s="612"/>
      <c r="CVX362" s="117"/>
      <c r="CVY362" s="613"/>
      <c r="CVZ362" s="440"/>
      <c r="CWB362" s="602"/>
      <c r="CWC362" s="603"/>
      <c r="CWD362" s="614"/>
      <c r="CWE362" s="614"/>
      <c r="CWF362" s="612"/>
      <c r="CWG362" s="117"/>
      <c r="CWH362" s="613"/>
      <c r="CWI362" s="440"/>
      <c r="CWK362" s="602"/>
      <c r="CWL362" s="603"/>
      <c r="CWM362" s="614"/>
      <c r="CWN362" s="614"/>
      <c r="CWO362" s="612"/>
      <c r="CWP362" s="117"/>
      <c r="CWQ362" s="613"/>
      <c r="CWR362" s="440"/>
      <c r="CWT362" s="602"/>
      <c r="CWU362" s="603"/>
      <c r="CWV362" s="614"/>
      <c r="CWW362" s="614"/>
      <c r="CWX362" s="612"/>
      <c r="CWY362" s="117"/>
      <c r="CWZ362" s="613"/>
      <c r="CXA362" s="440"/>
      <c r="CXC362" s="602"/>
      <c r="CXD362" s="603"/>
      <c r="CXE362" s="614"/>
      <c r="CXF362" s="614"/>
      <c r="CXG362" s="612"/>
      <c r="CXH362" s="117"/>
      <c r="CXI362" s="613"/>
      <c r="CXJ362" s="440"/>
      <c r="CXL362" s="602"/>
      <c r="CXM362" s="603"/>
      <c r="CXN362" s="614"/>
      <c r="CXO362" s="614"/>
      <c r="CXP362" s="612"/>
      <c r="CXQ362" s="117"/>
      <c r="CXR362" s="613"/>
      <c r="CXS362" s="440"/>
      <c r="CXU362" s="602"/>
      <c r="CXV362" s="603"/>
      <c r="CXW362" s="614"/>
      <c r="CXX362" s="614"/>
      <c r="CXY362" s="612"/>
      <c r="CXZ362" s="117"/>
      <c r="CYA362" s="613"/>
      <c r="CYB362" s="440"/>
      <c r="CYD362" s="602"/>
      <c r="CYE362" s="603"/>
      <c r="CYF362" s="614"/>
      <c r="CYG362" s="614"/>
      <c r="CYH362" s="612"/>
      <c r="CYI362" s="117"/>
      <c r="CYJ362" s="613"/>
      <c r="CYK362" s="440"/>
      <c r="CYM362" s="602"/>
      <c r="CYN362" s="603"/>
      <c r="CYO362" s="614"/>
      <c r="CYP362" s="614"/>
      <c r="CYQ362" s="612"/>
      <c r="CYR362" s="117"/>
      <c r="CYS362" s="613"/>
      <c r="CYT362" s="440"/>
      <c r="CYV362" s="602"/>
      <c r="CYW362" s="603"/>
      <c r="CYX362" s="614"/>
      <c r="CYY362" s="614"/>
      <c r="CYZ362" s="612"/>
      <c r="CZA362" s="117"/>
      <c r="CZB362" s="613"/>
      <c r="CZC362" s="440"/>
      <c r="CZE362" s="602"/>
      <c r="CZF362" s="603"/>
      <c r="CZG362" s="614"/>
      <c r="CZH362" s="614"/>
      <c r="CZI362" s="612"/>
      <c r="CZJ362" s="117"/>
      <c r="CZK362" s="613"/>
      <c r="CZL362" s="440"/>
      <c r="CZN362" s="602"/>
      <c r="CZO362" s="603"/>
      <c r="CZP362" s="614"/>
      <c r="CZQ362" s="614"/>
      <c r="CZR362" s="612"/>
      <c r="CZS362" s="117"/>
      <c r="CZT362" s="613"/>
      <c r="CZU362" s="440"/>
      <c r="CZW362" s="602"/>
      <c r="CZX362" s="603"/>
      <c r="CZY362" s="614"/>
      <c r="CZZ362" s="614"/>
      <c r="DAA362" s="612"/>
      <c r="DAB362" s="117"/>
      <c r="DAC362" s="613"/>
      <c r="DAD362" s="440"/>
      <c r="DAF362" s="602"/>
      <c r="DAG362" s="603"/>
      <c r="DAH362" s="614"/>
      <c r="DAI362" s="614"/>
      <c r="DAJ362" s="612"/>
      <c r="DAK362" s="117"/>
      <c r="DAL362" s="613"/>
      <c r="DAM362" s="440"/>
      <c r="DAO362" s="602"/>
      <c r="DAP362" s="603"/>
      <c r="DAQ362" s="614"/>
      <c r="DAR362" s="614"/>
      <c r="DAS362" s="612"/>
      <c r="DAT362" s="117"/>
      <c r="DAU362" s="613"/>
      <c r="DAV362" s="440"/>
      <c r="DAX362" s="602"/>
      <c r="DAY362" s="603"/>
      <c r="DAZ362" s="614"/>
      <c r="DBA362" s="614"/>
      <c r="DBB362" s="612"/>
      <c r="DBC362" s="117"/>
      <c r="DBD362" s="613"/>
      <c r="DBE362" s="440"/>
      <c r="DBG362" s="602"/>
      <c r="DBH362" s="603"/>
      <c r="DBI362" s="614"/>
      <c r="DBJ362" s="614"/>
      <c r="DBK362" s="612"/>
      <c r="DBL362" s="117"/>
      <c r="DBM362" s="613"/>
      <c r="DBN362" s="440"/>
      <c r="DBP362" s="602"/>
      <c r="DBQ362" s="603"/>
      <c r="DBR362" s="614"/>
      <c r="DBS362" s="614"/>
      <c r="DBT362" s="612"/>
      <c r="DBU362" s="117"/>
      <c r="DBV362" s="613"/>
      <c r="DBW362" s="440"/>
      <c r="DBY362" s="602"/>
      <c r="DBZ362" s="603"/>
      <c r="DCA362" s="614"/>
      <c r="DCB362" s="614"/>
      <c r="DCC362" s="612"/>
      <c r="DCD362" s="117"/>
      <c r="DCE362" s="613"/>
      <c r="DCF362" s="440"/>
      <c r="DCH362" s="602"/>
      <c r="DCI362" s="603"/>
      <c r="DCJ362" s="614"/>
      <c r="DCK362" s="614"/>
      <c r="DCL362" s="612"/>
      <c r="DCM362" s="117"/>
      <c r="DCN362" s="613"/>
      <c r="DCO362" s="440"/>
      <c r="DCQ362" s="602"/>
      <c r="DCR362" s="603"/>
      <c r="DCS362" s="614"/>
      <c r="DCT362" s="614"/>
      <c r="DCU362" s="612"/>
      <c r="DCV362" s="117"/>
      <c r="DCW362" s="613"/>
      <c r="DCX362" s="440"/>
      <c r="DCZ362" s="602"/>
      <c r="DDA362" s="603"/>
      <c r="DDB362" s="614"/>
      <c r="DDC362" s="614"/>
      <c r="DDD362" s="612"/>
      <c r="DDE362" s="117"/>
      <c r="DDF362" s="613"/>
      <c r="DDG362" s="440"/>
      <c r="DDI362" s="602"/>
      <c r="DDJ362" s="603"/>
      <c r="DDK362" s="614"/>
      <c r="DDL362" s="614"/>
      <c r="DDM362" s="612"/>
      <c r="DDN362" s="117"/>
      <c r="DDO362" s="613"/>
      <c r="DDP362" s="440"/>
      <c r="DDR362" s="602"/>
      <c r="DDS362" s="603"/>
      <c r="DDT362" s="614"/>
      <c r="DDU362" s="614"/>
      <c r="DDV362" s="612"/>
      <c r="DDW362" s="117"/>
      <c r="DDX362" s="613"/>
      <c r="DDY362" s="440"/>
      <c r="DEA362" s="602"/>
      <c r="DEB362" s="603"/>
      <c r="DEC362" s="614"/>
      <c r="DED362" s="614"/>
      <c r="DEE362" s="612"/>
      <c r="DEF362" s="117"/>
      <c r="DEG362" s="613"/>
      <c r="DEH362" s="440"/>
      <c r="DEJ362" s="602"/>
      <c r="DEK362" s="603"/>
      <c r="DEL362" s="614"/>
      <c r="DEM362" s="614"/>
      <c r="DEN362" s="612"/>
      <c r="DEO362" s="117"/>
      <c r="DEP362" s="613"/>
      <c r="DEQ362" s="440"/>
      <c r="DES362" s="602"/>
      <c r="DET362" s="603"/>
      <c r="DEU362" s="614"/>
      <c r="DEV362" s="614"/>
      <c r="DEW362" s="612"/>
      <c r="DEX362" s="117"/>
      <c r="DEY362" s="613"/>
      <c r="DEZ362" s="440"/>
      <c r="DFB362" s="602"/>
      <c r="DFC362" s="603"/>
      <c r="DFD362" s="614"/>
      <c r="DFE362" s="614"/>
      <c r="DFF362" s="612"/>
      <c r="DFG362" s="117"/>
      <c r="DFH362" s="613"/>
      <c r="DFI362" s="440"/>
      <c r="DFK362" s="602"/>
      <c r="DFL362" s="603"/>
      <c r="DFM362" s="614"/>
      <c r="DFN362" s="614"/>
      <c r="DFO362" s="612"/>
      <c r="DFP362" s="117"/>
      <c r="DFQ362" s="613"/>
      <c r="DFR362" s="440"/>
      <c r="DFT362" s="602"/>
      <c r="DFU362" s="603"/>
      <c r="DFV362" s="614"/>
      <c r="DFW362" s="614"/>
      <c r="DFX362" s="612"/>
      <c r="DFY362" s="117"/>
      <c r="DFZ362" s="613"/>
      <c r="DGA362" s="440"/>
      <c r="DGC362" s="602"/>
      <c r="DGD362" s="603"/>
      <c r="DGE362" s="614"/>
      <c r="DGF362" s="614"/>
      <c r="DGG362" s="612"/>
      <c r="DGH362" s="117"/>
      <c r="DGI362" s="613"/>
      <c r="DGJ362" s="440"/>
      <c r="DGL362" s="602"/>
      <c r="DGM362" s="603"/>
      <c r="DGN362" s="614"/>
      <c r="DGO362" s="614"/>
      <c r="DGP362" s="612"/>
      <c r="DGQ362" s="117"/>
      <c r="DGR362" s="613"/>
      <c r="DGS362" s="440"/>
      <c r="DGU362" s="602"/>
      <c r="DGV362" s="603"/>
      <c r="DGW362" s="614"/>
      <c r="DGX362" s="614"/>
      <c r="DGY362" s="612"/>
      <c r="DGZ362" s="117"/>
      <c r="DHA362" s="613"/>
      <c r="DHB362" s="440"/>
      <c r="DHD362" s="602"/>
      <c r="DHE362" s="603"/>
      <c r="DHF362" s="614"/>
      <c r="DHG362" s="614"/>
      <c r="DHH362" s="612"/>
      <c r="DHI362" s="117"/>
      <c r="DHJ362" s="613"/>
      <c r="DHK362" s="440"/>
      <c r="DHM362" s="602"/>
      <c r="DHN362" s="603"/>
      <c r="DHO362" s="614"/>
      <c r="DHP362" s="614"/>
      <c r="DHQ362" s="612"/>
      <c r="DHR362" s="117"/>
      <c r="DHS362" s="613"/>
      <c r="DHT362" s="440"/>
      <c r="DHV362" s="602"/>
      <c r="DHW362" s="603"/>
      <c r="DHX362" s="614"/>
      <c r="DHY362" s="614"/>
      <c r="DHZ362" s="612"/>
      <c r="DIA362" s="117"/>
      <c r="DIB362" s="613"/>
      <c r="DIC362" s="440"/>
      <c r="DIE362" s="602"/>
      <c r="DIF362" s="603"/>
      <c r="DIG362" s="614"/>
      <c r="DIH362" s="614"/>
      <c r="DII362" s="612"/>
      <c r="DIJ362" s="117"/>
      <c r="DIK362" s="613"/>
      <c r="DIL362" s="440"/>
      <c r="DIN362" s="602"/>
      <c r="DIO362" s="603"/>
      <c r="DIP362" s="614"/>
      <c r="DIQ362" s="614"/>
      <c r="DIR362" s="612"/>
      <c r="DIS362" s="117"/>
      <c r="DIT362" s="613"/>
      <c r="DIU362" s="440"/>
      <c r="DIW362" s="602"/>
      <c r="DIX362" s="603"/>
      <c r="DIY362" s="614"/>
      <c r="DIZ362" s="614"/>
      <c r="DJA362" s="612"/>
      <c r="DJB362" s="117"/>
      <c r="DJC362" s="613"/>
      <c r="DJD362" s="440"/>
      <c r="DJF362" s="602"/>
      <c r="DJG362" s="603"/>
      <c r="DJH362" s="614"/>
      <c r="DJI362" s="614"/>
      <c r="DJJ362" s="612"/>
      <c r="DJK362" s="117"/>
      <c r="DJL362" s="613"/>
      <c r="DJM362" s="440"/>
      <c r="DJO362" s="602"/>
      <c r="DJP362" s="603"/>
      <c r="DJQ362" s="614"/>
      <c r="DJR362" s="614"/>
      <c r="DJS362" s="612"/>
      <c r="DJT362" s="117"/>
      <c r="DJU362" s="613"/>
      <c r="DJV362" s="440"/>
      <c r="DJX362" s="602"/>
      <c r="DJY362" s="603"/>
      <c r="DJZ362" s="614"/>
      <c r="DKA362" s="614"/>
      <c r="DKB362" s="612"/>
      <c r="DKC362" s="117"/>
      <c r="DKD362" s="613"/>
      <c r="DKE362" s="440"/>
      <c r="DKG362" s="602"/>
      <c r="DKH362" s="603"/>
      <c r="DKI362" s="614"/>
      <c r="DKJ362" s="614"/>
      <c r="DKK362" s="612"/>
      <c r="DKL362" s="117"/>
      <c r="DKM362" s="613"/>
      <c r="DKN362" s="440"/>
      <c r="DKP362" s="602"/>
      <c r="DKQ362" s="603"/>
      <c r="DKR362" s="614"/>
      <c r="DKS362" s="614"/>
      <c r="DKT362" s="612"/>
      <c r="DKU362" s="117"/>
      <c r="DKV362" s="613"/>
      <c r="DKW362" s="440"/>
      <c r="DKY362" s="602"/>
      <c r="DKZ362" s="603"/>
      <c r="DLA362" s="614"/>
      <c r="DLB362" s="614"/>
      <c r="DLC362" s="612"/>
      <c r="DLD362" s="117"/>
      <c r="DLE362" s="613"/>
      <c r="DLF362" s="440"/>
      <c r="DLH362" s="602"/>
      <c r="DLI362" s="603"/>
      <c r="DLJ362" s="614"/>
      <c r="DLK362" s="614"/>
      <c r="DLL362" s="612"/>
      <c r="DLM362" s="117"/>
      <c r="DLN362" s="613"/>
      <c r="DLO362" s="440"/>
      <c r="DLQ362" s="602"/>
      <c r="DLR362" s="603"/>
      <c r="DLS362" s="614"/>
      <c r="DLT362" s="614"/>
      <c r="DLU362" s="612"/>
      <c r="DLV362" s="117"/>
      <c r="DLW362" s="613"/>
      <c r="DLX362" s="440"/>
      <c r="DLZ362" s="602"/>
      <c r="DMA362" s="603"/>
      <c r="DMB362" s="614"/>
      <c r="DMC362" s="614"/>
      <c r="DMD362" s="612"/>
      <c r="DME362" s="117"/>
      <c r="DMF362" s="613"/>
      <c r="DMG362" s="440"/>
      <c r="DMI362" s="602"/>
      <c r="DMJ362" s="603"/>
      <c r="DMK362" s="614"/>
      <c r="DML362" s="614"/>
      <c r="DMM362" s="612"/>
      <c r="DMN362" s="117"/>
      <c r="DMO362" s="613"/>
      <c r="DMP362" s="440"/>
      <c r="DMR362" s="602"/>
      <c r="DMS362" s="603"/>
      <c r="DMT362" s="614"/>
      <c r="DMU362" s="614"/>
      <c r="DMV362" s="612"/>
      <c r="DMW362" s="117"/>
      <c r="DMX362" s="613"/>
      <c r="DMY362" s="440"/>
      <c r="DNA362" s="602"/>
      <c r="DNB362" s="603"/>
      <c r="DNC362" s="614"/>
      <c r="DND362" s="614"/>
      <c r="DNE362" s="612"/>
      <c r="DNF362" s="117"/>
      <c r="DNG362" s="613"/>
      <c r="DNH362" s="440"/>
      <c r="DNJ362" s="602"/>
      <c r="DNK362" s="603"/>
      <c r="DNL362" s="614"/>
      <c r="DNM362" s="614"/>
      <c r="DNN362" s="612"/>
      <c r="DNO362" s="117"/>
      <c r="DNP362" s="613"/>
      <c r="DNQ362" s="440"/>
      <c r="DNS362" s="602"/>
      <c r="DNT362" s="603"/>
      <c r="DNU362" s="614"/>
      <c r="DNV362" s="614"/>
      <c r="DNW362" s="612"/>
      <c r="DNX362" s="117"/>
      <c r="DNY362" s="613"/>
      <c r="DNZ362" s="440"/>
      <c r="DOB362" s="602"/>
      <c r="DOC362" s="603"/>
      <c r="DOD362" s="614"/>
      <c r="DOE362" s="614"/>
      <c r="DOF362" s="612"/>
      <c r="DOG362" s="117"/>
      <c r="DOH362" s="613"/>
      <c r="DOI362" s="440"/>
      <c r="DOK362" s="602"/>
      <c r="DOL362" s="603"/>
      <c r="DOM362" s="614"/>
      <c r="DON362" s="614"/>
      <c r="DOO362" s="612"/>
      <c r="DOP362" s="117"/>
      <c r="DOQ362" s="613"/>
      <c r="DOR362" s="440"/>
      <c r="DOT362" s="602"/>
      <c r="DOU362" s="603"/>
      <c r="DOV362" s="614"/>
      <c r="DOW362" s="614"/>
      <c r="DOX362" s="612"/>
      <c r="DOY362" s="117"/>
      <c r="DOZ362" s="613"/>
      <c r="DPA362" s="440"/>
      <c r="DPC362" s="602"/>
      <c r="DPD362" s="603"/>
      <c r="DPE362" s="614"/>
      <c r="DPF362" s="614"/>
      <c r="DPG362" s="612"/>
      <c r="DPH362" s="117"/>
      <c r="DPI362" s="613"/>
      <c r="DPJ362" s="440"/>
      <c r="DPL362" s="602"/>
      <c r="DPM362" s="603"/>
      <c r="DPN362" s="614"/>
      <c r="DPO362" s="614"/>
      <c r="DPP362" s="612"/>
      <c r="DPQ362" s="117"/>
      <c r="DPR362" s="613"/>
      <c r="DPS362" s="440"/>
      <c r="DPU362" s="602"/>
      <c r="DPV362" s="603"/>
      <c r="DPW362" s="614"/>
      <c r="DPX362" s="614"/>
      <c r="DPY362" s="612"/>
      <c r="DPZ362" s="117"/>
      <c r="DQA362" s="613"/>
      <c r="DQB362" s="440"/>
      <c r="DQD362" s="602"/>
      <c r="DQE362" s="603"/>
      <c r="DQF362" s="614"/>
      <c r="DQG362" s="614"/>
      <c r="DQH362" s="612"/>
      <c r="DQI362" s="117"/>
      <c r="DQJ362" s="613"/>
      <c r="DQK362" s="440"/>
      <c r="DQM362" s="602"/>
      <c r="DQN362" s="603"/>
      <c r="DQO362" s="614"/>
      <c r="DQP362" s="614"/>
      <c r="DQQ362" s="612"/>
      <c r="DQR362" s="117"/>
      <c r="DQS362" s="613"/>
      <c r="DQT362" s="440"/>
      <c r="DQV362" s="602"/>
      <c r="DQW362" s="603"/>
      <c r="DQX362" s="614"/>
      <c r="DQY362" s="614"/>
      <c r="DQZ362" s="612"/>
      <c r="DRA362" s="117"/>
      <c r="DRB362" s="613"/>
      <c r="DRC362" s="440"/>
      <c r="DRE362" s="602"/>
      <c r="DRF362" s="603"/>
      <c r="DRG362" s="614"/>
      <c r="DRH362" s="614"/>
      <c r="DRI362" s="612"/>
      <c r="DRJ362" s="117"/>
      <c r="DRK362" s="613"/>
      <c r="DRL362" s="440"/>
      <c r="DRN362" s="602"/>
      <c r="DRO362" s="603"/>
      <c r="DRP362" s="614"/>
      <c r="DRQ362" s="614"/>
      <c r="DRR362" s="612"/>
      <c r="DRS362" s="117"/>
      <c r="DRT362" s="613"/>
      <c r="DRU362" s="440"/>
      <c r="DRW362" s="602"/>
      <c r="DRX362" s="603"/>
      <c r="DRY362" s="614"/>
      <c r="DRZ362" s="614"/>
      <c r="DSA362" s="612"/>
      <c r="DSB362" s="117"/>
      <c r="DSC362" s="613"/>
      <c r="DSD362" s="440"/>
      <c r="DSF362" s="602"/>
      <c r="DSG362" s="603"/>
      <c r="DSH362" s="614"/>
      <c r="DSI362" s="614"/>
      <c r="DSJ362" s="612"/>
      <c r="DSK362" s="117"/>
      <c r="DSL362" s="613"/>
      <c r="DSM362" s="440"/>
      <c r="DSO362" s="602"/>
      <c r="DSP362" s="603"/>
      <c r="DSQ362" s="614"/>
      <c r="DSR362" s="614"/>
      <c r="DSS362" s="612"/>
      <c r="DST362" s="117"/>
      <c r="DSU362" s="613"/>
      <c r="DSV362" s="440"/>
      <c r="DSX362" s="602"/>
      <c r="DSY362" s="603"/>
      <c r="DSZ362" s="614"/>
      <c r="DTA362" s="614"/>
      <c r="DTB362" s="612"/>
      <c r="DTC362" s="117"/>
      <c r="DTD362" s="613"/>
      <c r="DTE362" s="440"/>
      <c r="DTG362" s="602"/>
      <c r="DTH362" s="603"/>
      <c r="DTI362" s="614"/>
      <c r="DTJ362" s="614"/>
      <c r="DTK362" s="612"/>
      <c r="DTL362" s="117"/>
      <c r="DTM362" s="613"/>
      <c r="DTN362" s="440"/>
      <c r="DTP362" s="602"/>
      <c r="DTQ362" s="603"/>
      <c r="DTR362" s="614"/>
      <c r="DTS362" s="614"/>
      <c r="DTT362" s="612"/>
      <c r="DTU362" s="117"/>
      <c r="DTV362" s="613"/>
      <c r="DTW362" s="440"/>
      <c r="DTY362" s="602"/>
      <c r="DTZ362" s="603"/>
      <c r="DUA362" s="614"/>
      <c r="DUB362" s="614"/>
      <c r="DUC362" s="612"/>
      <c r="DUD362" s="117"/>
      <c r="DUE362" s="613"/>
      <c r="DUF362" s="440"/>
      <c r="DUH362" s="602"/>
      <c r="DUI362" s="603"/>
      <c r="DUJ362" s="614"/>
      <c r="DUK362" s="614"/>
      <c r="DUL362" s="612"/>
      <c r="DUM362" s="117"/>
      <c r="DUN362" s="613"/>
      <c r="DUO362" s="440"/>
      <c r="DUQ362" s="602"/>
      <c r="DUR362" s="603"/>
      <c r="DUS362" s="614"/>
      <c r="DUT362" s="614"/>
      <c r="DUU362" s="612"/>
      <c r="DUV362" s="117"/>
      <c r="DUW362" s="613"/>
      <c r="DUX362" s="440"/>
      <c r="DUZ362" s="602"/>
      <c r="DVA362" s="603"/>
      <c r="DVB362" s="614"/>
      <c r="DVC362" s="614"/>
      <c r="DVD362" s="612"/>
      <c r="DVE362" s="117"/>
      <c r="DVF362" s="613"/>
      <c r="DVG362" s="440"/>
      <c r="DVI362" s="602"/>
      <c r="DVJ362" s="603"/>
      <c r="DVK362" s="614"/>
      <c r="DVL362" s="614"/>
      <c r="DVM362" s="612"/>
      <c r="DVN362" s="117"/>
      <c r="DVO362" s="613"/>
      <c r="DVP362" s="440"/>
      <c r="DVR362" s="602"/>
      <c r="DVS362" s="603"/>
      <c r="DVT362" s="614"/>
      <c r="DVU362" s="614"/>
      <c r="DVV362" s="612"/>
      <c r="DVW362" s="117"/>
      <c r="DVX362" s="613"/>
      <c r="DVY362" s="440"/>
      <c r="DWA362" s="602"/>
      <c r="DWB362" s="603"/>
      <c r="DWC362" s="614"/>
      <c r="DWD362" s="614"/>
      <c r="DWE362" s="612"/>
      <c r="DWF362" s="117"/>
      <c r="DWG362" s="613"/>
      <c r="DWH362" s="440"/>
      <c r="DWJ362" s="602"/>
      <c r="DWK362" s="603"/>
      <c r="DWL362" s="614"/>
      <c r="DWM362" s="614"/>
      <c r="DWN362" s="612"/>
      <c r="DWO362" s="117"/>
      <c r="DWP362" s="613"/>
      <c r="DWQ362" s="440"/>
      <c r="DWS362" s="602"/>
      <c r="DWT362" s="603"/>
      <c r="DWU362" s="614"/>
      <c r="DWV362" s="614"/>
      <c r="DWW362" s="612"/>
      <c r="DWX362" s="117"/>
      <c r="DWY362" s="613"/>
      <c r="DWZ362" s="440"/>
      <c r="DXB362" s="602"/>
      <c r="DXC362" s="603"/>
      <c r="DXD362" s="614"/>
      <c r="DXE362" s="614"/>
      <c r="DXF362" s="612"/>
      <c r="DXG362" s="117"/>
      <c r="DXH362" s="613"/>
      <c r="DXI362" s="440"/>
      <c r="DXK362" s="602"/>
      <c r="DXL362" s="603"/>
      <c r="DXM362" s="614"/>
      <c r="DXN362" s="614"/>
      <c r="DXO362" s="612"/>
      <c r="DXP362" s="117"/>
      <c r="DXQ362" s="613"/>
      <c r="DXR362" s="440"/>
      <c r="DXT362" s="602"/>
      <c r="DXU362" s="603"/>
      <c r="DXV362" s="614"/>
      <c r="DXW362" s="614"/>
      <c r="DXX362" s="612"/>
      <c r="DXY362" s="117"/>
      <c r="DXZ362" s="613"/>
      <c r="DYA362" s="440"/>
      <c r="DYC362" s="602"/>
      <c r="DYD362" s="603"/>
      <c r="DYE362" s="614"/>
      <c r="DYF362" s="614"/>
      <c r="DYG362" s="612"/>
      <c r="DYH362" s="117"/>
      <c r="DYI362" s="613"/>
      <c r="DYJ362" s="440"/>
      <c r="DYL362" s="602"/>
      <c r="DYM362" s="603"/>
      <c r="DYN362" s="614"/>
      <c r="DYO362" s="614"/>
      <c r="DYP362" s="612"/>
      <c r="DYQ362" s="117"/>
      <c r="DYR362" s="613"/>
      <c r="DYS362" s="440"/>
      <c r="DYU362" s="602"/>
      <c r="DYV362" s="603"/>
      <c r="DYW362" s="614"/>
      <c r="DYX362" s="614"/>
      <c r="DYY362" s="612"/>
      <c r="DYZ362" s="117"/>
      <c r="DZA362" s="613"/>
      <c r="DZB362" s="440"/>
      <c r="DZD362" s="602"/>
      <c r="DZE362" s="603"/>
      <c r="DZF362" s="614"/>
      <c r="DZG362" s="614"/>
      <c r="DZH362" s="612"/>
      <c r="DZI362" s="117"/>
      <c r="DZJ362" s="613"/>
      <c r="DZK362" s="440"/>
      <c r="DZM362" s="602"/>
      <c r="DZN362" s="603"/>
      <c r="DZO362" s="614"/>
      <c r="DZP362" s="614"/>
      <c r="DZQ362" s="612"/>
      <c r="DZR362" s="117"/>
      <c r="DZS362" s="613"/>
      <c r="DZT362" s="440"/>
      <c r="DZV362" s="602"/>
      <c r="DZW362" s="603"/>
      <c r="DZX362" s="614"/>
      <c r="DZY362" s="614"/>
      <c r="DZZ362" s="612"/>
      <c r="EAA362" s="117"/>
      <c r="EAB362" s="613"/>
      <c r="EAC362" s="440"/>
      <c r="EAE362" s="602"/>
      <c r="EAF362" s="603"/>
      <c r="EAG362" s="614"/>
      <c r="EAH362" s="614"/>
      <c r="EAI362" s="612"/>
      <c r="EAJ362" s="117"/>
      <c r="EAK362" s="613"/>
      <c r="EAL362" s="440"/>
      <c r="EAN362" s="602"/>
      <c r="EAO362" s="603"/>
      <c r="EAP362" s="614"/>
      <c r="EAQ362" s="614"/>
      <c r="EAR362" s="612"/>
      <c r="EAS362" s="117"/>
      <c r="EAT362" s="613"/>
      <c r="EAU362" s="440"/>
      <c r="EAW362" s="602"/>
      <c r="EAX362" s="603"/>
      <c r="EAY362" s="614"/>
      <c r="EAZ362" s="614"/>
      <c r="EBA362" s="612"/>
      <c r="EBB362" s="117"/>
      <c r="EBC362" s="613"/>
      <c r="EBD362" s="440"/>
      <c r="EBF362" s="602"/>
      <c r="EBG362" s="603"/>
      <c r="EBH362" s="614"/>
      <c r="EBI362" s="614"/>
      <c r="EBJ362" s="612"/>
      <c r="EBK362" s="117"/>
      <c r="EBL362" s="613"/>
      <c r="EBM362" s="440"/>
      <c r="EBO362" s="602"/>
      <c r="EBP362" s="603"/>
      <c r="EBQ362" s="614"/>
      <c r="EBR362" s="614"/>
      <c r="EBS362" s="612"/>
      <c r="EBT362" s="117"/>
      <c r="EBU362" s="613"/>
      <c r="EBV362" s="440"/>
      <c r="EBX362" s="602"/>
      <c r="EBY362" s="603"/>
      <c r="EBZ362" s="614"/>
      <c r="ECA362" s="614"/>
      <c r="ECB362" s="612"/>
      <c r="ECC362" s="117"/>
      <c r="ECD362" s="613"/>
      <c r="ECE362" s="440"/>
      <c r="ECG362" s="602"/>
      <c r="ECH362" s="603"/>
      <c r="ECI362" s="614"/>
      <c r="ECJ362" s="614"/>
      <c r="ECK362" s="612"/>
      <c r="ECL362" s="117"/>
      <c r="ECM362" s="613"/>
      <c r="ECN362" s="440"/>
      <c r="ECP362" s="602"/>
      <c r="ECQ362" s="603"/>
      <c r="ECR362" s="614"/>
      <c r="ECS362" s="614"/>
      <c r="ECT362" s="612"/>
      <c r="ECU362" s="117"/>
      <c r="ECV362" s="613"/>
      <c r="ECW362" s="440"/>
      <c r="ECY362" s="602"/>
      <c r="ECZ362" s="603"/>
      <c r="EDA362" s="614"/>
      <c r="EDB362" s="614"/>
      <c r="EDC362" s="612"/>
      <c r="EDD362" s="117"/>
      <c r="EDE362" s="613"/>
      <c r="EDF362" s="440"/>
      <c r="EDH362" s="602"/>
      <c r="EDI362" s="603"/>
      <c r="EDJ362" s="614"/>
      <c r="EDK362" s="614"/>
      <c r="EDL362" s="612"/>
      <c r="EDM362" s="117"/>
      <c r="EDN362" s="613"/>
      <c r="EDO362" s="440"/>
      <c r="EDQ362" s="602"/>
      <c r="EDR362" s="603"/>
      <c r="EDS362" s="614"/>
      <c r="EDT362" s="614"/>
      <c r="EDU362" s="612"/>
      <c r="EDV362" s="117"/>
      <c r="EDW362" s="613"/>
      <c r="EDX362" s="440"/>
      <c r="EDZ362" s="602"/>
      <c r="EEA362" s="603"/>
      <c r="EEB362" s="614"/>
      <c r="EEC362" s="614"/>
      <c r="EED362" s="612"/>
      <c r="EEE362" s="117"/>
      <c r="EEF362" s="613"/>
      <c r="EEG362" s="440"/>
      <c r="EEI362" s="602"/>
      <c r="EEJ362" s="603"/>
      <c r="EEK362" s="614"/>
      <c r="EEL362" s="614"/>
      <c r="EEM362" s="612"/>
      <c r="EEN362" s="117"/>
      <c r="EEO362" s="613"/>
      <c r="EEP362" s="440"/>
      <c r="EER362" s="602"/>
      <c r="EES362" s="603"/>
      <c r="EET362" s="614"/>
      <c r="EEU362" s="614"/>
      <c r="EEV362" s="612"/>
      <c r="EEW362" s="117"/>
      <c r="EEX362" s="613"/>
      <c r="EEY362" s="440"/>
      <c r="EFA362" s="602"/>
      <c r="EFB362" s="603"/>
      <c r="EFC362" s="614"/>
      <c r="EFD362" s="614"/>
      <c r="EFE362" s="612"/>
      <c r="EFF362" s="117"/>
      <c r="EFG362" s="613"/>
      <c r="EFH362" s="440"/>
      <c r="EFJ362" s="602"/>
      <c r="EFK362" s="603"/>
      <c r="EFL362" s="614"/>
      <c r="EFM362" s="614"/>
      <c r="EFN362" s="612"/>
      <c r="EFO362" s="117"/>
      <c r="EFP362" s="613"/>
      <c r="EFQ362" s="440"/>
      <c r="EFS362" s="602"/>
      <c r="EFT362" s="603"/>
      <c r="EFU362" s="614"/>
      <c r="EFV362" s="614"/>
      <c r="EFW362" s="612"/>
      <c r="EFX362" s="117"/>
      <c r="EFY362" s="613"/>
      <c r="EFZ362" s="440"/>
      <c r="EGB362" s="602"/>
      <c r="EGC362" s="603"/>
      <c r="EGD362" s="614"/>
      <c r="EGE362" s="614"/>
      <c r="EGF362" s="612"/>
      <c r="EGG362" s="117"/>
      <c r="EGH362" s="613"/>
      <c r="EGI362" s="440"/>
      <c r="EGK362" s="602"/>
      <c r="EGL362" s="603"/>
      <c r="EGM362" s="614"/>
      <c r="EGN362" s="614"/>
      <c r="EGO362" s="612"/>
      <c r="EGP362" s="117"/>
      <c r="EGQ362" s="613"/>
      <c r="EGR362" s="440"/>
      <c r="EGT362" s="602"/>
      <c r="EGU362" s="603"/>
      <c r="EGV362" s="614"/>
      <c r="EGW362" s="614"/>
      <c r="EGX362" s="612"/>
      <c r="EGY362" s="117"/>
      <c r="EGZ362" s="613"/>
      <c r="EHA362" s="440"/>
      <c r="EHC362" s="602"/>
      <c r="EHD362" s="603"/>
      <c r="EHE362" s="614"/>
      <c r="EHF362" s="614"/>
      <c r="EHG362" s="612"/>
      <c r="EHH362" s="117"/>
      <c r="EHI362" s="613"/>
      <c r="EHJ362" s="440"/>
      <c r="EHL362" s="602"/>
      <c r="EHM362" s="603"/>
      <c r="EHN362" s="614"/>
      <c r="EHO362" s="614"/>
      <c r="EHP362" s="612"/>
      <c r="EHQ362" s="117"/>
      <c r="EHR362" s="613"/>
      <c r="EHS362" s="440"/>
      <c r="EHU362" s="602"/>
      <c r="EHV362" s="603"/>
      <c r="EHW362" s="614"/>
      <c r="EHX362" s="614"/>
      <c r="EHY362" s="612"/>
      <c r="EHZ362" s="117"/>
      <c r="EIA362" s="613"/>
      <c r="EIB362" s="440"/>
      <c r="EID362" s="602"/>
      <c r="EIE362" s="603"/>
      <c r="EIF362" s="614"/>
      <c r="EIG362" s="614"/>
      <c r="EIH362" s="612"/>
      <c r="EII362" s="117"/>
      <c r="EIJ362" s="613"/>
      <c r="EIK362" s="440"/>
      <c r="EIM362" s="602"/>
      <c r="EIN362" s="603"/>
      <c r="EIO362" s="614"/>
      <c r="EIP362" s="614"/>
      <c r="EIQ362" s="612"/>
      <c r="EIR362" s="117"/>
      <c r="EIS362" s="613"/>
      <c r="EIT362" s="440"/>
      <c r="EIV362" s="602"/>
      <c r="EIW362" s="603"/>
      <c r="EIX362" s="614"/>
      <c r="EIY362" s="614"/>
      <c r="EIZ362" s="612"/>
      <c r="EJA362" s="117"/>
      <c r="EJB362" s="613"/>
      <c r="EJC362" s="440"/>
      <c r="EJE362" s="602"/>
      <c r="EJF362" s="603"/>
      <c r="EJG362" s="614"/>
      <c r="EJH362" s="614"/>
      <c r="EJI362" s="612"/>
      <c r="EJJ362" s="117"/>
      <c r="EJK362" s="613"/>
      <c r="EJL362" s="440"/>
      <c r="EJN362" s="602"/>
      <c r="EJO362" s="603"/>
      <c r="EJP362" s="614"/>
      <c r="EJQ362" s="614"/>
      <c r="EJR362" s="612"/>
      <c r="EJS362" s="117"/>
      <c r="EJT362" s="613"/>
      <c r="EJU362" s="440"/>
      <c r="EJW362" s="602"/>
      <c r="EJX362" s="603"/>
      <c r="EJY362" s="614"/>
      <c r="EJZ362" s="614"/>
      <c r="EKA362" s="612"/>
      <c r="EKB362" s="117"/>
      <c r="EKC362" s="613"/>
      <c r="EKD362" s="440"/>
      <c r="EKF362" s="602"/>
      <c r="EKG362" s="603"/>
      <c r="EKH362" s="614"/>
      <c r="EKI362" s="614"/>
      <c r="EKJ362" s="612"/>
      <c r="EKK362" s="117"/>
      <c r="EKL362" s="613"/>
      <c r="EKM362" s="440"/>
      <c r="EKO362" s="602"/>
      <c r="EKP362" s="603"/>
      <c r="EKQ362" s="614"/>
      <c r="EKR362" s="614"/>
      <c r="EKS362" s="612"/>
      <c r="EKT362" s="117"/>
      <c r="EKU362" s="613"/>
      <c r="EKV362" s="440"/>
      <c r="EKX362" s="602"/>
      <c r="EKY362" s="603"/>
      <c r="EKZ362" s="614"/>
      <c r="ELA362" s="614"/>
      <c r="ELB362" s="612"/>
      <c r="ELC362" s="117"/>
      <c r="ELD362" s="613"/>
      <c r="ELE362" s="440"/>
      <c r="ELG362" s="602"/>
      <c r="ELH362" s="603"/>
      <c r="ELI362" s="614"/>
      <c r="ELJ362" s="614"/>
      <c r="ELK362" s="612"/>
      <c r="ELL362" s="117"/>
      <c r="ELM362" s="613"/>
      <c r="ELN362" s="440"/>
      <c r="ELP362" s="602"/>
      <c r="ELQ362" s="603"/>
      <c r="ELR362" s="614"/>
      <c r="ELS362" s="614"/>
      <c r="ELT362" s="612"/>
      <c r="ELU362" s="117"/>
      <c r="ELV362" s="613"/>
      <c r="ELW362" s="440"/>
      <c r="ELY362" s="602"/>
      <c r="ELZ362" s="603"/>
      <c r="EMA362" s="614"/>
      <c r="EMB362" s="614"/>
      <c r="EMC362" s="612"/>
      <c r="EMD362" s="117"/>
      <c r="EME362" s="613"/>
      <c r="EMF362" s="440"/>
      <c r="EMH362" s="602"/>
      <c r="EMI362" s="603"/>
      <c r="EMJ362" s="614"/>
      <c r="EMK362" s="614"/>
      <c r="EML362" s="612"/>
      <c r="EMM362" s="117"/>
      <c r="EMN362" s="613"/>
      <c r="EMO362" s="440"/>
      <c r="EMQ362" s="602"/>
      <c r="EMR362" s="603"/>
      <c r="EMS362" s="614"/>
      <c r="EMT362" s="614"/>
      <c r="EMU362" s="612"/>
      <c r="EMV362" s="117"/>
      <c r="EMW362" s="613"/>
      <c r="EMX362" s="440"/>
      <c r="EMZ362" s="602"/>
      <c r="ENA362" s="603"/>
      <c r="ENB362" s="614"/>
      <c r="ENC362" s="614"/>
      <c r="END362" s="612"/>
      <c r="ENE362" s="117"/>
      <c r="ENF362" s="613"/>
      <c r="ENG362" s="440"/>
      <c r="ENI362" s="602"/>
      <c r="ENJ362" s="603"/>
      <c r="ENK362" s="614"/>
      <c r="ENL362" s="614"/>
      <c r="ENM362" s="612"/>
      <c r="ENN362" s="117"/>
      <c r="ENO362" s="613"/>
      <c r="ENP362" s="440"/>
      <c r="ENR362" s="602"/>
      <c r="ENS362" s="603"/>
      <c r="ENT362" s="614"/>
      <c r="ENU362" s="614"/>
      <c r="ENV362" s="612"/>
      <c r="ENW362" s="117"/>
      <c r="ENX362" s="613"/>
      <c r="ENY362" s="440"/>
      <c r="EOA362" s="602"/>
      <c r="EOB362" s="603"/>
      <c r="EOC362" s="614"/>
      <c r="EOD362" s="614"/>
      <c r="EOE362" s="612"/>
      <c r="EOF362" s="117"/>
      <c r="EOG362" s="613"/>
      <c r="EOH362" s="440"/>
      <c r="EOJ362" s="602"/>
      <c r="EOK362" s="603"/>
      <c r="EOL362" s="614"/>
      <c r="EOM362" s="614"/>
      <c r="EON362" s="612"/>
      <c r="EOO362" s="117"/>
      <c r="EOP362" s="613"/>
      <c r="EOQ362" s="440"/>
      <c r="EOS362" s="602"/>
      <c r="EOT362" s="603"/>
      <c r="EOU362" s="614"/>
      <c r="EOV362" s="614"/>
      <c r="EOW362" s="612"/>
      <c r="EOX362" s="117"/>
      <c r="EOY362" s="613"/>
      <c r="EOZ362" s="440"/>
      <c r="EPB362" s="602"/>
      <c r="EPC362" s="603"/>
      <c r="EPD362" s="614"/>
      <c r="EPE362" s="614"/>
      <c r="EPF362" s="612"/>
      <c r="EPG362" s="117"/>
      <c r="EPH362" s="613"/>
      <c r="EPI362" s="440"/>
      <c r="EPK362" s="602"/>
      <c r="EPL362" s="603"/>
      <c r="EPM362" s="614"/>
      <c r="EPN362" s="614"/>
      <c r="EPO362" s="612"/>
      <c r="EPP362" s="117"/>
      <c r="EPQ362" s="613"/>
      <c r="EPR362" s="440"/>
      <c r="EPT362" s="602"/>
      <c r="EPU362" s="603"/>
      <c r="EPV362" s="614"/>
      <c r="EPW362" s="614"/>
      <c r="EPX362" s="612"/>
      <c r="EPY362" s="117"/>
      <c r="EPZ362" s="613"/>
      <c r="EQA362" s="440"/>
      <c r="EQC362" s="602"/>
      <c r="EQD362" s="603"/>
      <c r="EQE362" s="614"/>
      <c r="EQF362" s="614"/>
      <c r="EQG362" s="612"/>
      <c r="EQH362" s="117"/>
      <c r="EQI362" s="613"/>
      <c r="EQJ362" s="440"/>
      <c r="EQL362" s="602"/>
      <c r="EQM362" s="603"/>
      <c r="EQN362" s="614"/>
      <c r="EQO362" s="614"/>
      <c r="EQP362" s="612"/>
      <c r="EQQ362" s="117"/>
      <c r="EQR362" s="613"/>
      <c r="EQS362" s="440"/>
      <c r="EQU362" s="602"/>
      <c r="EQV362" s="603"/>
      <c r="EQW362" s="614"/>
      <c r="EQX362" s="614"/>
      <c r="EQY362" s="612"/>
      <c r="EQZ362" s="117"/>
      <c r="ERA362" s="613"/>
      <c r="ERB362" s="440"/>
      <c r="ERD362" s="602"/>
      <c r="ERE362" s="603"/>
      <c r="ERF362" s="614"/>
      <c r="ERG362" s="614"/>
      <c r="ERH362" s="612"/>
      <c r="ERI362" s="117"/>
      <c r="ERJ362" s="613"/>
      <c r="ERK362" s="440"/>
      <c r="ERM362" s="602"/>
      <c r="ERN362" s="603"/>
      <c r="ERO362" s="614"/>
      <c r="ERP362" s="614"/>
      <c r="ERQ362" s="612"/>
      <c r="ERR362" s="117"/>
      <c r="ERS362" s="613"/>
      <c r="ERT362" s="440"/>
      <c r="ERV362" s="602"/>
      <c r="ERW362" s="603"/>
      <c r="ERX362" s="614"/>
      <c r="ERY362" s="614"/>
      <c r="ERZ362" s="612"/>
      <c r="ESA362" s="117"/>
      <c r="ESB362" s="613"/>
      <c r="ESC362" s="440"/>
      <c r="ESE362" s="602"/>
      <c r="ESF362" s="603"/>
      <c r="ESG362" s="614"/>
      <c r="ESH362" s="614"/>
      <c r="ESI362" s="612"/>
      <c r="ESJ362" s="117"/>
      <c r="ESK362" s="613"/>
      <c r="ESL362" s="440"/>
      <c r="ESN362" s="602"/>
      <c r="ESO362" s="603"/>
      <c r="ESP362" s="614"/>
      <c r="ESQ362" s="614"/>
      <c r="ESR362" s="612"/>
      <c r="ESS362" s="117"/>
      <c r="EST362" s="613"/>
      <c r="ESU362" s="440"/>
      <c r="ESW362" s="602"/>
      <c r="ESX362" s="603"/>
      <c r="ESY362" s="614"/>
      <c r="ESZ362" s="614"/>
      <c r="ETA362" s="612"/>
      <c r="ETB362" s="117"/>
      <c r="ETC362" s="613"/>
      <c r="ETD362" s="440"/>
      <c r="ETF362" s="602"/>
      <c r="ETG362" s="603"/>
      <c r="ETH362" s="614"/>
      <c r="ETI362" s="614"/>
      <c r="ETJ362" s="612"/>
      <c r="ETK362" s="117"/>
      <c r="ETL362" s="613"/>
      <c r="ETM362" s="440"/>
      <c r="ETO362" s="602"/>
      <c r="ETP362" s="603"/>
      <c r="ETQ362" s="614"/>
      <c r="ETR362" s="614"/>
      <c r="ETS362" s="612"/>
      <c r="ETT362" s="117"/>
      <c r="ETU362" s="613"/>
      <c r="ETV362" s="440"/>
      <c r="ETX362" s="602"/>
      <c r="ETY362" s="603"/>
      <c r="ETZ362" s="614"/>
      <c r="EUA362" s="614"/>
      <c r="EUB362" s="612"/>
      <c r="EUC362" s="117"/>
      <c r="EUD362" s="613"/>
      <c r="EUE362" s="440"/>
      <c r="EUG362" s="602"/>
      <c r="EUH362" s="603"/>
      <c r="EUI362" s="614"/>
      <c r="EUJ362" s="614"/>
      <c r="EUK362" s="612"/>
      <c r="EUL362" s="117"/>
      <c r="EUM362" s="613"/>
      <c r="EUN362" s="440"/>
      <c r="EUP362" s="602"/>
      <c r="EUQ362" s="603"/>
      <c r="EUR362" s="614"/>
      <c r="EUS362" s="614"/>
      <c r="EUT362" s="612"/>
      <c r="EUU362" s="117"/>
      <c r="EUV362" s="613"/>
      <c r="EUW362" s="440"/>
      <c r="EUY362" s="602"/>
      <c r="EUZ362" s="603"/>
      <c r="EVA362" s="614"/>
      <c r="EVB362" s="614"/>
      <c r="EVC362" s="612"/>
      <c r="EVD362" s="117"/>
      <c r="EVE362" s="613"/>
      <c r="EVF362" s="440"/>
      <c r="EVH362" s="602"/>
      <c r="EVI362" s="603"/>
      <c r="EVJ362" s="614"/>
      <c r="EVK362" s="614"/>
      <c r="EVL362" s="612"/>
      <c r="EVM362" s="117"/>
      <c r="EVN362" s="613"/>
      <c r="EVO362" s="440"/>
      <c r="EVQ362" s="602"/>
      <c r="EVR362" s="603"/>
      <c r="EVS362" s="614"/>
      <c r="EVT362" s="614"/>
      <c r="EVU362" s="612"/>
      <c r="EVV362" s="117"/>
      <c r="EVW362" s="613"/>
      <c r="EVX362" s="440"/>
      <c r="EVZ362" s="602"/>
      <c r="EWA362" s="603"/>
      <c r="EWB362" s="614"/>
      <c r="EWC362" s="614"/>
      <c r="EWD362" s="612"/>
      <c r="EWE362" s="117"/>
      <c r="EWF362" s="613"/>
      <c r="EWG362" s="440"/>
      <c r="EWI362" s="602"/>
      <c r="EWJ362" s="603"/>
      <c r="EWK362" s="614"/>
      <c r="EWL362" s="614"/>
      <c r="EWM362" s="612"/>
      <c r="EWN362" s="117"/>
      <c r="EWO362" s="613"/>
      <c r="EWP362" s="440"/>
      <c r="EWR362" s="602"/>
      <c r="EWS362" s="603"/>
      <c r="EWT362" s="614"/>
      <c r="EWU362" s="614"/>
      <c r="EWV362" s="612"/>
      <c r="EWW362" s="117"/>
      <c r="EWX362" s="613"/>
      <c r="EWY362" s="440"/>
      <c r="EXA362" s="602"/>
      <c r="EXB362" s="603"/>
      <c r="EXC362" s="614"/>
      <c r="EXD362" s="614"/>
      <c r="EXE362" s="612"/>
      <c r="EXF362" s="117"/>
      <c r="EXG362" s="613"/>
      <c r="EXH362" s="440"/>
      <c r="EXJ362" s="602"/>
      <c r="EXK362" s="603"/>
      <c r="EXL362" s="614"/>
      <c r="EXM362" s="614"/>
      <c r="EXN362" s="612"/>
      <c r="EXO362" s="117"/>
      <c r="EXP362" s="613"/>
      <c r="EXQ362" s="440"/>
      <c r="EXS362" s="602"/>
      <c r="EXT362" s="603"/>
      <c r="EXU362" s="614"/>
      <c r="EXV362" s="614"/>
      <c r="EXW362" s="612"/>
      <c r="EXX362" s="117"/>
      <c r="EXY362" s="613"/>
      <c r="EXZ362" s="440"/>
      <c r="EYB362" s="602"/>
      <c r="EYC362" s="603"/>
      <c r="EYD362" s="614"/>
      <c r="EYE362" s="614"/>
      <c r="EYF362" s="612"/>
      <c r="EYG362" s="117"/>
      <c r="EYH362" s="613"/>
      <c r="EYI362" s="440"/>
      <c r="EYK362" s="602"/>
      <c r="EYL362" s="603"/>
      <c r="EYM362" s="614"/>
      <c r="EYN362" s="614"/>
      <c r="EYO362" s="612"/>
      <c r="EYP362" s="117"/>
      <c r="EYQ362" s="613"/>
      <c r="EYR362" s="440"/>
      <c r="EYT362" s="602"/>
      <c r="EYU362" s="603"/>
      <c r="EYV362" s="614"/>
      <c r="EYW362" s="614"/>
      <c r="EYX362" s="612"/>
      <c r="EYY362" s="117"/>
      <c r="EYZ362" s="613"/>
      <c r="EZA362" s="440"/>
      <c r="EZC362" s="602"/>
      <c r="EZD362" s="603"/>
      <c r="EZE362" s="614"/>
      <c r="EZF362" s="614"/>
      <c r="EZG362" s="612"/>
      <c r="EZH362" s="117"/>
      <c r="EZI362" s="613"/>
      <c r="EZJ362" s="440"/>
      <c r="EZL362" s="602"/>
      <c r="EZM362" s="603"/>
      <c r="EZN362" s="614"/>
      <c r="EZO362" s="614"/>
      <c r="EZP362" s="612"/>
      <c r="EZQ362" s="117"/>
      <c r="EZR362" s="613"/>
      <c r="EZS362" s="440"/>
      <c r="EZU362" s="602"/>
      <c r="EZV362" s="603"/>
      <c r="EZW362" s="614"/>
      <c r="EZX362" s="614"/>
      <c r="EZY362" s="612"/>
      <c r="EZZ362" s="117"/>
      <c r="FAA362" s="613"/>
      <c r="FAB362" s="440"/>
      <c r="FAD362" s="602"/>
      <c r="FAE362" s="603"/>
      <c r="FAF362" s="614"/>
      <c r="FAG362" s="614"/>
      <c r="FAH362" s="612"/>
      <c r="FAI362" s="117"/>
      <c r="FAJ362" s="613"/>
      <c r="FAK362" s="440"/>
      <c r="FAM362" s="602"/>
      <c r="FAN362" s="603"/>
      <c r="FAO362" s="614"/>
      <c r="FAP362" s="614"/>
      <c r="FAQ362" s="612"/>
      <c r="FAR362" s="117"/>
      <c r="FAS362" s="613"/>
      <c r="FAT362" s="440"/>
      <c r="FAV362" s="602"/>
      <c r="FAW362" s="603"/>
      <c r="FAX362" s="614"/>
      <c r="FAY362" s="614"/>
      <c r="FAZ362" s="612"/>
      <c r="FBA362" s="117"/>
      <c r="FBB362" s="613"/>
      <c r="FBC362" s="440"/>
      <c r="FBE362" s="602"/>
      <c r="FBF362" s="603"/>
      <c r="FBG362" s="614"/>
      <c r="FBH362" s="614"/>
      <c r="FBI362" s="612"/>
      <c r="FBJ362" s="117"/>
      <c r="FBK362" s="613"/>
      <c r="FBL362" s="440"/>
      <c r="FBN362" s="602"/>
      <c r="FBO362" s="603"/>
      <c r="FBP362" s="614"/>
      <c r="FBQ362" s="614"/>
      <c r="FBR362" s="612"/>
      <c r="FBS362" s="117"/>
      <c r="FBT362" s="613"/>
      <c r="FBU362" s="440"/>
      <c r="FBW362" s="602"/>
      <c r="FBX362" s="603"/>
      <c r="FBY362" s="614"/>
      <c r="FBZ362" s="614"/>
      <c r="FCA362" s="612"/>
      <c r="FCB362" s="117"/>
      <c r="FCC362" s="613"/>
      <c r="FCD362" s="440"/>
      <c r="FCF362" s="602"/>
      <c r="FCG362" s="603"/>
      <c r="FCH362" s="614"/>
      <c r="FCI362" s="614"/>
      <c r="FCJ362" s="612"/>
      <c r="FCK362" s="117"/>
      <c r="FCL362" s="613"/>
      <c r="FCM362" s="440"/>
      <c r="FCO362" s="602"/>
      <c r="FCP362" s="603"/>
      <c r="FCQ362" s="614"/>
      <c r="FCR362" s="614"/>
      <c r="FCS362" s="612"/>
      <c r="FCT362" s="117"/>
      <c r="FCU362" s="613"/>
      <c r="FCV362" s="440"/>
      <c r="FCX362" s="602"/>
      <c r="FCY362" s="603"/>
      <c r="FCZ362" s="614"/>
      <c r="FDA362" s="614"/>
      <c r="FDB362" s="612"/>
      <c r="FDC362" s="117"/>
      <c r="FDD362" s="613"/>
      <c r="FDE362" s="440"/>
      <c r="FDG362" s="602"/>
      <c r="FDH362" s="603"/>
      <c r="FDI362" s="614"/>
      <c r="FDJ362" s="614"/>
      <c r="FDK362" s="612"/>
      <c r="FDL362" s="117"/>
      <c r="FDM362" s="613"/>
      <c r="FDN362" s="440"/>
      <c r="FDP362" s="602"/>
      <c r="FDQ362" s="603"/>
      <c r="FDR362" s="614"/>
      <c r="FDS362" s="614"/>
      <c r="FDT362" s="612"/>
      <c r="FDU362" s="117"/>
      <c r="FDV362" s="613"/>
      <c r="FDW362" s="440"/>
      <c r="FDY362" s="602"/>
      <c r="FDZ362" s="603"/>
      <c r="FEA362" s="614"/>
      <c r="FEB362" s="614"/>
      <c r="FEC362" s="612"/>
      <c r="FED362" s="117"/>
      <c r="FEE362" s="613"/>
      <c r="FEF362" s="440"/>
      <c r="FEH362" s="602"/>
      <c r="FEI362" s="603"/>
      <c r="FEJ362" s="614"/>
      <c r="FEK362" s="614"/>
      <c r="FEL362" s="612"/>
      <c r="FEM362" s="117"/>
      <c r="FEN362" s="613"/>
      <c r="FEO362" s="440"/>
      <c r="FEQ362" s="602"/>
      <c r="FER362" s="603"/>
      <c r="FES362" s="614"/>
      <c r="FET362" s="614"/>
      <c r="FEU362" s="612"/>
      <c r="FEV362" s="117"/>
      <c r="FEW362" s="613"/>
      <c r="FEX362" s="440"/>
      <c r="FEZ362" s="602"/>
      <c r="FFA362" s="603"/>
      <c r="FFB362" s="614"/>
      <c r="FFC362" s="614"/>
      <c r="FFD362" s="612"/>
      <c r="FFE362" s="117"/>
      <c r="FFF362" s="613"/>
      <c r="FFG362" s="440"/>
      <c r="FFI362" s="602"/>
      <c r="FFJ362" s="603"/>
      <c r="FFK362" s="614"/>
      <c r="FFL362" s="614"/>
      <c r="FFM362" s="612"/>
      <c r="FFN362" s="117"/>
      <c r="FFO362" s="613"/>
      <c r="FFP362" s="440"/>
      <c r="FFR362" s="602"/>
      <c r="FFS362" s="603"/>
      <c r="FFT362" s="614"/>
      <c r="FFU362" s="614"/>
      <c r="FFV362" s="612"/>
      <c r="FFW362" s="117"/>
      <c r="FFX362" s="613"/>
      <c r="FFY362" s="440"/>
      <c r="FGA362" s="602"/>
      <c r="FGB362" s="603"/>
      <c r="FGC362" s="614"/>
      <c r="FGD362" s="614"/>
      <c r="FGE362" s="612"/>
      <c r="FGF362" s="117"/>
      <c r="FGG362" s="613"/>
      <c r="FGH362" s="440"/>
      <c r="FGJ362" s="602"/>
      <c r="FGK362" s="603"/>
      <c r="FGL362" s="614"/>
      <c r="FGM362" s="614"/>
      <c r="FGN362" s="612"/>
      <c r="FGO362" s="117"/>
      <c r="FGP362" s="613"/>
      <c r="FGQ362" s="440"/>
      <c r="FGS362" s="602"/>
      <c r="FGT362" s="603"/>
      <c r="FGU362" s="614"/>
      <c r="FGV362" s="614"/>
      <c r="FGW362" s="612"/>
      <c r="FGX362" s="117"/>
      <c r="FGY362" s="613"/>
      <c r="FGZ362" s="440"/>
      <c r="FHB362" s="602"/>
      <c r="FHC362" s="603"/>
      <c r="FHD362" s="614"/>
      <c r="FHE362" s="614"/>
      <c r="FHF362" s="612"/>
      <c r="FHG362" s="117"/>
      <c r="FHH362" s="613"/>
      <c r="FHI362" s="440"/>
      <c r="FHK362" s="602"/>
      <c r="FHL362" s="603"/>
      <c r="FHM362" s="614"/>
      <c r="FHN362" s="614"/>
      <c r="FHO362" s="612"/>
      <c r="FHP362" s="117"/>
      <c r="FHQ362" s="613"/>
      <c r="FHR362" s="440"/>
      <c r="FHT362" s="602"/>
      <c r="FHU362" s="603"/>
      <c r="FHV362" s="614"/>
      <c r="FHW362" s="614"/>
      <c r="FHX362" s="612"/>
      <c r="FHY362" s="117"/>
      <c r="FHZ362" s="613"/>
      <c r="FIA362" s="440"/>
      <c r="FIC362" s="602"/>
      <c r="FID362" s="603"/>
      <c r="FIE362" s="614"/>
      <c r="FIF362" s="614"/>
      <c r="FIG362" s="612"/>
      <c r="FIH362" s="117"/>
      <c r="FII362" s="613"/>
      <c r="FIJ362" s="440"/>
      <c r="FIL362" s="602"/>
      <c r="FIM362" s="603"/>
      <c r="FIN362" s="614"/>
      <c r="FIO362" s="614"/>
      <c r="FIP362" s="612"/>
      <c r="FIQ362" s="117"/>
      <c r="FIR362" s="613"/>
      <c r="FIS362" s="440"/>
      <c r="FIU362" s="602"/>
      <c r="FIV362" s="603"/>
      <c r="FIW362" s="614"/>
      <c r="FIX362" s="614"/>
      <c r="FIY362" s="612"/>
      <c r="FIZ362" s="117"/>
      <c r="FJA362" s="613"/>
      <c r="FJB362" s="440"/>
      <c r="FJD362" s="602"/>
      <c r="FJE362" s="603"/>
      <c r="FJF362" s="614"/>
      <c r="FJG362" s="614"/>
      <c r="FJH362" s="612"/>
      <c r="FJI362" s="117"/>
      <c r="FJJ362" s="613"/>
      <c r="FJK362" s="440"/>
      <c r="FJM362" s="602"/>
      <c r="FJN362" s="603"/>
      <c r="FJO362" s="614"/>
      <c r="FJP362" s="614"/>
      <c r="FJQ362" s="612"/>
      <c r="FJR362" s="117"/>
      <c r="FJS362" s="613"/>
      <c r="FJT362" s="440"/>
      <c r="FJV362" s="602"/>
      <c r="FJW362" s="603"/>
      <c r="FJX362" s="614"/>
      <c r="FJY362" s="614"/>
      <c r="FJZ362" s="612"/>
      <c r="FKA362" s="117"/>
      <c r="FKB362" s="613"/>
      <c r="FKC362" s="440"/>
      <c r="FKE362" s="602"/>
      <c r="FKF362" s="603"/>
      <c r="FKG362" s="614"/>
      <c r="FKH362" s="614"/>
      <c r="FKI362" s="612"/>
      <c r="FKJ362" s="117"/>
      <c r="FKK362" s="613"/>
      <c r="FKL362" s="440"/>
      <c r="FKN362" s="602"/>
      <c r="FKO362" s="603"/>
      <c r="FKP362" s="614"/>
      <c r="FKQ362" s="614"/>
      <c r="FKR362" s="612"/>
      <c r="FKS362" s="117"/>
      <c r="FKT362" s="613"/>
      <c r="FKU362" s="440"/>
      <c r="FKW362" s="602"/>
      <c r="FKX362" s="603"/>
      <c r="FKY362" s="614"/>
      <c r="FKZ362" s="614"/>
      <c r="FLA362" s="612"/>
      <c r="FLB362" s="117"/>
      <c r="FLC362" s="613"/>
      <c r="FLD362" s="440"/>
      <c r="FLF362" s="602"/>
      <c r="FLG362" s="603"/>
      <c r="FLH362" s="614"/>
      <c r="FLI362" s="614"/>
      <c r="FLJ362" s="612"/>
      <c r="FLK362" s="117"/>
      <c r="FLL362" s="613"/>
      <c r="FLM362" s="440"/>
      <c r="FLO362" s="602"/>
      <c r="FLP362" s="603"/>
      <c r="FLQ362" s="614"/>
      <c r="FLR362" s="614"/>
      <c r="FLS362" s="612"/>
      <c r="FLT362" s="117"/>
      <c r="FLU362" s="613"/>
      <c r="FLV362" s="440"/>
      <c r="FLX362" s="602"/>
      <c r="FLY362" s="603"/>
      <c r="FLZ362" s="614"/>
      <c r="FMA362" s="614"/>
      <c r="FMB362" s="612"/>
      <c r="FMC362" s="117"/>
      <c r="FMD362" s="613"/>
      <c r="FME362" s="440"/>
      <c r="FMG362" s="602"/>
      <c r="FMH362" s="603"/>
      <c r="FMI362" s="614"/>
      <c r="FMJ362" s="614"/>
      <c r="FMK362" s="612"/>
      <c r="FML362" s="117"/>
      <c r="FMM362" s="613"/>
      <c r="FMN362" s="440"/>
      <c r="FMP362" s="602"/>
      <c r="FMQ362" s="603"/>
      <c r="FMR362" s="614"/>
      <c r="FMS362" s="614"/>
      <c r="FMT362" s="612"/>
      <c r="FMU362" s="117"/>
      <c r="FMV362" s="613"/>
      <c r="FMW362" s="440"/>
      <c r="FMY362" s="602"/>
      <c r="FMZ362" s="603"/>
      <c r="FNA362" s="614"/>
      <c r="FNB362" s="614"/>
      <c r="FNC362" s="612"/>
      <c r="FND362" s="117"/>
      <c r="FNE362" s="613"/>
      <c r="FNF362" s="440"/>
      <c r="FNH362" s="602"/>
      <c r="FNI362" s="603"/>
      <c r="FNJ362" s="614"/>
      <c r="FNK362" s="614"/>
      <c r="FNL362" s="612"/>
      <c r="FNM362" s="117"/>
      <c r="FNN362" s="613"/>
      <c r="FNO362" s="440"/>
      <c r="FNQ362" s="602"/>
      <c r="FNR362" s="603"/>
      <c r="FNS362" s="614"/>
      <c r="FNT362" s="614"/>
      <c r="FNU362" s="612"/>
      <c r="FNV362" s="117"/>
      <c r="FNW362" s="613"/>
      <c r="FNX362" s="440"/>
      <c r="FNZ362" s="602"/>
      <c r="FOA362" s="603"/>
      <c r="FOB362" s="614"/>
      <c r="FOC362" s="614"/>
      <c r="FOD362" s="612"/>
      <c r="FOE362" s="117"/>
      <c r="FOF362" s="613"/>
      <c r="FOG362" s="440"/>
      <c r="FOI362" s="602"/>
      <c r="FOJ362" s="603"/>
      <c r="FOK362" s="614"/>
      <c r="FOL362" s="614"/>
      <c r="FOM362" s="612"/>
      <c r="FON362" s="117"/>
      <c r="FOO362" s="613"/>
      <c r="FOP362" s="440"/>
      <c r="FOR362" s="602"/>
      <c r="FOS362" s="603"/>
      <c r="FOT362" s="614"/>
      <c r="FOU362" s="614"/>
      <c r="FOV362" s="612"/>
      <c r="FOW362" s="117"/>
      <c r="FOX362" s="613"/>
      <c r="FOY362" s="440"/>
      <c r="FPA362" s="602"/>
      <c r="FPB362" s="603"/>
      <c r="FPC362" s="614"/>
      <c r="FPD362" s="614"/>
      <c r="FPE362" s="612"/>
      <c r="FPF362" s="117"/>
      <c r="FPG362" s="613"/>
      <c r="FPH362" s="440"/>
      <c r="FPJ362" s="602"/>
      <c r="FPK362" s="603"/>
      <c r="FPL362" s="614"/>
      <c r="FPM362" s="614"/>
      <c r="FPN362" s="612"/>
      <c r="FPO362" s="117"/>
      <c r="FPP362" s="613"/>
      <c r="FPQ362" s="440"/>
      <c r="FPS362" s="602"/>
      <c r="FPT362" s="603"/>
      <c r="FPU362" s="614"/>
      <c r="FPV362" s="614"/>
      <c r="FPW362" s="612"/>
      <c r="FPX362" s="117"/>
      <c r="FPY362" s="613"/>
      <c r="FPZ362" s="440"/>
      <c r="FQB362" s="602"/>
      <c r="FQC362" s="603"/>
      <c r="FQD362" s="614"/>
      <c r="FQE362" s="614"/>
      <c r="FQF362" s="612"/>
      <c r="FQG362" s="117"/>
      <c r="FQH362" s="613"/>
      <c r="FQI362" s="440"/>
      <c r="FQK362" s="602"/>
      <c r="FQL362" s="603"/>
      <c r="FQM362" s="614"/>
      <c r="FQN362" s="614"/>
      <c r="FQO362" s="612"/>
      <c r="FQP362" s="117"/>
      <c r="FQQ362" s="613"/>
      <c r="FQR362" s="440"/>
      <c r="FQT362" s="602"/>
      <c r="FQU362" s="603"/>
      <c r="FQV362" s="614"/>
      <c r="FQW362" s="614"/>
      <c r="FQX362" s="612"/>
      <c r="FQY362" s="117"/>
      <c r="FQZ362" s="613"/>
      <c r="FRA362" s="440"/>
      <c r="FRC362" s="602"/>
      <c r="FRD362" s="603"/>
      <c r="FRE362" s="614"/>
      <c r="FRF362" s="614"/>
      <c r="FRG362" s="612"/>
      <c r="FRH362" s="117"/>
      <c r="FRI362" s="613"/>
      <c r="FRJ362" s="440"/>
      <c r="FRL362" s="602"/>
      <c r="FRM362" s="603"/>
      <c r="FRN362" s="614"/>
      <c r="FRO362" s="614"/>
      <c r="FRP362" s="612"/>
      <c r="FRQ362" s="117"/>
      <c r="FRR362" s="613"/>
      <c r="FRS362" s="440"/>
      <c r="FRU362" s="602"/>
      <c r="FRV362" s="603"/>
      <c r="FRW362" s="614"/>
      <c r="FRX362" s="614"/>
      <c r="FRY362" s="612"/>
      <c r="FRZ362" s="117"/>
      <c r="FSA362" s="613"/>
      <c r="FSB362" s="440"/>
      <c r="FSD362" s="602"/>
      <c r="FSE362" s="603"/>
      <c r="FSF362" s="614"/>
      <c r="FSG362" s="614"/>
      <c r="FSH362" s="612"/>
      <c r="FSI362" s="117"/>
      <c r="FSJ362" s="613"/>
      <c r="FSK362" s="440"/>
      <c r="FSM362" s="602"/>
      <c r="FSN362" s="603"/>
      <c r="FSO362" s="614"/>
      <c r="FSP362" s="614"/>
      <c r="FSQ362" s="612"/>
      <c r="FSR362" s="117"/>
      <c r="FSS362" s="613"/>
      <c r="FST362" s="440"/>
      <c r="FSV362" s="602"/>
      <c r="FSW362" s="603"/>
      <c r="FSX362" s="614"/>
      <c r="FSY362" s="614"/>
      <c r="FSZ362" s="612"/>
      <c r="FTA362" s="117"/>
      <c r="FTB362" s="613"/>
      <c r="FTC362" s="440"/>
      <c r="FTE362" s="602"/>
      <c r="FTF362" s="603"/>
      <c r="FTG362" s="614"/>
      <c r="FTH362" s="614"/>
      <c r="FTI362" s="612"/>
      <c r="FTJ362" s="117"/>
      <c r="FTK362" s="613"/>
      <c r="FTL362" s="440"/>
      <c r="FTN362" s="602"/>
      <c r="FTO362" s="603"/>
      <c r="FTP362" s="614"/>
      <c r="FTQ362" s="614"/>
      <c r="FTR362" s="612"/>
      <c r="FTS362" s="117"/>
      <c r="FTT362" s="613"/>
      <c r="FTU362" s="440"/>
      <c r="FTW362" s="602"/>
      <c r="FTX362" s="603"/>
      <c r="FTY362" s="614"/>
      <c r="FTZ362" s="614"/>
      <c r="FUA362" s="612"/>
      <c r="FUB362" s="117"/>
      <c r="FUC362" s="613"/>
      <c r="FUD362" s="440"/>
      <c r="FUF362" s="602"/>
      <c r="FUG362" s="603"/>
      <c r="FUH362" s="614"/>
      <c r="FUI362" s="614"/>
      <c r="FUJ362" s="612"/>
      <c r="FUK362" s="117"/>
      <c r="FUL362" s="613"/>
      <c r="FUM362" s="440"/>
      <c r="FUO362" s="602"/>
      <c r="FUP362" s="603"/>
      <c r="FUQ362" s="614"/>
      <c r="FUR362" s="614"/>
      <c r="FUS362" s="612"/>
      <c r="FUT362" s="117"/>
      <c r="FUU362" s="613"/>
      <c r="FUV362" s="440"/>
      <c r="FUX362" s="602"/>
      <c r="FUY362" s="603"/>
      <c r="FUZ362" s="614"/>
      <c r="FVA362" s="614"/>
      <c r="FVB362" s="612"/>
      <c r="FVC362" s="117"/>
      <c r="FVD362" s="613"/>
      <c r="FVE362" s="440"/>
      <c r="FVG362" s="602"/>
      <c r="FVH362" s="615"/>
      <c r="FVI362" s="256"/>
      <c r="FVJ362" s="322"/>
      <c r="FVK362" s="356"/>
      <c r="FVL362" s="258"/>
      <c r="FVM362" s="616"/>
      <c r="FVN362" s="260"/>
      <c r="FVP362" s="254"/>
      <c r="FVQ362" s="615"/>
      <c r="FVR362" s="256"/>
      <c r="FVS362" s="322"/>
      <c r="FVT362" s="356"/>
      <c r="FVU362" s="258"/>
      <c r="FVV362" s="616"/>
      <c r="FVW362" s="260"/>
      <c r="FVY362" s="254"/>
      <c r="FVZ362" s="615"/>
      <c r="FWA362" s="256"/>
      <c r="FWB362" s="322"/>
      <c r="FWC362" s="356"/>
      <c r="FWD362" s="258"/>
      <c r="FWE362" s="616"/>
      <c r="FWF362" s="260"/>
      <c r="FWH362" s="254"/>
      <c r="FWI362" s="615"/>
      <c r="FWJ362" s="256"/>
      <c r="FWK362" s="322"/>
      <c r="FWL362" s="356"/>
      <c r="FWM362" s="258"/>
      <c r="FWN362" s="616"/>
      <c r="FWO362" s="260"/>
      <c r="FWQ362" s="254"/>
      <c r="FWR362" s="615"/>
      <c r="FWS362" s="256"/>
      <c r="FWT362" s="322"/>
      <c r="FWU362" s="356"/>
      <c r="FWV362" s="258"/>
      <c r="FWW362" s="616"/>
      <c r="FWX362" s="260"/>
      <c r="FWZ362" s="254"/>
      <c r="FXA362" s="615"/>
      <c r="FXB362" s="256"/>
      <c r="FXC362" s="322"/>
      <c r="FXD362" s="356"/>
      <c r="FXE362" s="258"/>
      <c r="FXF362" s="616"/>
      <c r="FXG362" s="260"/>
      <c r="FXI362" s="254"/>
      <c r="FXJ362" s="615"/>
      <c r="FXK362" s="256"/>
      <c r="FXL362" s="322"/>
      <c r="FXM362" s="356"/>
      <c r="FXN362" s="258"/>
      <c r="FXO362" s="616"/>
      <c r="FXP362" s="260"/>
      <c r="FXR362" s="254"/>
      <c r="FXS362" s="615"/>
      <c r="FXT362" s="256"/>
      <c r="FXU362" s="322"/>
      <c r="FXV362" s="356"/>
      <c r="FXW362" s="258"/>
      <c r="FXX362" s="616"/>
      <c r="FXY362" s="260"/>
      <c r="FYA362" s="254"/>
      <c r="FYB362" s="615"/>
      <c r="FYC362" s="256"/>
      <c r="FYD362" s="322"/>
      <c r="FYE362" s="356"/>
      <c r="FYF362" s="258"/>
      <c r="FYG362" s="616"/>
      <c r="FYH362" s="260"/>
      <c r="FYJ362" s="254"/>
      <c r="FYK362" s="615"/>
      <c r="FYL362" s="256"/>
      <c r="FYM362" s="322"/>
      <c r="FYN362" s="356"/>
      <c r="FYO362" s="258"/>
      <c r="FYP362" s="616"/>
      <c r="FYQ362" s="260"/>
      <c r="FYS362" s="254"/>
      <c r="FYT362" s="615"/>
      <c r="FYU362" s="256"/>
      <c r="FYV362" s="322"/>
      <c r="FYW362" s="356"/>
      <c r="FYX362" s="258"/>
      <c r="FYY362" s="616"/>
      <c r="FYZ362" s="260"/>
      <c r="FZB362" s="254"/>
      <c r="FZC362" s="615"/>
      <c r="FZD362" s="256"/>
      <c r="FZE362" s="322"/>
      <c r="FZF362" s="356"/>
      <c r="FZG362" s="258"/>
      <c r="FZH362" s="616"/>
      <c r="FZI362" s="260"/>
      <c r="FZK362" s="254"/>
      <c r="FZL362" s="615"/>
      <c r="FZM362" s="256"/>
      <c r="FZN362" s="322"/>
      <c r="FZO362" s="356"/>
      <c r="FZP362" s="258"/>
      <c r="FZQ362" s="616"/>
      <c r="FZR362" s="260"/>
      <c r="FZT362" s="254"/>
      <c r="FZU362" s="615"/>
      <c r="FZV362" s="256"/>
      <c r="FZW362" s="322"/>
      <c r="FZX362" s="356"/>
      <c r="FZY362" s="258"/>
      <c r="FZZ362" s="616"/>
      <c r="GAA362" s="260"/>
      <c r="GAC362" s="254"/>
      <c r="GAD362" s="615"/>
      <c r="GAE362" s="256"/>
      <c r="GAF362" s="322"/>
      <c r="GAG362" s="356"/>
      <c r="GAH362" s="258"/>
      <c r="GAI362" s="616"/>
      <c r="GAJ362" s="260"/>
      <c r="GAL362" s="254"/>
      <c r="GAM362" s="615"/>
      <c r="GAN362" s="256"/>
      <c r="GAO362" s="322"/>
      <c r="GAP362" s="356"/>
      <c r="GAQ362" s="258"/>
      <c r="GAR362" s="616"/>
      <c r="GAS362" s="260"/>
      <c r="GAU362" s="254"/>
      <c r="GAV362" s="615"/>
      <c r="GAW362" s="256"/>
      <c r="GAX362" s="322"/>
      <c r="GAY362" s="356"/>
      <c r="GAZ362" s="258"/>
      <c r="GBA362" s="616"/>
      <c r="GBB362" s="260"/>
      <c r="GBD362" s="254"/>
      <c r="GBE362" s="615"/>
      <c r="GBF362" s="256"/>
      <c r="GBG362" s="322"/>
      <c r="GBH362" s="356"/>
      <c r="GBI362" s="258"/>
      <c r="GBJ362" s="616"/>
      <c r="GBK362" s="260"/>
      <c r="GBM362" s="254"/>
      <c r="GBN362" s="615"/>
      <c r="GBO362" s="256"/>
      <c r="GBP362" s="322"/>
      <c r="GBQ362" s="356"/>
      <c r="GBR362" s="258"/>
      <c r="GBS362" s="616"/>
      <c r="GBT362" s="260"/>
      <c r="GBV362" s="254"/>
      <c r="GBW362" s="615"/>
      <c r="GBX362" s="256"/>
      <c r="GBY362" s="322"/>
      <c r="GBZ362" s="356"/>
      <c r="GCA362" s="258"/>
      <c r="GCB362" s="616"/>
      <c r="GCC362" s="260"/>
      <c r="GCE362" s="254"/>
      <c r="GCF362" s="615"/>
      <c r="GCG362" s="256"/>
      <c r="GCH362" s="322"/>
      <c r="GCI362" s="356"/>
      <c r="GCJ362" s="258"/>
      <c r="GCK362" s="616"/>
      <c r="GCL362" s="260"/>
      <c r="GCN362" s="254"/>
      <c r="GCO362" s="615"/>
      <c r="GCP362" s="256"/>
      <c r="GCQ362" s="322"/>
      <c r="GCR362" s="356"/>
      <c r="GCS362" s="258"/>
      <c r="GCT362" s="616"/>
      <c r="GCU362" s="260"/>
      <c r="GCW362" s="254"/>
      <c r="GCX362" s="615"/>
      <c r="GCY362" s="256"/>
      <c r="GCZ362" s="322"/>
      <c r="GDA362" s="356"/>
      <c r="GDB362" s="258"/>
      <c r="GDC362" s="616"/>
      <c r="GDD362" s="260"/>
      <c r="GDF362" s="254"/>
      <c r="GDG362" s="615"/>
      <c r="GDH362" s="256"/>
      <c r="GDI362" s="322"/>
      <c r="GDJ362" s="356"/>
      <c r="GDK362" s="258"/>
      <c r="GDL362" s="616"/>
      <c r="GDM362" s="260"/>
      <c r="GDO362" s="254"/>
      <c r="GDP362" s="615"/>
      <c r="GDQ362" s="256"/>
      <c r="GDR362" s="322"/>
      <c r="GDS362" s="356"/>
      <c r="GDT362" s="258"/>
      <c r="GDU362" s="616"/>
      <c r="GDV362" s="260"/>
      <c r="GDX362" s="254"/>
      <c r="GDY362" s="615"/>
      <c r="GDZ362" s="256"/>
      <c r="GEA362" s="322"/>
      <c r="GEB362" s="356"/>
      <c r="GEC362" s="258"/>
      <c r="GED362" s="616"/>
      <c r="GEE362" s="260"/>
      <c r="GEG362" s="254"/>
      <c r="GEH362" s="615"/>
      <c r="GEI362" s="256"/>
      <c r="GEJ362" s="322"/>
      <c r="GEK362" s="356"/>
      <c r="GEL362" s="258"/>
      <c r="GEM362" s="616"/>
      <c r="GEN362" s="260"/>
      <c r="GEP362" s="254"/>
      <c r="GEQ362" s="615"/>
      <c r="GER362" s="256"/>
      <c r="GES362" s="322"/>
      <c r="GET362" s="356"/>
      <c r="GEU362" s="258"/>
      <c r="GEV362" s="616"/>
      <c r="GEW362" s="260"/>
      <c r="GEY362" s="254"/>
      <c r="GEZ362" s="615"/>
      <c r="GFA362" s="256"/>
      <c r="GFB362" s="322"/>
      <c r="GFC362" s="356"/>
      <c r="GFD362" s="258"/>
      <c r="GFE362" s="616"/>
      <c r="GFF362" s="260"/>
      <c r="GFH362" s="254"/>
      <c r="GFI362" s="615"/>
      <c r="GFJ362" s="256"/>
      <c r="GFK362" s="322"/>
      <c r="GFL362" s="356"/>
      <c r="GFM362" s="258"/>
      <c r="GFN362" s="616"/>
      <c r="GFO362" s="260"/>
      <c r="GFQ362" s="254"/>
      <c r="GFR362" s="615"/>
      <c r="GFS362" s="256"/>
      <c r="GFT362" s="322"/>
      <c r="GFU362" s="356"/>
      <c r="GFV362" s="258"/>
      <c r="GFW362" s="616"/>
      <c r="GFX362" s="260"/>
      <c r="GFZ362" s="254"/>
      <c r="GGA362" s="615"/>
      <c r="GGB362" s="256"/>
      <c r="GGC362" s="322"/>
      <c r="GGD362" s="356"/>
      <c r="GGE362" s="258"/>
      <c r="GGF362" s="616"/>
      <c r="GGG362" s="260"/>
      <c r="GGI362" s="254"/>
      <c r="GGJ362" s="615"/>
      <c r="GGK362" s="256"/>
      <c r="GGL362" s="322"/>
      <c r="GGM362" s="356"/>
      <c r="GGN362" s="258"/>
      <c r="GGO362" s="616"/>
      <c r="GGP362" s="260"/>
      <c r="GGR362" s="254"/>
      <c r="GGS362" s="615"/>
      <c r="GGT362" s="256"/>
      <c r="GGU362" s="322"/>
      <c r="GGV362" s="356"/>
      <c r="GGW362" s="258"/>
      <c r="GGX362" s="616"/>
      <c r="GGY362" s="260"/>
      <c r="GHA362" s="254"/>
      <c r="GHB362" s="615"/>
      <c r="GHC362" s="256"/>
      <c r="GHD362" s="322"/>
      <c r="GHE362" s="356"/>
      <c r="GHF362" s="258"/>
      <c r="GHG362" s="616"/>
      <c r="GHH362" s="260"/>
      <c r="GHJ362" s="254"/>
      <c r="GHK362" s="615"/>
      <c r="GHL362" s="256"/>
      <c r="GHM362" s="322"/>
      <c r="GHN362" s="356"/>
      <c r="GHO362" s="258"/>
      <c r="GHP362" s="616"/>
      <c r="GHQ362" s="260"/>
      <c r="GHS362" s="254"/>
      <c r="GHT362" s="615"/>
      <c r="GHU362" s="256"/>
      <c r="GHV362" s="322"/>
      <c r="GHW362" s="356"/>
      <c r="GHX362" s="258"/>
      <c r="GHY362" s="616"/>
      <c r="GHZ362" s="260"/>
      <c r="GIB362" s="254"/>
      <c r="GIC362" s="615"/>
      <c r="GID362" s="256"/>
      <c r="GIE362" s="322"/>
      <c r="GIF362" s="356"/>
      <c r="GIG362" s="258"/>
      <c r="GIH362" s="616"/>
      <c r="GII362" s="260"/>
      <c r="GIK362" s="254"/>
      <c r="GIL362" s="615"/>
      <c r="GIM362" s="256"/>
      <c r="GIN362" s="322"/>
      <c r="GIO362" s="356"/>
      <c r="GIP362" s="258"/>
      <c r="GIQ362" s="616"/>
      <c r="GIR362" s="260"/>
      <c r="GIT362" s="254"/>
      <c r="GIU362" s="615"/>
      <c r="GIV362" s="256"/>
      <c r="GIW362" s="322"/>
      <c r="GIX362" s="356"/>
      <c r="GIY362" s="258"/>
      <c r="GIZ362" s="616"/>
      <c r="GJA362" s="260"/>
      <c r="GJC362" s="254"/>
      <c r="GJD362" s="615"/>
      <c r="GJE362" s="256"/>
      <c r="GJF362" s="322"/>
      <c r="GJG362" s="356"/>
      <c r="GJH362" s="258"/>
      <c r="GJI362" s="616"/>
      <c r="GJJ362" s="260"/>
      <c r="GJL362" s="254"/>
      <c r="GJM362" s="615"/>
      <c r="GJN362" s="256"/>
      <c r="GJO362" s="322"/>
      <c r="GJP362" s="356"/>
      <c r="GJQ362" s="258"/>
      <c r="GJR362" s="616"/>
      <c r="GJS362" s="260"/>
      <c r="GJU362" s="254"/>
      <c r="GJV362" s="615"/>
      <c r="GJW362" s="256"/>
      <c r="GJX362" s="322"/>
      <c r="GJY362" s="356"/>
      <c r="GJZ362" s="258"/>
      <c r="GKA362" s="616"/>
      <c r="GKB362" s="260"/>
      <c r="GKD362" s="254"/>
      <c r="GKE362" s="615"/>
      <c r="GKF362" s="256"/>
      <c r="GKG362" s="322"/>
      <c r="GKH362" s="356"/>
      <c r="GKI362" s="258"/>
      <c r="GKJ362" s="616"/>
      <c r="GKK362" s="260"/>
      <c r="GKM362" s="254"/>
      <c r="GKN362" s="615"/>
      <c r="GKO362" s="256"/>
      <c r="GKP362" s="322"/>
      <c r="GKQ362" s="356"/>
      <c r="GKR362" s="258"/>
      <c r="GKS362" s="616"/>
      <c r="GKT362" s="260"/>
      <c r="GKV362" s="254"/>
      <c r="GKW362" s="615"/>
      <c r="GKX362" s="256"/>
      <c r="GKY362" s="322"/>
      <c r="GKZ362" s="356"/>
      <c r="GLA362" s="258"/>
      <c r="GLB362" s="616"/>
      <c r="GLC362" s="260"/>
      <c r="GLE362" s="254"/>
      <c r="GLF362" s="615"/>
      <c r="GLG362" s="256"/>
      <c r="GLH362" s="322"/>
      <c r="GLI362" s="356"/>
      <c r="GLJ362" s="258"/>
      <c r="GLK362" s="616"/>
      <c r="GLL362" s="260"/>
      <c r="GLN362" s="254"/>
      <c r="GLO362" s="615"/>
      <c r="GLP362" s="256"/>
      <c r="GLQ362" s="322"/>
      <c r="GLR362" s="356"/>
      <c r="GLS362" s="258"/>
      <c r="GLT362" s="616"/>
      <c r="GLU362" s="260"/>
      <c r="GLW362" s="254"/>
      <c r="GLX362" s="615"/>
      <c r="GLY362" s="256"/>
      <c r="GLZ362" s="322"/>
      <c r="GMA362" s="356"/>
      <c r="GMB362" s="258"/>
      <c r="GMC362" s="616"/>
      <c r="GMD362" s="260"/>
      <c r="GMF362" s="254"/>
      <c r="GMG362" s="615"/>
      <c r="GMH362" s="256"/>
      <c r="GMI362" s="322"/>
      <c r="GMJ362" s="356"/>
      <c r="GMK362" s="258"/>
      <c r="GML362" s="616"/>
      <c r="GMM362" s="260"/>
      <c r="GMO362" s="254"/>
      <c r="GMP362" s="615"/>
      <c r="GMQ362" s="256"/>
      <c r="GMR362" s="322"/>
      <c r="GMS362" s="356"/>
      <c r="GMT362" s="258"/>
      <c r="GMU362" s="616"/>
      <c r="GMV362" s="260"/>
      <c r="GMX362" s="254"/>
      <c r="GMY362" s="615"/>
      <c r="GMZ362" s="256"/>
      <c r="GNA362" s="322"/>
      <c r="GNB362" s="356"/>
      <c r="GNC362" s="258"/>
      <c r="GND362" s="616"/>
      <c r="GNE362" s="260"/>
      <c r="GNG362" s="254"/>
      <c r="GNH362" s="615"/>
      <c r="GNI362" s="256"/>
      <c r="GNJ362" s="322"/>
      <c r="GNK362" s="356"/>
      <c r="GNL362" s="258"/>
      <c r="GNM362" s="616"/>
      <c r="GNN362" s="260"/>
      <c r="GNP362" s="254"/>
      <c r="GNQ362" s="615"/>
      <c r="GNR362" s="256"/>
      <c r="GNS362" s="322"/>
      <c r="GNT362" s="356"/>
      <c r="GNU362" s="258"/>
      <c r="GNV362" s="616"/>
      <c r="GNW362" s="260"/>
      <c r="GNY362" s="254"/>
      <c r="GNZ362" s="615"/>
      <c r="GOA362" s="256"/>
      <c r="GOB362" s="322"/>
      <c r="GOC362" s="356"/>
      <c r="GOD362" s="258"/>
      <c r="GOE362" s="616"/>
      <c r="GOF362" s="260"/>
      <c r="GOH362" s="254"/>
      <c r="GOI362" s="615"/>
      <c r="GOJ362" s="256"/>
      <c r="GOK362" s="322"/>
      <c r="GOL362" s="356"/>
      <c r="GOM362" s="258"/>
      <c r="GON362" s="616"/>
      <c r="GOO362" s="260"/>
      <c r="GOQ362" s="254"/>
      <c r="GOR362" s="615"/>
      <c r="GOS362" s="256"/>
      <c r="GOT362" s="322"/>
      <c r="GOU362" s="356"/>
      <c r="GOV362" s="258"/>
      <c r="GOW362" s="616"/>
      <c r="GOX362" s="260"/>
      <c r="GOZ362" s="254"/>
      <c r="GPA362" s="615"/>
      <c r="GPB362" s="256"/>
      <c r="GPC362" s="322"/>
      <c r="GPD362" s="356"/>
      <c r="GPE362" s="258"/>
      <c r="GPF362" s="616"/>
      <c r="GPG362" s="260"/>
      <c r="GPI362" s="254"/>
      <c r="GPJ362" s="615"/>
      <c r="GPK362" s="256"/>
      <c r="GPL362" s="322"/>
      <c r="GPM362" s="356"/>
      <c r="GPN362" s="258"/>
      <c r="GPO362" s="616"/>
      <c r="GPP362" s="260"/>
      <c r="GPR362" s="254"/>
      <c r="GPS362" s="615"/>
      <c r="GPT362" s="256"/>
      <c r="GPU362" s="322"/>
      <c r="GPV362" s="356"/>
      <c r="GPW362" s="258"/>
      <c r="GPX362" s="616"/>
      <c r="GPY362" s="260"/>
      <c r="GQA362" s="254"/>
      <c r="GQB362" s="615"/>
      <c r="GQC362" s="256"/>
      <c r="GQD362" s="322"/>
      <c r="GQE362" s="356"/>
      <c r="GQF362" s="258"/>
      <c r="GQG362" s="616"/>
      <c r="GQH362" s="260"/>
      <c r="GQJ362" s="254"/>
      <c r="GQK362" s="615"/>
      <c r="GQL362" s="256"/>
      <c r="GQM362" s="322"/>
      <c r="GQN362" s="356"/>
      <c r="GQO362" s="258"/>
      <c r="GQP362" s="616"/>
      <c r="GQQ362" s="260"/>
      <c r="GQS362" s="254"/>
      <c r="GQT362" s="615"/>
      <c r="GQU362" s="256"/>
      <c r="GQV362" s="322"/>
      <c r="GQW362" s="356"/>
      <c r="GQX362" s="258"/>
      <c r="GQY362" s="616"/>
      <c r="GQZ362" s="260"/>
      <c r="GRB362" s="254"/>
      <c r="GRC362" s="615"/>
      <c r="GRD362" s="256"/>
      <c r="GRE362" s="322"/>
      <c r="GRF362" s="356"/>
      <c r="GRG362" s="258"/>
      <c r="GRH362" s="616"/>
      <c r="GRI362" s="260"/>
      <c r="GRK362" s="254"/>
      <c r="GRL362" s="615"/>
      <c r="GRM362" s="256"/>
      <c r="GRN362" s="322"/>
      <c r="GRO362" s="356"/>
      <c r="GRP362" s="258"/>
      <c r="GRQ362" s="616"/>
      <c r="GRR362" s="260"/>
      <c r="GRT362" s="254"/>
      <c r="GRU362" s="615"/>
      <c r="GRV362" s="256"/>
      <c r="GRW362" s="322"/>
      <c r="GRX362" s="356"/>
      <c r="GRY362" s="258"/>
      <c r="GRZ362" s="616"/>
      <c r="GSA362" s="260"/>
      <c r="GSC362" s="254"/>
      <c r="GSD362" s="615"/>
      <c r="GSE362" s="256"/>
      <c r="GSF362" s="322"/>
      <c r="GSG362" s="356"/>
      <c r="GSH362" s="258"/>
      <c r="GSI362" s="616"/>
      <c r="GSJ362" s="260"/>
      <c r="GSL362" s="254"/>
      <c r="GSM362" s="615"/>
      <c r="GSN362" s="256"/>
      <c r="GSO362" s="322"/>
      <c r="GSP362" s="356"/>
      <c r="GSQ362" s="258"/>
      <c r="GSR362" s="616"/>
      <c r="GSS362" s="260"/>
      <c r="GSU362" s="254"/>
      <c r="GSV362" s="615"/>
      <c r="GSW362" s="256"/>
      <c r="GSX362" s="322"/>
      <c r="GSY362" s="356"/>
      <c r="GSZ362" s="258"/>
      <c r="GTA362" s="616"/>
      <c r="GTB362" s="260"/>
      <c r="GTD362" s="254"/>
      <c r="GTE362" s="615"/>
      <c r="GTF362" s="256"/>
      <c r="GTG362" s="322"/>
      <c r="GTH362" s="356"/>
      <c r="GTI362" s="258"/>
      <c r="GTJ362" s="616"/>
      <c r="GTK362" s="260"/>
      <c r="GTM362" s="254"/>
      <c r="GTN362" s="615"/>
      <c r="GTO362" s="256"/>
      <c r="GTP362" s="322"/>
      <c r="GTQ362" s="356"/>
      <c r="GTR362" s="258"/>
      <c r="GTS362" s="616"/>
      <c r="GTT362" s="260"/>
      <c r="GTV362" s="254"/>
      <c r="GTW362" s="615"/>
      <c r="GTX362" s="256"/>
      <c r="GTY362" s="322"/>
      <c r="GTZ362" s="356"/>
      <c r="GUA362" s="258"/>
      <c r="GUB362" s="616"/>
      <c r="GUC362" s="260"/>
      <c r="GUE362" s="254"/>
      <c r="GUF362" s="615"/>
      <c r="GUG362" s="256"/>
      <c r="GUH362" s="322"/>
      <c r="GUI362" s="356"/>
      <c r="GUJ362" s="258"/>
      <c r="GUK362" s="616"/>
      <c r="GUL362" s="260"/>
      <c r="GUN362" s="254"/>
      <c r="GUO362" s="615"/>
      <c r="GUP362" s="256"/>
      <c r="GUQ362" s="322"/>
      <c r="GUR362" s="356"/>
      <c r="GUS362" s="258"/>
      <c r="GUT362" s="616"/>
      <c r="GUU362" s="260"/>
      <c r="GUW362" s="254"/>
      <c r="GUX362" s="615"/>
      <c r="GUY362" s="256"/>
      <c r="GUZ362" s="322"/>
      <c r="GVA362" s="356"/>
      <c r="GVB362" s="258"/>
      <c r="GVC362" s="616"/>
      <c r="GVD362" s="260"/>
      <c r="GVF362" s="254"/>
      <c r="GVG362" s="615"/>
      <c r="GVH362" s="256"/>
      <c r="GVI362" s="322"/>
      <c r="GVJ362" s="356"/>
      <c r="GVK362" s="258"/>
      <c r="GVL362" s="616"/>
      <c r="GVM362" s="260"/>
      <c r="GVO362" s="254"/>
      <c r="GVP362" s="615"/>
      <c r="GVQ362" s="256"/>
      <c r="GVR362" s="322"/>
      <c r="GVS362" s="356"/>
      <c r="GVT362" s="258"/>
      <c r="GVU362" s="616"/>
      <c r="GVV362" s="260"/>
      <c r="GVX362" s="254"/>
      <c r="GVY362" s="615"/>
      <c r="GVZ362" s="256"/>
      <c r="GWA362" s="322"/>
      <c r="GWB362" s="356"/>
      <c r="GWC362" s="258"/>
      <c r="GWD362" s="616"/>
      <c r="GWE362" s="260"/>
      <c r="GWG362" s="254"/>
      <c r="GWH362" s="615"/>
      <c r="GWI362" s="256"/>
      <c r="GWJ362" s="322"/>
      <c r="GWK362" s="356"/>
      <c r="GWL362" s="258"/>
      <c r="GWM362" s="616"/>
      <c r="GWN362" s="260"/>
      <c r="GWP362" s="254"/>
      <c r="GWQ362" s="615"/>
      <c r="GWR362" s="256"/>
      <c r="GWS362" s="322"/>
      <c r="GWT362" s="356"/>
      <c r="GWU362" s="258"/>
      <c r="GWV362" s="616"/>
      <c r="GWW362" s="260"/>
      <c r="GWY362" s="254"/>
      <c r="GWZ362" s="615"/>
      <c r="GXA362" s="256"/>
      <c r="GXB362" s="322"/>
      <c r="GXC362" s="356"/>
      <c r="GXD362" s="258"/>
      <c r="GXE362" s="616"/>
      <c r="GXF362" s="260"/>
      <c r="GXH362" s="254"/>
      <c r="GXI362" s="615"/>
      <c r="GXJ362" s="256"/>
      <c r="GXK362" s="322"/>
      <c r="GXL362" s="356"/>
      <c r="GXM362" s="258"/>
      <c r="GXN362" s="616"/>
      <c r="GXO362" s="260"/>
      <c r="GXQ362" s="254"/>
      <c r="GXR362" s="615"/>
      <c r="GXS362" s="256"/>
      <c r="GXT362" s="322"/>
      <c r="GXU362" s="356"/>
      <c r="GXV362" s="258"/>
      <c r="GXW362" s="616"/>
      <c r="GXX362" s="260"/>
      <c r="GXZ362" s="254"/>
      <c r="GYA362" s="615"/>
      <c r="GYB362" s="256"/>
      <c r="GYC362" s="322"/>
      <c r="GYD362" s="356"/>
      <c r="GYE362" s="258"/>
      <c r="GYF362" s="616"/>
      <c r="GYG362" s="260"/>
      <c r="GYI362" s="254"/>
      <c r="GYJ362" s="615"/>
      <c r="GYK362" s="256"/>
      <c r="GYL362" s="322"/>
      <c r="GYM362" s="356"/>
      <c r="GYN362" s="258"/>
      <c r="GYO362" s="616"/>
      <c r="GYP362" s="260"/>
      <c r="GYR362" s="254"/>
      <c r="GYS362" s="615"/>
      <c r="GYT362" s="256"/>
      <c r="GYU362" s="322"/>
      <c r="GYV362" s="356"/>
      <c r="GYW362" s="258"/>
      <c r="GYX362" s="616"/>
      <c r="GYY362" s="260"/>
      <c r="GZA362" s="254"/>
      <c r="GZB362" s="615"/>
      <c r="GZC362" s="256"/>
      <c r="GZD362" s="322"/>
      <c r="GZE362" s="356"/>
      <c r="GZF362" s="258"/>
      <c r="GZG362" s="616"/>
      <c r="GZH362" s="260"/>
      <c r="GZJ362" s="254"/>
      <c r="GZK362" s="615"/>
      <c r="GZL362" s="256"/>
      <c r="GZM362" s="322"/>
      <c r="GZN362" s="356"/>
      <c r="GZO362" s="258"/>
      <c r="GZP362" s="616"/>
      <c r="GZQ362" s="260"/>
      <c r="GZS362" s="254"/>
      <c r="GZT362" s="615"/>
      <c r="GZU362" s="256"/>
      <c r="GZV362" s="322"/>
      <c r="GZW362" s="356"/>
      <c r="GZX362" s="258"/>
      <c r="GZY362" s="616"/>
      <c r="GZZ362" s="260"/>
      <c r="HAB362" s="254"/>
      <c r="HAC362" s="615"/>
      <c r="HAD362" s="256"/>
      <c r="HAE362" s="322"/>
      <c r="HAF362" s="356"/>
      <c r="HAG362" s="258"/>
      <c r="HAH362" s="616"/>
      <c r="HAI362" s="260"/>
      <c r="HAK362" s="254"/>
      <c r="HAL362" s="615"/>
      <c r="HAM362" s="256"/>
      <c r="HAN362" s="322"/>
      <c r="HAO362" s="356"/>
      <c r="HAP362" s="258"/>
      <c r="HAQ362" s="616"/>
      <c r="HAR362" s="260"/>
      <c r="HAT362" s="254"/>
      <c r="HAU362" s="615"/>
      <c r="HAV362" s="256"/>
      <c r="HAW362" s="322"/>
      <c r="HAX362" s="356"/>
      <c r="HAY362" s="258"/>
      <c r="HAZ362" s="616"/>
      <c r="HBA362" s="260"/>
      <c r="HBC362" s="254"/>
      <c r="HBD362" s="615"/>
      <c r="HBE362" s="256"/>
      <c r="HBF362" s="322"/>
      <c r="HBG362" s="356"/>
      <c r="HBH362" s="258"/>
      <c r="HBI362" s="616"/>
      <c r="HBJ362" s="260"/>
      <c r="HBL362" s="254"/>
      <c r="HBM362" s="615"/>
      <c r="HBN362" s="256"/>
      <c r="HBO362" s="322"/>
      <c r="HBP362" s="356"/>
      <c r="HBQ362" s="258"/>
      <c r="HBR362" s="616"/>
      <c r="HBS362" s="260"/>
      <c r="HBU362" s="254"/>
      <c r="HBV362" s="615"/>
      <c r="HBW362" s="256"/>
      <c r="HBX362" s="322"/>
      <c r="HBY362" s="356"/>
      <c r="HBZ362" s="258"/>
      <c r="HCA362" s="616"/>
      <c r="HCB362" s="260"/>
      <c r="HCD362" s="254"/>
      <c r="HCE362" s="615"/>
      <c r="HCF362" s="256"/>
      <c r="HCG362" s="322"/>
      <c r="HCH362" s="356"/>
      <c r="HCI362" s="258"/>
      <c r="HCJ362" s="616"/>
      <c r="HCK362" s="260"/>
      <c r="HCM362" s="254"/>
      <c r="HCN362" s="615"/>
      <c r="HCO362" s="256"/>
      <c r="HCP362" s="322"/>
      <c r="HCQ362" s="356"/>
      <c r="HCR362" s="258"/>
      <c r="HCS362" s="616"/>
      <c r="HCT362" s="260"/>
      <c r="HCV362" s="254"/>
      <c r="HCW362" s="615"/>
      <c r="HCX362" s="256"/>
      <c r="HCY362" s="322"/>
      <c r="HCZ362" s="356"/>
      <c r="HDA362" s="258"/>
      <c r="HDB362" s="616"/>
      <c r="HDC362" s="260"/>
      <c r="HDE362" s="254"/>
      <c r="HDF362" s="615"/>
      <c r="HDG362" s="256"/>
      <c r="HDH362" s="322"/>
      <c r="HDI362" s="356"/>
      <c r="HDJ362" s="258"/>
      <c r="HDK362" s="616"/>
      <c r="HDL362" s="260"/>
      <c r="HDN362" s="254"/>
      <c r="HDO362" s="615"/>
      <c r="HDP362" s="256"/>
      <c r="HDQ362" s="322"/>
      <c r="HDR362" s="356"/>
      <c r="HDS362" s="258"/>
      <c r="HDT362" s="616"/>
      <c r="HDU362" s="260"/>
      <c r="HDW362" s="254"/>
      <c r="HDX362" s="615"/>
      <c r="HDY362" s="256"/>
      <c r="HDZ362" s="322"/>
      <c r="HEA362" s="356"/>
      <c r="HEB362" s="258"/>
      <c r="HEC362" s="616"/>
      <c r="HED362" s="260"/>
      <c r="HEF362" s="254"/>
      <c r="HEG362" s="615"/>
      <c r="HEH362" s="256"/>
      <c r="HEI362" s="322"/>
      <c r="HEJ362" s="356"/>
      <c r="HEK362" s="258"/>
      <c r="HEL362" s="616"/>
      <c r="HEM362" s="260"/>
      <c r="HEO362" s="254"/>
      <c r="HEP362" s="615"/>
      <c r="HEQ362" s="256"/>
      <c r="HER362" s="322"/>
      <c r="HES362" s="356"/>
      <c r="HET362" s="258"/>
      <c r="HEU362" s="616"/>
      <c r="HEV362" s="260"/>
      <c r="HEX362" s="254"/>
      <c r="HEY362" s="615"/>
      <c r="HEZ362" s="256"/>
      <c r="HFA362" s="322"/>
      <c r="HFB362" s="356"/>
      <c r="HFC362" s="258"/>
      <c r="HFD362" s="616"/>
      <c r="HFE362" s="260"/>
      <c r="HFG362" s="254"/>
      <c r="HFH362" s="615"/>
      <c r="HFI362" s="256"/>
      <c r="HFJ362" s="322"/>
      <c r="HFK362" s="356"/>
      <c r="HFL362" s="258"/>
      <c r="HFM362" s="616"/>
      <c r="HFN362" s="260"/>
      <c r="HFP362" s="254"/>
      <c r="HFQ362" s="615"/>
      <c r="HFR362" s="256"/>
      <c r="HFS362" s="322"/>
      <c r="HFT362" s="356"/>
      <c r="HFU362" s="258"/>
      <c r="HFV362" s="616"/>
      <c r="HFW362" s="260"/>
      <c r="HFY362" s="254"/>
      <c r="HFZ362" s="615"/>
      <c r="HGA362" s="256"/>
      <c r="HGB362" s="322"/>
      <c r="HGC362" s="356"/>
      <c r="HGD362" s="258"/>
      <c r="HGE362" s="616"/>
      <c r="HGF362" s="260"/>
      <c r="HGH362" s="254"/>
      <c r="HGI362" s="615"/>
      <c r="HGJ362" s="256"/>
      <c r="HGK362" s="322"/>
      <c r="HGL362" s="356"/>
      <c r="HGM362" s="258"/>
      <c r="HGN362" s="616"/>
      <c r="HGO362" s="260"/>
      <c r="HGQ362" s="254"/>
      <c r="HGR362" s="615"/>
      <c r="HGS362" s="256"/>
      <c r="HGT362" s="322"/>
      <c r="HGU362" s="356"/>
      <c r="HGV362" s="258"/>
      <c r="HGW362" s="616"/>
      <c r="HGX362" s="260"/>
      <c r="HGZ362" s="254"/>
      <c r="HHA362" s="615"/>
      <c r="HHB362" s="256"/>
      <c r="HHC362" s="322"/>
      <c r="HHD362" s="356"/>
      <c r="HHE362" s="258"/>
      <c r="HHF362" s="616"/>
      <c r="HHG362" s="260"/>
      <c r="HHI362" s="254"/>
      <c r="HHJ362" s="615"/>
      <c r="HHK362" s="256"/>
      <c r="HHL362" s="322"/>
      <c r="HHM362" s="356"/>
      <c r="HHN362" s="258"/>
      <c r="HHO362" s="616"/>
      <c r="HHP362" s="260"/>
      <c r="HHR362" s="254"/>
      <c r="HHS362" s="615"/>
      <c r="HHT362" s="256"/>
      <c r="HHU362" s="322"/>
      <c r="HHV362" s="356"/>
      <c r="HHW362" s="258"/>
      <c r="HHX362" s="616"/>
      <c r="HHY362" s="260"/>
      <c r="HIA362" s="254"/>
      <c r="HIB362" s="615"/>
      <c r="HIC362" s="256"/>
      <c r="HID362" s="322"/>
      <c r="HIE362" s="356"/>
      <c r="HIF362" s="258"/>
      <c r="HIG362" s="616"/>
      <c r="HIH362" s="260"/>
      <c r="HIJ362" s="254"/>
      <c r="HIK362" s="615"/>
      <c r="HIL362" s="256"/>
      <c r="HIM362" s="322"/>
      <c r="HIN362" s="356"/>
      <c r="HIO362" s="258"/>
      <c r="HIP362" s="616"/>
      <c r="HIQ362" s="260"/>
      <c r="HIS362" s="254"/>
      <c r="HIT362" s="615"/>
      <c r="HIU362" s="256"/>
      <c r="HIV362" s="322"/>
      <c r="HIW362" s="356"/>
      <c r="HIX362" s="258"/>
      <c r="HIY362" s="616"/>
      <c r="HIZ362" s="260"/>
      <c r="HJB362" s="254"/>
      <c r="HJC362" s="615"/>
      <c r="HJD362" s="256"/>
      <c r="HJE362" s="322"/>
      <c r="HJF362" s="356"/>
      <c r="HJG362" s="258"/>
      <c r="HJH362" s="616"/>
      <c r="HJI362" s="260"/>
      <c r="HJK362" s="254"/>
      <c r="HJL362" s="615"/>
      <c r="HJM362" s="256"/>
      <c r="HJN362" s="322"/>
      <c r="HJO362" s="356"/>
      <c r="HJP362" s="258"/>
      <c r="HJQ362" s="616"/>
      <c r="HJR362" s="260"/>
      <c r="HJT362" s="254"/>
      <c r="HJU362" s="615"/>
      <c r="HJV362" s="256"/>
      <c r="HJW362" s="322"/>
      <c r="HJX362" s="356"/>
      <c r="HJY362" s="258"/>
      <c r="HJZ362" s="616"/>
      <c r="HKA362" s="260"/>
      <c r="HKC362" s="254"/>
      <c r="HKD362" s="615"/>
      <c r="HKE362" s="256"/>
      <c r="HKF362" s="322"/>
      <c r="HKG362" s="356"/>
      <c r="HKH362" s="258"/>
      <c r="HKI362" s="616"/>
      <c r="HKJ362" s="260"/>
      <c r="HKL362" s="254"/>
      <c r="HKM362" s="615"/>
      <c r="HKN362" s="256"/>
      <c r="HKO362" s="322"/>
      <c r="HKP362" s="356"/>
      <c r="HKQ362" s="258"/>
      <c r="HKR362" s="616"/>
      <c r="HKS362" s="260"/>
      <c r="HKU362" s="254"/>
      <c r="HKV362" s="615"/>
      <c r="HKW362" s="256"/>
      <c r="HKX362" s="322"/>
      <c r="HKY362" s="356"/>
      <c r="HKZ362" s="258"/>
      <c r="HLA362" s="616"/>
      <c r="HLB362" s="260"/>
      <c r="HLD362" s="254"/>
      <c r="HLE362" s="615"/>
      <c r="HLF362" s="256"/>
      <c r="HLG362" s="322"/>
      <c r="HLH362" s="356"/>
      <c r="HLI362" s="258"/>
      <c r="HLJ362" s="616"/>
      <c r="HLK362" s="260"/>
      <c r="HLM362" s="254"/>
      <c r="HLN362" s="615"/>
      <c r="HLO362" s="256"/>
      <c r="HLP362" s="322"/>
      <c r="HLQ362" s="356"/>
      <c r="HLR362" s="258"/>
      <c r="HLS362" s="616"/>
      <c r="HLT362" s="260"/>
      <c r="HLV362" s="254"/>
      <c r="HLW362" s="615"/>
      <c r="HLX362" s="256"/>
      <c r="HLY362" s="322"/>
      <c r="HLZ362" s="356"/>
      <c r="HMA362" s="258"/>
      <c r="HMB362" s="616"/>
      <c r="HMC362" s="260"/>
      <c r="HME362" s="254"/>
      <c r="HMF362" s="615"/>
      <c r="HMG362" s="256"/>
      <c r="HMH362" s="322"/>
      <c r="HMI362" s="356"/>
      <c r="HMJ362" s="258"/>
      <c r="HMK362" s="616"/>
      <c r="HML362" s="260"/>
      <c r="HMN362" s="254"/>
      <c r="HMO362" s="615"/>
      <c r="HMP362" s="256"/>
      <c r="HMQ362" s="322"/>
      <c r="HMR362" s="356"/>
      <c r="HMS362" s="258"/>
      <c r="HMT362" s="616"/>
      <c r="HMU362" s="260"/>
      <c r="HMW362" s="254"/>
      <c r="HMX362" s="615"/>
      <c r="HMY362" s="256"/>
      <c r="HMZ362" s="322"/>
      <c r="HNA362" s="356"/>
      <c r="HNB362" s="258"/>
      <c r="HNC362" s="616"/>
      <c r="HND362" s="260"/>
      <c r="HNF362" s="254"/>
      <c r="HNG362" s="615"/>
      <c r="HNH362" s="256"/>
      <c r="HNI362" s="322"/>
      <c r="HNJ362" s="356"/>
      <c r="HNK362" s="258"/>
      <c r="HNL362" s="616"/>
      <c r="HNM362" s="260"/>
      <c r="HNO362" s="254"/>
      <c r="HNP362" s="615"/>
      <c r="HNQ362" s="256"/>
      <c r="HNR362" s="322"/>
      <c r="HNS362" s="356"/>
      <c r="HNT362" s="258"/>
      <c r="HNU362" s="616"/>
      <c r="HNV362" s="260"/>
      <c r="HNX362" s="254"/>
      <c r="HNY362" s="615"/>
      <c r="HNZ362" s="256"/>
      <c r="HOA362" s="322"/>
      <c r="HOB362" s="356"/>
      <c r="HOC362" s="258"/>
      <c r="HOD362" s="616"/>
      <c r="HOE362" s="260"/>
      <c r="HOG362" s="254"/>
      <c r="HOH362" s="615"/>
      <c r="HOI362" s="256"/>
      <c r="HOJ362" s="322"/>
      <c r="HOK362" s="356"/>
      <c r="HOL362" s="258"/>
      <c r="HOM362" s="616"/>
      <c r="HON362" s="260"/>
      <c r="HOP362" s="254"/>
      <c r="HOQ362" s="615"/>
      <c r="HOR362" s="256"/>
      <c r="HOS362" s="322"/>
      <c r="HOT362" s="356"/>
      <c r="HOU362" s="258"/>
      <c r="HOV362" s="616"/>
      <c r="HOW362" s="260"/>
      <c r="HOY362" s="254"/>
      <c r="HOZ362" s="615"/>
      <c r="HPA362" s="256"/>
      <c r="HPB362" s="322"/>
      <c r="HPC362" s="356"/>
      <c r="HPD362" s="258"/>
      <c r="HPE362" s="616"/>
      <c r="HPF362" s="260"/>
      <c r="HPH362" s="254"/>
      <c r="HPI362" s="615"/>
      <c r="HPJ362" s="256"/>
      <c r="HPK362" s="322"/>
      <c r="HPL362" s="356"/>
      <c r="HPM362" s="258"/>
      <c r="HPN362" s="616"/>
      <c r="HPO362" s="260"/>
      <c r="HPQ362" s="254"/>
      <c r="HPR362" s="615"/>
      <c r="HPS362" s="256"/>
      <c r="HPT362" s="322"/>
      <c r="HPU362" s="356"/>
      <c r="HPV362" s="258"/>
      <c r="HPW362" s="616"/>
      <c r="HPX362" s="260"/>
      <c r="HPZ362" s="254"/>
      <c r="HQA362" s="615"/>
      <c r="HQB362" s="256"/>
      <c r="HQC362" s="322"/>
      <c r="HQD362" s="356"/>
      <c r="HQE362" s="258"/>
      <c r="HQF362" s="616"/>
      <c r="HQG362" s="260"/>
      <c r="HQI362" s="254"/>
      <c r="HQJ362" s="615"/>
      <c r="HQK362" s="256"/>
      <c r="HQL362" s="322"/>
      <c r="HQM362" s="356"/>
      <c r="HQN362" s="258"/>
      <c r="HQO362" s="616"/>
      <c r="HQP362" s="260"/>
      <c r="HQR362" s="254"/>
      <c r="HQS362" s="615"/>
      <c r="HQT362" s="256"/>
      <c r="HQU362" s="322"/>
      <c r="HQV362" s="356"/>
      <c r="HQW362" s="258"/>
      <c r="HQX362" s="616"/>
      <c r="HQY362" s="260"/>
      <c r="HRA362" s="254"/>
      <c r="HRB362" s="615"/>
      <c r="HRC362" s="256"/>
      <c r="HRD362" s="322"/>
      <c r="HRE362" s="356"/>
      <c r="HRF362" s="258"/>
      <c r="HRG362" s="616"/>
      <c r="HRH362" s="260"/>
      <c r="HRJ362" s="254"/>
      <c r="HRK362" s="615"/>
      <c r="HRL362" s="256"/>
      <c r="HRM362" s="322"/>
      <c r="HRN362" s="356"/>
      <c r="HRO362" s="258"/>
      <c r="HRP362" s="616"/>
      <c r="HRQ362" s="260"/>
      <c r="HRS362" s="254"/>
      <c r="HRT362" s="615"/>
      <c r="HRU362" s="256"/>
      <c r="HRV362" s="322"/>
      <c r="HRW362" s="356"/>
      <c r="HRX362" s="258"/>
      <c r="HRY362" s="616"/>
      <c r="HRZ362" s="260"/>
      <c r="HSB362" s="254"/>
      <c r="HSC362" s="615"/>
      <c r="HSD362" s="256"/>
      <c r="HSE362" s="322"/>
      <c r="HSF362" s="356"/>
      <c r="HSG362" s="258"/>
      <c r="HSH362" s="616"/>
      <c r="HSI362" s="260"/>
      <c r="HSK362" s="254"/>
      <c r="HSL362" s="615"/>
      <c r="HSM362" s="256"/>
      <c r="HSN362" s="322"/>
      <c r="HSO362" s="356"/>
      <c r="HSP362" s="258"/>
      <c r="HSQ362" s="616"/>
      <c r="HSR362" s="260"/>
      <c r="HST362" s="254"/>
      <c r="HSU362" s="615"/>
      <c r="HSV362" s="256"/>
      <c r="HSW362" s="322"/>
      <c r="HSX362" s="356"/>
      <c r="HSY362" s="258"/>
      <c r="HSZ362" s="616"/>
      <c r="HTA362" s="260"/>
      <c r="HTC362" s="254"/>
      <c r="HTD362" s="615"/>
      <c r="HTE362" s="256"/>
      <c r="HTF362" s="322"/>
      <c r="HTG362" s="356"/>
      <c r="HTH362" s="258"/>
      <c r="HTI362" s="616"/>
      <c r="HTJ362" s="260"/>
      <c r="HTL362" s="254"/>
      <c r="HTM362" s="615"/>
      <c r="HTN362" s="256"/>
      <c r="HTO362" s="322"/>
      <c r="HTP362" s="356"/>
      <c r="HTQ362" s="258"/>
      <c r="HTR362" s="616"/>
      <c r="HTS362" s="260"/>
      <c r="HTU362" s="254"/>
      <c r="HTV362" s="615"/>
      <c r="HTW362" s="256"/>
      <c r="HTX362" s="322"/>
      <c r="HTY362" s="356"/>
      <c r="HTZ362" s="258"/>
      <c r="HUA362" s="616"/>
      <c r="HUB362" s="260"/>
      <c r="HUD362" s="254"/>
      <c r="HUE362" s="615"/>
      <c r="HUF362" s="256"/>
      <c r="HUG362" s="322"/>
      <c r="HUH362" s="356"/>
      <c r="HUI362" s="258"/>
      <c r="HUJ362" s="616"/>
      <c r="HUK362" s="260"/>
      <c r="HUM362" s="254"/>
      <c r="HUN362" s="615"/>
      <c r="HUO362" s="256"/>
      <c r="HUP362" s="322"/>
      <c r="HUQ362" s="356"/>
      <c r="HUR362" s="258"/>
      <c r="HUS362" s="616"/>
      <c r="HUT362" s="260"/>
      <c r="HUV362" s="254"/>
      <c r="HUW362" s="615"/>
      <c r="HUX362" s="256"/>
      <c r="HUY362" s="322"/>
      <c r="HUZ362" s="356"/>
      <c r="HVA362" s="258"/>
      <c r="HVB362" s="616"/>
      <c r="HVC362" s="260"/>
      <c r="HVE362" s="254"/>
      <c r="HVF362" s="615"/>
      <c r="HVG362" s="256"/>
      <c r="HVH362" s="322"/>
      <c r="HVI362" s="356"/>
      <c r="HVJ362" s="258"/>
      <c r="HVK362" s="616"/>
      <c r="HVL362" s="260"/>
      <c r="HVN362" s="254"/>
      <c r="HVO362" s="615"/>
      <c r="HVP362" s="256"/>
      <c r="HVQ362" s="322"/>
      <c r="HVR362" s="356"/>
      <c r="HVS362" s="258"/>
      <c r="HVT362" s="616"/>
      <c r="HVU362" s="260"/>
      <c r="HVW362" s="254"/>
      <c r="HVX362" s="615"/>
      <c r="HVY362" s="256"/>
      <c r="HVZ362" s="322"/>
      <c r="HWA362" s="356"/>
      <c r="HWB362" s="258"/>
      <c r="HWC362" s="616"/>
      <c r="HWD362" s="260"/>
      <c r="HWF362" s="254"/>
      <c r="HWG362" s="615"/>
      <c r="HWH362" s="256"/>
      <c r="HWI362" s="322"/>
      <c r="HWJ362" s="356"/>
      <c r="HWK362" s="258"/>
      <c r="HWL362" s="616"/>
      <c r="HWM362" s="260"/>
      <c r="HWO362" s="254"/>
      <c r="HWP362" s="615"/>
      <c r="HWQ362" s="256"/>
      <c r="HWR362" s="322"/>
      <c r="HWS362" s="356"/>
      <c r="HWT362" s="258"/>
      <c r="HWU362" s="616"/>
      <c r="HWV362" s="260"/>
      <c r="HWX362" s="254"/>
      <c r="HWY362" s="615"/>
      <c r="HWZ362" s="256"/>
      <c r="HXA362" s="322"/>
      <c r="HXB362" s="356"/>
      <c r="HXC362" s="258"/>
      <c r="HXD362" s="616"/>
      <c r="HXE362" s="260"/>
      <c r="HXG362" s="254"/>
      <c r="HXH362" s="615"/>
      <c r="HXI362" s="256"/>
      <c r="HXJ362" s="322"/>
      <c r="HXK362" s="356"/>
      <c r="HXL362" s="258"/>
      <c r="HXM362" s="616"/>
      <c r="HXN362" s="260"/>
      <c r="HXP362" s="254"/>
      <c r="HXQ362" s="615"/>
      <c r="HXR362" s="256"/>
      <c r="HXS362" s="322"/>
      <c r="HXT362" s="356"/>
      <c r="HXU362" s="258"/>
      <c r="HXV362" s="616"/>
      <c r="HXW362" s="260"/>
      <c r="HXY362" s="254"/>
      <c r="HXZ362" s="615"/>
      <c r="HYA362" s="256"/>
      <c r="HYB362" s="322"/>
      <c r="HYC362" s="356"/>
      <c r="HYD362" s="258"/>
      <c r="HYE362" s="616"/>
      <c r="HYF362" s="260"/>
      <c r="HYH362" s="254"/>
      <c r="HYI362" s="615"/>
      <c r="HYJ362" s="256"/>
      <c r="HYK362" s="322"/>
      <c r="HYL362" s="356"/>
      <c r="HYM362" s="258"/>
      <c r="HYN362" s="616"/>
      <c r="HYO362" s="260"/>
      <c r="HYQ362" s="254"/>
      <c r="HYR362" s="615"/>
      <c r="HYS362" s="256"/>
      <c r="HYT362" s="322"/>
      <c r="HYU362" s="356"/>
      <c r="HYV362" s="258"/>
      <c r="HYW362" s="616"/>
      <c r="HYX362" s="260"/>
      <c r="HYZ362" s="254"/>
      <c r="HZA362" s="615"/>
      <c r="HZB362" s="256"/>
      <c r="HZC362" s="322"/>
      <c r="HZD362" s="356"/>
      <c r="HZE362" s="258"/>
      <c r="HZF362" s="616"/>
      <c r="HZG362" s="260"/>
      <c r="HZI362" s="254"/>
      <c r="HZJ362" s="615"/>
      <c r="HZK362" s="256"/>
      <c r="HZL362" s="322"/>
      <c r="HZM362" s="356"/>
      <c r="HZN362" s="258"/>
      <c r="HZO362" s="616"/>
      <c r="HZP362" s="260"/>
      <c r="HZR362" s="254"/>
      <c r="HZS362" s="615"/>
      <c r="HZT362" s="256"/>
      <c r="HZU362" s="322"/>
      <c r="HZV362" s="356"/>
      <c r="HZW362" s="258"/>
      <c r="HZX362" s="616"/>
      <c r="HZY362" s="260"/>
      <c r="IAA362" s="254"/>
      <c r="IAB362" s="615"/>
      <c r="IAC362" s="256"/>
      <c r="IAD362" s="322"/>
      <c r="IAE362" s="356"/>
      <c r="IAF362" s="258"/>
      <c r="IAG362" s="616"/>
      <c r="IAH362" s="260"/>
      <c r="IAJ362" s="254"/>
      <c r="IAK362" s="615"/>
      <c r="IAL362" s="256"/>
      <c r="IAM362" s="322"/>
      <c r="IAN362" s="356"/>
      <c r="IAO362" s="258"/>
      <c r="IAP362" s="616"/>
      <c r="IAQ362" s="260"/>
      <c r="IAS362" s="254"/>
      <c r="IAT362" s="615"/>
      <c r="IAU362" s="256"/>
      <c r="IAV362" s="322"/>
      <c r="IAW362" s="356"/>
      <c r="IAX362" s="258"/>
      <c r="IAY362" s="616"/>
      <c r="IAZ362" s="260"/>
      <c r="IBB362" s="254"/>
      <c r="IBC362" s="615"/>
      <c r="IBD362" s="256"/>
      <c r="IBE362" s="322"/>
      <c r="IBF362" s="356"/>
      <c r="IBG362" s="258"/>
      <c r="IBH362" s="616"/>
      <c r="IBI362" s="260"/>
      <c r="IBK362" s="254"/>
      <c r="IBL362" s="615"/>
      <c r="IBM362" s="256"/>
      <c r="IBN362" s="322"/>
      <c r="IBO362" s="356"/>
      <c r="IBP362" s="258"/>
      <c r="IBQ362" s="616"/>
      <c r="IBR362" s="260"/>
      <c r="IBT362" s="254"/>
      <c r="IBU362" s="615"/>
      <c r="IBV362" s="256"/>
      <c r="IBW362" s="322"/>
      <c r="IBX362" s="356"/>
      <c r="IBY362" s="258"/>
      <c r="IBZ362" s="616"/>
      <c r="ICA362" s="260"/>
      <c r="ICC362" s="254"/>
      <c r="ICD362" s="615"/>
      <c r="ICE362" s="256"/>
      <c r="ICF362" s="322"/>
      <c r="ICG362" s="356"/>
      <c r="ICH362" s="258"/>
      <c r="ICI362" s="616"/>
      <c r="ICJ362" s="260"/>
      <c r="ICL362" s="254"/>
      <c r="ICM362" s="615"/>
      <c r="ICN362" s="256"/>
      <c r="ICO362" s="322"/>
      <c r="ICP362" s="356"/>
      <c r="ICQ362" s="258"/>
      <c r="ICR362" s="616"/>
      <c r="ICS362" s="260"/>
      <c r="ICU362" s="254"/>
      <c r="ICV362" s="615"/>
      <c r="ICW362" s="256"/>
      <c r="ICX362" s="322"/>
      <c r="ICY362" s="356"/>
      <c r="ICZ362" s="258"/>
      <c r="IDA362" s="616"/>
      <c r="IDB362" s="260"/>
      <c r="IDD362" s="254"/>
      <c r="IDE362" s="615"/>
      <c r="IDF362" s="256"/>
      <c r="IDG362" s="322"/>
      <c r="IDH362" s="356"/>
      <c r="IDI362" s="258"/>
      <c r="IDJ362" s="616"/>
      <c r="IDK362" s="260"/>
      <c r="IDM362" s="254"/>
      <c r="IDN362" s="615"/>
      <c r="IDO362" s="256"/>
      <c r="IDP362" s="322"/>
      <c r="IDQ362" s="356"/>
      <c r="IDR362" s="258"/>
      <c r="IDS362" s="616"/>
      <c r="IDT362" s="260"/>
      <c r="IDV362" s="254"/>
      <c r="IDW362" s="615"/>
      <c r="IDX362" s="256"/>
      <c r="IDY362" s="322"/>
      <c r="IDZ362" s="356"/>
      <c r="IEA362" s="258"/>
      <c r="IEB362" s="616"/>
      <c r="IEC362" s="260"/>
      <c r="IEE362" s="254"/>
      <c r="IEF362" s="615"/>
      <c r="IEG362" s="256"/>
      <c r="IEH362" s="322"/>
      <c r="IEI362" s="356"/>
      <c r="IEJ362" s="258"/>
      <c r="IEK362" s="616"/>
      <c r="IEL362" s="260"/>
      <c r="IEN362" s="254"/>
      <c r="IEO362" s="615"/>
      <c r="IEP362" s="256"/>
      <c r="IEQ362" s="322"/>
      <c r="IER362" s="356"/>
      <c r="IES362" s="258"/>
      <c r="IET362" s="616"/>
      <c r="IEU362" s="260"/>
      <c r="IEW362" s="254"/>
      <c r="IEX362" s="615"/>
      <c r="IEY362" s="256"/>
      <c r="IEZ362" s="322"/>
      <c r="IFA362" s="356"/>
      <c r="IFB362" s="258"/>
      <c r="IFC362" s="616"/>
      <c r="IFD362" s="260"/>
      <c r="IFF362" s="254"/>
      <c r="IFG362" s="615"/>
      <c r="IFH362" s="256"/>
      <c r="IFI362" s="322"/>
      <c r="IFJ362" s="356"/>
      <c r="IFK362" s="258"/>
      <c r="IFL362" s="616"/>
      <c r="IFM362" s="260"/>
      <c r="IFO362" s="254"/>
      <c r="IFP362" s="615"/>
      <c r="IFQ362" s="256"/>
      <c r="IFR362" s="322"/>
      <c r="IFS362" s="356"/>
      <c r="IFT362" s="258"/>
      <c r="IFU362" s="616"/>
      <c r="IFV362" s="260"/>
      <c r="IFX362" s="254"/>
      <c r="IFY362" s="615"/>
      <c r="IFZ362" s="256"/>
      <c r="IGA362" s="322"/>
      <c r="IGB362" s="356"/>
      <c r="IGC362" s="258"/>
      <c r="IGD362" s="616"/>
      <c r="IGE362" s="260"/>
      <c r="IGG362" s="254"/>
      <c r="IGH362" s="615"/>
      <c r="IGI362" s="256"/>
      <c r="IGJ362" s="322"/>
      <c r="IGK362" s="356"/>
      <c r="IGL362" s="258"/>
      <c r="IGM362" s="616"/>
      <c r="IGN362" s="260"/>
      <c r="IGP362" s="254"/>
      <c r="IGQ362" s="615"/>
      <c r="IGR362" s="256"/>
      <c r="IGS362" s="322"/>
      <c r="IGT362" s="356"/>
      <c r="IGU362" s="258"/>
      <c r="IGV362" s="616"/>
      <c r="IGW362" s="260"/>
      <c r="IGY362" s="254"/>
      <c r="IGZ362" s="615"/>
      <c r="IHA362" s="256"/>
      <c r="IHB362" s="322"/>
      <c r="IHC362" s="356"/>
      <c r="IHD362" s="258"/>
      <c r="IHE362" s="616"/>
      <c r="IHF362" s="260"/>
      <c r="IHH362" s="254"/>
      <c r="IHI362" s="615"/>
      <c r="IHJ362" s="256"/>
      <c r="IHK362" s="322"/>
      <c r="IHL362" s="356"/>
      <c r="IHM362" s="258"/>
      <c r="IHN362" s="616"/>
      <c r="IHO362" s="260"/>
      <c r="IHQ362" s="254"/>
      <c r="IHR362" s="615"/>
      <c r="IHS362" s="256"/>
      <c r="IHT362" s="322"/>
      <c r="IHU362" s="356"/>
      <c r="IHV362" s="258"/>
      <c r="IHW362" s="616"/>
      <c r="IHX362" s="260"/>
      <c r="IHZ362" s="254"/>
      <c r="IIA362" s="615"/>
      <c r="IIB362" s="256"/>
      <c r="IIC362" s="322"/>
      <c r="IID362" s="356"/>
      <c r="IIE362" s="258"/>
      <c r="IIF362" s="616"/>
      <c r="IIG362" s="260"/>
      <c r="III362" s="254"/>
      <c r="IIJ362" s="615"/>
      <c r="IIK362" s="256"/>
      <c r="IIL362" s="322"/>
      <c r="IIM362" s="356"/>
      <c r="IIN362" s="258"/>
      <c r="IIO362" s="616"/>
      <c r="IIP362" s="260"/>
      <c r="IIR362" s="254"/>
      <c r="IIS362" s="615"/>
      <c r="IIT362" s="256"/>
      <c r="IIU362" s="322"/>
      <c r="IIV362" s="356"/>
      <c r="IIW362" s="258"/>
      <c r="IIX362" s="616"/>
      <c r="IIY362" s="260"/>
      <c r="IJA362" s="254"/>
      <c r="IJB362" s="615"/>
      <c r="IJC362" s="256"/>
      <c r="IJD362" s="322"/>
      <c r="IJE362" s="356"/>
      <c r="IJF362" s="258"/>
      <c r="IJG362" s="616"/>
      <c r="IJH362" s="260"/>
      <c r="IJJ362" s="254"/>
      <c r="IJK362" s="615"/>
      <c r="IJL362" s="256"/>
      <c r="IJM362" s="322"/>
      <c r="IJN362" s="356"/>
      <c r="IJO362" s="258"/>
      <c r="IJP362" s="616"/>
      <c r="IJQ362" s="260"/>
      <c r="IJS362" s="254"/>
      <c r="IJT362" s="615"/>
      <c r="IJU362" s="256"/>
      <c r="IJV362" s="322"/>
      <c r="IJW362" s="356"/>
      <c r="IJX362" s="258"/>
      <c r="IJY362" s="616"/>
      <c r="IJZ362" s="260"/>
      <c r="IKB362" s="254"/>
      <c r="IKC362" s="615"/>
      <c r="IKD362" s="256"/>
      <c r="IKE362" s="322"/>
      <c r="IKF362" s="356"/>
      <c r="IKG362" s="258"/>
      <c r="IKH362" s="616"/>
      <c r="IKI362" s="260"/>
      <c r="IKK362" s="254"/>
      <c r="IKL362" s="615"/>
      <c r="IKM362" s="256"/>
      <c r="IKN362" s="322"/>
      <c r="IKO362" s="356"/>
      <c r="IKP362" s="258"/>
      <c r="IKQ362" s="616"/>
      <c r="IKR362" s="260"/>
      <c r="IKT362" s="254"/>
      <c r="IKU362" s="615"/>
      <c r="IKV362" s="256"/>
      <c r="IKW362" s="322"/>
      <c r="IKX362" s="356"/>
      <c r="IKY362" s="258"/>
      <c r="IKZ362" s="616"/>
      <c r="ILA362" s="260"/>
      <c r="ILC362" s="254"/>
      <c r="ILD362" s="615"/>
      <c r="ILE362" s="256"/>
      <c r="ILF362" s="322"/>
      <c r="ILG362" s="356"/>
      <c r="ILH362" s="258"/>
      <c r="ILI362" s="616"/>
      <c r="ILJ362" s="260"/>
      <c r="ILL362" s="254"/>
      <c r="ILM362" s="615"/>
      <c r="ILN362" s="256"/>
      <c r="ILO362" s="322"/>
      <c r="ILP362" s="356"/>
      <c r="ILQ362" s="258"/>
      <c r="ILR362" s="616"/>
      <c r="ILS362" s="260"/>
      <c r="ILU362" s="254"/>
      <c r="ILV362" s="615"/>
      <c r="ILW362" s="256"/>
      <c r="ILX362" s="322"/>
      <c r="ILY362" s="356"/>
      <c r="ILZ362" s="258"/>
      <c r="IMA362" s="616"/>
      <c r="IMB362" s="260"/>
      <c r="IMD362" s="254"/>
      <c r="IME362" s="615"/>
      <c r="IMF362" s="256"/>
      <c r="IMG362" s="322"/>
      <c r="IMH362" s="356"/>
      <c r="IMI362" s="258"/>
      <c r="IMJ362" s="616"/>
      <c r="IMK362" s="260"/>
      <c r="IMM362" s="254"/>
      <c r="IMN362" s="615"/>
      <c r="IMO362" s="256"/>
      <c r="IMP362" s="322"/>
      <c r="IMQ362" s="356"/>
      <c r="IMR362" s="258"/>
      <c r="IMS362" s="616"/>
      <c r="IMT362" s="260"/>
      <c r="IMV362" s="254"/>
      <c r="IMW362" s="615"/>
      <c r="IMX362" s="256"/>
      <c r="IMY362" s="322"/>
      <c r="IMZ362" s="356"/>
      <c r="INA362" s="258"/>
      <c r="INB362" s="616"/>
      <c r="INC362" s="260"/>
      <c r="INE362" s="254"/>
      <c r="INF362" s="615"/>
      <c r="ING362" s="256"/>
      <c r="INH362" s="322"/>
      <c r="INI362" s="356"/>
      <c r="INJ362" s="258"/>
      <c r="INK362" s="616"/>
      <c r="INL362" s="260"/>
      <c r="INN362" s="254"/>
      <c r="INO362" s="615"/>
      <c r="INP362" s="256"/>
      <c r="INQ362" s="322"/>
      <c r="INR362" s="356"/>
      <c r="INS362" s="258"/>
      <c r="INT362" s="616"/>
      <c r="INU362" s="260"/>
      <c r="INW362" s="254"/>
      <c r="INX362" s="615"/>
      <c r="INY362" s="256"/>
      <c r="INZ362" s="322"/>
      <c r="IOA362" s="356"/>
      <c r="IOB362" s="258"/>
      <c r="IOC362" s="616"/>
      <c r="IOD362" s="260"/>
      <c r="IOF362" s="254"/>
      <c r="IOG362" s="615"/>
      <c r="IOH362" s="256"/>
      <c r="IOI362" s="322"/>
      <c r="IOJ362" s="356"/>
      <c r="IOK362" s="258"/>
      <c r="IOL362" s="616"/>
      <c r="IOM362" s="260"/>
      <c r="IOO362" s="254"/>
      <c r="IOP362" s="615"/>
      <c r="IOQ362" s="256"/>
      <c r="IOR362" s="322"/>
      <c r="IOS362" s="356"/>
      <c r="IOT362" s="258"/>
      <c r="IOU362" s="616"/>
      <c r="IOV362" s="260"/>
      <c r="IOX362" s="254"/>
      <c r="IOY362" s="615"/>
      <c r="IOZ362" s="256"/>
      <c r="IPA362" s="322"/>
      <c r="IPB362" s="356"/>
      <c r="IPC362" s="258"/>
      <c r="IPD362" s="616"/>
      <c r="IPE362" s="260"/>
      <c r="IPG362" s="254"/>
      <c r="IPH362" s="615"/>
      <c r="IPI362" s="256"/>
      <c r="IPJ362" s="322"/>
      <c r="IPK362" s="356"/>
      <c r="IPL362" s="258"/>
      <c r="IPM362" s="616"/>
      <c r="IPN362" s="260"/>
      <c r="IPP362" s="254"/>
      <c r="IPQ362" s="615"/>
      <c r="IPR362" s="256"/>
      <c r="IPS362" s="322"/>
      <c r="IPT362" s="356"/>
      <c r="IPU362" s="258"/>
      <c r="IPV362" s="616"/>
      <c r="IPW362" s="260"/>
      <c r="IPY362" s="254"/>
      <c r="IPZ362" s="615"/>
      <c r="IQA362" s="256"/>
      <c r="IQB362" s="322"/>
      <c r="IQC362" s="356"/>
      <c r="IQD362" s="258"/>
      <c r="IQE362" s="616"/>
      <c r="IQF362" s="260"/>
      <c r="IQH362" s="254"/>
      <c r="IQI362" s="615"/>
      <c r="IQJ362" s="256"/>
      <c r="IQK362" s="322"/>
      <c r="IQL362" s="356"/>
      <c r="IQM362" s="258"/>
      <c r="IQN362" s="616"/>
      <c r="IQO362" s="260"/>
      <c r="IQQ362" s="254"/>
      <c r="IQR362" s="615"/>
      <c r="IQS362" s="256"/>
      <c r="IQT362" s="322"/>
      <c r="IQU362" s="356"/>
      <c r="IQV362" s="258"/>
      <c r="IQW362" s="616"/>
      <c r="IQX362" s="260"/>
      <c r="IQZ362" s="254"/>
      <c r="IRA362" s="615"/>
      <c r="IRB362" s="256"/>
      <c r="IRC362" s="322"/>
      <c r="IRD362" s="356"/>
      <c r="IRE362" s="258"/>
      <c r="IRF362" s="616"/>
      <c r="IRG362" s="260"/>
      <c r="IRI362" s="254"/>
      <c r="IRJ362" s="615"/>
      <c r="IRK362" s="256"/>
      <c r="IRL362" s="322"/>
      <c r="IRM362" s="356"/>
      <c r="IRN362" s="258"/>
      <c r="IRO362" s="616"/>
      <c r="IRP362" s="260"/>
      <c r="IRR362" s="254"/>
      <c r="IRS362" s="615"/>
      <c r="IRT362" s="256"/>
      <c r="IRU362" s="322"/>
      <c r="IRV362" s="356"/>
      <c r="IRW362" s="258"/>
      <c r="IRX362" s="616"/>
      <c r="IRY362" s="260"/>
      <c r="ISA362" s="254"/>
      <c r="ISB362" s="615"/>
      <c r="ISC362" s="256"/>
      <c r="ISD362" s="322"/>
      <c r="ISE362" s="356"/>
      <c r="ISF362" s="258"/>
      <c r="ISG362" s="616"/>
      <c r="ISH362" s="260"/>
      <c r="ISJ362" s="254"/>
      <c r="ISK362" s="615"/>
      <c r="ISL362" s="256"/>
      <c r="ISM362" s="322"/>
      <c r="ISN362" s="356"/>
      <c r="ISO362" s="258"/>
      <c r="ISP362" s="616"/>
      <c r="ISQ362" s="260"/>
      <c r="ISS362" s="254"/>
      <c r="IST362" s="615"/>
      <c r="ISU362" s="256"/>
      <c r="ISV362" s="322"/>
      <c r="ISW362" s="356"/>
      <c r="ISX362" s="258"/>
      <c r="ISY362" s="616"/>
      <c r="ISZ362" s="260"/>
      <c r="ITB362" s="254"/>
      <c r="ITC362" s="615"/>
      <c r="ITD362" s="256"/>
      <c r="ITE362" s="322"/>
      <c r="ITF362" s="356"/>
      <c r="ITG362" s="258"/>
      <c r="ITH362" s="616"/>
      <c r="ITI362" s="260"/>
      <c r="ITK362" s="254"/>
      <c r="ITL362" s="615"/>
      <c r="ITM362" s="256"/>
      <c r="ITN362" s="322"/>
      <c r="ITO362" s="356"/>
      <c r="ITP362" s="258"/>
      <c r="ITQ362" s="616"/>
      <c r="ITR362" s="260"/>
      <c r="ITT362" s="254"/>
      <c r="ITU362" s="615"/>
      <c r="ITV362" s="256"/>
      <c r="ITW362" s="322"/>
      <c r="ITX362" s="356"/>
      <c r="ITY362" s="258"/>
      <c r="ITZ362" s="616"/>
      <c r="IUA362" s="260"/>
      <c r="IUC362" s="254"/>
      <c r="IUD362" s="615"/>
      <c r="IUE362" s="256"/>
      <c r="IUF362" s="322"/>
      <c r="IUG362" s="356"/>
      <c r="IUH362" s="258"/>
      <c r="IUI362" s="616"/>
      <c r="IUJ362" s="260"/>
      <c r="IUL362" s="254"/>
      <c r="IUM362" s="615"/>
      <c r="IUN362" s="256"/>
      <c r="IUO362" s="322"/>
      <c r="IUP362" s="356"/>
      <c r="IUQ362" s="258"/>
      <c r="IUR362" s="616"/>
      <c r="IUS362" s="260"/>
      <c r="IUU362" s="254"/>
      <c r="IUV362" s="615"/>
      <c r="IUW362" s="256"/>
      <c r="IUX362" s="322"/>
      <c r="IUY362" s="356"/>
      <c r="IUZ362" s="258"/>
      <c r="IVA362" s="616"/>
      <c r="IVB362" s="260"/>
      <c r="IVD362" s="254"/>
      <c r="IVE362" s="615"/>
      <c r="IVF362" s="256"/>
      <c r="IVG362" s="322"/>
      <c r="IVH362" s="356"/>
      <c r="IVI362" s="258"/>
      <c r="IVJ362" s="616"/>
      <c r="IVK362" s="260"/>
      <c r="IVM362" s="254"/>
      <c r="IVN362" s="615"/>
      <c r="IVO362" s="256"/>
      <c r="IVP362" s="322"/>
      <c r="IVQ362" s="356"/>
      <c r="IVR362" s="258"/>
      <c r="IVS362" s="616"/>
      <c r="IVT362" s="260"/>
      <c r="IVV362" s="254"/>
      <c r="IVW362" s="615"/>
      <c r="IVX362" s="256"/>
      <c r="IVY362" s="322"/>
      <c r="IVZ362" s="356"/>
      <c r="IWA362" s="258"/>
      <c r="IWB362" s="616"/>
      <c r="IWC362" s="260"/>
      <c r="IWE362" s="254"/>
      <c r="IWF362" s="615"/>
      <c r="IWG362" s="256"/>
      <c r="IWH362" s="322"/>
      <c r="IWI362" s="356"/>
      <c r="IWJ362" s="258"/>
      <c r="IWK362" s="616"/>
      <c r="IWL362" s="260"/>
      <c r="IWN362" s="254"/>
      <c r="IWO362" s="615"/>
      <c r="IWP362" s="256"/>
      <c r="IWQ362" s="322"/>
      <c r="IWR362" s="356"/>
      <c r="IWS362" s="258"/>
      <c r="IWT362" s="616"/>
      <c r="IWU362" s="260"/>
      <c r="IWW362" s="254"/>
      <c r="IWX362" s="615"/>
      <c r="IWY362" s="256"/>
      <c r="IWZ362" s="322"/>
      <c r="IXA362" s="356"/>
      <c r="IXB362" s="258"/>
      <c r="IXC362" s="616"/>
      <c r="IXD362" s="260"/>
      <c r="IXF362" s="254"/>
      <c r="IXG362" s="615"/>
      <c r="IXH362" s="256"/>
      <c r="IXI362" s="322"/>
      <c r="IXJ362" s="356"/>
      <c r="IXK362" s="258"/>
      <c r="IXL362" s="616"/>
      <c r="IXM362" s="260"/>
      <c r="IXO362" s="254"/>
      <c r="IXP362" s="615"/>
      <c r="IXQ362" s="256"/>
      <c r="IXR362" s="322"/>
      <c r="IXS362" s="356"/>
      <c r="IXT362" s="258"/>
      <c r="IXU362" s="616"/>
      <c r="IXV362" s="260"/>
      <c r="IXX362" s="254"/>
      <c r="IXY362" s="615"/>
      <c r="IXZ362" s="256"/>
      <c r="IYA362" s="322"/>
      <c r="IYB362" s="356"/>
      <c r="IYC362" s="258"/>
      <c r="IYD362" s="616"/>
      <c r="IYE362" s="260"/>
      <c r="IYG362" s="254"/>
      <c r="IYH362" s="615"/>
      <c r="IYI362" s="256"/>
      <c r="IYJ362" s="322"/>
      <c r="IYK362" s="356"/>
      <c r="IYL362" s="258"/>
      <c r="IYM362" s="616"/>
      <c r="IYN362" s="260"/>
      <c r="IYP362" s="254"/>
      <c r="IYQ362" s="615"/>
      <c r="IYR362" s="256"/>
      <c r="IYS362" s="322"/>
      <c r="IYT362" s="356"/>
      <c r="IYU362" s="258"/>
      <c r="IYV362" s="616"/>
      <c r="IYW362" s="260"/>
      <c r="IYY362" s="254"/>
      <c r="IYZ362" s="615"/>
      <c r="IZA362" s="256"/>
      <c r="IZB362" s="322"/>
      <c r="IZC362" s="356"/>
      <c r="IZD362" s="258"/>
      <c r="IZE362" s="616"/>
      <c r="IZF362" s="260"/>
      <c r="IZH362" s="254"/>
      <c r="IZI362" s="615"/>
      <c r="IZJ362" s="256"/>
      <c r="IZK362" s="322"/>
      <c r="IZL362" s="356"/>
      <c r="IZM362" s="258"/>
      <c r="IZN362" s="616"/>
      <c r="IZO362" s="260"/>
      <c r="IZQ362" s="254"/>
      <c r="IZR362" s="615"/>
      <c r="IZS362" s="256"/>
      <c r="IZT362" s="322"/>
      <c r="IZU362" s="356"/>
      <c r="IZV362" s="258"/>
      <c r="IZW362" s="616"/>
      <c r="IZX362" s="260"/>
      <c r="IZZ362" s="254"/>
      <c r="JAA362" s="615"/>
      <c r="JAB362" s="256"/>
      <c r="JAC362" s="322"/>
      <c r="JAD362" s="356"/>
      <c r="JAE362" s="258"/>
      <c r="JAF362" s="616"/>
      <c r="JAG362" s="260"/>
      <c r="JAI362" s="254"/>
      <c r="JAJ362" s="615"/>
      <c r="JAK362" s="256"/>
      <c r="JAL362" s="322"/>
      <c r="JAM362" s="356"/>
      <c r="JAN362" s="258"/>
      <c r="JAO362" s="616"/>
      <c r="JAP362" s="260"/>
      <c r="JAR362" s="254"/>
      <c r="JAS362" s="615"/>
      <c r="JAT362" s="256"/>
      <c r="JAU362" s="322"/>
      <c r="JAV362" s="356"/>
      <c r="JAW362" s="258"/>
      <c r="JAX362" s="616"/>
      <c r="JAY362" s="260"/>
      <c r="JBA362" s="254"/>
      <c r="JBB362" s="615"/>
      <c r="JBC362" s="256"/>
      <c r="JBD362" s="322"/>
      <c r="JBE362" s="356"/>
      <c r="JBF362" s="258"/>
      <c r="JBG362" s="616"/>
      <c r="JBH362" s="260"/>
      <c r="JBJ362" s="254"/>
      <c r="JBK362" s="615"/>
      <c r="JBL362" s="256"/>
      <c r="JBM362" s="322"/>
      <c r="JBN362" s="356"/>
      <c r="JBO362" s="258"/>
      <c r="JBP362" s="616"/>
      <c r="JBQ362" s="260"/>
      <c r="JBS362" s="254"/>
      <c r="JBT362" s="615"/>
      <c r="JBU362" s="256"/>
      <c r="JBV362" s="322"/>
      <c r="JBW362" s="356"/>
      <c r="JBX362" s="258"/>
      <c r="JBY362" s="616"/>
      <c r="JBZ362" s="260"/>
      <c r="JCB362" s="254"/>
      <c r="JCC362" s="615"/>
      <c r="JCD362" s="256"/>
      <c r="JCE362" s="322"/>
      <c r="JCF362" s="356"/>
      <c r="JCG362" s="258"/>
      <c r="JCH362" s="616"/>
      <c r="JCI362" s="260"/>
      <c r="JCK362" s="254"/>
      <c r="JCL362" s="615"/>
      <c r="JCM362" s="256"/>
      <c r="JCN362" s="322"/>
      <c r="JCO362" s="356"/>
      <c r="JCP362" s="258"/>
      <c r="JCQ362" s="616"/>
      <c r="JCR362" s="260"/>
      <c r="JCT362" s="254"/>
      <c r="JCU362" s="615"/>
      <c r="JCV362" s="256"/>
      <c r="JCW362" s="322"/>
      <c r="JCX362" s="356"/>
      <c r="JCY362" s="258"/>
      <c r="JCZ362" s="616"/>
      <c r="JDA362" s="260"/>
      <c r="JDC362" s="254"/>
      <c r="JDD362" s="615"/>
      <c r="JDE362" s="256"/>
      <c r="JDF362" s="322"/>
      <c r="JDG362" s="356"/>
      <c r="JDH362" s="258"/>
      <c r="JDI362" s="616"/>
      <c r="JDJ362" s="260"/>
      <c r="JDL362" s="254"/>
      <c r="JDM362" s="615"/>
      <c r="JDN362" s="256"/>
      <c r="JDO362" s="322"/>
      <c r="JDP362" s="356"/>
      <c r="JDQ362" s="258"/>
      <c r="JDR362" s="616"/>
      <c r="JDS362" s="260"/>
      <c r="JDU362" s="254"/>
      <c r="JDV362" s="615"/>
      <c r="JDW362" s="256"/>
      <c r="JDX362" s="322"/>
      <c r="JDY362" s="356"/>
      <c r="JDZ362" s="258"/>
      <c r="JEA362" s="616"/>
      <c r="JEB362" s="260"/>
      <c r="JED362" s="254"/>
      <c r="JEE362" s="615"/>
      <c r="JEF362" s="256"/>
      <c r="JEG362" s="322"/>
      <c r="JEH362" s="356"/>
      <c r="JEI362" s="258"/>
      <c r="JEJ362" s="616"/>
      <c r="JEK362" s="260"/>
      <c r="JEM362" s="254"/>
      <c r="JEN362" s="615"/>
      <c r="JEO362" s="256"/>
      <c r="JEP362" s="322"/>
      <c r="JEQ362" s="356"/>
      <c r="JER362" s="258"/>
      <c r="JES362" s="616"/>
      <c r="JET362" s="260"/>
      <c r="JEV362" s="254"/>
      <c r="JEW362" s="615"/>
      <c r="JEX362" s="256"/>
      <c r="JEY362" s="322"/>
      <c r="JEZ362" s="356"/>
      <c r="JFA362" s="258"/>
      <c r="JFB362" s="616"/>
      <c r="JFC362" s="260"/>
      <c r="JFE362" s="254"/>
      <c r="JFF362" s="615"/>
      <c r="JFG362" s="256"/>
      <c r="JFH362" s="322"/>
      <c r="JFI362" s="356"/>
      <c r="JFJ362" s="258"/>
      <c r="JFK362" s="616"/>
      <c r="JFL362" s="260"/>
      <c r="JFN362" s="254"/>
      <c r="JFO362" s="615"/>
      <c r="JFP362" s="256"/>
      <c r="JFQ362" s="322"/>
      <c r="JFR362" s="356"/>
      <c r="JFS362" s="258"/>
      <c r="JFT362" s="616"/>
      <c r="JFU362" s="260"/>
      <c r="JFW362" s="254"/>
      <c r="JFX362" s="615"/>
      <c r="JFY362" s="256"/>
      <c r="JFZ362" s="322"/>
      <c r="JGA362" s="356"/>
      <c r="JGB362" s="258"/>
      <c r="JGC362" s="616"/>
      <c r="JGD362" s="260"/>
      <c r="JGF362" s="254"/>
      <c r="JGG362" s="615"/>
      <c r="JGH362" s="256"/>
      <c r="JGI362" s="322"/>
      <c r="JGJ362" s="356"/>
      <c r="JGK362" s="258"/>
      <c r="JGL362" s="616"/>
      <c r="JGM362" s="260"/>
      <c r="JGO362" s="254"/>
      <c r="JGP362" s="615"/>
      <c r="JGQ362" s="256"/>
      <c r="JGR362" s="322"/>
      <c r="JGS362" s="356"/>
      <c r="JGT362" s="258"/>
      <c r="JGU362" s="616"/>
      <c r="JGV362" s="260"/>
      <c r="JGX362" s="254"/>
      <c r="JGY362" s="615"/>
      <c r="JGZ362" s="256"/>
      <c r="JHA362" s="322"/>
      <c r="JHB362" s="356"/>
      <c r="JHC362" s="258"/>
      <c r="JHD362" s="616"/>
      <c r="JHE362" s="260"/>
      <c r="JHG362" s="254"/>
      <c r="JHH362" s="615"/>
      <c r="JHI362" s="256"/>
      <c r="JHJ362" s="322"/>
      <c r="JHK362" s="356"/>
      <c r="JHL362" s="258"/>
      <c r="JHM362" s="616"/>
      <c r="JHN362" s="260"/>
      <c r="JHP362" s="254"/>
      <c r="JHQ362" s="615"/>
      <c r="JHR362" s="256"/>
      <c r="JHS362" s="322"/>
      <c r="JHT362" s="356"/>
      <c r="JHU362" s="258"/>
      <c r="JHV362" s="616"/>
      <c r="JHW362" s="260"/>
      <c r="JHY362" s="254"/>
      <c r="JHZ362" s="615"/>
      <c r="JIA362" s="256"/>
      <c r="JIB362" s="322"/>
      <c r="JIC362" s="356"/>
      <c r="JID362" s="258"/>
      <c r="JIE362" s="616"/>
      <c r="JIF362" s="260"/>
      <c r="JIH362" s="254"/>
      <c r="JII362" s="615"/>
      <c r="JIJ362" s="256"/>
      <c r="JIK362" s="322"/>
      <c r="JIL362" s="356"/>
      <c r="JIM362" s="258"/>
      <c r="JIN362" s="616"/>
      <c r="JIO362" s="260"/>
      <c r="JIQ362" s="254"/>
      <c r="JIR362" s="615"/>
      <c r="JIS362" s="256"/>
      <c r="JIT362" s="322"/>
      <c r="JIU362" s="356"/>
      <c r="JIV362" s="258"/>
      <c r="JIW362" s="616"/>
      <c r="JIX362" s="260"/>
      <c r="JIZ362" s="254"/>
      <c r="JJA362" s="615"/>
      <c r="JJB362" s="256"/>
      <c r="JJC362" s="322"/>
      <c r="JJD362" s="356"/>
      <c r="JJE362" s="258"/>
      <c r="JJF362" s="616"/>
      <c r="JJG362" s="260"/>
      <c r="JJI362" s="254"/>
      <c r="JJJ362" s="615"/>
      <c r="JJK362" s="256"/>
      <c r="JJL362" s="322"/>
      <c r="JJM362" s="356"/>
      <c r="JJN362" s="258"/>
      <c r="JJO362" s="616"/>
      <c r="JJP362" s="260"/>
      <c r="JJR362" s="254"/>
      <c r="JJS362" s="615"/>
      <c r="JJT362" s="256"/>
      <c r="JJU362" s="322"/>
      <c r="JJV362" s="356"/>
      <c r="JJW362" s="258"/>
      <c r="JJX362" s="616"/>
      <c r="JJY362" s="260"/>
      <c r="JKA362" s="254"/>
      <c r="JKB362" s="615"/>
      <c r="JKC362" s="256"/>
      <c r="JKD362" s="322"/>
      <c r="JKE362" s="356"/>
      <c r="JKF362" s="258"/>
      <c r="JKG362" s="616"/>
      <c r="JKH362" s="260"/>
      <c r="JKJ362" s="254"/>
      <c r="JKK362" s="615"/>
      <c r="JKL362" s="256"/>
      <c r="JKM362" s="322"/>
      <c r="JKN362" s="356"/>
      <c r="JKO362" s="258"/>
      <c r="JKP362" s="616"/>
      <c r="JKQ362" s="260"/>
      <c r="JKS362" s="254"/>
      <c r="JKT362" s="615"/>
      <c r="JKU362" s="256"/>
      <c r="JKV362" s="322"/>
      <c r="JKW362" s="356"/>
      <c r="JKX362" s="258"/>
      <c r="JKY362" s="616"/>
      <c r="JKZ362" s="260"/>
      <c r="JLB362" s="254"/>
      <c r="JLC362" s="615"/>
      <c r="JLD362" s="256"/>
      <c r="JLE362" s="322"/>
      <c r="JLF362" s="356"/>
      <c r="JLG362" s="258"/>
      <c r="JLH362" s="616"/>
      <c r="JLI362" s="260"/>
      <c r="JLK362" s="254"/>
      <c r="JLL362" s="615"/>
      <c r="JLM362" s="256"/>
      <c r="JLN362" s="322"/>
      <c r="JLO362" s="356"/>
      <c r="JLP362" s="258"/>
      <c r="JLQ362" s="616"/>
      <c r="JLR362" s="260"/>
      <c r="JLT362" s="254"/>
      <c r="JLU362" s="615"/>
      <c r="JLV362" s="256"/>
      <c r="JLW362" s="322"/>
      <c r="JLX362" s="356"/>
      <c r="JLY362" s="258"/>
      <c r="JLZ362" s="616"/>
      <c r="JMA362" s="260"/>
      <c r="JMC362" s="254"/>
      <c r="JMD362" s="615"/>
      <c r="JME362" s="256"/>
      <c r="JMF362" s="322"/>
      <c r="JMG362" s="356"/>
      <c r="JMH362" s="258"/>
      <c r="JMI362" s="616"/>
      <c r="JMJ362" s="260"/>
      <c r="JML362" s="254"/>
      <c r="JMM362" s="615"/>
      <c r="JMN362" s="256"/>
      <c r="JMO362" s="322"/>
      <c r="JMP362" s="356"/>
      <c r="JMQ362" s="258"/>
      <c r="JMR362" s="616"/>
      <c r="JMS362" s="260"/>
      <c r="JMU362" s="254"/>
      <c r="JMV362" s="615"/>
      <c r="JMW362" s="256"/>
      <c r="JMX362" s="322"/>
      <c r="JMY362" s="356"/>
      <c r="JMZ362" s="258"/>
      <c r="JNA362" s="616"/>
      <c r="JNB362" s="260"/>
      <c r="JND362" s="254"/>
      <c r="JNE362" s="615"/>
      <c r="JNF362" s="256"/>
      <c r="JNG362" s="322"/>
      <c r="JNH362" s="356"/>
      <c r="JNI362" s="258"/>
      <c r="JNJ362" s="616"/>
      <c r="JNK362" s="260"/>
      <c r="JNM362" s="254"/>
      <c r="JNN362" s="615"/>
      <c r="JNO362" s="256"/>
      <c r="JNP362" s="322"/>
      <c r="JNQ362" s="356"/>
      <c r="JNR362" s="258"/>
      <c r="JNS362" s="616"/>
      <c r="JNT362" s="260"/>
      <c r="JNV362" s="254"/>
      <c r="JNW362" s="615"/>
      <c r="JNX362" s="256"/>
      <c r="JNY362" s="322"/>
      <c r="JNZ362" s="356"/>
      <c r="JOA362" s="258"/>
      <c r="JOB362" s="616"/>
      <c r="JOC362" s="260"/>
      <c r="JOE362" s="254"/>
      <c r="JOF362" s="615"/>
      <c r="JOG362" s="256"/>
      <c r="JOH362" s="322"/>
      <c r="JOI362" s="356"/>
      <c r="JOJ362" s="258"/>
      <c r="JOK362" s="616"/>
      <c r="JOL362" s="260"/>
      <c r="JON362" s="254"/>
      <c r="JOO362" s="615"/>
      <c r="JOP362" s="256"/>
      <c r="JOQ362" s="322"/>
      <c r="JOR362" s="356"/>
      <c r="JOS362" s="258"/>
      <c r="JOT362" s="616"/>
      <c r="JOU362" s="260"/>
      <c r="JOW362" s="254"/>
      <c r="JOX362" s="615"/>
      <c r="JOY362" s="256"/>
      <c r="JOZ362" s="322"/>
      <c r="JPA362" s="356"/>
      <c r="JPB362" s="258"/>
      <c r="JPC362" s="616"/>
      <c r="JPD362" s="260"/>
      <c r="JPF362" s="254"/>
      <c r="JPG362" s="615"/>
      <c r="JPH362" s="256"/>
      <c r="JPI362" s="322"/>
      <c r="JPJ362" s="356"/>
      <c r="JPK362" s="258"/>
      <c r="JPL362" s="616"/>
      <c r="JPM362" s="260"/>
      <c r="JPO362" s="254"/>
      <c r="JPP362" s="615"/>
      <c r="JPQ362" s="256"/>
      <c r="JPR362" s="322"/>
      <c r="JPS362" s="356"/>
      <c r="JPT362" s="258"/>
      <c r="JPU362" s="616"/>
      <c r="JPV362" s="260"/>
      <c r="JPX362" s="254"/>
      <c r="JPY362" s="615"/>
      <c r="JPZ362" s="256"/>
      <c r="JQA362" s="322"/>
      <c r="JQB362" s="356"/>
      <c r="JQC362" s="258"/>
      <c r="JQD362" s="616"/>
      <c r="JQE362" s="260"/>
      <c r="JQG362" s="254"/>
      <c r="JQH362" s="615"/>
      <c r="JQI362" s="256"/>
      <c r="JQJ362" s="322"/>
      <c r="JQK362" s="356"/>
      <c r="JQL362" s="258"/>
      <c r="JQM362" s="616"/>
      <c r="JQN362" s="260"/>
      <c r="JQP362" s="254"/>
      <c r="JQQ362" s="615"/>
      <c r="JQR362" s="256"/>
      <c r="JQS362" s="322"/>
      <c r="JQT362" s="356"/>
      <c r="JQU362" s="258"/>
      <c r="JQV362" s="616"/>
      <c r="JQW362" s="260"/>
      <c r="JQY362" s="254"/>
      <c r="JQZ362" s="615"/>
      <c r="JRA362" s="256"/>
      <c r="JRB362" s="322"/>
      <c r="JRC362" s="356"/>
      <c r="JRD362" s="258"/>
      <c r="JRE362" s="616"/>
      <c r="JRF362" s="260"/>
      <c r="JRH362" s="254"/>
      <c r="JRI362" s="615"/>
      <c r="JRJ362" s="256"/>
      <c r="JRK362" s="322"/>
      <c r="JRL362" s="356"/>
      <c r="JRM362" s="258"/>
      <c r="JRN362" s="616"/>
      <c r="JRO362" s="260"/>
      <c r="JRQ362" s="254"/>
      <c r="JRR362" s="615"/>
      <c r="JRS362" s="256"/>
      <c r="JRT362" s="322"/>
      <c r="JRU362" s="356"/>
      <c r="JRV362" s="258"/>
      <c r="JRW362" s="616"/>
      <c r="JRX362" s="260"/>
      <c r="JRZ362" s="254"/>
      <c r="JSA362" s="615"/>
      <c r="JSB362" s="256"/>
      <c r="JSC362" s="322"/>
      <c r="JSD362" s="356"/>
      <c r="JSE362" s="258"/>
      <c r="JSF362" s="616"/>
      <c r="JSG362" s="260"/>
      <c r="JSI362" s="254"/>
      <c r="JSJ362" s="615"/>
      <c r="JSK362" s="256"/>
      <c r="JSL362" s="322"/>
      <c r="JSM362" s="356"/>
      <c r="JSN362" s="258"/>
      <c r="JSO362" s="616"/>
      <c r="JSP362" s="260"/>
      <c r="JSR362" s="254"/>
      <c r="JSS362" s="615"/>
      <c r="JST362" s="256"/>
      <c r="JSU362" s="322"/>
      <c r="JSV362" s="356"/>
      <c r="JSW362" s="258"/>
      <c r="JSX362" s="616"/>
      <c r="JSY362" s="260"/>
      <c r="JTA362" s="254"/>
      <c r="JTB362" s="615"/>
      <c r="JTC362" s="256"/>
      <c r="JTD362" s="322"/>
      <c r="JTE362" s="356"/>
      <c r="JTF362" s="258"/>
      <c r="JTG362" s="616"/>
      <c r="JTH362" s="260"/>
      <c r="JTJ362" s="254"/>
      <c r="JTK362" s="615"/>
      <c r="JTL362" s="256"/>
      <c r="JTM362" s="322"/>
      <c r="JTN362" s="356"/>
      <c r="JTO362" s="258"/>
      <c r="JTP362" s="616"/>
      <c r="JTQ362" s="260"/>
      <c r="JTS362" s="254"/>
      <c r="JTT362" s="615"/>
      <c r="JTU362" s="256"/>
      <c r="JTV362" s="322"/>
      <c r="JTW362" s="356"/>
      <c r="JTX362" s="258"/>
      <c r="JTY362" s="616"/>
      <c r="JTZ362" s="260"/>
      <c r="JUB362" s="254"/>
      <c r="JUC362" s="615"/>
      <c r="JUD362" s="256"/>
      <c r="JUE362" s="322"/>
      <c r="JUF362" s="356"/>
      <c r="JUG362" s="258"/>
      <c r="JUH362" s="616"/>
      <c r="JUI362" s="260"/>
      <c r="JUK362" s="254"/>
      <c r="JUL362" s="615"/>
      <c r="JUM362" s="256"/>
      <c r="JUN362" s="322"/>
      <c r="JUO362" s="356"/>
      <c r="JUP362" s="258"/>
      <c r="JUQ362" s="616"/>
      <c r="JUR362" s="260"/>
      <c r="JUT362" s="254"/>
      <c r="JUU362" s="615"/>
      <c r="JUV362" s="256"/>
      <c r="JUW362" s="322"/>
      <c r="JUX362" s="356"/>
      <c r="JUY362" s="258"/>
      <c r="JUZ362" s="616"/>
      <c r="JVA362" s="260"/>
      <c r="JVC362" s="254"/>
      <c r="JVD362" s="615"/>
      <c r="JVE362" s="256"/>
      <c r="JVF362" s="322"/>
      <c r="JVG362" s="356"/>
      <c r="JVH362" s="258"/>
      <c r="JVI362" s="616"/>
      <c r="JVJ362" s="260"/>
      <c r="JVL362" s="254"/>
      <c r="JVM362" s="615"/>
      <c r="JVN362" s="256"/>
      <c r="JVO362" s="322"/>
      <c r="JVP362" s="356"/>
      <c r="JVQ362" s="258"/>
      <c r="JVR362" s="616"/>
      <c r="JVS362" s="260"/>
      <c r="JVU362" s="254"/>
      <c r="JVV362" s="615"/>
      <c r="JVW362" s="256"/>
      <c r="JVX362" s="322"/>
      <c r="JVY362" s="356"/>
      <c r="JVZ362" s="258"/>
      <c r="JWA362" s="616"/>
      <c r="JWB362" s="260"/>
      <c r="JWD362" s="254"/>
      <c r="JWE362" s="615"/>
      <c r="JWF362" s="256"/>
      <c r="JWG362" s="322"/>
      <c r="JWH362" s="356"/>
      <c r="JWI362" s="258"/>
      <c r="JWJ362" s="616"/>
      <c r="JWK362" s="260"/>
      <c r="JWM362" s="254"/>
      <c r="JWN362" s="615"/>
      <c r="JWO362" s="256"/>
      <c r="JWP362" s="322"/>
      <c r="JWQ362" s="356"/>
      <c r="JWR362" s="258"/>
      <c r="JWS362" s="616"/>
      <c r="JWT362" s="260"/>
      <c r="JWV362" s="254"/>
      <c r="JWW362" s="615"/>
      <c r="JWX362" s="256"/>
      <c r="JWY362" s="322"/>
      <c r="JWZ362" s="356"/>
      <c r="JXA362" s="258"/>
      <c r="JXB362" s="616"/>
      <c r="JXC362" s="260"/>
      <c r="JXE362" s="254"/>
      <c r="JXF362" s="615"/>
      <c r="JXG362" s="256"/>
      <c r="JXH362" s="322"/>
      <c r="JXI362" s="356"/>
      <c r="JXJ362" s="258"/>
      <c r="JXK362" s="616"/>
      <c r="JXL362" s="260"/>
      <c r="JXN362" s="254"/>
      <c r="JXO362" s="615"/>
      <c r="JXP362" s="256"/>
      <c r="JXQ362" s="322"/>
      <c r="JXR362" s="356"/>
      <c r="JXS362" s="258"/>
      <c r="JXT362" s="616"/>
      <c r="JXU362" s="260"/>
      <c r="JXW362" s="254"/>
      <c r="JXX362" s="615"/>
      <c r="JXY362" s="256"/>
      <c r="JXZ362" s="322"/>
      <c r="JYA362" s="356"/>
      <c r="JYB362" s="258"/>
      <c r="JYC362" s="616"/>
      <c r="JYD362" s="260"/>
      <c r="JYF362" s="254"/>
      <c r="JYG362" s="615"/>
      <c r="JYH362" s="256"/>
      <c r="JYI362" s="322"/>
      <c r="JYJ362" s="356"/>
      <c r="JYK362" s="258"/>
      <c r="JYL362" s="616"/>
      <c r="JYM362" s="260"/>
      <c r="JYO362" s="254"/>
      <c r="JYP362" s="615"/>
      <c r="JYQ362" s="256"/>
      <c r="JYR362" s="322"/>
      <c r="JYS362" s="356"/>
      <c r="JYT362" s="258"/>
      <c r="JYU362" s="616"/>
      <c r="JYV362" s="260"/>
      <c r="JYX362" s="254"/>
      <c r="JYY362" s="615"/>
      <c r="JYZ362" s="256"/>
      <c r="JZA362" s="322"/>
      <c r="JZB362" s="356"/>
      <c r="JZC362" s="258"/>
      <c r="JZD362" s="616"/>
      <c r="JZE362" s="260"/>
      <c r="JZG362" s="254"/>
      <c r="JZH362" s="615"/>
      <c r="JZI362" s="256"/>
      <c r="JZJ362" s="322"/>
      <c r="JZK362" s="356"/>
      <c r="JZL362" s="258"/>
      <c r="JZM362" s="616"/>
      <c r="JZN362" s="260"/>
      <c r="JZP362" s="254"/>
      <c r="JZQ362" s="615"/>
      <c r="JZR362" s="256"/>
      <c r="JZS362" s="322"/>
      <c r="JZT362" s="356"/>
      <c r="JZU362" s="258"/>
      <c r="JZV362" s="616"/>
      <c r="JZW362" s="260"/>
      <c r="JZY362" s="254"/>
      <c r="JZZ362" s="615"/>
      <c r="KAA362" s="256"/>
      <c r="KAB362" s="322"/>
      <c r="KAC362" s="356"/>
      <c r="KAD362" s="258"/>
      <c r="KAE362" s="616"/>
      <c r="KAF362" s="260"/>
      <c r="KAH362" s="254"/>
      <c r="KAI362" s="615"/>
      <c r="KAJ362" s="256"/>
      <c r="KAK362" s="322"/>
      <c r="KAL362" s="356"/>
      <c r="KAM362" s="258"/>
      <c r="KAN362" s="616"/>
      <c r="KAO362" s="260"/>
      <c r="KAQ362" s="254"/>
      <c r="KAR362" s="615"/>
      <c r="KAS362" s="256"/>
      <c r="KAT362" s="322"/>
      <c r="KAU362" s="356"/>
      <c r="KAV362" s="258"/>
      <c r="KAW362" s="616"/>
      <c r="KAX362" s="260"/>
      <c r="KAZ362" s="254"/>
      <c r="KBA362" s="615"/>
      <c r="KBB362" s="256"/>
      <c r="KBC362" s="322"/>
      <c r="KBD362" s="356"/>
      <c r="KBE362" s="258"/>
      <c r="KBF362" s="616"/>
      <c r="KBG362" s="260"/>
      <c r="KBI362" s="254"/>
      <c r="KBJ362" s="615"/>
      <c r="KBK362" s="256"/>
      <c r="KBL362" s="322"/>
      <c r="KBM362" s="356"/>
      <c r="KBN362" s="258"/>
      <c r="KBO362" s="616"/>
      <c r="KBP362" s="260"/>
      <c r="KBR362" s="254"/>
      <c r="KBS362" s="615"/>
      <c r="KBT362" s="256"/>
      <c r="KBU362" s="322"/>
      <c r="KBV362" s="356"/>
      <c r="KBW362" s="258"/>
      <c r="KBX362" s="616"/>
      <c r="KBY362" s="260"/>
      <c r="KCA362" s="254"/>
      <c r="KCB362" s="615"/>
      <c r="KCC362" s="256"/>
      <c r="KCD362" s="322"/>
      <c r="KCE362" s="356"/>
      <c r="KCF362" s="258"/>
      <c r="KCG362" s="616"/>
      <c r="KCH362" s="260"/>
      <c r="KCJ362" s="254"/>
      <c r="KCK362" s="615"/>
      <c r="KCL362" s="256"/>
      <c r="KCM362" s="322"/>
      <c r="KCN362" s="356"/>
      <c r="KCO362" s="258"/>
      <c r="KCP362" s="616"/>
      <c r="KCQ362" s="260"/>
      <c r="KCS362" s="254"/>
      <c r="KCT362" s="615"/>
      <c r="KCU362" s="256"/>
      <c r="KCV362" s="322"/>
      <c r="KCW362" s="356"/>
      <c r="KCX362" s="258"/>
      <c r="KCY362" s="616"/>
      <c r="KCZ362" s="260"/>
      <c r="KDB362" s="254"/>
      <c r="KDC362" s="615"/>
      <c r="KDD362" s="256"/>
      <c r="KDE362" s="322"/>
      <c r="KDF362" s="356"/>
      <c r="KDG362" s="258"/>
      <c r="KDH362" s="616"/>
      <c r="KDI362" s="260"/>
      <c r="KDK362" s="254"/>
      <c r="KDL362" s="615"/>
      <c r="KDM362" s="256"/>
      <c r="KDN362" s="322"/>
      <c r="KDO362" s="356"/>
      <c r="KDP362" s="258"/>
      <c r="KDQ362" s="616"/>
      <c r="KDR362" s="260"/>
      <c r="KDT362" s="254"/>
      <c r="KDU362" s="615"/>
      <c r="KDV362" s="256"/>
      <c r="KDW362" s="322"/>
      <c r="KDX362" s="356"/>
      <c r="KDY362" s="258"/>
      <c r="KDZ362" s="616"/>
      <c r="KEA362" s="260"/>
      <c r="KEC362" s="254"/>
      <c r="KED362" s="615"/>
      <c r="KEE362" s="256"/>
      <c r="KEF362" s="322"/>
      <c r="KEG362" s="356"/>
      <c r="KEH362" s="258"/>
      <c r="KEI362" s="616"/>
      <c r="KEJ362" s="260"/>
      <c r="KEL362" s="254"/>
      <c r="KEM362" s="615"/>
      <c r="KEN362" s="256"/>
      <c r="KEO362" s="322"/>
      <c r="KEP362" s="356"/>
      <c r="KEQ362" s="258"/>
      <c r="KER362" s="616"/>
      <c r="KES362" s="260"/>
      <c r="KEU362" s="254"/>
      <c r="KEV362" s="615"/>
      <c r="KEW362" s="256"/>
      <c r="KEX362" s="322"/>
      <c r="KEY362" s="356"/>
      <c r="KEZ362" s="258"/>
      <c r="KFA362" s="616"/>
      <c r="KFB362" s="260"/>
      <c r="KFD362" s="254"/>
      <c r="KFE362" s="615"/>
      <c r="KFF362" s="256"/>
      <c r="KFG362" s="322"/>
      <c r="KFH362" s="356"/>
      <c r="KFI362" s="258"/>
      <c r="KFJ362" s="616"/>
      <c r="KFK362" s="260"/>
      <c r="KFM362" s="254"/>
      <c r="KFN362" s="615"/>
      <c r="KFO362" s="256"/>
      <c r="KFP362" s="322"/>
      <c r="KFQ362" s="356"/>
      <c r="KFR362" s="258"/>
      <c r="KFS362" s="616"/>
      <c r="KFT362" s="260"/>
      <c r="KFV362" s="254"/>
      <c r="KFW362" s="615"/>
      <c r="KFX362" s="256"/>
      <c r="KFY362" s="322"/>
      <c r="KFZ362" s="356"/>
      <c r="KGA362" s="258"/>
      <c r="KGB362" s="616"/>
      <c r="KGC362" s="260"/>
      <c r="KGE362" s="254"/>
      <c r="KGF362" s="615"/>
      <c r="KGG362" s="256"/>
      <c r="KGH362" s="322"/>
      <c r="KGI362" s="356"/>
      <c r="KGJ362" s="258"/>
      <c r="KGK362" s="616"/>
      <c r="KGL362" s="260"/>
      <c r="KGN362" s="254"/>
      <c r="KGO362" s="615"/>
      <c r="KGP362" s="256"/>
      <c r="KGQ362" s="322"/>
      <c r="KGR362" s="356"/>
      <c r="KGS362" s="258"/>
      <c r="KGT362" s="616"/>
      <c r="KGU362" s="260"/>
      <c r="KGW362" s="254"/>
      <c r="KGX362" s="615"/>
      <c r="KGY362" s="256"/>
      <c r="KGZ362" s="322"/>
      <c r="KHA362" s="356"/>
      <c r="KHB362" s="258"/>
      <c r="KHC362" s="616"/>
      <c r="KHD362" s="260"/>
      <c r="KHF362" s="254"/>
      <c r="KHG362" s="615"/>
      <c r="KHH362" s="256"/>
      <c r="KHI362" s="322"/>
      <c r="KHJ362" s="356"/>
      <c r="KHK362" s="258"/>
      <c r="KHL362" s="616"/>
      <c r="KHM362" s="260"/>
      <c r="KHO362" s="254"/>
      <c r="KHP362" s="615"/>
      <c r="KHQ362" s="256"/>
      <c r="KHR362" s="322"/>
      <c r="KHS362" s="356"/>
      <c r="KHT362" s="258"/>
      <c r="KHU362" s="616"/>
      <c r="KHV362" s="260"/>
      <c r="KHX362" s="254"/>
      <c r="KHY362" s="615"/>
      <c r="KHZ362" s="256"/>
      <c r="KIA362" s="322"/>
      <c r="KIB362" s="356"/>
      <c r="KIC362" s="258"/>
      <c r="KID362" s="616"/>
      <c r="KIE362" s="260"/>
      <c r="KIG362" s="254"/>
      <c r="KIH362" s="615"/>
      <c r="KII362" s="256"/>
      <c r="KIJ362" s="322"/>
      <c r="KIK362" s="356"/>
      <c r="KIL362" s="258"/>
      <c r="KIM362" s="616"/>
      <c r="KIN362" s="260"/>
      <c r="KIP362" s="254"/>
      <c r="KIQ362" s="615"/>
      <c r="KIR362" s="256"/>
      <c r="KIS362" s="322"/>
      <c r="KIT362" s="356"/>
      <c r="KIU362" s="258"/>
      <c r="KIV362" s="616"/>
      <c r="KIW362" s="260"/>
      <c r="KIY362" s="254"/>
      <c r="KIZ362" s="615"/>
      <c r="KJA362" s="256"/>
      <c r="KJB362" s="322"/>
      <c r="KJC362" s="356"/>
      <c r="KJD362" s="258"/>
      <c r="KJE362" s="616"/>
      <c r="KJF362" s="260"/>
      <c r="KJH362" s="254"/>
      <c r="KJI362" s="615"/>
      <c r="KJJ362" s="256"/>
      <c r="KJK362" s="322"/>
      <c r="KJL362" s="356"/>
      <c r="KJM362" s="258"/>
      <c r="KJN362" s="616"/>
      <c r="KJO362" s="260"/>
      <c r="KJQ362" s="254"/>
      <c r="KJR362" s="615"/>
      <c r="KJS362" s="256"/>
      <c r="KJT362" s="322"/>
      <c r="KJU362" s="356"/>
      <c r="KJV362" s="258"/>
      <c r="KJW362" s="616"/>
      <c r="KJX362" s="260"/>
      <c r="KJZ362" s="254"/>
      <c r="KKA362" s="615"/>
      <c r="KKB362" s="256"/>
      <c r="KKC362" s="322"/>
      <c r="KKD362" s="356"/>
      <c r="KKE362" s="258"/>
      <c r="KKF362" s="616"/>
      <c r="KKG362" s="260"/>
      <c r="KKI362" s="254"/>
      <c r="KKJ362" s="615"/>
      <c r="KKK362" s="256"/>
      <c r="KKL362" s="322"/>
      <c r="KKM362" s="356"/>
      <c r="KKN362" s="258"/>
      <c r="KKO362" s="616"/>
      <c r="KKP362" s="260"/>
      <c r="KKR362" s="254"/>
      <c r="KKS362" s="615"/>
      <c r="KKT362" s="256"/>
      <c r="KKU362" s="322"/>
      <c r="KKV362" s="356"/>
      <c r="KKW362" s="258"/>
      <c r="KKX362" s="616"/>
      <c r="KKY362" s="260"/>
      <c r="KLA362" s="254"/>
      <c r="KLB362" s="615"/>
      <c r="KLC362" s="256"/>
      <c r="KLD362" s="322"/>
      <c r="KLE362" s="356"/>
      <c r="KLF362" s="258"/>
      <c r="KLG362" s="616"/>
      <c r="KLH362" s="260"/>
      <c r="KLJ362" s="254"/>
      <c r="KLK362" s="615"/>
      <c r="KLL362" s="256"/>
      <c r="KLM362" s="322"/>
      <c r="KLN362" s="356"/>
      <c r="KLO362" s="258"/>
      <c r="KLP362" s="616"/>
      <c r="KLQ362" s="260"/>
      <c r="KLS362" s="254"/>
      <c r="KLT362" s="615"/>
      <c r="KLU362" s="256"/>
      <c r="KLV362" s="322"/>
      <c r="KLW362" s="356"/>
      <c r="KLX362" s="258"/>
      <c r="KLY362" s="616"/>
      <c r="KLZ362" s="260"/>
      <c r="KMB362" s="254"/>
      <c r="KMC362" s="615"/>
      <c r="KMD362" s="256"/>
      <c r="KME362" s="322"/>
      <c r="KMF362" s="356"/>
      <c r="KMG362" s="258"/>
      <c r="KMH362" s="616"/>
      <c r="KMI362" s="260"/>
      <c r="KMK362" s="254"/>
      <c r="KML362" s="615"/>
      <c r="KMM362" s="256"/>
      <c r="KMN362" s="322"/>
      <c r="KMO362" s="356"/>
      <c r="KMP362" s="258"/>
      <c r="KMQ362" s="616"/>
      <c r="KMR362" s="260"/>
      <c r="KMT362" s="254"/>
      <c r="KMU362" s="615"/>
      <c r="KMV362" s="256"/>
      <c r="KMW362" s="322"/>
      <c r="KMX362" s="356"/>
      <c r="KMY362" s="258"/>
      <c r="KMZ362" s="616"/>
      <c r="KNA362" s="260"/>
      <c r="KNC362" s="254"/>
      <c r="KND362" s="615"/>
      <c r="KNE362" s="256"/>
      <c r="KNF362" s="322"/>
      <c r="KNG362" s="356"/>
      <c r="KNH362" s="258"/>
      <c r="KNI362" s="616"/>
      <c r="KNJ362" s="260"/>
      <c r="KNL362" s="254"/>
      <c r="KNM362" s="615"/>
      <c r="KNN362" s="256"/>
      <c r="KNO362" s="322"/>
      <c r="KNP362" s="356"/>
      <c r="KNQ362" s="258"/>
      <c r="KNR362" s="616"/>
      <c r="KNS362" s="260"/>
      <c r="KNU362" s="254"/>
      <c r="KNV362" s="615"/>
      <c r="KNW362" s="256"/>
      <c r="KNX362" s="322"/>
      <c r="KNY362" s="356"/>
      <c r="KNZ362" s="258"/>
      <c r="KOA362" s="616"/>
      <c r="KOB362" s="260"/>
      <c r="KOD362" s="254"/>
      <c r="KOE362" s="615"/>
      <c r="KOF362" s="256"/>
      <c r="KOG362" s="322"/>
      <c r="KOH362" s="356"/>
      <c r="KOI362" s="258"/>
      <c r="KOJ362" s="616"/>
      <c r="KOK362" s="260"/>
      <c r="KOM362" s="254"/>
      <c r="KON362" s="615"/>
      <c r="KOO362" s="256"/>
      <c r="KOP362" s="322"/>
      <c r="KOQ362" s="356"/>
      <c r="KOR362" s="258"/>
      <c r="KOS362" s="616"/>
      <c r="KOT362" s="260"/>
      <c r="KOV362" s="254"/>
      <c r="KOW362" s="615"/>
      <c r="KOX362" s="256"/>
      <c r="KOY362" s="322"/>
      <c r="KOZ362" s="356"/>
      <c r="KPA362" s="258"/>
      <c r="KPB362" s="616"/>
      <c r="KPC362" s="260"/>
      <c r="KPE362" s="254"/>
      <c r="KPF362" s="615"/>
      <c r="KPG362" s="256"/>
      <c r="KPH362" s="322"/>
      <c r="KPI362" s="356"/>
      <c r="KPJ362" s="258"/>
      <c r="KPK362" s="616"/>
      <c r="KPL362" s="260"/>
      <c r="KPN362" s="254"/>
      <c r="KPO362" s="615"/>
      <c r="KPP362" s="256"/>
      <c r="KPQ362" s="322"/>
      <c r="KPR362" s="356"/>
      <c r="KPS362" s="258"/>
      <c r="KPT362" s="616"/>
      <c r="KPU362" s="260"/>
      <c r="KPW362" s="254"/>
      <c r="KPX362" s="615"/>
      <c r="KPY362" s="256"/>
      <c r="KPZ362" s="322"/>
      <c r="KQA362" s="356"/>
      <c r="KQB362" s="258"/>
      <c r="KQC362" s="616"/>
      <c r="KQD362" s="260"/>
      <c r="KQF362" s="254"/>
      <c r="KQG362" s="615"/>
      <c r="KQH362" s="256"/>
      <c r="KQI362" s="322"/>
      <c r="KQJ362" s="356"/>
      <c r="KQK362" s="258"/>
      <c r="KQL362" s="616"/>
      <c r="KQM362" s="260"/>
      <c r="KQO362" s="254"/>
      <c r="KQP362" s="615"/>
      <c r="KQQ362" s="256"/>
      <c r="KQR362" s="322"/>
      <c r="KQS362" s="356"/>
      <c r="KQT362" s="258"/>
      <c r="KQU362" s="616"/>
      <c r="KQV362" s="260"/>
      <c r="KQX362" s="254"/>
      <c r="KQY362" s="615"/>
      <c r="KQZ362" s="256"/>
      <c r="KRA362" s="322"/>
      <c r="KRB362" s="356"/>
      <c r="KRC362" s="258"/>
      <c r="KRD362" s="616"/>
      <c r="KRE362" s="260"/>
      <c r="KRG362" s="254"/>
      <c r="KRH362" s="615"/>
      <c r="KRI362" s="256"/>
      <c r="KRJ362" s="322"/>
      <c r="KRK362" s="356"/>
      <c r="KRL362" s="258"/>
      <c r="KRM362" s="616"/>
      <c r="KRN362" s="260"/>
      <c r="KRP362" s="254"/>
      <c r="KRQ362" s="615"/>
      <c r="KRR362" s="256"/>
      <c r="KRS362" s="322"/>
      <c r="KRT362" s="356"/>
      <c r="KRU362" s="258"/>
      <c r="KRV362" s="616"/>
      <c r="KRW362" s="260"/>
      <c r="KRY362" s="254"/>
      <c r="KRZ362" s="615"/>
      <c r="KSA362" s="256"/>
      <c r="KSB362" s="322"/>
      <c r="KSC362" s="356"/>
      <c r="KSD362" s="258"/>
      <c r="KSE362" s="616"/>
      <c r="KSF362" s="260"/>
      <c r="KSH362" s="254"/>
      <c r="KSI362" s="615"/>
      <c r="KSJ362" s="256"/>
      <c r="KSK362" s="322"/>
      <c r="KSL362" s="356"/>
      <c r="KSM362" s="258"/>
      <c r="KSN362" s="616"/>
      <c r="KSO362" s="260"/>
      <c r="KSQ362" s="254"/>
      <c r="KSR362" s="615"/>
      <c r="KSS362" s="256"/>
      <c r="KST362" s="322"/>
      <c r="KSU362" s="356"/>
      <c r="KSV362" s="258"/>
      <c r="KSW362" s="616"/>
      <c r="KSX362" s="260"/>
      <c r="KSZ362" s="254"/>
      <c r="KTA362" s="615"/>
      <c r="KTB362" s="256"/>
      <c r="KTC362" s="322"/>
      <c r="KTD362" s="356"/>
      <c r="KTE362" s="258"/>
      <c r="KTF362" s="616"/>
      <c r="KTG362" s="260"/>
      <c r="KTI362" s="254"/>
      <c r="KTJ362" s="615"/>
      <c r="KTK362" s="256"/>
      <c r="KTL362" s="322"/>
      <c r="KTM362" s="356"/>
      <c r="KTN362" s="258"/>
      <c r="KTO362" s="616"/>
      <c r="KTP362" s="260"/>
      <c r="KTR362" s="254"/>
      <c r="KTS362" s="615"/>
      <c r="KTT362" s="256"/>
      <c r="KTU362" s="322"/>
      <c r="KTV362" s="356"/>
      <c r="KTW362" s="258"/>
      <c r="KTX362" s="616"/>
      <c r="KTY362" s="260"/>
      <c r="KUA362" s="254"/>
      <c r="KUB362" s="615"/>
      <c r="KUC362" s="256"/>
      <c r="KUD362" s="322"/>
      <c r="KUE362" s="356"/>
      <c r="KUF362" s="258"/>
      <c r="KUG362" s="616"/>
      <c r="KUH362" s="260"/>
      <c r="KUJ362" s="254"/>
      <c r="KUK362" s="615"/>
      <c r="KUL362" s="256"/>
      <c r="KUM362" s="322"/>
      <c r="KUN362" s="356"/>
      <c r="KUO362" s="258"/>
      <c r="KUP362" s="616"/>
      <c r="KUQ362" s="260"/>
      <c r="KUS362" s="254"/>
      <c r="KUT362" s="615"/>
      <c r="KUU362" s="256"/>
      <c r="KUV362" s="322"/>
      <c r="KUW362" s="356"/>
      <c r="KUX362" s="258"/>
      <c r="KUY362" s="616"/>
      <c r="KUZ362" s="260"/>
      <c r="KVB362" s="254"/>
      <c r="KVC362" s="615"/>
      <c r="KVD362" s="256"/>
      <c r="KVE362" s="322"/>
      <c r="KVF362" s="356"/>
      <c r="KVG362" s="258"/>
      <c r="KVH362" s="616"/>
      <c r="KVI362" s="260"/>
      <c r="KVK362" s="254"/>
      <c r="KVL362" s="615"/>
      <c r="KVM362" s="256"/>
      <c r="KVN362" s="322"/>
      <c r="KVO362" s="356"/>
      <c r="KVP362" s="258"/>
      <c r="KVQ362" s="616"/>
      <c r="KVR362" s="260"/>
      <c r="KVT362" s="254"/>
      <c r="KVU362" s="615"/>
      <c r="KVV362" s="256"/>
      <c r="KVW362" s="322"/>
      <c r="KVX362" s="356"/>
      <c r="KVY362" s="258"/>
      <c r="KVZ362" s="616"/>
      <c r="KWA362" s="260"/>
      <c r="KWC362" s="254"/>
      <c r="KWD362" s="615"/>
      <c r="KWE362" s="256"/>
      <c r="KWF362" s="322"/>
      <c r="KWG362" s="356"/>
      <c r="KWH362" s="258"/>
      <c r="KWI362" s="616"/>
      <c r="KWJ362" s="260"/>
      <c r="KWL362" s="254"/>
      <c r="KWM362" s="615"/>
      <c r="KWN362" s="256"/>
      <c r="KWO362" s="322"/>
      <c r="KWP362" s="356"/>
      <c r="KWQ362" s="258"/>
      <c r="KWR362" s="616"/>
      <c r="KWS362" s="260"/>
      <c r="KWU362" s="254"/>
      <c r="KWV362" s="615"/>
      <c r="KWW362" s="256"/>
      <c r="KWX362" s="322"/>
      <c r="KWY362" s="356"/>
      <c r="KWZ362" s="258"/>
      <c r="KXA362" s="616"/>
      <c r="KXB362" s="260"/>
      <c r="KXD362" s="254"/>
      <c r="KXE362" s="615"/>
      <c r="KXF362" s="256"/>
      <c r="KXG362" s="322"/>
      <c r="KXH362" s="356"/>
      <c r="KXI362" s="258"/>
      <c r="KXJ362" s="616"/>
      <c r="KXK362" s="260"/>
      <c r="KXM362" s="254"/>
      <c r="KXN362" s="615"/>
      <c r="KXO362" s="256"/>
      <c r="KXP362" s="322"/>
      <c r="KXQ362" s="356"/>
      <c r="KXR362" s="258"/>
      <c r="KXS362" s="616"/>
      <c r="KXT362" s="260"/>
      <c r="KXV362" s="254"/>
      <c r="KXW362" s="615"/>
      <c r="KXX362" s="256"/>
      <c r="KXY362" s="322"/>
      <c r="KXZ362" s="356"/>
      <c r="KYA362" s="258"/>
      <c r="KYB362" s="616"/>
      <c r="KYC362" s="260"/>
      <c r="KYE362" s="254"/>
      <c r="KYF362" s="615"/>
      <c r="KYG362" s="256"/>
      <c r="KYH362" s="322"/>
      <c r="KYI362" s="356"/>
      <c r="KYJ362" s="258"/>
      <c r="KYK362" s="616"/>
      <c r="KYL362" s="260"/>
      <c r="KYN362" s="254"/>
      <c r="KYO362" s="615"/>
      <c r="KYP362" s="256"/>
      <c r="KYQ362" s="322"/>
      <c r="KYR362" s="356"/>
      <c r="KYS362" s="258"/>
      <c r="KYT362" s="616"/>
      <c r="KYU362" s="260"/>
      <c r="KYW362" s="254"/>
      <c r="KYX362" s="615"/>
      <c r="KYY362" s="256"/>
      <c r="KYZ362" s="322"/>
      <c r="KZA362" s="356"/>
      <c r="KZB362" s="258"/>
      <c r="KZC362" s="616"/>
      <c r="KZD362" s="260"/>
      <c r="KZF362" s="254"/>
      <c r="KZG362" s="615"/>
      <c r="KZH362" s="256"/>
      <c r="KZI362" s="322"/>
      <c r="KZJ362" s="356"/>
      <c r="KZK362" s="258"/>
      <c r="KZL362" s="616"/>
      <c r="KZM362" s="260"/>
      <c r="KZO362" s="254"/>
      <c r="KZP362" s="615"/>
      <c r="KZQ362" s="256"/>
      <c r="KZR362" s="322"/>
      <c r="KZS362" s="356"/>
      <c r="KZT362" s="258"/>
      <c r="KZU362" s="616"/>
      <c r="KZV362" s="260"/>
      <c r="KZX362" s="254"/>
      <c r="KZY362" s="615"/>
      <c r="KZZ362" s="256"/>
      <c r="LAA362" s="322"/>
      <c r="LAB362" s="356"/>
      <c r="LAC362" s="258"/>
      <c r="LAD362" s="616"/>
      <c r="LAE362" s="260"/>
      <c r="LAG362" s="254"/>
      <c r="LAH362" s="615"/>
      <c r="LAI362" s="256"/>
      <c r="LAJ362" s="322"/>
      <c r="LAK362" s="356"/>
      <c r="LAL362" s="258"/>
      <c r="LAM362" s="616"/>
      <c r="LAN362" s="260"/>
      <c r="LAP362" s="254"/>
      <c r="LAQ362" s="615"/>
      <c r="LAR362" s="256"/>
      <c r="LAS362" s="322"/>
      <c r="LAT362" s="356"/>
      <c r="LAU362" s="258"/>
      <c r="LAV362" s="616"/>
      <c r="LAW362" s="260"/>
      <c r="LAY362" s="254"/>
      <c r="LAZ362" s="615"/>
      <c r="LBA362" s="256"/>
      <c r="LBB362" s="322"/>
      <c r="LBC362" s="356"/>
      <c r="LBD362" s="258"/>
      <c r="LBE362" s="616"/>
      <c r="LBF362" s="260"/>
      <c r="LBH362" s="254"/>
      <c r="LBI362" s="615"/>
      <c r="LBJ362" s="256"/>
      <c r="LBK362" s="322"/>
      <c r="LBL362" s="356"/>
      <c r="LBM362" s="258"/>
      <c r="LBN362" s="616"/>
      <c r="LBO362" s="260"/>
      <c r="LBQ362" s="254"/>
      <c r="LBR362" s="615"/>
      <c r="LBS362" s="256"/>
      <c r="LBT362" s="322"/>
      <c r="LBU362" s="356"/>
      <c r="LBV362" s="258"/>
      <c r="LBW362" s="616"/>
      <c r="LBX362" s="260"/>
      <c r="LBZ362" s="254"/>
      <c r="LCA362" s="615"/>
      <c r="LCB362" s="256"/>
      <c r="LCC362" s="322"/>
      <c r="LCD362" s="356"/>
      <c r="LCE362" s="258"/>
      <c r="LCF362" s="616"/>
      <c r="LCG362" s="260"/>
      <c r="LCI362" s="254"/>
      <c r="LCJ362" s="615"/>
      <c r="LCK362" s="256"/>
      <c r="LCL362" s="322"/>
      <c r="LCM362" s="356"/>
      <c r="LCN362" s="258"/>
      <c r="LCO362" s="616"/>
      <c r="LCP362" s="260"/>
      <c r="LCR362" s="254"/>
      <c r="LCS362" s="615"/>
      <c r="LCT362" s="256"/>
      <c r="LCU362" s="322"/>
      <c r="LCV362" s="356"/>
      <c r="LCW362" s="258"/>
      <c r="LCX362" s="616"/>
      <c r="LCY362" s="260"/>
      <c r="LDA362" s="254"/>
      <c r="LDB362" s="615"/>
      <c r="LDC362" s="256"/>
      <c r="LDD362" s="322"/>
      <c r="LDE362" s="356"/>
      <c r="LDF362" s="258"/>
      <c r="LDG362" s="616"/>
      <c r="LDH362" s="260"/>
      <c r="LDJ362" s="254"/>
      <c r="LDK362" s="615"/>
      <c r="LDL362" s="256"/>
      <c r="LDM362" s="322"/>
      <c r="LDN362" s="356"/>
      <c r="LDO362" s="258"/>
      <c r="LDP362" s="616"/>
      <c r="LDQ362" s="260"/>
      <c r="LDS362" s="254"/>
      <c r="LDT362" s="615"/>
      <c r="LDU362" s="256"/>
      <c r="LDV362" s="322"/>
      <c r="LDW362" s="356"/>
      <c r="LDX362" s="258"/>
      <c r="LDY362" s="616"/>
      <c r="LDZ362" s="260"/>
      <c r="LEB362" s="254"/>
      <c r="LEC362" s="615"/>
      <c r="LED362" s="256"/>
      <c r="LEE362" s="322"/>
      <c r="LEF362" s="356"/>
      <c r="LEG362" s="258"/>
      <c r="LEH362" s="616"/>
      <c r="LEI362" s="260"/>
      <c r="LEK362" s="254"/>
      <c r="LEL362" s="615"/>
      <c r="LEM362" s="256"/>
      <c r="LEN362" s="322"/>
      <c r="LEO362" s="356"/>
      <c r="LEP362" s="258"/>
      <c r="LEQ362" s="616"/>
      <c r="LER362" s="260"/>
      <c r="LET362" s="254"/>
      <c r="LEU362" s="615"/>
      <c r="LEV362" s="256"/>
      <c r="LEW362" s="322"/>
      <c r="LEX362" s="356"/>
      <c r="LEY362" s="258"/>
      <c r="LEZ362" s="616"/>
      <c r="LFA362" s="260"/>
      <c r="LFC362" s="254"/>
      <c r="LFD362" s="615"/>
      <c r="LFE362" s="256"/>
      <c r="LFF362" s="322"/>
      <c r="LFG362" s="356"/>
      <c r="LFH362" s="258"/>
      <c r="LFI362" s="616"/>
      <c r="LFJ362" s="260"/>
      <c r="LFL362" s="254"/>
      <c r="LFM362" s="615"/>
      <c r="LFN362" s="256"/>
      <c r="LFO362" s="322"/>
      <c r="LFP362" s="356"/>
      <c r="LFQ362" s="258"/>
      <c r="LFR362" s="616"/>
      <c r="LFS362" s="260"/>
      <c r="LFU362" s="254"/>
      <c r="LFV362" s="615"/>
      <c r="LFW362" s="256"/>
      <c r="LFX362" s="322"/>
      <c r="LFY362" s="356"/>
      <c r="LFZ362" s="258"/>
      <c r="LGA362" s="616"/>
      <c r="LGB362" s="260"/>
      <c r="LGD362" s="254"/>
      <c r="LGE362" s="615"/>
      <c r="LGF362" s="256"/>
      <c r="LGG362" s="322"/>
      <c r="LGH362" s="356"/>
      <c r="LGI362" s="258"/>
      <c r="LGJ362" s="616"/>
      <c r="LGK362" s="260"/>
      <c r="LGM362" s="254"/>
      <c r="LGN362" s="615"/>
      <c r="LGO362" s="256"/>
      <c r="LGP362" s="322"/>
      <c r="LGQ362" s="356"/>
      <c r="LGR362" s="258"/>
      <c r="LGS362" s="616"/>
      <c r="LGT362" s="260"/>
      <c r="LGV362" s="254"/>
      <c r="LGW362" s="615"/>
      <c r="LGX362" s="256"/>
      <c r="LGY362" s="322"/>
      <c r="LGZ362" s="356"/>
      <c r="LHA362" s="258"/>
      <c r="LHB362" s="616"/>
      <c r="LHC362" s="260"/>
      <c r="LHE362" s="254"/>
      <c r="LHF362" s="615"/>
      <c r="LHG362" s="256"/>
      <c r="LHH362" s="322"/>
      <c r="LHI362" s="356"/>
      <c r="LHJ362" s="258"/>
      <c r="LHK362" s="616"/>
      <c r="LHL362" s="260"/>
      <c r="LHN362" s="254"/>
      <c r="LHO362" s="615"/>
      <c r="LHP362" s="256"/>
      <c r="LHQ362" s="322"/>
      <c r="LHR362" s="356"/>
      <c r="LHS362" s="258"/>
      <c r="LHT362" s="616"/>
      <c r="LHU362" s="260"/>
      <c r="LHW362" s="254"/>
      <c r="LHX362" s="615"/>
      <c r="LHY362" s="256"/>
      <c r="LHZ362" s="322"/>
      <c r="LIA362" s="356"/>
      <c r="LIB362" s="258"/>
      <c r="LIC362" s="616"/>
      <c r="LID362" s="260"/>
      <c r="LIF362" s="254"/>
      <c r="LIG362" s="615"/>
      <c r="LIH362" s="256"/>
      <c r="LII362" s="322"/>
      <c r="LIJ362" s="356"/>
      <c r="LIK362" s="258"/>
      <c r="LIL362" s="616"/>
      <c r="LIM362" s="260"/>
      <c r="LIO362" s="254"/>
      <c r="LIP362" s="615"/>
      <c r="LIQ362" s="256"/>
      <c r="LIR362" s="322"/>
      <c r="LIS362" s="356"/>
      <c r="LIT362" s="258"/>
      <c r="LIU362" s="616"/>
      <c r="LIV362" s="260"/>
      <c r="LIX362" s="254"/>
      <c r="LIY362" s="615"/>
      <c r="LIZ362" s="256"/>
      <c r="LJA362" s="322"/>
      <c r="LJB362" s="356"/>
      <c r="LJC362" s="258"/>
      <c r="LJD362" s="616"/>
      <c r="LJE362" s="260"/>
      <c r="LJG362" s="254"/>
      <c r="LJH362" s="615"/>
      <c r="LJI362" s="256"/>
      <c r="LJJ362" s="322"/>
      <c r="LJK362" s="356"/>
      <c r="LJL362" s="258"/>
      <c r="LJM362" s="616"/>
      <c r="LJN362" s="260"/>
      <c r="LJP362" s="254"/>
      <c r="LJQ362" s="615"/>
      <c r="LJR362" s="256"/>
      <c r="LJS362" s="322"/>
      <c r="LJT362" s="356"/>
      <c r="LJU362" s="258"/>
      <c r="LJV362" s="616"/>
      <c r="LJW362" s="260"/>
      <c r="LJY362" s="254"/>
      <c r="LJZ362" s="615"/>
      <c r="LKA362" s="256"/>
      <c r="LKB362" s="322"/>
      <c r="LKC362" s="356"/>
      <c r="LKD362" s="258"/>
      <c r="LKE362" s="616"/>
      <c r="LKF362" s="260"/>
      <c r="LKH362" s="254"/>
      <c r="LKI362" s="615"/>
      <c r="LKJ362" s="256"/>
      <c r="LKK362" s="322"/>
      <c r="LKL362" s="356"/>
      <c r="LKM362" s="258"/>
      <c r="LKN362" s="616"/>
      <c r="LKO362" s="260"/>
      <c r="LKQ362" s="254"/>
      <c r="LKR362" s="615"/>
      <c r="LKS362" s="256"/>
      <c r="LKT362" s="322"/>
      <c r="LKU362" s="356"/>
      <c r="LKV362" s="258"/>
      <c r="LKW362" s="616"/>
      <c r="LKX362" s="260"/>
      <c r="LKZ362" s="254"/>
      <c r="LLA362" s="615"/>
      <c r="LLB362" s="256"/>
      <c r="LLC362" s="322"/>
      <c r="LLD362" s="356"/>
      <c r="LLE362" s="258"/>
      <c r="LLF362" s="616"/>
      <c r="LLG362" s="260"/>
      <c r="LLI362" s="254"/>
      <c r="LLJ362" s="615"/>
      <c r="LLK362" s="256"/>
      <c r="LLL362" s="322"/>
      <c r="LLM362" s="356"/>
      <c r="LLN362" s="258"/>
      <c r="LLO362" s="616"/>
      <c r="LLP362" s="260"/>
      <c r="LLR362" s="254"/>
      <c r="LLS362" s="615"/>
      <c r="LLT362" s="256"/>
      <c r="LLU362" s="322"/>
      <c r="LLV362" s="356"/>
      <c r="LLW362" s="258"/>
      <c r="LLX362" s="616"/>
      <c r="LLY362" s="260"/>
      <c r="LMA362" s="254"/>
      <c r="LMB362" s="615"/>
      <c r="LMC362" s="256"/>
      <c r="LMD362" s="322"/>
      <c r="LME362" s="356"/>
      <c r="LMF362" s="258"/>
      <c r="LMG362" s="616"/>
      <c r="LMH362" s="260"/>
      <c r="LMJ362" s="254"/>
      <c r="LMK362" s="615"/>
      <c r="LML362" s="256"/>
      <c r="LMM362" s="322"/>
      <c r="LMN362" s="356"/>
      <c r="LMO362" s="258"/>
      <c r="LMP362" s="616"/>
      <c r="LMQ362" s="260"/>
      <c r="LMS362" s="254"/>
      <c r="LMT362" s="615"/>
      <c r="LMU362" s="256"/>
      <c r="LMV362" s="322"/>
      <c r="LMW362" s="356"/>
      <c r="LMX362" s="258"/>
      <c r="LMY362" s="616"/>
      <c r="LMZ362" s="260"/>
      <c r="LNB362" s="254"/>
      <c r="LNC362" s="615"/>
      <c r="LND362" s="256"/>
      <c r="LNE362" s="322"/>
      <c r="LNF362" s="356"/>
      <c r="LNG362" s="258"/>
      <c r="LNH362" s="616"/>
      <c r="LNI362" s="260"/>
      <c r="LNK362" s="254"/>
      <c r="LNL362" s="615"/>
      <c r="LNM362" s="256"/>
      <c r="LNN362" s="322"/>
      <c r="LNO362" s="356"/>
      <c r="LNP362" s="258"/>
      <c r="LNQ362" s="616"/>
      <c r="LNR362" s="260"/>
      <c r="LNT362" s="254"/>
      <c r="LNU362" s="615"/>
      <c r="LNV362" s="256"/>
      <c r="LNW362" s="322"/>
      <c r="LNX362" s="356"/>
      <c r="LNY362" s="258"/>
      <c r="LNZ362" s="616"/>
      <c r="LOA362" s="260"/>
      <c r="LOC362" s="254"/>
      <c r="LOD362" s="615"/>
      <c r="LOE362" s="256"/>
      <c r="LOF362" s="322"/>
      <c r="LOG362" s="356"/>
      <c r="LOH362" s="258"/>
      <c r="LOI362" s="616"/>
      <c r="LOJ362" s="260"/>
      <c r="LOL362" s="254"/>
      <c r="LOM362" s="615"/>
      <c r="LON362" s="256"/>
      <c r="LOO362" s="322"/>
      <c r="LOP362" s="356"/>
      <c r="LOQ362" s="258"/>
      <c r="LOR362" s="616"/>
      <c r="LOS362" s="260"/>
      <c r="LOU362" s="254"/>
      <c r="LOV362" s="615"/>
      <c r="LOW362" s="256"/>
      <c r="LOX362" s="322"/>
      <c r="LOY362" s="356"/>
      <c r="LOZ362" s="258"/>
      <c r="LPA362" s="616"/>
      <c r="LPB362" s="260"/>
      <c r="LPD362" s="254"/>
      <c r="LPE362" s="615"/>
      <c r="LPF362" s="256"/>
      <c r="LPG362" s="322"/>
      <c r="LPH362" s="356"/>
      <c r="LPI362" s="258"/>
      <c r="LPJ362" s="616"/>
      <c r="LPK362" s="260"/>
      <c r="LPM362" s="254"/>
      <c r="LPN362" s="615"/>
      <c r="LPO362" s="256"/>
      <c r="LPP362" s="322"/>
      <c r="LPQ362" s="356"/>
      <c r="LPR362" s="258"/>
      <c r="LPS362" s="616"/>
      <c r="LPT362" s="260"/>
      <c r="LPV362" s="254"/>
      <c r="LPW362" s="615"/>
      <c r="LPX362" s="256"/>
      <c r="LPY362" s="322"/>
      <c r="LPZ362" s="356"/>
      <c r="LQA362" s="258"/>
      <c r="LQB362" s="616"/>
      <c r="LQC362" s="260"/>
      <c r="LQE362" s="254"/>
      <c r="LQF362" s="615"/>
      <c r="LQG362" s="256"/>
      <c r="LQH362" s="322"/>
      <c r="LQI362" s="356"/>
      <c r="LQJ362" s="258"/>
      <c r="LQK362" s="616"/>
      <c r="LQL362" s="260"/>
      <c r="LQN362" s="254"/>
      <c r="LQO362" s="615"/>
      <c r="LQP362" s="256"/>
      <c r="LQQ362" s="322"/>
      <c r="LQR362" s="356"/>
      <c r="LQS362" s="258"/>
      <c r="LQT362" s="616"/>
      <c r="LQU362" s="260"/>
      <c r="LQW362" s="254"/>
      <c r="LQX362" s="615"/>
      <c r="LQY362" s="256"/>
      <c r="LQZ362" s="322"/>
      <c r="LRA362" s="356"/>
      <c r="LRB362" s="258"/>
      <c r="LRC362" s="616"/>
      <c r="LRD362" s="260"/>
      <c r="LRF362" s="254"/>
      <c r="LRG362" s="615"/>
      <c r="LRH362" s="256"/>
      <c r="LRI362" s="322"/>
      <c r="LRJ362" s="356"/>
      <c r="LRK362" s="258"/>
      <c r="LRL362" s="616"/>
      <c r="LRM362" s="260"/>
      <c r="LRO362" s="254"/>
      <c r="LRP362" s="615"/>
      <c r="LRQ362" s="256"/>
      <c r="LRR362" s="322"/>
      <c r="LRS362" s="356"/>
      <c r="LRT362" s="258"/>
      <c r="LRU362" s="616"/>
      <c r="LRV362" s="260"/>
      <c r="LRX362" s="254"/>
      <c r="LRY362" s="615"/>
      <c r="LRZ362" s="256"/>
      <c r="LSA362" s="322"/>
      <c r="LSB362" s="356"/>
      <c r="LSC362" s="258"/>
      <c r="LSD362" s="616"/>
      <c r="LSE362" s="260"/>
      <c r="LSG362" s="254"/>
      <c r="LSH362" s="615"/>
      <c r="LSI362" s="256"/>
      <c r="LSJ362" s="322"/>
      <c r="LSK362" s="356"/>
      <c r="LSL362" s="258"/>
      <c r="LSM362" s="616"/>
      <c r="LSN362" s="260"/>
      <c r="LSP362" s="254"/>
      <c r="LSQ362" s="615"/>
      <c r="LSR362" s="256"/>
      <c r="LSS362" s="322"/>
      <c r="LST362" s="356"/>
      <c r="LSU362" s="258"/>
      <c r="LSV362" s="616"/>
      <c r="LSW362" s="260"/>
      <c r="LSY362" s="254"/>
      <c r="LSZ362" s="615"/>
      <c r="LTA362" s="256"/>
      <c r="LTB362" s="322"/>
      <c r="LTC362" s="356"/>
      <c r="LTD362" s="258"/>
      <c r="LTE362" s="616"/>
      <c r="LTF362" s="260"/>
      <c r="LTH362" s="254"/>
      <c r="LTI362" s="615"/>
      <c r="LTJ362" s="256"/>
      <c r="LTK362" s="322"/>
      <c r="LTL362" s="356"/>
      <c r="LTM362" s="258"/>
      <c r="LTN362" s="616"/>
      <c r="LTO362" s="260"/>
      <c r="LTQ362" s="254"/>
      <c r="LTR362" s="615"/>
      <c r="LTS362" s="256"/>
      <c r="LTT362" s="322"/>
      <c r="LTU362" s="356"/>
      <c r="LTV362" s="258"/>
      <c r="LTW362" s="616"/>
      <c r="LTX362" s="260"/>
      <c r="LTZ362" s="254"/>
      <c r="LUA362" s="615"/>
      <c r="LUB362" s="256"/>
      <c r="LUC362" s="322"/>
      <c r="LUD362" s="356"/>
      <c r="LUE362" s="258"/>
      <c r="LUF362" s="616"/>
      <c r="LUG362" s="260"/>
      <c r="LUI362" s="254"/>
      <c r="LUJ362" s="615"/>
      <c r="LUK362" s="256"/>
      <c r="LUL362" s="322"/>
      <c r="LUM362" s="356"/>
      <c r="LUN362" s="258"/>
      <c r="LUO362" s="616"/>
      <c r="LUP362" s="260"/>
      <c r="LUR362" s="254"/>
      <c r="LUS362" s="615"/>
      <c r="LUT362" s="256"/>
      <c r="LUU362" s="322"/>
      <c r="LUV362" s="356"/>
      <c r="LUW362" s="258"/>
      <c r="LUX362" s="616"/>
      <c r="LUY362" s="260"/>
      <c r="LVA362" s="254"/>
      <c r="LVB362" s="615"/>
      <c r="LVC362" s="256"/>
      <c r="LVD362" s="322"/>
      <c r="LVE362" s="356"/>
      <c r="LVF362" s="258"/>
      <c r="LVG362" s="616"/>
      <c r="LVH362" s="260"/>
      <c r="LVJ362" s="254"/>
      <c r="LVK362" s="615"/>
      <c r="LVL362" s="256"/>
      <c r="LVM362" s="322"/>
      <c r="LVN362" s="356"/>
      <c r="LVO362" s="258"/>
      <c r="LVP362" s="616"/>
      <c r="LVQ362" s="260"/>
      <c r="LVS362" s="254"/>
      <c r="LVT362" s="615"/>
      <c r="LVU362" s="256"/>
      <c r="LVV362" s="322"/>
      <c r="LVW362" s="356"/>
      <c r="LVX362" s="258"/>
      <c r="LVY362" s="616"/>
      <c r="LVZ362" s="260"/>
      <c r="LWB362" s="254"/>
      <c r="LWC362" s="615"/>
      <c r="LWD362" s="256"/>
      <c r="LWE362" s="322"/>
      <c r="LWF362" s="356"/>
      <c r="LWG362" s="258"/>
      <c r="LWH362" s="616"/>
      <c r="LWI362" s="260"/>
      <c r="LWK362" s="254"/>
      <c r="LWL362" s="615"/>
      <c r="LWM362" s="256"/>
      <c r="LWN362" s="322"/>
      <c r="LWO362" s="356"/>
      <c r="LWP362" s="258"/>
      <c r="LWQ362" s="616"/>
      <c r="LWR362" s="260"/>
      <c r="LWT362" s="254"/>
      <c r="LWU362" s="615"/>
      <c r="LWV362" s="256"/>
      <c r="LWW362" s="322"/>
      <c r="LWX362" s="356"/>
      <c r="LWY362" s="258"/>
      <c r="LWZ362" s="616"/>
      <c r="LXA362" s="260"/>
      <c r="LXC362" s="254"/>
      <c r="LXD362" s="615"/>
      <c r="LXE362" s="256"/>
      <c r="LXF362" s="322"/>
      <c r="LXG362" s="356"/>
      <c r="LXH362" s="258"/>
      <c r="LXI362" s="616"/>
      <c r="LXJ362" s="260"/>
      <c r="LXL362" s="254"/>
      <c r="LXM362" s="615"/>
      <c r="LXN362" s="256"/>
      <c r="LXO362" s="322"/>
      <c r="LXP362" s="356"/>
      <c r="LXQ362" s="258"/>
      <c r="LXR362" s="616"/>
      <c r="LXS362" s="260"/>
      <c r="LXU362" s="254"/>
      <c r="LXV362" s="615"/>
      <c r="LXW362" s="256"/>
      <c r="LXX362" s="322"/>
      <c r="LXY362" s="356"/>
      <c r="LXZ362" s="258"/>
      <c r="LYA362" s="616"/>
      <c r="LYB362" s="260"/>
      <c r="LYD362" s="254"/>
      <c r="LYE362" s="615"/>
      <c r="LYF362" s="256"/>
      <c r="LYG362" s="322"/>
      <c r="LYH362" s="356"/>
      <c r="LYI362" s="258"/>
      <c r="LYJ362" s="616"/>
      <c r="LYK362" s="260"/>
      <c r="LYM362" s="254"/>
      <c r="LYN362" s="615"/>
      <c r="LYO362" s="256"/>
      <c r="LYP362" s="322"/>
      <c r="LYQ362" s="356"/>
      <c r="LYR362" s="258"/>
      <c r="LYS362" s="616"/>
      <c r="LYT362" s="260"/>
      <c r="LYV362" s="254"/>
      <c r="LYW362" s="615"/>
      <c r="LYX362" s="256"/>
      <c r="LYY362" s="322"/>
      <c r="LYZ362" s="356"/>
      <c r="LZA362" s="258"/>
      <c r="LZB362" s="616"/>
      <c r="LZC362" s="260"/>
      <c r="LZE362" s="254"/>
      <c r="LZF362" s="615"/>
      <c r="LZG362" s="256"/>
      <c r="LZH362" s="322"/>
      <c r="LZI362" s="356"/>
      <c r="LZJ362" s="258"/>
      <c r="LZK362" s="616"/>
      <c r="LZL362" s="260"/>
      <c r="LZN362" s="254"/>
      <c r="LZO362" s="615"/>
      <c r="LZP362" s="256"/>
      <c r="LZQ362" s="322"/>
      <c r="LZR362" s="356"/>
      <c r="LZS362" s="258"/>
      <c r="LZT362" s="616"/>
      <c r="LZU362" s="260"/>
      <c r="LZW362" s="254"/>
      <c r="LZX362" s="615"/>
      <c r="LZY362" s="256"/>
      <c r="LZZ362" s="322"/>
      <c r="MAA362" s="356"/>
      <c r="MAB362" s="258"/>
      <c r="MAC362" s="616"/>
      <c r="MAD362" s="260"/>
      <c r="MAF362" s="254"/>
      <c r="MAG362" s="615"/>
      <c r="MAH362" s="256"/>
      <c r="MAI362" s="322"/>
      <c r="MAJ362" s="356"/>
      <c r="MAK362" s="258"/>
      <c r="MAL362" s="616"/>
      <c r="MAM362" s="260"/>
      <c r="MAO362" s="254"/>
      <c r="MAP362" s="615"/>
      <c r="MAQ362" s="256"/>
      <c r="MAR362" s="322"/>
      <c r="MAS362" s="356"/>
      <c r="MAT362" s="258"/>
      <c r="MAU362" s="616"/>
      <c r="MAV362" s="260"/>
      <c r="MAX362" s="254"/>
      <c r="MAY362" s="615"/>
      <c r="MAZ362" s="256"/>
      <c r="MBA362" s="322"/>
      <c r="MBB362" s="356"/>
      <c r="MBC362" s="258"/>
      <c r="MBD362" s="616"/>
      <c r="MBE362" s="260"/>
      <c r="MBG362" s="254"/>
      <c r="MBH362" s="615"/>
      <c r="MBI362" s="256"/>
      <c r="MBJ362" s="322"/>
      <c r="MBK362" s="356"/>
      <c r="MBL362" s="258"/>
      <c r="MBM362" s="616"/>
      <c r="MBN362" s="260"/>
      <c r="MBP362" s="254"/>
      <c r="MBQ362" s="615"/>
      <c r="MBR362" s="256"/>
      <c r="MBS362" s="322"/>
      <c r="MBT362" s="356"/>
      <c r="MBU362" s="258"/>
      <c r="MBV362" s="616"/>
      <c r="MBW362" s="260"/>
      <c r="MBY362" s="254"/>
      <c r="MBZ362" s="615"/>
      <c r="MCA362" s="256"/>
      <c r="MCB362" s="322"/>
      <c r="MCC362" s="356"/>
      <c r="MCD362" s="258"/>
      <c r="MCE362" s="616"/>
      <c r="MCF362" s="260"/>
      <c r="MCH362" s="254"/>
      <c r="MCI362" s="615"/>
      <c r="MCJ362" s="256"/>
      <c r="MCK362" s="322"/>
      <c r="MCL362" s="356"/>
      <c r="MCM362" s="258"/>
      <c r="MCN362" s="616"/>
      <c r="MCO362" s="260"/>
      <c r="MCQ362" s="254"/>
      <c r="MCR362" s="615"/>
      <c r="MCS362" s="256"/>
      <c r="MCT362" s="322"/>
      <c r="MCU362" s="356"/>
      <c r="MCV362" s="258"/>
      <c r="MCW362" s="616"/>
      <c r="MCX362" s="260"/>
      <c r="MCZ362" s="254"/>
      <c r="MDA362" s="615"/>
      <c r="MDB362" s="256"/>
      <c r="MDC362" s="322"/>
      <c r="MDD362" s="356"/>
      <c r="MDE362" s="258"/>
      <c r="MDF362" s="616"/>
      <c r="MDG362" s="260"/>
      <c r="MDI362" s="254"/>
      <c r="MDJ362" s="615"/>
      <c r="MDK362" s="256"/>
      <c r="MDL362" s="322"/>
      <c r="MDM362" s="356"/>
      <c r="MDN362" s="258"/>
      <c r="MDO362" s="616"/>
      <c r="MDP362" s="260"/>
      <c r="MDR362" s="254"/>
      <c r="MDS362" s="615"/>
      <c r="MDT362" s="256"/>
      <c r="MDU362" s="322"/>
      <c r="MDV362" s="356"/>
      <c r="MDW362" s="258"/>
      <c r="MDX362" s="616"/>
      <c r="MDY362" s="260"/>
      <c r="MEA362" s="254"/>
      <c r="MEB362" s="615"/>
      <c r="MEC362" s="256"/>
      <c r="MED362" s="322"/>
      <c r="MEE362" s="356"/>
      <c r="MEF362" s="258"/>
      <c r="MEG362" s="616"/>
      <c r="MEH362" s="260"/>
      <c r="MEJ362" s="254"/>
      <c r="MEK362" s="615"/>
      <c r="MEL362" s="256"/>
      <c r="MEM362" s="322"/>
      <c r="MEN362" s="356"/>
      <c r="MEO362" s="258"/>
      <c r="MEP362" s="616"/>
      <c r="MEQ362" s="260"/>
      <c r="MES362" s="254"/>
      <c r="MET362" s="615"/>
      <c r="MEU362" s="256"/>
      <c r="MEV362" s="322"/>
      <c r="MEW362" s="356"/>
      <c r="MEX362" s="258"/>
      <c r="MEY362" s="616"/>
      <c r="MEZ362" s="260"/>
      <c r="MFB362" s="254"/>
      <c r="MFC362" s="615"/>
      <c r="MFD362" s="256"/>
      <c r="MFE362" s="322"/>
      <c r="MFF362" s="356"/>
      <c r="MFG362" s="258"/>
      <c r="MFH362" s="616"/>
      <c r="MFI362" s="260"/>
      <c r="MFK362" s="254"/>
      <c r="MFL362" s="615"/>
      <c r="MFM362" s="256"/>
      <c r="MFN362" s="322"/>
      <c r="MFO362" s="356"/>
      <c r="MFP362" s="258"/>
      <c r="MFQ362" s="616"/>
      <c r="MFR362" s="260"/>
      <c r="MFT362" s="254"/>
      <c r="MFU362" s="615"/>
      <c r="MFV362" s="256"/>
      <c r="MFW362" s="322"/>
      <c r="MFX362" s="356"/>
      <c r="MFY362" s="258"/>
      <c r="MFZ362" s="616"/>
      <c r="MGA362" s="260"/>
      <c r="MGC362" s="254"/>
      <c r="MGD362" s="615"/>
      <c r="MGE362" s="256"/>
      <c r="MGF362" s="322"/>
      <c r="MGG362" s="356"/>
      <c r="MGH362" s="258"/>
      <c r="MGI362" s="616"/>
      <c r="MGJ362" s="260"/>
      <c r="MGL362" s="254"/>
      <c r="MGM362" s="615"/>
      <c r="MGN362" s="256"/>
      <c r="MGO362" s="322"/>
      <c r="MGP362" s="356"/>
      <c r="MGQ362" s="258"/>
      <c r="MGR362" s="616"/>
      <c r="MGS362" s="260"/>
      <c r="MGU362" s="254"/>
      <c r="MGV362" s="615"/>
      <c r="MGW362" s="256"/>
      <c r="MGX362" s="322"/>
      <c r="MGY362" s="356"/>
      <c r="MGZ362" s="258"/>
      <c r="MHA362" s="616"/>
      <c r="MHB362" s="260"/>
      <c r="MHD362" s="254"/>
      <c r="MHE362" s="615"/>
      <c r="MHF362" s="256"/>
      <c r="MHG362" s="322"/>
      <c r="MHH362" s="356"/>
      <c r="MHI362" s="258"/>
      <c r="MHJ362" s="616"/>
      <c r="MHK362" s="260"/>
      <c r="MHM362" s="254"/>
      <c r="MHN362" s="615"/>
      <c r="MHO362" s="256"/>
      <c r="MHP362" s="322"/>
      <c r="MHQ362" s="356"/>
      <c r="MHR362" s="258"/>
      <c r="MHS362" s="616"/>
      <c r="MHT362" s="260"/>
      <c r="MHV362" s="254"/>
      <c r="MHW362" s="615"/>
      <c r="MHX362" s="256"/>
      <c r="MHY362" s="322"/>
      <c r="MHZ362" s="356"/>
      <c r="MIA362" s="258"/>
      <c r="MIB362" s="616"/>
      <c r="MIC362" s="260"/>
      <c r="MIE362" s="254"/>
      <c r="MIF362" s="615"/>
      <c r="MIG362" s="256"/>
      <c r="MIH362" s="322"/>
      <c r="MII362" s="356"/>
      <c r="MIJ362" s="258"/>
      <c r="MIK362" s="616"/>
      <c r="MIL362" s="260"/>
      <c r="MIN362" s="254"/>
      <c r="MIO362" s="615"/>
      <c r="MIP362" s="256"/>
      <c r="MIQ362" s="322"/>
      <c r="MIR362" s="356"/>
      <c r="MIS362" s="258"/>
      <c r="MIT362" s="616"/>
      <c r="MIU362" s="260"/>
      <c r="MIW362" s="254"/>
      <c r="MIX362" s="615"/>
      <c r="MIY362" s="256"/>
      <c r="MIZ362" s="322"/>
      <c r="MJA362" s="356"/>
      <c r="MJB362" s="258"/>
      <c r="MJC362" s="616"/>
      <c r="MJD362" s="260"/>
      <c r="MJF362" s="254"/>
      <c r="MJG362" s="615"/>
      <c r="MJH362" s="256"/>
      <c r="MJI362" s="322"/>
      <c r="MJJ362" s="356"/>
      <c r="MJK362" s="258"/>
      <c r="MJL362" s="616"/>
      <c r="MJM362" s="260"/>
      <c r="MJO362" s="254"/>
      <c r="MJP362" s="615"/>
      <c r="MJQ362" s="256"/>
      <c r="MJR362" s="322"/>
      <c r="MJS362" s="356"/>
      <c r="MJT362" s="258"/>
      <c r="MJU362" s="616"/>
      <c r="MJV362" s="260"/>
      <c r="MJX362" s="254"/>
      <c r="MJY362" s="615"/>
      <c r="MJZ362" s="256"/>
      <c r="MKA362" s="322"/>
      <c r="MKB362" s="356"/>
      <c r="MKC362" s="258"/>
      <c r="MKD362" s="616"/>
      <c r="MKE362" s="260"/>
      <c r="MKG362" s="254"/>
      <c r="MKH362" s="615"/>
      <c r="MKI362" s="256"/>
      <c r="MKJ362" s="322"/>
      <c r="MKK362" s="356"/>
      <c r="MKL362" s="258"/>
      <c r="MKM362" s="616"/>
      <c r="MKN362" s="260"/>
      <c r="MKP362" s="254"/>
      <c r="MKQ362" s="615"/>
      <c r="MKR362" s="256"/>
      <c r="MKS362" s="322"/>
      <c r="MKT362" s="356"/>
      <c r="MKU362" s="258"/>
      <c r="MKV362" s="616"/>
      <c r="MKW362" s="260"/>
      <c r="MKY362" s="254"/>
      <c r="MKZ362" s="615"/>
      <c r="MLA362" s="256"/>
      <c r="MLB362" s="322"/>
      <c r="MLC362" s="356"/>
      <c r="MLD362" s="258"/>
      <c r="MLE362" s="616"/>
      <c r="MLF362" s="260"/>
      <c r="MLH362" s="254"/>
      <c r="MLI362" s="615"/>
      <c r="MLJ362" s="256"/>
      <c r="MLK362" s="322"/>
      <c r="MLL362" s="356"/>
      <c r="MLM362" s="258"/>
      <c r="MLN362" s="616"/>
      <c r="MLO362" s="260"/>
      <c r="MLQ362" s="254"/>
      <c r="MLR362" s="615"/>
      <c r="MLS362" s="256"/>
      <c r="MLT362" s="322"/>
      <c r="MLU362" s="356"/>
      <c r="MLV362" s="258"/>
      <c r="MLW362" s="616"/>
      <c r="MLX362" s="260"/>
      <c r="MLZ362" s="254"/>
      <c r="MMA362" s="615"/>
      <c r="MMB362" s="256"/>
      <c r="MMC362" s="322"/>
      <c r="MMD362" s="356"/>
      <c r="MME362" s="258"/>
      <c r="MMF362" s="616"/>
      <c r="MMG362" s="260"/>
      <c r="MMI362" s="254"/>
      <c r="MMJ362" s="615"/>
      <c r="MMK362" s="256"/>
      <c r="MML362" s="322"/>
      <c r="MMM362" s="356"/>
      <c r="MMN362" s="258"/>
      <c r="MMO362" s="616"/>
      <c r="MMP362" s="260"/>
      <c r="MMR362" s="254"/>
      <c r="MMS362" s="615"/>
      <c r="MMT362" s="256"/>
      <c r="MMU362" s="322"/>
      <c r="MMV362" s="356"/>
      <c r="MMW362" s="258"/>
      <c r="MMX362" s="616"/>
      <c r="MMY362" s="260"/>
      <c r="MNA362" s="254"/>
      <c r="MNB362" s="615"/>
      <c r="MNC362" s="256"/>
      <c r="MND362" s="322"/>
      <c r="MNE362" s="356"/>
      <c r="MNF362" s="258"/>
      <c r="MNG362" s="616"/>
      <c r="MNH362" s="260"/>
      <c r="MNJ362" s="254"/>
      <c r="MNK362" s="615"/>
      <c r="MNL362" s="256"/>
      <c r="MNM362" s="322"/>
      <c r="MNN362" s="356"/>
      <c r="MNO362" s="258"/>
      <c r="MNP362" s="616"/>
      <c r="MNQ362" s="260"/>
      <c r="MNS362" s="254"/>
      <c r="MNT362" s="615"/>
      <c r="MNU362" s="256"/>
      <c r="MNV362" s="322"/>
      <c r="MNW362" s="356"/>
      <c r="MNX362" s="258"/>
      <c r="MNY362" s="616"/>
      <c r="MNZ362" s="260"/>
      <c r="MOB362" s="254"/>
      <c r="MOC362" s="615"/>
      <c r="MOD362" s="256"/>
      <c r="MOE362" s="322"/>
      <c r="MOF362" s="356"/>
      <c r="MOG362" s="258"/>
      <c r="MOH362" s="616"/>
      <c r="MOI362" s="260"/>
      <c r="MOK362" s="254"/>
      <c r="MOL362" s="615"/>
      <c r="MOM362" s="256"/>
      <c r="MON362" s="322"/>
      <c r="MOO362" s="356"/>
      <c r="MOP362" s="258"/>
      <c r="MOQ362" s="616"/>
      <c r="MOR362" s="260"/>
      <c r="MOT362" s="254"/>
      <c r="MOU362" s="615"/>
      <c r="MOV362" s="256"/>
      <c r="MOW362" s="322"/>
      <c r="MOX362" s="356"/>
      <c r="MOY362" s="258"/>
      <c r="MOZ362" s="616"/>
      <c r="MPA362" s="260"/>
      <c r="MPC362" s="254"/>
      <c r="MPD362" s="615"/>
      <c r="MPE362" s="256"/>
      <c r="MPF362" s="322"/>
      <c r="MPG362" s="356"/>
      <c r="MPH362" s="258"/>
      <c r="MPI362" s="616"/>
      <c r="MPJ362" s="260"/>
      <c r="MPL362" s="254"/>
      <c r="MPM362" s="615"/>
      <c r="MPN362" s="256"/>
      <c r="MPO362" s="322"/>
      <c r="MPP362" s="356"/>
      <c r="MPQ362" s="258"/>
      <c r="MPR362" s="616"/>
      <c r="MPS362" s="260"/>
      <c r="MPU362" s="254"/>
      <c r="MPV362" s="615"/>
      <c r="MPW362" s="256"/>
      <c r="MPX362" s="322"/>
      <c r="MPY362" s="356"/>
      <c r="MPZ362" s="258"/>
      <c r="MQA362" s="616"/>
      <c r="MQB362" s="260"/>
      <c r="MQD362" s="254"/>
      <c r="MQE362" s="615"/>
      <c r="MQF362" s="256"/>
      <c r="MQG362" s="322"/>
      <c r="MQH362" s="356"/>
      <c r="MQI362" s="258"/>
      <c r="MQJ362" s="616"/>
      <c r="MQK362" s="260"/>
      <c r="MQM362" s="254"/>
      <c r="MQN362" s="615"/>
      <c r="MQO362" s="256"/>
      <c r="MQP362" s="322"/>
      <c r="MQQ362" s="356"/>
      <c r="MQR362" s="258"/>
      <c r="MQS362" s="616"/>
      <c r="MQT362" s="260"/>
      <c r="MQV362" s="254"/>
      <c r="MQW362" s="615"/>
      <c r="MQX362" s="256"/>
      <c r="MQY362" s="322"/>
      <c r="MQZ362" s="356"/>
      <c r="MRA362" s="258"/>
      <c r="MRB362" s="616"/>
      <c r="MRC362" s="260"/>
      <c r="MRE362" s="254"/>
      <c r="MRF362" s="615"/>
      <c r="MRG362" s="256"/>
      <c r="MRH362" s="322"/>
      <c r="MRI362" s="356"/>
      <c r="MRJ362" s="258"/>
      <c r="MRK362" s="616"/>
      <c r="MRL362" s="260"/>
      <c r="MRN362" s="254"/>
      <c r="MRO362" s="615"/>
      <c r="MRP362" s="256"/>
      <c r="MRQ362" s="322"/>
      <c r="MRR362" s="356"/>
      <c r="MRS362" s="258"/>
      <c r="MRT362" s="616"/>
      <c r="MRU362" s="260"/>
      <c r="MRW362" s="254"/>
      <c r="MRX362" s="615"/>
      <c r="MRY362" s="256"/>
      <c r="MRZ362" s="322"/>
      <c r="MSA362" s="356"/>
      <c r="MSB362" s="258"/>
      <c r="MSC362" s="616"/>
      <c r="MSD362" s="260"/>
      <c r="MSF362" s="254"/>
      <c r="MSG362" s="615"/>
      <c r="MSH362" s="256"/>
      <c r="MSI362" s="322"/>
      <c r="MSJ362" s="356"/>
      <c r="MSK362" s="258"/>
      <c r="MSL362" s="616"/>
      <c r="MSM362" s="260"/>
      <c r="MSO362" s="254"/>
      <c r="MSP362" s="615"/>
      <c r="MSQ362" s="256"/>
      <c r="MSR362" s="322"/>
      <c r="MSS362" s="356"/>
      <c r="MST362" s="258"/>
      <c r="MSU362" s="616"/>
      <c r="MSV362" s="260"/>
      <c r="MSX362" s="254"/>
      <c r="MSY362" s="615"/>
      <c r="MSZ362" s="256"/>
      <c r="MTA362" s="322"/>
      <c r="MTB362" s="356"/>
      <c r="MTC362" s="258"/>
      <c r="MTD362" s="616"/>
      <c r="MTE362" s="260"/>
      <c r="MTG362" s="254"/>
      <c r="MTH362" s="615"/>
      <c r="MTI362" s="256"/>
      <c r="MTJ362" s="322"/>
      <c r="MTK362" s="356"/>
      <c r="MTL362" s="258"/>
      <c r="MTM362" s="616"/>
      <c r="MTN362" s="260"/>
      <c r="MTP362" s="254"/>
      <c r="MTQ362" s="615"/>
      <c r="MTR362" s="256"/>
      <c r="MTS362" s="322"/>
      <c r="MTT362" s="356"/>
      <c r="MTU362" s="258"/>
      <c r="MTV362" s="616"/>
      <c r="MTW362" s="260"/>
      <c r="MTY362" s="254"/>
      <c r="MTZ362" s="615"/>
      <c r="MUA362" s="256"/>
      <c r="MUB362" s="322"/>
      <c r="MUC362" s="356"/>
      <c r="MUD362" s="258"/>
      <c r="MUE362" s="616"/>
      <c r="MUF362" s="260"/>
      <c r="MUH362" s="254"/>
      <c r="MUI362" s="615"/>
      <c r="MUJ362" s="256"/>
      <c r="MUK362" s="322"/>
      <c r="MUL362" s="356"/>
      <c r="MUM362" s="258"/>
      <c r="MUN362" s="616"/>
      <c r="MUO362" s="260"/>
      <c r="MUQ362" s="254"/>
      <c r="MUR362" s="615"/>
      <c r="MUS362" s="256"/>
      <c r="MUT362" s="322"/>
      <c r="MUU362" s="356"/>
      <c r="MUV362" s="258"/>
      <c r="MUW362" s="616"/>
      <c r="MUX362" s="260"/>
      <c r="MUZ362" s="254"/>
      <c r="MVA362" s="615"/>
      <c r="MVB362" s="256"/>
      <c r="MVC362" s="322"/>
      <c r="MVD362" s="356"/>
      <c r="MVE362" s="258"/>
      <c r="MVF362" s="616"/>
      <c r="MVG362" s="260"/>
      <c r="MVI362" s="254"/>
      <c r="MVJ362" s="615"/>
      <c r="MVK362" s="256"/>
      <c r="MVL362" s="322"/>
      <c r="MVM362" s="356"/>
      <c r="MVN362" s="258"/>
      <c r="MVO362" s="616"/>
      <c r="MVP362" s="260"/>
      <c r="MVR362" s="254"/>
      <c r="MVS362" s="615"/>
      <c r="MVT362" s="256"/>
      <c r="MVU362" s="322"/>
      <c r="MVV362" s="356"/>
      <c r="MVW362" s="258"/>
      <c r="MVX362" s="616"/>
      <c r="MVY362" s="260"/>
      <c r="MWA362" s="254"/>
      <c r="MWB362" s="615"/>
      <c r="MWC362" s="256"/>
      <c r="MWD362" s="322"/>
      <c r="MWE362" s="356"/>
      <c r="MWF362" s="258"/>
      <c r="MWG362" s="616"/>
      <c r="MWH362" s="260"/>
      <c r="MWJ362" s="254"/>
      <c r="MWK362" s="615"/>
      <c r="MWL362" s="256"/>
      <c r="MWM362" s="322"/>
      <c r="MWN362" s="356"/>
      <c r="MWO362" s="258"/>
      <c r="MWP362" s="616"/>
      <c r="MWQ362" s="260"/>
      <c r="MWS362" s="254"/>
      <c r="MWT362" s="615"/>
      <c r="MWU362" s="256"/>
      <c r="MWV362" s="322"/>
      <c r="MWW362" s="356"/>
      <c r="MWX362" s="258"/>
      <c r="MWY362" s="616"/>
      <c r="MWZ362" s="260"/>
      <c r="MXB362" s="254"/>
      <c r="MXC362" s="615"/>
      <c r="MXD362" s="256"/>
      <c r="MXE362" s="322"/>
      <c r="MXF362" s="356"/>
      <c r="MXG362" s="258"/>
      <c r="MXH362" s="616"/>
      <c r="MXI362" s="260"/>
      <c r="MXK362" s="254"/>
      <c r="MXL362" s="615"/>
      <c r="MXM362" s="256"/>
      <c r="MXN362" s="322"/>
      <c r="MXO362" s="356"/>
      <c r="MXP362" s="258"/>
      <c r="MXQ362" s="616"/>
      <c r="MXR362" s="260"/>
      <c r="MXT362" s="254"/>
      <c r="MXU362" s="615"/>
      <c r="MXV362" s="256"/>
      <c r="MXW362" s="322"/>
      <c r="MXX362" s="356"/>
      <c r="MXY362" s="258"/>
      <c r="MXZ362" s="616"/>
      <c r="MYA362" s="260"/>
      <c r="MYC362" s="254"/>
      <c r="MYD362" s="615"/>
      <c r="MYE362" s="256"/>
      <c r="MYF362" s="322"/>
      <c r="MYG362" s="356"/>
      <c r="MYH362" s="258"/>
      <c r="MYI362" s="616"/>
      <c r="MYJ362" s="260"/>
      <c r="MYL362" s="254"/>
      <c r="MYM362" s="615"/>
      <c r="MYN362" s="256"/>
      <c r="MYO362" s="322"/>
      <c r="MYP362" s="356"/>
      <c r="MYQ362" s="258"/>
      <c r="MYR362" s="616"/>
      <c r="MYS362" s="260"/>
      <c r="MYU362" s="254"/>
      <c r="MYV362" s="615"/>
      <c r="MYW362" s="256"/>
      <c r="MYX362" s="322"/>
      <c r="MYY362" s="356"/>
      <c r="MYZ362" s="258"/>
      <c r="MZA362" s="616"/>
      <c r="MZB362" s="260"/>
      <c r="MZD362" s="254"/>
      <c r="MZE362" s="615"/>
      <c r="MZF362" s="256"/>
      <c r="MZG362" s="322"/>
      <c r="MZH362" s="356"/>
      <c r="MZI362" s="258"/>
      <c r="MZJ362" s="616"/>
      <c r="MZK362" s="260"/>
      <c r="MZM362" s="254"/>
      <c r="MZN362" s="615"/>
      <c r="MZO362" s="256"/>
      <c r="MZP362" s="322"/>
      <c r="MZQ362" s="356"/>
      <c r="MZR362" s="258"/>
      <c r="MZS362" s="616"/>
      <c r="MZT362" s="260"/>
      <c r="MZV362" s="254"/>
      <c r="MZW362" s="615"/>
      <c r="MZX362" s="256"/>
      <c r="MZY362" s="322"/>
      <c r="MZZ362" s="356"/>
      <c r="NAA362" s="258"/>
      <c r="NAB362" s="616"/>
      <c r="NAC362" s="260"/>
      <c r="NAE362" s="254"/>
      <c r="NAF362" s="615"/>
      <c r="NAG362" s="256"/>
      <c r="NAH362" s="322"/>
      <c r="NAI362" s="356"/>
      <c r="NAJ362" s="258"/>
      <c r="NAK362" s="616"/>
      <c r="NAL362" s="260"/>
      <c r="NAN362" s="254"/>
      <c r="NAO362" s="615"/>
      <c r="NAP362" s="256"/>
      <c r="NAQ362" s="322"/>
      <c r="NAR362" s="356"/>
      <c r="NAS362" s="258"/>
      <c r="NAT362" s="616"/>
      <c r="NAU362" s="260"/>
      <c r="NAW362" s="254"/>
      <c r="NAX362" s="615"/>
      <c r="NAY362" s="256"/>
      <c r="NAZ362" s="322"/>
      <c r="NBA362" s="356"/>
      <c r="NBB362" s="258"/>
      <c r="NBC362" s="616"/>
      <c r="NBD362" s="260"/>
      <c r="NBF362" s="254"/>
      <c r="NBG362" s="615"/>
      <c r="NBH362" s="256"/>
      <c r="NBI362" s="322"/>
      <c r="NBJ362" s="356"/>
      <c r="NBK362" s="258"/>
      <c r="NBL362" s="616"/>
      <c r="NBM362" s="260"/>
      <c r="NBO362" s="254"/>
      <c r="NBP362" s="615"/>
      <c r="NBQ362" s="256"/>
      <c r="NBR362" s="322"/>
      <c r="NBS362" s="356"/>
      <c r="NBT362" s="258"/>
      <c r="NBU362" s="616"/>
      <c r="NBV362" s="260"/>
      <c r="NBX362" s="254"/>
      <c r="NBY362" s="615"/>
      <c r="NBZ362" s="256"/>
      <c r="NCA362" s="322"/>
      <c r="NCB362" s="356"/>
      <c r="NCC362" s="258"/>
      <c r="NCD362" s="616"/>
      <c r="NCE362" s="260"/>
      <c r="NCG362" s="254"/>
      <c r="NCH362" s="615"/>
      <c r="NCI362" s="256"/>
      <c r="NCJ362" s="322"/>
      <c r="NCK362" s="356"/>
      <c r="NCL362" s="258"/>
      <c r="NCM362" s="616"/>
      <c r="NCN362" s="260"/>
      <c r="NCP362" s="254"/>
      <c r="NCQ362" s="615"/>
      <c r="NCR362" s="256"/>
      <c r="NCS362" s="322"/>
      <c r="NCT362" s="356"/>
      <c r="NCU362" s="258"/>
      <c r="NCV362" s="616"/>
      <c r="NCW362" s="260"/>
      <c r="NCY362" s="254"/>
      <c r="NCZ362" s="615"/>
      <c r="NDA362" s="256"/>
      <c r="NDB362" s="322"/>
      <c r="NDC362" s="356"/>
      <c r="NDD362" s="258"/>
      <c r="NDE362" s="616"/>
      <c r="NDF362" s="260"/>
      <c r="NDH362" s="254"/>
      <c r="NDI362" s="615"/>
      <c r="NDJ362" s="256"/>
      <c r="NDK362" s="322"/>
      <c r="NDL362" s="356"/>
      <c r="NDM362" s="258"/>
      <c r="NDN362" s="616"/>
      <c r="NDO362" s="260"/>
      <c r="NDQ362" s="254"/>
      <c r="NDR362" s="615"/>
      <c r="NDS362" s="256"/>
      <c r="NDT362" s="322"/>
      <c r="NDU362" s="356"/>
      <c r="NDV362" s="258"/>
      <c r="NDW362" s="616"/>
      <c r="NDX362" s="260"/>
      <c r="NDZ362" s="254"/>
      <c r="NEA362" s="615"/>
      <c r="NEB362" s="256"/>
      <c r="NEC362" s="322"/>
      <c r="NED362" s="356"/>
      <c r="NEE362" s="258"/>
      <c r="NEF362" s="616"/>
      <c r="NEG362" s="260"/>
      <c r="NEI362" s="254"/>
      <c r="NEJ362" s="615"/>
      <c r="NEK362" s="256"/>
      <c r="NEL362" s="322"/>
      <c r="NEM362" s="356"/>
      <c r="NEN362" s="258"/>
      <c r="NEO362" s="616"/>
      <c r="NEP362" s="260"/>
      <c r="NER362" s="254"/>
      <c r="NES362" s="615"/>
      <c r="NET362" s="256"/>
      <c r="NEU362" s="322"/>
      <c r="NEV362" s="356"/>
      <c r="NEW362" s="258"/>
      <c r="NEX362" s="616"/>
      <c r="NEY362" s="260"/>
      <c r="NFA362" s="254"/>
      <c r="NFB362" s="615"/>
      <c r="NFC362" s="256"/>
      <c r="NFD362" s="322"/>
      <c r="NFE362" s="356"/>
      <c r="NFF362" s="258"/>
      <c r="NFG362" s="616"/>
      <c r="NFH362" s="260"/>
      <c r="NFJ362" s="254"/>
      <c r="NFK362" s="615"/>
      <c r="NFL362" s="256"/>
      <c r="NFM362" s="322"/>
      <c r="NFN362" s="356"/>
      <c r="NFO362" s="258"/>
      <c r="NFP362" s="616"/>
      <c r="NFQ362" s="260"/>
      <c r="NFS362" s="254"/>
      <c r="NFT362" s="615"/>
      <c r="NFU362" s="256"/>
      <c r="NFV362" s="322"/>
      <c r="NFW362" s="356"/>
      <c r="NFX362" s="258"/>
      <c r="NFY362" s="616"/>
      <c r="NFZ362" s="260"/>
      <c r="NGB362" s="254"/>
      <c r="NGC362" s="615"/>
      <c r="NGD362" s="256"/>
      <c r="NGE362" s="322"/>
      <c r="NGF362" s="356"/>
      <c r="NGG362" s="258"/>
      <c r="NGH362" s="616"/>
      <c r="NGI362" s="260"/>
      <c r="NGK362" s="254"/>
      <c r="NGL362" s="615"/>
      <c r="NGM362" s="256"/>
      <c r="NGN362" s="322"/>
      <c r="NGO362" s="356"/>
      <c r="NGP362" s="258"/>
      <c r="NGQ362" s="616"/>
      <c r="NGR362" s="260"/>
      <c r="NGT362" s="254"/>
      <c r="NGU362" s="615"/>
      <c r="NGV362" s="256"/>
      <c r="NGW362" s="322"/>
      <c r="NGX362" s="356"/>
      <c r="NGY362" s="258"/>
      <c r="NGZ362" s="616"/>
      <c r="NHA362" s="260"/>
      <c r="NHC362" s="254"/>
      <c r="NHD362" s="615"/>
      <c r="NHE362" s="256"/>
      <c r="NHF362" s="322"/>
      <c r="NHG362" s="356"/>
      <c r="NHH362" s="258"/>
      <c r="NHI362" s="616"/>
      <c r="NHJ362" s="260"/>
      <c r="NHL362" s="254"/>
      <c r="NHM362" s="615"/>
      <c r="NHN362" s="256"/>
      <c r="NHO362" s="322"/>
      <c r="NHP362" s="356"/>
      <c r="NHQ362" s="258"/>
      <c r="NHR362" s="616"/>
      <c r="NHS362" s="260"/>
      <c r="NHU362" s="254"/>
      <c r="NHV362" s="615"/>
      <c r="NHW362" s="256"/>
      <c r="NHX362" s="322"/>
      <c r="NHY362" s="356"/>
      <c r="NHZ362" s="258"/>
      <c r="NIA362" s="616"/>
      <c r="NIB362" s="260"/>
      <c r="NID362" s="254"/>
      <c r="NIE362" s="615"/>
      <c r="NIF362" s="256"/>
      <c r="NIG362" s="322"/>
      <c r="NIH362" s="356"/>
      <c r="NII362" s="258"/>
      <c r="NIJ362" s="616"/>
      <c r="NIK362" s="260"/>
      <c r="NIM362" s="254"/>
      <c r="NIN362" s="615"/>
      <c r="NIO362" s="256"/>
      <c r="NIP362" s="322"/>
      <c r="NIQ362" s="356"/>
      <c r="NIR362" s="258"/>
      <c r="NIS362" s="616"/>
      <c r="NIT362" s="260"/>
      <c r="NIV362" s="254"/>
      <c r="NIW362" s="615"/>
      <c r="NIX362" s="256"/>
      <c r="NIY362" s="322"/>
      <c r="NIZ362" s="356"/>
      <c r="NJA362" s="258"/>
      <c r="NJB362" s="616"/>
      <c r="NJC362" s="260"/>
      <c r="NJE362" s="254"/>
      <c r="NJF362" s="615"/>
      <c r="NJG362" s="256"/>
      <c r="NJH362" s="322"/>
      <c r="NJI362" s="356"/>
      <c r="NJJ362" s="258"/>
      <c r="NJK362" s="616"/>
      <c r="NJL362" s="260"/>
      <c r="NJN362" s="254"/>
      <c r="NJO362" s="615"/>
      <c r="NJP362" s="256"/>
      <c r="NJQ362" s="322"/>
      <c r="NJR362" s="356"/>
      <c r="NJS362" s="258"/>
      <c r="NJT362" s="616"/>
      <c r="NJU362" s="260"/>
      <c r="NJW362" s="254"/>
      <c r="NJX362" s="615"/>
      <c r="NJY362" s="256"/>
      <c r="NJZ362" s="322"/>
      <c r="NKA362" s="356"/>
      <c r="NKB362" s="258"/>
      <c r="NKC362" s="616"/>
      <c r="NKD362" s="260"/>
      <c r="NKF362" s="254"/>
      <c r="NKG362" s="615"/>
      <c r="NKH362" s="256"/>
      <c r="NKI362" s="322"/>
      <c r="NKJ362" s="356"/>
      <c r="NKK362" s="258"/>
      <c r="NKL362" s="616"/>
      <c r="NKM362" s="260"/>
      <c r="NKO362" s="254"/>
      <c r="NKP362" s="615"/>
      <c r="NKQ362" s="256"/>
      <c r="NKR362" s="322"/>
      <c r="NKS362" s="356"/>
      <c r="NKT362" s="258"/>
      <c r="NKU362" s="616"/>
      <c r="NKV362" s="260"/>
      <c r="NKX362" s="254"/>
      <c r="NKY362" s="615"/>
      <c r="NKZ362" s="256"/>
      <c r="NLA362" s="322"/>
      <c r="NLB362" s="356"/>
      <c r="NLC362" s="258"/>
      <c r="NLD362" s="616"/>
      <c r="NLE362" s="260"/>
      <c r="NLG362" s="254"/>
      <c r="NLH362" s="615"/>
      <c r="NLI362" s="256"/>
      <c r="NLJ362" s="322"/>
      <c r="NLK362" s="356"/>
      <c r="NLL362" s="258"/>
      <c r="NLM362" s="616"/>
      <c r="NLN362" s="260"/>
      <c r="NLP362" s="254"/>
      <c r="NLQ362" s="615"/>
      <c r="NLR362" s="256"/>
      <c r="NLS362" s="322"/>
      <c r="NLT362" s="356"/>
      <c r="NLU362" s="258"/>
      <c r="NLV362" s="616"/>
      <c r="NLW362" s="260"/>
      <c r="NLY362" s="254"/>
      <c r="NLZ362" s="615"/>
      <c r="NMA362" s="256"/>
      <c r="NMB362" s="322"/>
      <c r="NMC362" s="356"/>
      <c r="NMD362" s="258"/>
      <c r="NME362" s="616"/>
      <c r="NMF362" s="260"/>
      <c r="NMH362" s="254"/>
      <c r="NMI362" s="615"/>
      <c r="NMJ362" s="256"/>
      <c r="NMK362" s="322"/>
      <c r="NML362" s="356"/>
      <c r="NMM362" s="258"/>
      <c r="NMN362" s="616"/>
      <c r="NMO362" s="260"/>
      <c r="NMQ362" s="254"/>
      <c r="NMR362" s="615"/>
      <c r="NMS362" s="256"/>
      <c r="NMT362" s="322"/>
      <c r="NMU362" s="356"/>
      <c r="NMV362" s="258"/>
      <c r="NMW362" s="616"/>
      <c r="NMX362" s="260"/>
      <c r="NMZ362" s="254"/>
      <c r="NNA362" s="615"/>
      <c r="NNB362" s="256"/>
      <c r="NNC362" s="322"/>
      <c r="NND362" s="356"/>
      <c r="NNE362" s="258"/>
      <c r="NNF362" s="616"/>
      <c r="NNG362" s="260"/>
      <c r="NNI362" s="254"/>
      <c r="NNJ362" s="615"/>
      <c r="NNK362" s="256"/>
      <c r="NNL362" s="322"/>
      <c r="NNM362" s="356"/>
      <c r="NNN362" s="258"/>
      <c r="NNO362" s="616"/>
      <c r="NNP362" s="260"/>
      <c r="NNR362" s="254"/>
      <c r="NNS362" s="615"/>
      <c r="NNT362" s="256"/>
      <c r="NNU362" s="322"/>
      <c r="NNV362" s="356"/>
      <c r="NNW362" s="258"/>
      <c r="NNX362" s="616"/>
      <c r="NNY362" s="260"/>
      <c r="NOA362" s="254"/>
      <c r="NOB362" s="615"/>
      <c r="NOC362" s="256"/>
      <c r="NOD362" s="322"/>
      <c r="NOE362" s="356"/>
      <c r="NOF362" s="258"/>
      <c r="NOG362" s="616"/>
      <c r="NOH362" s="260"/>
      <c r="NOJ362" s="254"/>
      <c r="NOK362" s="615"/>
      <c r="NOL362" s="256"/>
      <c r="NOM362" s="322"/>
      <c r="NON362" s="356"/>
      <c r="NOO362" s="258"/>
      <c r="NOP362" s="616"/>
      <c r="NOQ362" s="260"/>
      <c r="NOS362" s="254"/>
      <c r="NOT362" s="615"/>
      <c r="NOU362" s="256"/>
      <c r="NOV362" s="322"/>
      <c r="NOW362" s="356"/>
      <c r="NOX362" s="258"/>
      <c r="NOY362" s="616"/>
      <c r="NOZ362" s="260"/>
      <c r="NPB362" s="254"/>
      <c r="NPC362" s="615"/>
      <c r="NPD362" s="256"/>
      <c r="NPE362" s="322"/>
      <c r="NPF362" s="356"/>
      <c r="NPG362" s="258"/>
      <c r="NPH362" s="616"/>
      <c r="NPI362" s="260"/>
      <c r="NPK362" s="254"/>
      <c r="NPL362" s="615"/>
      <c r="NPM362" s="256"/>
      <c r="NPN362" s="322"/>
      <c r="NPO362" s="356"/>
      <c r="NPP362" s="258"/>
      <c r="NPQ362" s="616"/>
      <c r="NPR362" s="260"/>
      <c r="NPT362" s="254"/>
      <c r="NPU362" s="615"/>
      <c r="NPV362" s="256"/>
      <c r="NPW362" s="322"/>
      <c r="NPX362" s="356"/>
      <c r="NPY362" s="258"/>
      <c r="NPZ362" s="616"/>
      <c r="NQA362" s="260"/>
      <c r="NQC362" s="254"/>
      <c r="NQD362" s="615"/>
      <c r="NQE362" s="256"/>
      <c r="NQF362" s="322"/>
      <c r="NQG362" s="356"/>
      <c r="NQH362" s="258"/>
      <c r="NQI362" s="616"/>
      <c r="NQJ362" s="260"/>
      <c r="NQL362" s="254"/>
      <c r="NQM362" s="615"/>
      <c r="NQN362" s="256"/>
      <c r="NQO362" s="322"/>
      <c r="NQP362" s="356"/>
      <c r="NQQ362" s="258"/>
      <c r="NQR362" s="616"/>
      <c r="NQS362" s="260"/>
      <c r="NQU362" s="254"/>
      <c r="NQV362" s="615"/>
      <c r="NQW362" s="256"/>
      <c r="NQX362" s="322"/>
      <c r="NQY362" s="356"/>
      <c r="NQZ362" s="258"/>
      <c r="NRA362" s="616"/>
      <c r="NRB362" s="260"/>
      <c r="NRD362" s="254"/>
      <c r="NRE362" s="615"/>
      <c r="NRF362" s="256"/>
      <c r="NRG362" s="322"/>
      <c r="NRH362" s="356"/>
      <c r="NRI362" s="258"/>
      <c r="NRJ362" s="616"/>
      <c r="NRK362" s="260"/>
      <c r="NRM362" s="254"/>
      <c r="NRN362" s="615"/>
      <c r="NRO362" s="256"/>
      <c r="NRP362" s="322"/>
      <c r="NRQ362" s="356"/>
      <c r="NRR362" s="258"/>
      <c r="NRS362" s="616"/>
      <c r="NRT362" s="260"/>
      <c r="NRV362" s="254"/>
      <c r="NRW362" s="615"/>
      <c r="NRX362" s="256"/>
      <c r="NRY362" s="322"/>
      <c r="NRZ362" s="356"/>
      <c r="NSA362" s="258"/>
      <c r="NSB362" s="616"/>
      <c r="NSC362" s="260"/>
      <c r="NSE362" s="254"/>
      <c r="NSF362" s="615"/>
      <c r="NSG362" s="256"/>
      <c r="NSH362" s="322"/>
      <c r="NSI362" s="356"/>
      <c r="NSJ362" s="258"/>
      <c r="NSK362" s="616"/>
      <c r="NSL362" s="260"/>
      <c r="NSN362" s="254"/>
      <c r="NSO362" s="615"/>
      <c r="NSP362" s="256"/>
      <c r="NSQ362" s="322"/>
      <c r="NSR362" s="356"/>
      <c r="NSS362" s="258"/>
      <c r="NST362" s="616"/>
      <c r="NSU362" s="260"/>
      <c r="NSW362" s="254"/>
      <c r="NSX362" s="615"/>
      <c r="NSY362" s="256"/>
      <c r="NSZ362" s="322"/>
      <c r="NTA362" s="356"/>
      <c r="NTB362" s="258"/>
      <c r="NTC362" s="616"/>
      <c r="NTD362" s="260"/>
      <c r="NTF362" s="254"/>
      <c r="NTG362" s="615"/>
      <c r="NTH362" s="256"/>
      <c r="NTI362" s="322"/>
      <c r="NTJ362" s="356"/>
      <c r="NTK362" s="258"/>
      <c r="NTL362" s="616"/>
      <c r="NTM362" s="260"/>
      <c r="NTO362" s="254"/>
      <c r="NTP362" s="615"/>
      <c r="NTQ362" s="256"/>
      <c r="NTR362" s="322"/>
      <c r="NTS362" s="356"/>
      <c r="NTT362" s="258"/>
      <c r="NTU362" s="616"/>
      <c r="NTV362" s="260"/>
      <c r="NTX362" s="254"/>
      <c r="NTY362" s="615"/>
      <c r="NTZ362" s="256"/>
      <c r="NUA362" s="322"/>
      <c r="NUB362" s="356"/>
      <c r="NUC362" s="258"/>
      <c r="NUD362" s="616"/>
      <c r="NUE362" s="260"/>
      <c r="NUG362" s="254"/>
      <c r="NUH362" s="615"/>
      <c r="NUI362" s="256"/>
      <c r="NUJ362" s="322"/>
      <c r="NUK362" s="356"/>
      <c r="NUL362" s="258"/>
      <c r="NUM362" s="616"/>
      <c r="NUN362" s="260"/>
      <c r="NUP362" s="254"/>
      <c r="NUQ362" s="615"/>
      <c r="NUR362" s="256"/>
      <c r="NUS362" s="322"/>
      <c r="NUT362" s="356"/>
      <c r="NUU362" s="258"/>
      <c r="NUV362" s="616"/>
      <c r="NUW362" s="260"/>
      <c r="NUY362" s="254"/>
      <c r="NUZ362" s="615"/>
      <c r="NVA362" s="256"/>
      <c r="NVB362" s="322"/>
      <c r="NVC362" s="356"/>
      <c r="NVD362" s="258"/>
      <c r="NVE362" s="616"/>
      <c r="NVF362" s="260"/>
      <c r="NVH362" s="254"/>
      <c r="NVI362" s="615"/>
      <c r="NVJ362" s="256"/>
      <c r="NVK362" s="322"/>
      <c r="NVL362" s="356"/>
      <c r="NVM362" s="258"/>
      <c r="NVN362" s="616"/>
      <c r="NVO362" s="260"/>
      <c r="NVQ362" s="254"/>
      <c r="NVR362" s="615"/>
      <c r="NVS362" s="256"/>
      <c r="NVT362" s="322"/>
      <c r="NVU362" s="356"/>
      <c r="NVV362" s="258"/>
      <c r="NVW362" s="616"/>
      <c r="NVX362" s="260"/>
      <c r="NVZ362" s="254"/>
      <c r="NWA362" s="615"/>
      <c r="NWB362" s="256"/>
      <c r="NWC362" s="322"/>
      <c r="NWD362" s="356"/>
      <c r="NWE362" s="258"/>
      <c r="NWF362" s="616"/>
      <c r="NWG362" s="260"/>
      <c r="NWI362" s="254"/>
      <c r="NWJ362" s="615"/>
      <c r="NWK362" s="256"/>
      <c r="NWL362" s="322"/>
      <c r="NWM362" s="356"/>
      <c r="NWN362" s="258"/>
      <c r="NWO362" s="616"/>
      <c r="NWP362" s="260"/>
      <c r="NWR362" s="254"/>
      <c r="NWS362" s="615"/>
      <c r="NWT362" s="256"/>
      <c r="NWU362" s="322"/>
      <c r="NWV362" s="356"/>
      <c r="NWW362" s="258"/>
      <c r="NWX362" s="616"/>
      <c r="NWY362" s="260"/>
      <c r="NXA362" s="254"/>
      <c r="NXB362" s="615"/>
      <c r="NXC362" s="256"/>
      <c r="NXD362" s="322"/>
      <c r="NXE362" s="356"/>
      <c r="NXF362" s="258"/>
      <c r="NXG362" s="616"/>
      <c r="NXH362" s="260"/>
      <c r="NXJ362" s="254"/>
      <c r="NXK362" s="615"/>
      <c r="NXL362" s="256"/>
      <c r="NXM362" s="322"/>
      <c r="NXN362" s="356"/>
      <c r="NXO362" s="258"/>
      <c r="NXP362" s="616"/>
      <c r="NXQ362" s="260"/>
      <c r="NXS362" s="254"/>
      <c r="NXT362" s="615"/>
      <c r="NXU362" s="256"/>
      <c r="NXV362" s="322"/>
      <c r="NXW362" s="356"/>
      <c r="NXX362" s="258"/>
      <c r="NXY362" s="616"/>
      <c r="NXZ362" s="260"/>
      <c r="NYB362" s="254"/>
      <c r="NYC362" s="615"/>
      <c r="NYD362" s="256"/>
      <c r="NYE362" s="322"/>
      <c r="NYF362" s="356"/>
      <c r="NYG362" s="258"/>
      <c r="NYH362" s="616"/>
      <c r="NYI362" s="260"/>
      <c r="NYK362" s="254"/>
      <c r="NYL362" s="615"/>
      <c r="NYM362" s="256"/>
      <c r="NYN362" s="322"/>
      <c r="NYO362" s="356"/>
      <c r="NYP362" s="258"/>
      <c r="NYQ362" s="616"/>
      <c r="NYR362" s="260"/>
      <c r="NYT362" s="254"/>
      <c r="NYU362" s="615"/>
      <c r="NYV362" s="256"/>
      <c r="NYW362" s="322"/>
      <c r="NYX362" s="356"/>
      <c r="NYY362" s="258"/>
      <c r="NYZ362" s="616"/>
      <c r="NZA362" s="260"/>
      <c r="NZC362" s="254"/>
      <c r="NZD362" s="615"/>
      <c r="NZE362" s="256"/>
      <c r="NZF362" s="322"/>
      <c r="NZG362" s="356"/>
      <c r="NZH362" s="258"/>
      <c r="NZI362" s="616"/>
      <c r="NZJ362" s="260"/>
      <c r="NZL362" s="254"/>
      <c r="NZM362" s="615"/>
      <c r="NZN362" s="256"/>
      <c r="NZO362" s="322"/>
      <c r="NZP362" s="356"/>
      <c r="NZQ362" s="258"/>
      <c r="NZR362" s="616"/>
      <c r="NZS362" s="260"/>
      <c r="NZU362" s="254"/>
      <c r="NZV362" s="615"/>
      <c r="NZW362" s="256"/>
      <c r="NZX362" s="322"/>
      <c r="NZY362" s="356"/>
      <c r="NZZ362" s="258"/>
      <c r="OAA362" s="616"/>
      <c r="OAB362" s="260"/>
      <c r="OAD362" s="254"/>
      <c r="OAE362" s="615"/>
      <c r="OAF362" s="256"/>
      <c r="OAG362" s="322"/>
      <c r="OAH362" s="356"/>
      <c r="OAI362" s="258"/>
      <c r="OAJ362" s="616"/>
      <c r="OAK362" s="260"/>
      <c r="OAM362" s="254"/>
      <c r="OAN362" s="615"/>
      <c r="OAO362" s="256"/>
      <c r="OAP362" s="322"/>
      <c r="OAQ362" s="356"/>
      <c r="OAR362" s="258"/>
      <c r="OAS362" s="616"/>
      <c r="OAT362" s="260"/>
      <c r="OAV362" s="254"/>
      <c r="OAW362" s="615"/>
      <c r="OAX362" s="256"/>
      <c r="OAY362" s="322"/>
      <c r="OAZ362" s="356"/>
      <c r="OBA362" s="258"/>
      <c r="OBB362" s="616"/>
      <c r="OBC362" s="260"/>
      <c r="OBE362" s="254"/>
      <c r="OBF362" s="615"/>
      <c r="OBG362" s="256"/>
      <c r="OBH362" s="322"/>
      <c r="OBI362" s="356"/>
      <c r="OBJ362" s="258"/>
      <c r="OBK362" s="616"/>
      <c r="OBL362" s="260"/>
      <c r="OBN362" s="254"/>
      <c r="OBO362" s="615"/>
      <c r="OBP362" s="256"/>
      <c r="OBQ362" s="322"/>
      <c r="OBR362" s="356"/>
      <c r="OBS362" s="258"/>
      <c r="OBT362" s="616"/>
      <c r="OBU362" s="260"/>
      <c r="OBW362" s="254"/>
      <c r="OBX362" s="615"/>
      <c r="OBY362" s="256"/>
      <c r="OBZ362" s="322"/>
      <c r="OCA362" s="356"/>
      <c r="OCB362" s="258"/>
      <c r="OCC362" s="616"/>
      <c r="OCD362" s="260"/>
      <c r="OCF362" s="254"/>
      <c r="OCG362" s="615"/>
      <c r="OCH362" s="256"/>
      <c r="OCI362" s="322"/>
      <c r="OCJ362" s="356"/>
      <c r="OCK362" s="258"/>
      <c r="OCL362" s="616"/>
      <c r="OCM362" s="260"/>
      <c r="OCO362" s="254"/>
      <c r="OCP362" s="615"/>
      <c r="OCQ362" s="256"/>
      <c r="OCR362" s="322"/>
      <c r="OCS362" s="356"/>
      <c r="OCT362" s="258"/>
      <c r="OCU362" s="616"/>
      <c r="OCV362" s="260"/>
      <c r="OCX362" s="254"/>
      <c r="OCY362" s="615"/>
      <c r="OCZ362" s="256"/>
      <c r="ODA362" s="322"/>
      <c r="ODB362" s="356"/>
      <c r="ODC362" s="258"/>
      <c r="ODD362" s="616"/>
      <c r="ODE362" s="260"/>
      <c r="ODG362" s="254"/>
      <c r="ODH362" s="615"/>
      <c r="ODI362" s="256"/>
      <c r="ODJ362" s="322"/>
      <c r="ODK362" s="356"/>
      <c r="ODL362" s="258"/>
      <c r="ODM362" s="616"/>
      <c r="ODN362" s="260"/>
      <c r="ODP362" s="254"/>
      <c r="ODQ362" s="615"/>
      <c r="ODR362" s="256"/>
      <c r="ODS362" s="322"/>
      <c r="ODT362" s="356"/>
      <c r="ODU362" s="258"/>
      <c r="ODV362" s="616"/>
      <c r="ODW362" s="260"/>
      <c r="ODY362" s="254"/>
      <c r="ODZ362" s="615"/>
      <c r="OEA362" s="256"/>
      <c r="OEB362" s="322"/>
      <c r="OEC362" s="356"/>
      <c r="OED362" s="258"/>
      <c r="OEE362" s="616"/>
      <c r="OEF362" s="260"/>
      <c r="OEH362" s="254"/>
      <c r="OEI362" s="615"/>
      <c r="OEJ362" s="256"/>
      <c r="OEK362" s="322"/>
      <c r="OEL362" s="356"/>
      <c r="OEM362" s="258"/>
      <c r="OEN362" s="616"/>
      <c r="OEO362" s="260"/>
      <c r="OEQ362" s="254"/>
      <c r="OER362" s="615"/>
      <c r="OES362" s="256"/>
      <c r="OET362" s="322"/>
      <c r="OEU362" s="356"/>
      <c r="OEV362" s="258"/>
      <c r="OEW362" s="616"/>
      <c r="OEX362" s="260"/>
      <c r="OEZ362" s="254"/>
      <c r="OFA362" s="615"/>
      <c r="OFB362" s="256"/>
      <c r="OFC362" s="322"/>
      <c r="OFD362" s="356"/>
      <c r="OFE362" s="258"/>
      <c r="OFF362" s="616"/>
      <c r="OFG362" s="260"/>
      <c r="OFI362" s="254"/>
      <c r="OFJ362" s="615"/>
      <c r="OFK362" s="256"/>
      <c r="OFL362" s="322"/>
      <c r="OFM362" s="356"/>
      <c r="OFN362" s="258"/>
      <c r="OFO362" s="616"/>
      <c r="OFP362" s="260"/>
      <c r="OFR362" s="254"/>
      <c r="OFS362" s="615"/>
      <c r="OFT362" s="256"/>
      <c r="OFU362" s="322"/>
      <c r="OFV362" s="356"/>
      <c r="OFW362" s="258"/>
      <c r="OFX362" s="616"/>
      <c r="OFY362" s="260"/>
      <c r="OGA362" s="254"/>
      <c r="OGB362" s="615"/>
      <c r="OGC362" s="256"/>
      <c r="OGD362" s="322"/>
      <c r="OGE362" s="356"/>
      <c r="OGF362" s="258"/>
      <c r="OGG362" s="616"/>
      <c r="OGH362" s="260"/>
      <c r="OGJ362" s="254"/>
      <c r="OGK362" s="615"/>
      <c r="OGL362" s="256"/>
      <c r="OGM362" s="322"/>
      <c r="OGN362" s="356"/>
      <c r="OGO362" s="258"/>
      <c r="OGP362" s="616"/>
      <c r="OGQ362" s="260"/>
      <c r="OGS362" s="254"/>
      <c r="OGT362" s="615"/>
      <c r="OGU362" s="256"/>
      <c r="OGV362" s="322"/>
      <c r="OGW362" s="356"/>
      <c r="OGX362" s="258"/>
      <c r="OGY362" s="616"/>
      <c r="OGZ362" s="260"/>
      <c r="OHB362" s="254"/>
      <c r="OHC362" s="615"/>
      <c r="OHD362" s="256"/>
      <c r="OHE362" s="322"/>
      <c r="OHF362" s="356"/>
      <c r="OHG362" s="258"/>
      <c r="OHH362" s="616"/>
      <c r="OHI362" s="260"/>
      <c r="OHK362" s="254"/>
      <c r="OHL362" s="615"/>
      <c r="OHM362" s="256"/>
      <c r="OHN362" s="322"/>
      <c r="OHO362" s="356"/>
      <c r="OHP362" s="258"/>
      <c r="OHQ362" s="616"/>
      <c r="OHR362" s="260"/>
      <c r="OHT362" s="254"/>
      <c r="OHU362" s="615"/>
      <c r="OHV362" s="256"/>
      <c r="OHW362" s="322"/>
      <c r="OHX362" s="356"/>
      <c r="OHY362" s="258"/>
      <c r="OHZ362" s="616"/>
      <c r="OIA362" s="260"/>
      <c r="OIC362" s="254"/>
      <c r="OID362" s="615"/>
      <c r="OIE362" s="256"/>
      <c r="OIF362" s="322"/>
      <c r="OIG362" s="356"/>
      <c r="OIH362" s="258"/>
      <c r="OII362" s="616"/>
      <c r="OIJ362" s="260"/>
      <c r="OIL362" s="254"/>
      <c r="OIM362" s="615"/>
      <c r="OIN362" s="256"/>
      <c r="OIO362" s="322"/>
      <c r="OIP362" s="356"/>
      <c r="OIQ362" s="258"/>
      <c r="OIR362" s="616"/>
      <c r="OIS362" s="260"/>
      <c r="OIU362" s="254"/>
      <c r="OIV362" s="615"/>
      <c r="OIW362" s="256"/>
      <c r="OIX362" s="322"/>
      <c r="OIY362" s="356"/>
      <c r="OIZ362" s="258"/>
      <c r="OJA362" s="616"/>
      <c r="OJB362" s="260"/>
      <c r="OJD362" s="254"/>
      <c r="OJE362" s="615"/>
      <c r="OJF362" s="256"/>
      <c r="OJG362" s="322"/>
      <c r="OJH362" s="356"/>
      <c r="OJI362" s="258"/>
      <c r="OJJ362" s="616"/>
      <c r="OJK362" s="260"/>
      <c r="OJM362" s="254"/>
      <c r="OJN362" s="615"/>
      <c r="OJO362" s="256"/>
      <c r="OJP362" s="322"/>
      <c r="OJQ362" s="356"/>
      <c r="OJR362" s="258"/>
      <c r="OJS362" s="616"/>
      <c r="OJT362" s="260"/>
      <c r="OJV362" s="254"/>
      <c r="OJW362" s="615"/>
      <c r="OJX362" s="256"/>
      <c r="OJY362" s="322"/>
      <c r="OJZ362" s="356"/>
      <c r="OKA362" s="258"/>
      <c r="OKB362" s="616"/>
      <c r="OKC362" s="260"/>
      <c r="OKE362" s="254"/>
      <c r="OKF362" s="615"/>
      <c r="OKG362" s="256"/>
      <c r="OKH362" s="322"/>
      <c r="OKI362" s="356"/>
      <c r="OKJ362" s="258"/>
      <c r="OKK362" s="616"/>
      <c r="OKL362" s="260"/>
      <c r="OKN362" s="254"/>
      <c r="OKO362" s="615"/>
      <c r="OKP362" s="256"/>
      <c r="OKQ362" s="322"/>
      <c r="OKR362" s="356"/>
      <c r="OKS362" s="258"/>
      <c r="OKT362" s="616"/>
      <c r="OKU362" s="260"/>
      <c r="OKW362" s="254"/>
      <c r="OKX362" s="615"/>
      <c r="OKY362" s="256"/>
      <c r="OKZ362" s="322"/>
      <c r="OLA362" s="356"/>
      <c r="OLB362" s="258"/>
      <c r="OLC362" s="616"/>
      <c r="OLD362" s="260"/>
      <c r="OLF362" s="254"/>
      <c r="OLG362" s="615"/>
      <c r="OLH362" s="256"/>
      <c r="OLI362" s="322"/>
      <c r="OLJ362" s="356"/>
      <c r="OLK362" s="258"/>
      <c r="OLL362" s="616"/>
      <c r="OLM362" s="260"/>
      <c r="OLO362" s="254"/>
      <c r="OLP362" s="615"/>
      <c r="OLQ362" s="256"/>
      <c r="OLR362" s="322"/>
      <c r="OLS362" s="356"/>
      <c r="OLT362" s="258"/>
      <c r="OLU362" s="616"/>
      <c r="OLV362" s="260"/>
      <c r="OLX362" s="254"/>
      <c r="OLY362" s="615"/>
      <c r="OLZ362" s="256"/>
      <c r="OMA362" s="322"/>
      <c r="OMB362" s="356"/>
      <c r="OMC362" s="258"/>
      <c r="OMD362" s="616"/>
      <c r="OME362" s="260"/>
      <c r="OMG362" s="254"/>
      <c r="OMH362" s="615"/>
      <c r="OMI362" s="256"/>
      <c r="OMJ362" s="322"/>
      <c r="OMK362" s="356"/>
      <c r="OML362" s="258"/>
      <c r="OMM362" s="616"/>
      <c r="OMN362" s="260"/>
      <c r="OMP362" s="254"/>
      <c r="OMQ362" s="615"/>
      <c r="OMR362" s="256"/>
      <c r="OMS362" s="322"/>
      <c r="OMT362" s="356"/>
      <c r="OMU362" s="258"/>
      <c r="OMV362" s="616"/>
      <c r="OMW362" s="260"/>
      <c r="OMY362" s="254"/>
      <c r="OMZ362" s="615"/>
      <c r="ONA362" s="256"/>
      <c r="ONB362" s="322"/>
      <c r="ONC362" s="356"/>
      <c r="OND362" s="258"/>
      <c r="ONE362" s="616"/>
      <c r="ONF362" s="260"/>
      <c r="ONH362" s="254"/>
      <c r="ONI362" s="615"/>
      <c r="ONJ362" s="256"/>
      <c r="ONK362" s="322"/>
      <c r="ONL362" s="356"/>
      <c r="ONM362" s="258"/>
      <c r="ONN362" s="616"/>
      <c r="ONO362" s="260"/>
      <c r="ONQ362" s="254"/>
      <c r="ONR362" s="615"/>
      <c r="ONS362" s="256"/>
      <c r="ONT362" s="322"/>
      <c r="ONU362" s="356"/>
      <c r="ONV362" s="258"/>
      <c r="ONW362" s="616"/>
      <c r="ONX362" s="260"/>
      <c r="ONZ362" s="254"/>
      <c r="OOA362" s="615"/>
      <c r="OOB362" s="256"/>
      <c r="OOC362" s="322"/>
      <c r="OOD362" s="356"/>
      <c r="OOE362" s="258"/>
      <c r="OOF362" s="616"/>
      <c r="OOG362" s="260"/>
      <c r="OOI362" s="254"/>
      <c r="OOJ362" s="615"/>
      <c r="OOK362" s="256"/>
      <c r="OOL362" s="322"/>
      <c r="OOM362" s="356"/>
      <c r="OON362" s="258"/>
      <c r="OOO362" s="616"/>
      <c r="OOP362" s="260"/>
      <c r="OOR362" s="254"/>
      <c r="OOS362" s="615"/>
      <c r="OOT362" s="256"/>
      <c r="OOU362" s="322"/>
      <c r="OOV362" s="356"/>
      <c r="OOW362" s="258"/>
      <c r="OOX362" s="616"/>
      <c r="OOY362" s="260"/>
      <c r="OPA362" s="254"/>
      <c r="OPB362" s="615"/>
      <c r="OPC362" s="256"/>
      <c r="OPD362" s="322"/>
      <c r="OPE362" s="356"/>
      <c r="OPF362" s="258"/>
      <c r="OPG362" s="616"/>
      <c r="OPH362" s="260"/>
      <c r="OPJ362" s="254"/>
      <c r="OPK362" s="615"/>
      <c r="OPL362" s="256"/>
      <c r="OPM362" s="322"/>
      <c r="OPN362" s="356"/>
      <c r="OPO362" s="258"/>
      <c r="OPP362" s="616"/>
      <c r="OPQ362" s="260"/>
      <c r="OPS362" s="254"/>
      <c r="OPT362" s="615"/>
      <c r="OPU362" s="256"/>
      <c r="OPV362" s="322"/>
      <c r="OPW362" s="356"/>
      <c r="OPX362" s="258"/>
      <c r="OPY362" s="616"/>
      <c r="OPZ362" s="260"/>
      <c r="OQB362" s="254"/>
      <c r="OQC362" s="615"/>
      <c r="OQD362" s="256"/>
      <c r="OQE362" s="322"/>
      <c r="OQF362" s="356"/>
      <c r="OQG362" s="258"/>
      <c r="OQH362" s="616"/>
      <c r="OQI362" s="260"/>
      <c r="OQK362" s="254"/>
      <c r="OQL362" s="615"/>
      <c r="OQM362" s="256"/>
      <c r="OQN362" s="322"/>
      <c r="OQO362" s="356"/>
      <c r="OQP362" s="258"/>
      <c r="OQQ362" s="616"/>
      <c r="OQR362" s="260"/>
      <c r="OQT362" s="254"/>
      <c r="OQU362" s="615"/>
      <c r="OQV362" s="256"/>
      <c r="OQW362" s="322"/>
      <c r="OQX362" s="356"/>
      <c r="OQY362" s="258"/>
      <c r="OQZ362" s="616"/>
      <c r="ORA362" s="260"/>
      <c r="ORC362" s="254"/>
      <c r="ORD362" s="615"/>
      <c r="ORE362" s="256"/>
      <c r="ORF362" s="322"/>
      <c r="ORG362" s="356"/>
      <c r="ORH362" s="258"/>
      <c r="ORI362" s="616"/>
      <c r="ORJ362" s="260"/>
      <c r="ORL362" s="254"/>
      <c r="ORM362" s="615"/>
      <c r="ORN362" s="256"/>
      <c r="ORO362" s="322"/>
      <c r="ORP362" s="356"/>
      <c r="ORQ362" s="258"/>
      <c r="ORR362" s="616"/>
      <c r="ORS362" s="260"/>
      <c r="ORU362" s="254"/>
      <c r="ORV362" s="615"/>
      <c r="ORW362" s="256"/>
      <c r="ORX362" s="322"/>
      <c r="ORY362" s="356"/>
      <c r="ORZ362" s="258"/>
      <c r="OSA362" s="616"/>
      <c r="OSB362" s="260"/>
      <c r="OSD362" s="254"/>
      <c r="OSE362" s="615"/>
      <c r="OSF362" s="256"/>
      <c r="OSG362" s="322"/>
      <c r="OSH362" s="356"/>
      <c r="OSI362" s="258"/>
      <c r="OSJ362" s="616"/>
      <c r="OSK362" s="260"/>
      <c r="OSM362" s="254"/>
      <c r="OSN362" s="615"/>
      <c r="OSO362" s="256"/>
      <c r="OSP362" s="322"/>
      <c r="OSQ362" s="356"/>
      <c r="OSR362" s="258"/>
      <c r="OSS362" s="616"/>
      <c r="OST362" s="260"/>
      <c r="OSV362" s="254"/>
      <c r="OSW362" s="615"/>
      <c r="OSX362" s="256"/>
      <c r="OSY362" s="322"/>
      <c r="OSZ362" s="356"/>
      <c r="OTA362" s="258"/>
      <c r="OTB362" s="616"/>
      <c r="OTC362" s="260"/>
      <c r="OTE362" s="254"/>
      <c r="OTF362" s="615"/>
      <c r="OTG362" s="256"/>
      <c r="OTH362" s="322"/>
      <c r="OTI362" s="356"/>
      <c r="OTJ362" s="258"/>
      <c r="OTK362" s="616"/>
      <c r="OTL362" s="260"/>
      <c r="OTN362" s="254"/>
      <c r="OTO362" s="615"/>
      <c r="OTP362" s="256"/>
      <c r="OTQ362" s="322"/>
      <c r="OTR362" s="356"/>
      <c r="OTS362" s="258"/>
      <c r="OTT362" s="616"/>
      <c r="OTU362" s="260"/>
      <c r="OTW362" s="254"/>
      <c r="OTX362" s="615"/>
      <c r="OTY362" s="256"/>
      <c r="OTZ362" s="322"/>
      <c r="OUA362" s="356"/>
      <c r="OUB362" s="258"/>
      <c r="OUC362" s="616"/>
      <c r="OUD362" s="260"/>
      <c r="OUF362" s="254"/>
      <c r="OUG362" s="615"/>
      <c r="OUH362" s="256"/>
      <c r="OUI362" s="322"/>
      <c r="OUJ362" s="356"/>
      <c r="OUK362" s="258"/>
      <c r="OUL362" s="616"/>
      <c r="OUM362" s="260"/>
      <c r="OUO362" s="254"/>
      <c r="OUP362" s="615"/>
      <c r="OUQ362" s="256"/>
      <c r="OUR362" s="322"/>
      <c r="OUS362" s="356"/>
      <c r="OUT362" s="258"/>
      <c r="OUU362" s="616"/>
      <c r="OUV362" s="260"/>
      <c r="OUX362" s="254"/>
      <c r="OUY362" s="615"/>
      <c r="OUZ362" s="256"/>
      <c r="OVA362" s="322"/>
      <c r="OVB362" s="356"/>
      <c r="OVC362" s="258"/>
      <c r="OVD362" s="616"/>
      <c r="OVE362" s="260"/>
      <c r="OVG362" s="254"/>
      <c r="OVH362" s="615"/>
      <c r="OVI362" s="256"/>
      <c r="OVJ362" s="322"/>
      <c r="OVK362" s="356"/>
      <c r="OVL362" s="258"/>
      <c r="OVM362" s="616"/>
      <c r="OVN362" s="260"/>
      <c r="OVP362" s="254"/>
      <c r="OVQ362" s="615"/>
      <c r="OVR362" s="256"/>
      <c r="OVS362" s="322"/>
      <c r="OVT362" s="356"/>
      <c r="OVU362" s="258"/>
      <c r="OVV362" s="616"/>
      <c r="OVW362" s="260"/>
      <c r="OVY362" s="254"/>
      <c r="OVZ362" s="615"/>
      <c r="OWA362" s="256"/>
      <c r="OWB362" s="322"/>
      <c r="OWC362" s="356"/>
      <c r="OWD362" s="258"/>
      <c r="OWE362" s="616"/>
      <c r="OWF362" s="260"/>
      <c r="OWH362" s="254"/>
      <c r="OWI362" s="615"/>
      <c r="OWJ362" s="256"/>
      <c r="OWK362" s="322"/>
      <c r="OWL362" s="356"/>
      <c r="OWM362" s="258"/>
      <c r="OWN362" s="616"/>
      <c r="OWO362" s="260"/>
      <c r="OWQ362" s="254"/>
      <c r="OWR362" s="615"/>
      <c r="OWS362" s="256"/>
      <c r="OWT362" s="322"/>
      <c r="OWU362" s="356"/>
      <c r="OWV362" s="258"/>
      <c r="OWW362" s="616"/>
      <c r="OWX362" s="260"/>
      <c r="OWZ362" s="254"/>
      <c r="OXA362" s="615"/>
      <c r="OXB362" s="256"/>
      <c r="OXC362" s="322"/>
      <c r="OXD362" s="356"/>
      <c r="OXE362" s="258"/>
      <c r="OXF362" s="616"/>
      <c r="OXG362" s="260"/>
      <c r="OXI362" s="254"/>
      <c r="OXJ362" s="615"/>
      <c r="OXK362" s="256"/>
      <c r="OXL362" s="322"/>
      <c r="OXM362" s="356"/>
      <c r="OXN362" s="258"/>
      <c r="OXO362" s="616"/>
      <c r="OXP362" s="260"/>
      <c r="OXR362" s="254"/>
      <c r="OXS362" s="615"/>
      <c r="OXT362" s="256"/>
      <c r="OXU362" s="322"/>
      <c r="OXV362" s="356"/>
      <c r="OXW362" s="258"/>
      <c r="OXX362" s="616"/>
      <c r="OXY362" s="260"/>
      <c r="OYA362" s="254"/>
      <c r="OYB362" s="615"/>
      <c r="OYC362" s="256"/>
      <c r="OYD362" s="322"/>
      <c r="OYE362" s="356"/>
      <c r="OYF362" s="258"/>
      <c r="OYG362" s="616"/>
      <c r="OYH362" s="260"/>
      <c r="OYJ362" s="254"/>
      <c r="OYK362" s="615"/>
      <c r="OYL362" s="256"/>
      <c r="OYM362" s="322"/>
      <c r="OYN362" s="356"/>
      <c r="OYO362" s="258"/>
      <c r="OYP362" s="616"/>
      <c r="OYQ362" s="260"/>
      <c r="OYS362" s="254"/>
      <c r="OYT362" s="615"/>
      <c r="OYU362" s="256"/>
      <c r="OYV362" s="322"/>
      <c r="OYW362" s="356"/>
      <c r="OYX362" s="258"/>
      <c r="OYY362" s="616"/>
      <c r="OYZ362" s="260"/>
      <c r="OZB362" s="254"/>
      <c r="OZC362" s="615"/>
      <c r="OZD362" s="256"/>
      <c r="OZE362" s="322"/>
      <c r="OZF362" s="356"/>
      <c r="OZG362" s="258"/>
      <c r="OZH362" s="616"/>
      <c r="OZI362" s="260"/>
      <c r="OZK362" s="254"/>
      <c r="OZL362" s="615"/>
      <c r="OZM362" s="256"/>
      <c r="OZN362" s="322"/>
      <c r="OZO362" s="356"/>
      <c r="OZP362" s="258"/>
      <c r="OZQ362" s="616"/>
      <c r="OZR362" s="260"/>
      <c r="OZT362" s="254"/>
      <c r="OZU362" s="615"/>
      <c r="OZV362" s="256"/>
      <c r="OZW362" s="322"/>
      <c r="OZX362" s="356"/>
      <c r="OZY362" s="258"/>
      <c r="OZZ362" s="616"/>
      <c r="PAA362" s="260"/>
      <c r="PAC362" s="254"/>
      <c r="PAD362" s="615"/>
      <c r="PAE362" s="256"/>
      <c r="PAF362" s="322"/>
      <c r="PAG362" s="356"/>
      <c r="PAH362" s="258"/>
      <c r="PAI362" s="616"/>
      <c r="PAJ362" s="260"/>
      <c r="PAL362" s="254"/>
      <c r="PAM362" s="615"/>
      <c r="PAN362" s="256"/>
      <c r="PAO362" s="322"/>
      <c r="PAP362" s="356"/>
      <c r="PAQ362" s="258"/>
      <c r="PAR362" s="616"/>
      <c r="PAS362" s="260"/>
      <c r="PAU362" s="254"/>
      <c r="PAV362" s="615"/>
      <c r="PAW362" s="256"/>
      <c r="PAX362" s="322"/>
      <c r="PAY362" s="356"/>
      <c r="PAZ362" s="258"/>
      <c r="PBA362" s="616"/>
      <c r="PBB362" s="260"/>
      <c r="PBD362" s="254"/>
      <c r="PBE362" s="615"/>
      <c r="PBF362" s="256"/>
      <c r="PBG362" s="322"/>
      <c r="PBH362" s="356"/>
      <c r="PBI362" s="258"/>
      <c r="PBJ362" s="616"/>
      <c r="PBK362" s="260"/>
      <c r="PBM362" s="254"/>
      <c r="PBN362" s="615"/>
      <c r="PBO362" s="256"/>
      <c r="PBP362" s="322"/>
      <c r="PBQ362" s="356"/>
      <c r="PBR362" s="258"/>
      <c r="PBS362" s="616"/>
      <c r="PBT362" s="260"/>
      <c r="PBV362" s="254"/>
      <c r="PBW362" s="615"/>
      <c r="PBX362" s="256"/>
      <c r="PBY362" s="322"/>
      <c r="PBZ362" s="356"/>
      <c r="PCA362" s="258"/>
      <c r="PCB362" s="616"/>
      <c r="PCC362" s="260"/>
      <c r="PCE362" s="254"/>
      <c r="PCF362" s="615"/>
      <c r="PCG362" s="256"/>
      <c r="PCH362" s="322"/>
      <c r="PCI362" s="356"/>
      <c r="PCJ362" s="258"/>
      <c r="PCK362" s="616"/>
      <c r="PCL362" s="260"/>
      <c r="PCN362" s="254"/>
      <c r="PCO362" s="615"/>
      <c r="PCP362" s="256"/>
      <c r="PCQ362" s="322"/>
      <c r="PCR362" s="356"/>
      <c r="PCS362" s="258"/>
      <c r="PCT362" s="616"/>
      <c r="PCU362" s="260"/>
      <c r="PCW362" s="254"/>
      <c r="PCX362" s="615"/>
      <c r="PCY362" s="256"/>
      <c r="PCZ362" s="322"/>
      <c r="PDA362" s="356"/>
      <c r="PDB362" s="258"/>
      <c r="PDC362" s="616"/>
      <c r="PDD362" s="260"/>
      <c r="PDF362" s="254"/>
      <c r="PDG362" s="615"/>
      <c r="PDH362" s="256"/>
      <c r="PDI362" s="322"/>
      <c r="PDJ362" s="356"/>
      <c r="PDK362" s="258"/>
      <c r="PDL362" s="616"/>
      <c r="PDM362" s="260"/>
      <c r="PDO362" s="254"/>
      <c r="PDP362" s="615"/>
      <c r="PDQ362" s="256"/>
      <c r="PDR362" s="322"/>
      <c r="PDS362" s="356"/>
      <c r="PDT362" s="258"/>
      <c r="PDU362" s="616"/>
      <c r="PDV362" s="260"/>
      <c r="PDX362" s="254"/>
      <c r="PDY362" s="615"/>
      <c r="PDZ362" s="256"/>
      <c r="PEA362" s="322"/>
      <c r="PEB362" s="356"/>
      <c r="PEC362" s="258"/>
      <c r="PED362" s="616"/>
      <c r="PEE362" s="260"/>
      <c r="PEG362" s="254"/>
      <c r="PEH362" s="615"/>
      <c r="PEI362" s="256"/>
      <c r="PEJ362" s="322"/>
      <c r="PEK362" s="356"/>
      <c r="PEL362" s="258"/>
      <c r="PEM362" s="616"/>
      <c r="PEN362" s="260"/>
      <c r="PEP362" s="254"/>
      <c r="PEQ362" s="615"/>
      <c r="PER362" s="256"/>
      <c r="PES362" s="322"/>
      <c r="PET362" s="356"/>
      <c r="PEU362" s="258"/>
      <c r="PEV362" s="616"/>
      <c r="PEW362" s="260"/>
      <c r="PEY362" s="254"/>
      <c r="PEZ362" s="615"/>
      <c r="PFA362" s="256"/>
      <c r="PFB362" s="322"/>
      <c r="PFC362" s="356"/>
      <c r="PFD362" s="258"/>
      <c r="PFE362" s="616"/>
      <c r="PFF362" s="260"/>
      <c r="PFH362" s="254"/>
      <c r="PFI362" s="615"/>
      <c r="PFJ362" s="256"/>
      <c r="PFK362" s="322"/>
      <c r="PFL362" s="356"/>
      <c r="PFM362" s="258"/>
      <c r="PFN362" s="616"/>
      <c r="PFO362" s="260"/>
      <c r="PFQ362" s="254"/>
      <c r="PFR362" s="615"/>
      <c r="PFS362" s="256"/>
      <c r="PFT362" s="322"/>
      <c r="PFU362" s="356"/>
      <c r="PFV362" s="258"/>
      <c r="PFW362" s="616"/>
      <c r="PFX362" s="260"/>
      <c r="PFZ362" s="254"/>
      <c r="PGA362" s="615"/>
      <c r="PGB362" s="256"/>
      <c r="PGC362" s="322"/>
      <c r="PGD362" s="356"/>
      <c r="PGE362" s="258"/>
      <c r="PGF362" s="616"/>
      <c r="PGG362" s="260"/>
      <c r="PGI362" s="254"/>
      <c r="PGJ362" s="615"/>
      <c r="PGK362" s="256"/>
      <c r="PGL362" s="322"/>
      <c r="PGM362" s="356"/>
      <c r="PGN362" s="258"/>
      <c r="PGO362" s="616"/>
      <c r="PGP362" s="260"/>
      <c r="PGR362" s="254"/>
      <c r="PGS362" s="615"/>
      <c r="PGT362" s="256"/>
      <c r="PGU362" s="322"/>
      <c r="PGV362" s="356"/>
      <c r="PGW362" s="258"/>
      <c r="PGX362" s="616"/>
      <c r="PGY362" s="260"/>
      <c r="PHA362" s="254"/>
      <c r="PHB362" s="615"/>
      <c r="PHC362" s="256"/>
      <c r="PHD362" s="322"/>
      <c r="PHE362" s="356"/>
      <c r="PHF362" s="258"/>
      <c r="PHG362" s="616"/>
      <c r="PHH362" s="260"/>
      <c r="PHJ362" s="254"/>
      <c r="PHK362" s="615"/>
      <c r="PHL362" s="256"/>
      <c r="PHM362" s="322"/>
      <c r="PHN362" s="356"/>
      <c r="PHO362" s="258"/>
      <c r="PHP362" s="616"/>
      <c r="PHQ362" s="260"/>
      <c r="PHS362" s="254"/>
      <c r="PHT362" s="615"/>
      <c r="PHU362" s="256"/>
      <c r="PHV362" s="322"/>
      <c r="PHW362" s="356"/>
      <c r="PHX362" s="258"/>
      <c r="PHY362" s="616"/>
      <c r="PHZ362" s="260"/>
      <c r="PIB362" s="254"/>
      <c r="PIC362" s="615"/>
      <c r="PID362" s="256"/>
      <c r="PIE362" s="322"/>
      <c r="PIF362" s="356"/>
      <c r="PIG362" s="258"/>
      <c r="PIH362" s="616"/>
      <c r="PII362" s="260"/>
      <c r="PIK362" s="254"/>
      <c r="PIL362" s="615"/>
      <c r="PIM362" s="256"/>
      <c r="PIN362" s="322"/>
      <c r="PIO362" s="356"/>
      <c r="PIP362" s="258"/>
      <c r="PIQ362" s="616"/>
      <c r="PIR362" s="260"/>
      <c r="PIT362" s="254"/>
      <c r="PIU362" s="615"/>
      <c r="PIV362" s="256"/>
      <c r="PIW362" s="322"/>
      <c r="PIX362" s="356"/>
      <c r="PIY362" s="258"/>
      <c r="PIZ362" s="616"/>
      <c r="PJA362" s="260"/>
      <c r="PJC362" s="254"/>
      <c r="PJD362" s="615"/>
      <c r="PJE362" s="256"/>
      <c r="PJF362" s="322"/>
      <c r="PJG362" s="356"/>
      <c r="PJH362" s="258"/>
      <c r="PJI362" s="616"/>
      <c r="PJJ362" s="260"/>
      <c r="PJL362" s="254"/>
      <c r="PJM362" s="615"/>
      <c r="PJN362" s="256"/>
      <c r="PJO362" s="322"/>
      <c r="PJP362" s="356"/>
      <c r="PJQ362" s="258"/>
      <c r="PJR362" s="616"/>
      <c r="PJS362" s="260"/>
      <c r="PJU362" s="254"/>
      <c r="PJV362" s="615"/>
      <c r="PJW362" s="256"/>
      <c r="PJX362" s="322"/>
      <c r="PJY362" s="356"/>
      <c r="PJZ362" s="258"/>
      <c r="PKA362" s="616"/>
      <c r="PKB362" s="260"/>
      <c r="PKD362" s="254"/>
      <c r="PKE362" s="615"/>
      <c r="PKF362" s="256"/>
      <c r="PKG362" s="322"/>
      <c r="PKH362" s="356"/>
      <c r="PKI362" s="258"/>
      <c r="PKJ362" s="616"/>
      <c r="PKK362" s="260"/>
      <c r="PKM362" s="254"/>
      <c r="PKN362" s="615"/>
      <c r="PKO362" s="256"/>
      <c r="PKP362" s="322"/>
      <c r="PKQ362" s="356"/>
      <c r="PKR362" s="258"/>
      <c r="PKS362" s="616"/>
      <c r="PKT362" s="260"/>
      <c r="PKV362" s="254"/>
      <c r="PKW362" s="615"/>
      <c r="PKX362" s="256"/>
      <c r="PKY362" s="322"/>
      <c r="PKZ362" s="356"/>
      <c r="PLA362" s="258"/>
      <c r="PLB362" s="616"/>
      <c r="PLC362" s="260"/>
      <c r="PLE362" s="254"/>
      <c r="PLF362" s="615"/>
      <c r="PLG362" s="256"/>
      <c r="PLH362" s="322"/>
      <c r="PLI362" s="356"/>
      <c r="PLJ362" s="258"/>
      <c r="PLK362" s="616"/>
      <c r="PLL362" s="260"/>
      <c r="PLN362" s="254"/>
      <c r="PLO362" s="615"/>
      <c r="PLP362" s="256"/>
      <c r="PLQ362" s="322"/>
      <c r="PLR362" s="356"/>
      <c r="PLS362" s="258"/>
      <c r="PLT362" s="616"/>
      <c r="PLU362" s="260"/>
      <c r="PLW362" s="254"/>
      <c r="PLX362" s="615"/>
      <c r="PLY362" s="256"/>
      <c r="PLZ362" s="322"/>
      <c r="PMA362" s="356"/>
      <c r="PMB362" s="258"/>
      <c r="PMC362" s="616"/>
      <c r="PMD362" s="260"/>
      <c r="PMF362" s="254"/>
      <c r="PMG362" s="615"/>
      <c r="PMH362" s="256"/>
      <c r="PMI362" s="322"/>
      <c r="PMJ362" s="356"/>
      <c r="PMK362" s="258"/>
      <c r="PML362" s="616"/>
      <c r="PMM362" s="260"/>
      <c r="PMO362" s="254"/>
      <c r="PMP362" s="615"/>
      <c r="PMQ362" s="256"/>
      <c r="PMR362" s="322"/>
      <c r="PMS362" s="356"/>
      <c r="PMT362" s="258"/>
      <c r="PMU362" s="616"/>
      <c r="PMV362" s="260"/>
      <c r="PMX362" s="254"/>
      <c r="PMY362" s="615"/>
      <c r="PMZ362" s="256"/>
      <c r="PNA362" s="322"/>
      <c r="PNB362" s="356"/>
      <c r="PNC362" s="258"/>
      <c r="PND362" s="616"/>
      <c r="PNE362" s="260"/>
      <c r="PNG362" s="254"/>
      <c r="PNH362" s="615"/>
      <c r="PNI362" s="256"/>
      <c r="PNJ362" s="322"/>
      <c r="PNK362" s="356"/>
      <c r="PNL362" s="258"/>
      <c r="PNM362" s="616"/>
      <c r="PNN362" s="260"/>
      <c r="PNP362" s="254"/>
      <c r="PNQ362" s="615"/>
      <c r="PNR362" s="256"/>
      <c r="PNS362" s="322"/>
      <c r="PNT362" s="356"/>
      <c r="PNU362" s="258"/>
      <c r="PNV362" s="616"/>
      <c r="PNW362" s="260"/>
      <c r="PNY362" s="254"/>
      <c r="PNZ362" s="615"/>
      <c r="POA362" s="256"/>
      <c r="POB362" s="322"/>
      <c r="POC362" s="356"/>
      <c r="POD362" s="258"/>
      <c r="POE362" s="616"/>
      <c r="POF362" s="260"/>
      <c r="POH362" s="254"/>
      <c r="POI362" s="615"/>
      <c r="POJ362" s="256"/>
      <c r="POK362" s="322"/>
      <c r="POL362" s="356"/>
      <c r="POM362" s="258"/>
      <c r="PON362" s="616"/>
      <c r="POO362" s="260"/>
      <c r="POQ362" s="254"/>
      <c r="POR362" s="615"/>
      <c r="POS362" s="256"/>
      <c r="POT362" s="322"/>
      <c r="POU362" s="356"/>
      <c r="POV362" s="258"/>
      <c r="POW362" s="616"/>
      <c r="POX362" s="260"/>
      <c r="POZ362" s="254"/>
      <c r="PPA362" s="615"/>
      <c r="PPB362" s="256"/>
      <c r="PPC362" s="322"/>
      <c r="PPD362" s="356"/>
      <c r="PPE362" s="258"/>
      <c r="PPF362" s="616"/>
      <c r="PPG362" s="260"/>
      <c r="PPI362" s="254"/>
      <c r="PPJ362" s="615"/>
      <c r="PPK362" s="256"/>
      <c r="PPL362" s="322"/>
      <c r="PPM362" s="356"/>
      <c r="PPN362" s="258"/>
      <c r="PPO362" s="616"/>
      <c r="PPP362" s="260"/>
      <c r="PPR362" s="254"/>
      <c r="PPS362" s="615"/>
      <c r="PPT362" s="256"/>
      <c r="PPU362" s="322"/>
      <c r="PPV362" s="356"/>
      <c r="PPW362" s="258"/>
      <c r="PPX362" s="616"/>
      <c r="PPY362" s="260"/>
      <c r="PQA362" s="254"/>
      <c r="PQB362" s="615"/>
      <c r="PQC362" s="256"/>
      <c r="PQD362" s="322"/>
      <c r="PQE362" s="356"/>
      <c r="PQF362" s="258"/>
      <c r="PQG362" s="616"/>
      <c r="PQH362" s="260"/>
      <c r="PQJ362" s="254"/>
      <c r="PQK362" s="615"/>
      <c r="PQL362" s="256"/>
      <c r="PQM362" s="322"/>
      <c r="PQN362" s="356"/>
      <c r="PQO362" s="258"/>
      <c r="PQP362" s="616"/>
      <c r="PQQ362" s="260"/>
      <c r="PQS362" s="254"/>
      <c r="PQT362" s="615"/>
      <c r="PQU362" s="256"/>
      <c r="PQV362" s="322"/>
      <c r="PQW362" s="356"/>
      <c r="PQX362" s="258"/>
      <c r="PQY362" s="616"/>
      <c r="PQZ362" s="260"/>
      <c r="PRB362" s="254"/>
      <c r="PRC362" s="615"/>
      <c r="PRD362" s="256"/>
      <c r="PRE362" s="322"/>
      <c r="PRF362" s="356"/>
      <c r="PRG362" s="258"/>
      <c r="PRH362" s="616"/>
      <c r="PRI362" s="260"/>
      <c r="PRK362" s="254"/>
      <c r="PRL362" s="615"/>
      <c r="PRM362" s="256"/>
      <c r="PRN362" s="322"/>
      <c r="PRO362" s="356"/>
      <c r="PRP362" s="258"/>
      <c r="PRQ362" s="616"/>
      <c r="PRR362" s="260"/>
      <c r="PRT362" s="254"/>
      <c r="PRU362" s="615"/>
      <c r="PRV362" s="256"/>
      <c r="PRW362" s="322"/>
      <c r="PRX362" s="356"/>
      <c r="PRY362" s="258"/>
      <c r="PRZ362" s="616"/>
      <c r="PSA362" s="260"/>
      <c r="PSC362" s="254"/>
      <c r="PSD362" s="615"/>
      <c r="PSE362" s="256"/>
      <c r="PSF362" s="322"/>
      <c r="PSG362" s="356"/>
      <c r="PSH362" s="258"/>
      <c r="PSI362" s="616"/>
      <c r="PSJ362" s="260"/>
      <c r="PSL362" s="254"/>
      <c r="PSM362" s="615"/>
      <c r="PSN362" s="256"/>
      <c r="PSO362" s="322"/>
      <c r="PSP362" s="356"/>
      <c r="PSQ362" s="258"/>
      <c r="PSR362" s="616"/>
      <c r="PSS362" s="260"/>
      <c r="PSU362" s="254"/>
      <c r="PSV362" s="615"/>
      <c r="PSW362" s="256"/>
      <c r="PSX362" s="322"/>
      <c r="PSY362" s="356"/>
      <c r="PSZ362" s="258"/>
      <c r="PTA362" s="616"/>
      <c r="PTB362" s="260"/>
      <c r="PTD362" s="254"/>
      <c r="PTE362" s="615"/>
      <c r="PTF362" s="256"/>
      <c r="PTG362" s="322"/>
      <c r="PTH362" s="356"/>
      <c r="PTI362" s="258"/>
      <c r="PTJ362" s="616"/>
      <c r="PTK362" s="260"/>
      <c r="PTM362" s="254"/>
      <c r="PTN362" s="615"/>
      <c r="PTO362" s="256"/>
      <c r="PTP362" s="322"/>
      <c r="PTQ362" s="356"/>
      <c r="PTR362" s="258"/>
      <c r="PTS362" s="616"/>
      <c r="PTT362" s="260"/>
      <c r="PTV362" s="254"/>
      <c r="PTW362" s="615"/>
      <c r="PTX362" s="256"/>
      <c r="PTY362" s="322"/>
      <c r="PTZ362" s="356"/>
      <c r="PUA362" s="258"/>
      <c r="PUB362" s="616"/>
      <c r="PUC362" s="260"/>
      <c r="PUE362" s="254"/>
      <c r="PUF362" s="615"/>
      <c r="PUG362" s="256"/>
      <c r="PUH362" s="322"/>
      <c r="PUI362" s="356"/>
      <c r="PUJ362" s="258"/>
      <c r="PUK362" s="616"/>
      <c r="PUL362" s="260"/>
      <c r="PUN362" s="254"/>
      <c r="PUO362" s="615"/>
      <c r="PUP362" s="256"/>
      <c r="PUQ362" s="322"/>
      <c r="PUR362" s="356"/>
      <c r="PUS362" s="258"/>
      <c r="PUT362" s="616"/>
      <c r="PUU362" s="260"/>
      <c r="PUW362" s="254"/>
      <c r="PUX362" s="615"/>
      <c r="PUY362" s="256"/>
      <c r="PUZ362" s="322"/>
      <c r="PVA362" s="356"/>
      <c r="PVB362" s="258"/>
      <c r="PVC362" s="616"/>
      <c r="PVD362" s="260"/>
      <c r="PVF362" s="254"/>
      <c r="PVG362" s="615"/>
      <c r="PVH362" s="256"/>
      <c r="PVI362" s="322"/>
      <c r="PVJ362" s="356"/>
      <c r="PVK362" s="258"/>
      <c r="PVL362" s="616"/>
      <c r="PVM362" s="260"/>
      <c r="PVO362" s="254"/>
      <c r="PVP362" s="615"/>
      <c r="PVQ362" s="256"/>
      <c r="PVR362" s="322"/>
      <c r="PVS362" s="356"/>
      <c r="PVT362" s="258"/>
      <c r="PVU362" s="616"/>
      <c r="PVV362" s="260"/>
      <c r="PVX362" s="254"/>
      <c r="PVY362" s="615"/>
      <c r="PVZ362" s="256"/>
      <c r="PWA362" s="322"/>
      <c r="PWB362" s="356"/>
      <c r="PWC362" s="258"/>
      <c r="PWD362" s="616"/>
      <c r="PWE362" s="260"/>
      <c r="PWG362" s="254"/>
      <c r="PWH362" s="615"/>
      <c r="PWI362" s="256"/>
      <c r="PWJ362" s="322"/>
      <c r="PWK362" s="356"/>
      <c r="PWL362" s="258"/>
      <c r="PWM362" s="616"/>
      <c r="PWN362" s="260"/>
      <c r="PWP362" s="254"/>
      <c r="PWQ362" s="615"/>
      <c r="PWR362" s="256"/>
      <c r="PWS362" s="322"/>
      <c r="PWT362" s="356"/>
      <c r="PWU362" s="258"/>
      <c r="PWV362" s="616"/>
      <c r="PWW362" s="260"/>
      <c r="PWY362" s="254"/>
      <c r="PWZ362" s="615"/>
      <c r="PXA362" s="256"/>
      <c r="PXB362" s="322"/>
      <c r="PXC362" s="356"/>
      <c r="PXD362" s="258"/>
      <c r="PXE362" s="616"/>
      <c r="PXF362" s="260"/>
      <c r="PXH362" s="254"/>
      <c r="PXI362" s="615"/>
      <c r="PXJ362" s="256"/>
      <c r="PXK362" s="322"/>
      <c r="PXL362" s="356"/>
      <c r="PXM362" s="258"/>
      <c r="PXN362" s="616"/>
      <c r="PXO362" s="260"/>
      <c r="PXQ362" s="254"/>
      <c r="PXR362" s="615"/>
      <c r="PXS362" s="256"/>
      <c r="PXT362" s="322"/>
      <c r="PXU362" s="356"/>
      <c r="PXV362" s="258"/>
      <c r="PXW362" s="616"/>
      <c r="PXX362" s="260"/>
      <c r="PXZ362" s="254"/>
      <c r="PYA362" s="615"/>
      <c r="PYB362" s="256"/>
      <c r="PYC362" s="322"/>
      <c r="PYD362" s="356"/>
      <c r="PYE362" s="258"/>
      <c r="PYF362" s="616"/>
      <c r="PYG362" s="260"/>
      <c r="PYI362" s="254"/>
      <c r="PYJ362" s="615"/>
      <c r="PYK362" s="256"/>
      <c r="PYL362" s="322"/>
      <c r="PYM362" s="356"/>
      <c r="PYN362" s="258"/>
      <c r="PYO362" s="616"/>
      <c r="PYP362" s="260"/>
      <c r="PYR362" s="254"/>
      <c r="PYS362" s="615"/>
      <c r="PYT362" s="256"/>
      <c r="PYU362" s="322"/>
      <c r="PYV362" s="356"/>
      <c r="PYW362" s="258"/>
      <c r="PYX362" s="616"/>
      <c r="PYY362" s="260"/>
      <c r="PZA362" s="254"/>
      <c r="PZB362" s="615"/>
      <c r="PZC362" s="256"/>
      <c r="PZD362" s="322"/>
      <c r="PZE362" s="356"/>
      <c r="PZF362" s="258"/>
      <c r="PZG362" s="616"/>
      <c r="PZH362" s="260"/>
      <c r="PZJ362" s="254"/>
      <c r="PZK362" s="615"/>
      <c r="PZL362" s="256"/>
      <c r="PZM362" s="322"/>
      <c r="PZN362" s="356"/>
      <c r="PZO362" s="258"/>
      <c r="PZP362" s="616"/>
      <c r="PZQ362" s="260"/>
      <c r="PZS362" s="254"/>
      <c r="PZT362" s="615"/>
      <c r="PZU362" s="256"/>
      <c r="PZV362" s="322"/>
      <c r="PZW362" s="356"/>
      <c r="PZX362" s="258"/>
      <c r="PZY362" s="616"/>
      <c r="PZZ362" s="260"/>
      <c r="QAB362" s="254"/>
      <c r="QAC362" s="615"/>
      <c r="QAD362" s="256"/>
      <c r="QAE362" s="322"/>
      <c r="QAF362" s="356"/>
      <c r="QAG362" s="258"/>
      <c r="QAH362" s="616"/>
      <c r="QAI362" s="260"/>
      <c r="QAK362" s="254"/>
      <c r="QAL362" s="615"/>
      <c r="QAM362" s="256"/>
      <c r="QAN362" s="322"/>
      <c r="QAO362" s="356"/>
      <c r="QAP362" s="258"/>
      <c r="QAQ362" s="616"/>
      <c r="QAR362" s="260"/>
      <c r="QAT362" s="254"/>
      <c r="QAU362" s="615"/>
      <c r="QAV362" s="256"/>
      <c r="QAW362" s="322"/>
      <c r="QAX362" s="356"/>
      <c r="QAY362" s="258"/>
      <c r="QAZ362" s="616"/>
      <c r="QBA362" s="260"/>
      <c r="QBC362" s="254"/>
      <c r="QBD362" s="615"/>
      <c r="QBE362" s="256"/>
      <c r="QBF362" s="322"/>
      <c r="QBG362" s="356"/>
      <c r="QBH362" s="258"/>
      <c r="QBI362" s="616"/>
      <c r="QBJ362" s="260"/>
      <c r="QBL362" s="254"/>
      <c r="QBM362" s="615"/>
      <c r="QBN362" s="256"/>
      <c r="QBO362" s="322"/>
      <c r="QBP362" s="356"/>
      <c r="QBQ362" s="258"/>
      <c r="QBR362" s="616"/>
      <c r="QBS362" s="260"/>
      <c r="QBU362" s="254"/>
      <c r="QBV362" s="615"/>
      <c r="QBW362" s="256"/>
      <c r="QBX362" s="322"/>
      <c r="QBY362" s="356"/>
      <c r="QBZ362" s="258"/>
      <c r="QCA362" s="616"/>
      <c r="QCB362" s="260"/>
      <c r="QCD362" s="254"/>
      <c r="QCE362" s="615"/>
      <c r="QCF362" s="256"/>
      <c r="QCG362" s="322"/>
      <c r="QCH362" s="356"/>
      <c r="QCI362" s="258"/>
      <c r="QCJ362" s="616"/>
      <c r="QCK362" s="260"/>
      <c r="QCM362" s="254"/>
      <c r="QCN362" s="615"/>
      <c r="QCO362" s="256"/>
      <c r="QCP362" s="322"/>
      <c r="QCQ362" s="356"/>
      <c r="QCR362" s="258"/>
      <c r="QCS362" s="616"/>
      <c r="QCT362" s="260"/>
      <c r="QCV362" s="254"/>
      <c r="QCW362" s="615"/>
      <c r="QCX362" s="256"/>
      <c r="QCY362" s="322"/>
      <c r="QCZ362" s="356"/>
      <c r="QDA362" s="258"/>
      <c r="QDB362" s="616"/>
      <c r="QDC362" s="260"/>
      <c r="QDE362" s="254"/>
      <c r="QDF362" s="615"/>
      <c r="QDG362" s="256"/>
      <c r="QDH362" s="322"/>
      <c r="QDI362" s="356"/>
      <c r="QDJ362" s="258"/>
      <c r="QDK362" s="616"/>
      <c r="QDL362" s="260"/>
      <c r="QDN362" s="254"/>
      <c r="QDO362" s="615"/>
      <c r="QDP362" s="256"/>
      <c r="QDQ362" s="322"/>
      <c r="QDR362" s="356"/>
      <c r="QDS362" s="258"/>
      <c r="QDT362" s="616"/>
      <c r="QDU362" s="260"/>
      <c r="QDW362" s="254"/>
      <c r="QDX362" s="615"/>
      <c r="QDY362" s="256"/>
      <c r="QDZ362" s="322"/>
      <c r="QEA362" s="356"/>
      <c r="QEB362" s="258"/>
      <c r="QEC362" s="616"/>
      <c r="QED362" s="260"/>
      <c r="QEF362" s="254"/>
      <c r="QEG362" s="615"/>
      <c r="QEH362" s="256"/>
      <c r="QEI362" s="322"/>
      <c r="QEJ362" s="356"/>
      <c r="QEK362" s="258"/>
      <c r="QEL362" s="616"/>
      <c r="QEM362" s="260"/>
      <c r="QEO362" s="254"/>
      <c r="QEP362" s="615"/>
      <c r="QEQ362" s="256"/>
      <c r="QER362" s="322"/>
      <c r="QES362" s="356"/>
      <c r="QET362" s="258"/>
      <c r="QEU362" s="616"/>
      <c r="QEV362" s="260"/>
      <c r="QEX362" s="254"/>
      <c r="QEY362" s="615"/>
      <c r="QEZ362" s="256"/>
      <c r="QFA362" s="322"/>
      <c r="QFB362" s="356"/>
      <c r="QFC362" s="258"/>
      <c r="QFD362" s="616"/>
      <c r="QFE362" s="260"/>
      <c r="QFG362" s="254"/>
      <c r="QFH362" s="615"/>
      <c r="QFI362" s="256"/>
      <c r="QFJ362" s="322"/>
      <c r="QFK362" s="356"/>
      <c r="QFL362" s="258"/>
      <c r="QFM362" s="616"/>
      <c r="QFN362" s="260"/>
      <c r="QFP362" s="254"/>
      <c r="QFQ362" s="615"/>
      <c r="QFR362" s="256"/>
      <c r="QFS362" s="322"/>
      <c r="QFT362" s="356"/>
      <c r="QFU362" s="258"/>
      <c r="QFV362" s="616"/>
      <c r="QFW362" s="260"/>
      <c r="QFY362" s="254"/>
      <c r="QFZ362" s="615"/>
      <c r="QGA362" s="256"/>
      <c r="QGB362" s="322"/>
      <c r="QGC362" s="356"/>
      <c r="QGD362" s="258"/>
      <c r="QGE362" s="616"/>
      <c r="QGF362" s="260"/>
      <c r="QGH362" s="254"/>
      <c r="QGI362" s="615"/>
      <c r="QGJ362" s="256"/>
      <c r="QGK362" s="322"/>
      <c r="QGL362" s="356"/>
      <c r="QGM362" s="258"/>
      <c r="QGN362" s="616"/>
      <c r="QGO362" s="260"/>
      <c r="QGQ362" s="254"/>
      <c r="QGR362" s="615"/>
      <c r="QGS362" s="256"/>
      <c r="QGT362" s="322"/>
      <c r="QGU362" s="356"/>
      <c r="QGV362" s="258"/>
      <c r="QGW362" s="616"/>
      <c r="QGX362" s="260"/>
      <c r="QGZ362" s="254"/>
      <c r="QHA362" s="615"/>
      <c r="QHB362" s="256"/>
      <c r="QHC362" s="322"/>
      <c r="QHD362" s="356"/>
      <c r="QHE362" s="258"/>
      <c r="QHF362" s="616"/>
      <c r="QHG362" s="260"/>
      <c r="QHI362" s="254"/>
      <c r="QHJ362" s="615"/>
      <c r="QHK362" s="256"/>
      <c r="QHL362" s="322"/>
      <c r="QHM362" s="356"/>
      <c r="QHN362" s="258"/>
      <c r="QHO362" s="616"/>
      <c r="QHP362" s="260"/>
      <c r="QHR362" s="254"/>
      <c r="QHS362" s="615"/>
      <c r="QHT362" s="256"/>
      <c r="QHU362" s="322"/>
      <c r="QHV362" s="356"/>
      <c r="QHW362" s="258"/>
      <c r="QHX362" s="616"/>
      <c r="QHY362" s="260"/>
      <c r="QIA362" s="254"/>
      <c r="QIB362" s="615"/>
      <c r="QIC362" s="256"/>
      <c r="QID362" s="322"/>
      <c r="QIE362" s="356"/>
      <c r="QIF362" s="258"/>
      <c r="QIG362" s="616"/>
      <c r="QIH362" s="260"/>
      <c r="QIJ362" s="254"/>
      <c r="QIK362" s="615"/>
      <c r="QIL362" s="256"/>
      <c r="QIM362" s="322"/>
      <c r="QIN362" s="356"/>
      <c r="QIO362" s="258"/>
      <c r="QIP362" s="616"/>
      <c r="QIQ362" s="260"/>
      <c r="QIS362" s="254"/>
      <c r="QIT362" s="615"/>
      <c r="QIU362" s="256"/>
      <c r="QIV362" s="322"/>
      <c r="QIW362" s="356"/>
      <c r="QIX362" s="258"/>
      <c r="QIY362" s="616"/>
      <c r="QIZ362" s="260"/>
      <c r="QJB362" s="254"/>
      <c r="QJC362" s="615"/>
      <c r="QJD362" s="256"/>
      <c r="QJE362" s="322"/>
      <c r="QJF362" s="356"/>
      <c r="QJG362" s="258"/>
      <c r="QJH362" s="616"/>
      <c r="QJI362" s="260"/>
      <c r="QJK362" s="254"/>
      <c r="QJL362" s="615"/>
      <c r="QJM362" s="256"/>
      <c r="QJN362" s="322"/>
      <c r="QJO362" s="356"/>
      <c r="QJP362" s="258"/>
      <c r="QJQ362" s="616"/>
      <c r="QJR362" s="260"/>
      <c r="QJT362" s="254"/>
      <c r="QJU362" s="615"/>
      <c r="QJV362" s="256"/>
      <c r="QJW362" s="322"/>
      <c r="QJX362" s="356"/>
      <c r="QJY362" s="258"/>
      <c r="QJZ362" s="616"/>
      <c r="QKA362" s="260"/>
      <c r="QKC362" s="254"/>
      <c r="QKD362" s="615"/>
      <c r="QKE362" s="256"/>
      <c r="QKF362" s="322"/>
      <c r="QKG362" s="356"/>
      <c r="QKH362" s="258"/>
      <c r="QKI362" s="616"/>
      <c r="QKJ362" s="260"/>
      <c r="QKL362" s="254"/>
      <c r="QKM362" s="615"/>
      <c r="QKN362" s="256"/>
      <c r="QKO362" s="322"/>
      <c r="QKP362" s="356"/>
      <c r="QKQ362" s="258"/>
      <c r="QKR362" s="616"/>
      <c r="QKS362" s="260"/>
      <c r="QKU362" s="254"/>
      <c r="QKV362" s="615"/>
      <c r="QKW362" s="256"/>
      <c r="QKX362" s="322"/>
      <c r="QKY362" s="356"/>
      <c r="QKZ362" s="258"/>
      <c r="QLA362" s="616"/>
      <c r="QLB362" s="260"/>
      <c r="QLD362" s="254"/>
      <c r="QLE362" s="615"/>
      <c r="QLF362" s="256"/>
      <c r="QLG362" s="322"/>
      <c r="QLH362" s="356"/>
      <c r="QLI362" s="258"/>
      <c r="QLJ362" s="616"/>
      <c r="QLK362" s="260"/>
      <c r="QLM362" s="254"/>
      <c r="QLN362" s="615"/>
      <c r="QLO362" s="256"/>
      <c r="QLP362" s="322"/>
      <c r="QLQ362" s="356"/>
      <c r="QLR362" s="258"/>
      <c r="QLS362" s="616"/>
      <c r="QLT362" s="260"/>
      <c r="QLV362" s="254"/>
      <c r="QLW362" s="615"/>
      <c r="QLX362" s="256"/>
      <c r="QLY362" s="322"/>
      <c r="QLZ362" s="356"/>
      <c r="QMA362" s="258"/>
      <c r="QMB362" s="616"/>
      <c r="QMC362" s="260"/>
      <c r="QME362" s="254"/>
      <c r="QMF362" s="615"/>
      <c r="QMG362" s="256"/>
      <c r="QMH362" s="322"/>
      <c r="QMI362" s="356"/>
      <c r="QMJ362" s="258"/>
      <c r="QMK362" s="616"/>
      <c r="QML362" s="260"/>
      <c r="QMN362" s="254"/>
      <c r="QMO362" s="615"/>
      <c r="QMP362" s="256"/>
      <c r="QMQ362" s="322"/>
      <c r="QMR362" s="356"/>
      <c r="QMS362" s="258"/>
      <c r="QMT362" s="616"/>
      <c r="QMU362" s="260"/>
      <c r="QMW362" s="254"/>
      <c r="QMX362" s="615"/>
      <c r="QMY362" s="256"/>
      <c r="QMZ362" s="322"/>
      <c r="QNA362" s="356"/>
      <c r="QNB362" s="258"/>
      <c r="QNC362" s="616"/>
      <c r="QND362" s="260"/>
      <c r="QNF362" s="254"/>
      <c r="QNG362" s="615"/>
      <c r="QNH362" s="256"/>
      <c r="QNI362" s="322"/>
      <c r="QNJ362" s="356"/>
      <c r="QNK362" s="258"/>
      <c r="QNL362" s="616"/>
      <c r="QNM362" s="260"/>
      <c r="QNO362" s="254"/>
      <c r="QNP362" s="615"/>
      <c r="QNQ362" s="256"/>
      <c r="QNR362" s="322"/>
      <c r="QNS362" s="356"/>
      <c r="QNT362" s="258"/>
      <c r="QNU362" s="616"/>
      <c r="QNV362" s="260"/>
      <c r="QNX362" s="254"/>
      <c r="QNY362" s="615"/>
      <c r="QNZ362" s="256"/>
      <c r="QOA362" s="322"/>
      <c r="QOB362" s="356"/>
      <c r="QOC362" s="258"/>
      <c r="QOD362" s="616"/>
      <c r="QOE362" s="260"/>
      <c r="QOG362" s="254"/>
      <c r="QOH362" s="615"/>
      <c r="QOI362" s="256"/>
      <c r="QOJ362" s="322"/>
      <c r="QOK362" s="356"/>
      <c r="QOL362" s="258"/>
      <c r="QOM362" s="616"/>
      <c r="QON362" s="260"/>
      <c r="QOP362" s="254"/>
      <c r="QOQ362" s="615"/>
      <c r="QOR362" s="256"/>
      <c r="QOS362" s="322"/>
      <c r="QOT362" s="356"/>
      <c r="QOU362" s="258"/>
      <c r="QOV362" s="616"/>
      <c r="QOW362" s="260"/>
      <c r="QOY362" s="254"/>
      <c r="QOZ362" s="615"/>
      <c r="QPA362" s="256"/>
      <c r="QPB362" s="322"/>
      <c r="QPC362" s="356"/>
      <c r="QPD362" s="258"/>
      <c r="QPE362" s="616"/>
      <c r="QPF362" s="260"/>
      <c r="QPH362" s="254"/>
      <c r="QPI362" s="615"/>
      <c r="QPJ362" s="256"/>
      <c r="QPK362" s="322"/>
      <c r="QPL362" s="356"/>
      <c r="QPM362" s="258"/>
      <c r="QPN362" s="616"/>
      <c r="QPO362" s="260"/>
      <c r="QPQ362" s="254"/>
      <c r="QPR362" s="615"/>
      <c r="QPS362" s="256"/>
      <c r="QPT362" s="322"/>
      <c r="QPU362" s="356"/>
      <c r="QPV362" s="258"/>
      <c r="QPW362" s="616"/>
      <c r="QPX362" s="260"/>
      <c r="QPZ362" s="254"/>
      <c r="QQA362" s="615"/>
      <c r="QQB362" s="256"/>
      <c r="QQC362" s="322"/>
      <c r="QQD362" s="356"/>
      <c r="QQE362" s="258"/>
      <c r="QQF362" s="616"/>
      <c r="QQG362" s="260"/>
      <c r="QQI362" s="254"/>
      <c r="QQJ362" s="615"/>
      <c r="QQK362" s="256"/>
      <c r="QQL362" s="322"/>
      <c r="QQM362" s="356"/>
      <c r="QQN362" s="258"/>
      <c r="QQO362" s="616"/>
      <c r="QQP362" s="260"/>
      <c r="QQR362" s="254"/>
      <c r="QQS362" s="615"/>
      <c r="QQT362" s="256"/>
      <c r="QQU362" s="322"/>
      <c r="QQV362" s="356"/>
      <c r="QQW362" s="258"/>
      <c r="QQX362" s="616"/>
      <c r="QQY362" s="260"/>
      <c r="QRA362" s="254"/>
      <c r="QRB362" s="615"/>
      <c r="QRC362" s="256"/>
      <c r="QRD362" s="322"/>
      <c r="QRE362" s="356"/>
      <c r="QRF362" s="258"/>
      <c r="QRG362" s="616"/>
      <c r="QRH362" s="260"/>
      <c r="QRJ362" s="254"/>
      <c r="QRK362" s="615"/>
      <c r="QRL362" s="256"/>
      <c r="QRM362" s="322"/>
      <c r="QRN362" s="356"/>
      <c r="QRO362" s="258"/>
      <c r="QRP362" s="616"/>
      <c r="QRQ362" s="260"/>
      <c r="QRS362" s="254"/>
      <c r="QRT362" s="615"/>
      <c r="QRU362" s="256"/>
      <c r="QRV362" s="322"/>
      <c r="QRW362" s="356"/>
      <c r="QRX362" s="258"/>
      <c r="QRY362" s="616"/>
      <c r="QRZ362" s="260"/>
      <c r="QSB362" s="254"/>
      <c r="QSC362" s="615"/>
      <c r="QSD362" s="256"/>
      <c r="QSE362" s="322"/>
      <c r="QSF362" s="356"/>
      <c r="QSG362" s="258"/>
      <c r="QSH362" s="616"/>
      <c r="QSI362" s="260"/>
      <c r="QSK362" s="254"/>
      <c r="QSL362" s="615"/>
      <c r="QSM362" s="256"/>
      <c r="QSN362" s="322"/>
      <c r="QSO362" s="356"/>
      <c r="QSP362" s="258"/>
      <c r="QSQ362" s="616"/>
      <c r="QSR362" s="260"/>
      <c r="QST362" s="254"/>
      <c r="QSU362" s="615"/>
      <c r="QSV362" s="256"/>
      <c r="QSW362" s="322"/>
      <c r="QSX362" s="356"/>
      <c r="QSY362" s="258"/>
      <c r="QSZ362" s="616"/>
      <c r="QTA362" s="260"/>
      <c r="QTC362" s="254"/>
      <c r="QTD362" s="615"/>
      <c r="QTE362" s="256"/>
      <c r="QTF362" s="322"/>
      <c r="QTG362" s="356"/>
      <c r="QTH362" s="258"/>
      <c r="QTI362" s="616"/>
      <c r="QTJ362" s="260"/>
      <c r="QTL362" s="254"/>
      <c r="QTM362" s="615"/>
      <c r="QTN362" s="256"/>
      <c r="QTO362" s="322"/>
      <c r="QTP362" s="356"/>
      <c r="QTQ362" s="258"/>
      <c r="QTR362" s="616"/>
      <c r="QTS362" s="260"/>
      <c r="QTU362" s="254"/>
      <c r="QTV362" s="615"/>
      <c r="QTW362" s="256"/>
      <c r="QTX362" s="322"/>
      <c r="QTY362" s="356"/>
      <c r="QTZ362" s="258"/>
      <c r="QUA362" s="616"/>
      <c r="QUB362" s="260"/>
      <c r="QUD362" s="254"/>
      <c r="QUE362" s="615"/>
      <c r="QUF362" s="256"/>
      <c r="QUG362" s="322"/>
      <c r="QUH362" s="356"/>
      <c r="QUI362" s="258"/>
      <c r="QUJ362" s="616"/>
      <c r="QUK362" s="260"/>
      <c r="QUM362" s="254"/>
      <c r="QUN362" s="615"/>
      <c r="QUO362" s="256"/>
      <c r="QUP362" s="322"/>
      <c r="QUQ362" s="356"/>
      <c r="QUR362" s="258"/>
      <c r="QUS362" s="616"/>
      <c r="QUT362" s="260"/>
      <c r="QUV362" s="254"/>
      <c r="QUW362" s="615"/>
      <c r="QUX362" s="256"/>
      <c r="QUY362" s="322"/>
      <c r="QUZ362" s="356"/>
      <c r="QVA362" s="258"/>
      <c r="QVB362" s="616"/>
      <c r="QVC362" s="260"/>
      <c r="QVE362" s="254"/>
      <c r="QVF362" s="615"/>
      <c r="QVG362" s="256"/>
      <c r="QVH362" s="322"/>
      <c r="QVI362" s="356"/>
      <c r="QVJ362" s="258"/>
      <c r="QVK362" s="616"/>
      <c r="QVL362" s="260"/>
      <c r="QVN362" s="254"/>
      <c r="QVO362" s="615"/>
      <c r="QVP362" s="256"/>
      <c r="QVQ362" s="322"/>
      <c r="QVR362" s="356"/>
      <c r="QVS362" s="258"/>
      <c r="QVT362" s="616"/>
      <c r="QVU362" s="260"/>
      <c r="QVW362" s="254"/>
      <c r="QVX362" s="615"/>
      <c r="QVY362" s="256"/>
      <c r="QVZ362" s="322"/>
      <c r="QWA362" s="356"/>
      <c r="QWB362" s="258"/>
      <c r="QWC362" s="616"/>
      <c r="QWD362" s="260"/>
      <c r="QWF362" s="254"/>
      <c r="QWG362" s="615"/>
      <c r="QWH362" s="256"/>
      <c r="QWI362" s="322"/>
      <c r="QWJ362" s="356"/>
      <c r="QWK362" s="258"/>
      <c r="QWL362" s="616"/>
      <c r="QWM362" s="260"/>
      <c r="QWO362" s="254"/>
      <c r="QWP362" s="615"/>
      <c r="QWQ362" s="256"/>
      <c r="QWR362" s="322"/>
      <c r="QWS362" s="356"/>
      <c r="QWT362" s="258"/>
      <c r="QWU362" s="616"/>
      <c r="QWV362" s="260"/>
      <c r="QWX362" s="254"/>
      <c r="QWY362" s="615"/>
      <c r="QWZ362" s="256"/>
      <c r="QXA362" s="322"/>
      <c r="QXB362" s="356"/>
      <c r="QXC362" s="258"/>
      <c r="QXD362" s="616"/>
      <c r="QXE362" s="260"/>
      <c r="QXG362" s="254"/>
      <c r="QXH362" s="615"/>
      <c r="QXI362" s="256"/>
      <c r="QXJ362" s="322"/>
      <c r="QXK362" s="356"/>
      <c r="QXL362" s="258"/>
      <c r="QXM362" s="616"/>
      <c r="QXN362" s="260"/>
      <c r="QXP362" s="254"/>
      <c r="QXQ362" s="615"/>
      <c r="QXR362" s="256"/>
      <c r="QXS362" s="322"/>
      <c r="QXT362" s="356"/>
      <c r="QXU362" s="258"/>
      <c r="QXV362" s="616"/>
      <c r="QXW362" s="260"/>
      <c r="QXY362" s="254"/>
      <c r="QXZ362" s="615"/>
      <c r="QYA362" s="256"/>
      <c r="QYB362" s="322"/>
      <c r="QYC362" s="356"/>
      <c r="QYD362" s="258"/>
      <c r="QYE362" s="616"/>
      <c r="QYF362" s="260"/>
      <c r="QYH362" s="254"/>
      <c r="QYI362" s="615"/>
      <c r="QYJ362" s="256"/>
      <c r="QYK362" s="322"/>
      <c r="QYL362" s="356"/>
      <c r="QYM362" s="258"/>
      <c r="QYN362" s="616"/>
      <c r="QYO362" s="260"/>
      <c r="QYQ362" s="254"/>
      <c r="QYR362" s="615"/>
      <c r="QYS362" s="256"/>
      <c r="QYT362" s="322"/>
      <c r="QYU362" s="356"/>
      <c r="QYV362" s="258"/>
      <c r="QYW362" s="616"/>
      <c r="QYX362" s="260"/>
      <c r="QYZ362" s="254"/>
      <c r="QZA362" s="615"/>
      <c r="QZB362" s="256"/>
      <c r="QZC362" s="322"/>
      <c r="QZD362" s="356"/>
      <c r="QZE362" s="258"/>
      <c r="QZF362" s="616"/>
      <c r="QZG362" s="260"/>
      <c r="QZI362" s="254"/>
      <c r="QZJ362" s="615"/>
      <c r="QZK362" s="256"/>
      <c r="QZL362" s="322"/>
      <c r="QZM362" s="356"/>
      <c r="QZN362" s="258"/>
      <c r="QZO362" s="616"/>
      <c r="QZP362" s="260"/>
      <c r="QZR362" s="254"/>
      <c r="QZS362" s="615"/>
      <c r="QZT362" s="256"/>
      <c r="QZU362" s="322"/>
      <c r="QZV362" s="356"/>
      <c r="QZW362" s="258"/>
      <c r="QZX362" s="616"/>
      <c r="QZY362" s="260"/>
      <c r="RAA362" s="254"/>
      <c r="RAB362" s="615"/>
      <c r="RAC362" s="256"/>
      <c r="RAD362" s="322"/>
      <c r="RAE362" s="356"/>
      <c r="RAF362" s="258"/>
      <c r="RAG362" s="616"/>
      <c r="RAH362" s="260"/>
      <c r="RAJ362" s="254"/>
      <c r="RAK362" s="615"/>
      <c r="RAL362" s="256"/>
      <c r="RAM362" s="322"/>
      <c r="RAN362" s="356"/>
      <c r="RAO362" s="258"/>
      <c r="RAP362" s="616"/>
      <c r="RAQ362" s="260"/>
      <c r="RAS362" s="254"/>
      <c r="RAT362" s="615"/>
      <c r="RAU362" s="256"/>
      <c r="RAV362" s="322"/>
      <c r="RAW362" s="356"/>
      <c r="RAX362" s="258"/>
      <c r="RAY362" s="616"/>
      <c r="RAZ362" s="260"/>
      <c r="RBB362" s="254"/>
      <c r="RBC362" s="615"/>
      <c r="RBD362" s="256"/>
      <c r="RBE362" s="322"/>
      <c r="RBF362" s="356"/>
      <c r="RBG362" s="258"/>
      <c r="RBH362" s="616"/>
      <c r="RBI362" s="260"/>
      <c r="RBK362" s="254"/>
      <c r="RBL362" s="615"/>
      <c r="RBM362" s="256"/>
      <c r="RBN362" s="322"/>
      <c r="RBO362" s="356"/>
      <c r="RBP362" s="258"/>
      <c r="RBQ362" s="616"/>
      <c r="RBR362" s="260"/>
      <c r="RBT362" s="254"/>
      <c r="RBU362" s="615"/>
      <c r="RBV362" s="256"/>
      <c r="RBW362" s="322"/>
      <c r="RBX362" s="356"/>
      <c r="RBY362" s="258"/>
      <c r="RBZ362" s="616"/>
      <c r="RCA362" s="260"/>
      <c r="RCC362" s="254"/>
      <c r="RCD362" s="615"/>
      <c r="RCE362" s="256"/>
      <c r="RCF362" s="322"/>
      <c r="RCG362" s="356"/>
      <c r="RCH362" s="258"/>
      <c r="RCI362" s="616"/>
      <c r="RCJ362" s="260"/>
      <c r="RCL362" s="254"/>
      <c r="RCM362" s="615"/>
      <c r="RCN362" s="256"/>
      <c r="RCO362" s="322"/>
      <c r="RCP362" s="356"/>
      <c r="RCQ362" s="258"/>
      <c r="RCR362" s="616"/>
      <c r="RCS362" s="260"/>
      <c r="RCU362" s="254"/>
      <c r="RCV362" s="615"/>
      <c r="RCW362" s="256"/>
      <c r="RCX362" s="322"/>
      <c r="RCY362" s="356"/>
      <c r="RCZ362" s="258"/>
      <c r="RDA362" s="616"/>
      <c r="RDB362" s="260"/>
      <c r="RDD362" s="254"/>
      <c r="RDE362" s="615"/>
      <c r="RDF362" s="256"/>
      <c r="RDG362" s="322"/>
      <c r="RDH362" s="356"/>
      <c r="RDI362" s="258"/>
      <c r="RDJ362" s="616"/>
      <c r="RDK362" s="260"/>
      <c r="RDM362" s="254"/>
      <c r="RDN362" s="615"/>
      <c r="RDO362" s="256"/>
      <c r="RDP362" s="322"/>
      <c r="RDQ362" s="356"/>
      <c r="RDR362" s="258"/>
      <c r="RDS362" s="616"/>
      <c r="RDT362" s="260"/>
      <c r="RDV362" s="254"/>
      <c r="RDW362" s="615"/>
      <c r="RDX362" s="256"/>
      <c r="RDY362" s="322"/>
      <c r="RDZ362" s="356"/>
      <c r="REA362" s="258"/>
      <c r="REB362" s="616"/>
      <c r="REC362" s="260"/>
      <c r="REE362" s="254"/>
      <c r="REF362" s="615"/>
      <c r="REG362" s="256"/>
      <c r="REH362" s="322"/>
      <c r="REI362" s="356"/>
      <c r="REJ362" s="258"/>
      <c r="REK362" s="616"/>
      <c r="REL362" s="260"/>
      <c r="REN362" s="254"/>
      <c r="REO362" s="615"/>
      <c r="REP362" s="256"/>
      <c r="REQ362" s="322"/>
      <c r="RER362" s="356"/>
      <c r="RES362" s="258"/>
      <c r="RET362" s="616"/>
      <c r="REU362" s="260"/>
      <c r="REW362" s="254"/>
      <c r="REX362" s="615"/>
      <c r="REY362" s="256"/>
      <c r="REZ362" s="322"/>
      <c r="RFA362" s="356"/>
      <c r="RFB362" s="258"/>
      <c r="RFC362" s="616"/>
      <c r="RFD362" s="260"/>
      <c r="RFF362" s="254"/>
      <c r="RFG362" s="615"/>
      <c r="RFH362" s="256"/>
      <c r="RFI362" s="322"/>
      <c r="RFJ362" s="356"/>
      <c r="RFK362" s="258"/>
      <c r="RFL362" s="616"/>
      <c r="RFM362" s="260"/>
      <c r="RFO362" s="254"/>
      <c r="RFP362" s="615"/>
      <c r="RFQ362" s="256"/>
      <c r="RFR362" s="322"/>
      <c r="RFS362" s="356"/>
      <c r="RFT362" s="258"/>
      <c r="RFU362" s="616"/>
      <c r="RFV362" s="260"/>
      <c r="RFX362" s="254"/>
      <c r="RFY362" s="615"/>
      <c r="RFZ362" s="256"/>
      <c r="RGA362" s="322"/>
      <c r="RGB362" s="356"/>
      <c r="RGC362" s="258"/>
      <c r="RGD362" s="616"/>
      <c r="RGE362" s="260"/>
      <c r="RGG362" s="254"/>
      <c r="RGH362" s="615"/>
      <c r="RGI362" s="256"/>
      <c r="RGJ362" s="322"/>
      <c r="RGK362" s="356"/>
      <c r="RGL362" s="258"/>
      <c r="RGM362" s="616"/>
      <c r="RGN362" s="260"/>
      <c r="RGP362" s="254"/>
      <c r="RGQ362" s="615"/>
      <c r="RGR362" s="256"/>
      <c r="RGS362" s="322"/>
      <c r="RGT362" s="356"/>
      <c r="RGU362" s="258"/>
      <c r="RGV362" s="616"/>
      <c r="RGW362" s="260"/>
      <c r="RGY362" s="254"/>
      <c r="RGZ362" s="615"/>
      <c r="RHA362" s="256"/>
      <c r="RHB362" s="322"/>
      <c r="RHC362" s="356"/>
      <c r="RHD362" s="258"/>
      <c r="RHE362" s="616"/>
      <c r="RHF362" s="260"/>
      <c r="RHH362" s="254"/>
      <c r="RHI362" s="615"/>
      <c r="RHJ362" s="256"/>
      <c r="RHK362" s="322"/>
      <c r="RHL362" s="356"/>
      <c r="RHM362" s="258"/>
      <c r="RHN362" s="616"/>
      <c r="RHO362" s="260"/>
      <c r="RHQ362" s="254"/>
      <c r="RHR362" s="615"/>
      <c r="RHS362" s="256"/>
      <c r="RHT362" s="322"/>
      <c r="RHU362" s="356"/>
      <c r="RHV362" s="258"/>
      <c r="RHW362" s="616"/>
      <c r="RHX362" s="260"/>
      <c r="RHZ362" s="254"/>
      <c r="RIA362" s="615"/>
      <c r="RIB362" s="256"/>
      <c r="RIC362" s="322"/>
      <c r="RID362" s="356"/>
      <c r="RIE362" s="258"/>
      <c r="RIF362" s="616"/>
      <c r="RIG362" s="260"/>
      <c r="RII362" s="254"/>
      <c r="RIJ362" s="615"/>
      <c r="RIK362" s="256"/>
      <c r="RIL362" s="322"/>
      <c r="RIM362" s="356"/>
      <c r="RIN362" s="258"/>
      <c r="RIO362" s="616"/>
      <c r="RIP362" s="260"/>
      <c r="RIR362" s="254"/>
      <c r="RIS362" s="615"/>
      <c r="RIT362" s="256"/>
      <c r="RIU362" s="322"/>
      <c r="RIV362" s="356"/>
      <c r="RIW362" s="258"/>
      <c r="RIX362" s="616"/>
      <c r="RIY362" s="260"/>
      <c r="RJA362" s="254"/>
      <c r="RJB362" s="615"/>
      <c r="RJC362" s="256"/>
      <c r="RJD362" s="322"/>
      <c r="RJE362" s="356"/>
      <c r="RJF362" s="258"/>
      <c r="RJG362" s="616"/>
      <c r="RJH362" s="260"/>
      <c r="RJJ362" s="254"/>
      <c r="RJK362" s="615"/>
      <c r="RJL362" s="256"/>
      <c r="RJM362" s="322"/>
      <c r="RJN362" s="356"/>
      <c r="RJO362" s="258"/>
      <c r="RJP362" s="616"/>
      <c r="RJQ362" s="260"/>
      <c r="RJS362" s="254"/>
      <c r="RJT362" s="615"/>
      <c r="RJU362" s="256"/>
      <c r="RJV362" s="322"/>
      <c r="RJW362" s="356"/>
      <c r="RJX362" s="258"/>
      <c r="RJY362" s="616"/>
      <c r="RJZ362" s="260"/>
      <c r="RKB362" s="254"/>
      <c r="RKC362" s="615"/>
      <c r="RKD362" s="256"/>
      <c r="RKE362" s="322"/>
      <c r="RKF362" s="356"/>
      <c r="RKG362" s="258"/>
      <c r="RKH362" s="616"/>
      <c r="RKI362" s="260"/>
      <c r="RKK362" s="254"/>
      <c r="RKL362" s="615"/>
      <c r="RKM362" s="256"/>
      <c r="RKN362" s="322"/>
      <c r="RKO362" s="356"/>
      <c r="RKP362" s="258"/>
      <c r="RKQ362" s="616"/>
      <c r="RKR362" s="260"/>
      <c r="RKT362" s="254"/>
      <c r="RKU362" s="615"/>
      <c r="RKV362" s="256"/>
      <c r="RKW362" s="322"/>
      <c r="RKX362" s="356"/>
      <c r="RKY362" s="258"/>
      <c r="RKZ362" s="616"/>
      <c r="RLA362" s="260"/>
      <c r="RLC362" s="254"/>
      <c r="RLD362" s="615"/>
      <c r="RLE362" s="256"/>
      <c r="RLF362" s="322"/>
      <c r="RLG362" s="356"/>
      <c r="RLH362" s="258"/>
      <c r="RLI362" s="616"/>
      <c r="RLJ362" s="260"/>
      <c r="RLL362" s="254"/>
      <c r="RLM362" s="615"/>
      <c r="RLN362" s="256"/>
      <c r="RLO362" s="322"/>
      <c r="RLP362" s="356"/>
      <c r="RLQ362" s="258"/>
      <c r="RLR362" s="616"/>
      <c r="RLS362" s="260"/>
      <c r="RLU362" s="254"/>
      <c r="RLV362" s="615"/>
      <c r="RLW362" s="256"/>
      <c r="RLX362" s="322"/>
      <c r="RLY362" s="356"/>
      <c r="RLZ362" s="258"/>
      <c r="RMA362" s="616"/>
      <c r="RMB362" s="260"/>
      <c r="RMD362" s="254"/>
      <c r="RME362" s="615"/>
      <c r="RMF362" s="256"/>
      <c r="RMG362" s="322"/>
      <c r="RMH362" s="356"/>
      <c r="RMI362" s="258"/>
      <c r="RMJ362" s="616"/>
      <c r="RMK362" s="260"/>
      <c r="RMM362" s="254"/>
      <c r="RMN362" s="615"/>
      <c r="RMO362" s="256"/>
      <c r="RMP362" s="322"/>
      <c r="RMQ362" s="356"/>
      <c r="RMR362" s="258"/>
      <c r="RMS362" s="616"/>
      <c r="RMT362" s="260"/>
      <c r="RMV362" s="254"/>
      <c r="RMW362" s="615"/>
      <c r="RMX362" s="256"/>
      <c r="RMY362" s="322"/>
      <c r="RMZ362" s="356"/>
      <c r="RNA362" s="258"/>
      <c r="RNB362" s="616"/>
      <c r="RNC362" s="260"/>
      <c r="RNE362" s="254"/>
      <c r="RNF362" s="615"/>
      <c r="RNG362" s="256"/>
      <c r="RNH362" s="322"/>
      <c r="RNI362" s="356"/>
      <c r="RNJ362" s="258"/>
      <c r="RNK362" s="616"/>
      <c r="RNL362" s="260"/>
      <c r="RNN362" s="254"/>
      <c r="RNO362" s="615"/>
      <c r="RNP362" s="256"/>
      <c r="RNQ362" s="322"/>
      <c r="RNR362" s="356"/>
      <c r="RNS362" s="258"/>
      <c r="RNT362" s="616"/>
      <c r="RNU362" s="260"/>
      <c r="RNW362" s="254"/>
      <c r="RNX362" s="615"/>
      <c r="RNY362" s="256"/>
      <c r="RNZ362" s="322"/>
      <c r="ROA362" s="356"/>
      <c r="ROB362" s="258"/>
      <c r="ROC362" s="616"/>
      <c r="ROD362" s="260"/>
      <c r="ROF362" s="254"/>
      <c r="ROG362" s="615"/>
      <c r="ROH362" s="256"/>
      <c r="ROI362" s="322"/>
      <c r="ROJ362" s="356"/>
      <c r="ROK362" s="258"/>
      <c r="ROL362" s="616"/>
      <c r="ROM362" s="260"/>
      <c r="ROO362" s="254"/>
      <c r="ROP362" s="615"/>
      <c r="ROQ362" s="256"/>
      <c r="ROR362" s="322"/>
      <c r="ROS362" s="356"/>
      <c r="ROT362" s="258"/>
      <c r="ROU362" s="616"/>
      <c r="ROV362" s="260"/>
      <c r="ROX362" s="254"/>
      <c r="ROY362" s="615"/>
      <c r="ROZ362" s="256"/>
      <c r="RPA362" s="322"/>
      <c r="RPB362" s="356"/>
      <c r="RPC362" s="258"/>
      <c r="RPD362" s="616"/>
      <c r="RPE362" s="260"/>
      <c r="RPG362" s="254"/>
      <c r="RPH362" s="615"/>
      <c r="RPI362" s="256"/>
      <c r="RPJ362" s="322"/>
      <c r="RPK362" s="356"/>
      <c r="RPL362" s="258"/>
      <c r="RPM362" s="616"/>
      <c r="RPN362" s="260"/>
      <c r="RPP362" s="254"/>
      <c r="RPQ362" s="615"/>
      <c r="RPR362" s="256"/>
      <c r="RPS362" s="322"/>
      <c r="RPT362" s="356"/>
      <c r="RPU362" s="258"/>
      <c r="RPV362" s="616"/>
      <c r="RPW362" s="260"/>
      <c r="RPY362" s="254"/>
      <c r="RPZ362" s="615"/>
      <c r="RQA362" s="256"/>
      <c r="RQB362" s="322"/>
      <c r="RQC362" s="356"/>
      <c r="RQD362" s="258"/>
      <c r="RQE362" s="616"/>
      <c r="RQF362" s="260"/>
      <c r="RQH362" s="254"/>
      <c r="RQI362" s="615"/>
      <c r="RQJ362" s="256"/>
      <c r="RQK362" s="322"/>
      <c r="RQL362" s="356"/>
      <c r="RQM362" s="258"/>
      <c r="RQN362" s="616"/>
      <c r="RQO362" s="260"/>
      <c r="RQQ362" s="254"/>
      <c r="RQR362" s="615"/>
      <c r="RQS362" s="256"/>
      <c r="RQT362" s="322"/>
      <c r="RQU362" s="356"/>
      <c r="RQV362" s="258"/>
      <c r="RQW362" s="616"/>
      <c r="RQX362" s="260"/>
      <c r="RQZ362" s="254"/>
      <c r="RRA362" s="615"/>
      <c r="RRB362" s="256"/>
      <c r="RRC362" s="322"/>
      <c r="RRD362" s="356"/>
      <c r="RRE362" s="258"/>
      <c r="RRF362" s="616"/>
      <c r="RRG362" s="260"/>
      <c r="RRI362" s="254"/>
      <c r="RRJ362" s="615"/>
      <c r="RRK362" s="256"/>
      <c r="RRL362" s="322"/>
      <c r="RRM362" s="356"/>
      <c r="RRN362" s="258"/>
      <c r="RRO362" s="616"/>
      <c r="RRP362" s="260"/>
      <c r="RRR362" s="254"/>
      <c r="RRS362" s="615"/>
      <c r="RRT362" s="256"/>
      <c r="RRU362" s="322"/>
      <c r="RRV362" s="356"/>
      <c r="RRW362" s="258"/>
      <c r="RRX362" s="616"/>
      <c r="RRY362" s="260"/>
      <c r="RSA362" s="254"/>
      <c r="RSB362" s="615"/>
      <c r="RSC362" s="256"/>
      <c r="RSD362" s="322"/>
      <c r="RSE362" s="356"/>
      <c r="RSF362" s="258"/>
      <c r="RSG362" s="616"/>
      <c r="RSH362" s="260"/>
      <c r="RSJ362" s="254"/>
      <c r="RSK362" s="615"/>
      <c r="RSL362" s="256"/>
      <c r="RSM362" s="322"/>
      <c r="RSN362" s="356"/>
      <c r="RSO362" s="258"/>
      <c r="RSP362" s="616"/>
      <c r="RSQ362" s="260"/>
      <c r="RSS362" s="254"/>
      <c r="RST362" s="615"/>
      <c r="RSU362" s="256"/>
      <c r="RSV362" s="322"/>
      <c r="RSW362" s="356"/>
      <c r="RSX362" s="258"/>
      <c r="RSY362" s="616"/>
      <c r="RSZ362" s="260"/>
      <c r="RTB362" s="254"/>
      <c r="RTC362" s="615"/>
      <c r="RTD362" s="256"/>
      <c r="RTE362" s="322"/>
      <c r="RTF362" s="356"/>
      <c r="RTG362" s="258"/>
      <c r="RTH362" s="616"/>
      <c r="RTI362" s="260"/>
      <c r="RTK362" s="254"/>
      <c r="RTL362" s="615"/>
      <c r="RTM362" s="256"/>
      <c r="RTN362" s="322"/>
      <c r="RTO362" s="356"/>
      <c r="RTP362" s="258"/>
      <c r="RTQ362" s="616"/>
      <c r="RTR362" s="260"/>
      <c r="RTT362" s="254"/>
      <c r="RTU362" s="615"/>
      <c r="RTV362" s="256"/>
      <c r="RTW362" s="322"/>
      <c r="RTX362" s="356"/>
      <c r="RTY362" s="258"/>
      <c r="RTZ362" s="616"/>
      <c r="RUA362" s="260"/>
      <c r="RUC362" s="254"/>
      <c r="RUD362" s="615"/>
      <c r="RUE362" s="256"/>
      <c r="RUF362" s="322"/>
      <c r="RUG362" s="356"/>
      <c r="RUH362" s="258"/>
      <c r="RUI362" s="616"/>
      <c r="RUJ362" s="260"/>
      <c r="RUL362" s="254"/>
      <c r="RUM362" s="615"/>
      <c r="RUN362" s="256"/>
      <c r="RUO362" s="322"/>
      <c r="RUP362" s="356"/>
      <c r="RUQ362" s="258"/>
      <c r="RUR362" s="616"/>
      <c r="RUS362" s="260"/>
      <c r="RUU362" s="254"/>
      <c r="RUV362" s="615"/>
      <c r="RUW362" s="256"/>
      <c r="RUX362" s="322"/>
      <c r="RUY362" s="356"/>
      <c r="RUZ362" s="258"/>
      <c r="RVA362" s="616"/>
      <c r="RVB362" s="260"/>
      <c r="RVD362" s="254"/>
      <c r="RVE362" s="615"/>
      <c r="RVF362" s="256"/>
      <c r="RVG362" s="322"/>
      <c r="RVH362" s="356"/>
      <c r="RVI362" s="258"/>
      <c r="RVJ362" s="616"/>
      <c r="RVK362" s="260"/>
      <c r="RVM362" s="254"/>
      <c r="RVN362" s="615"/>
      <c r="RVO362" s="256"/>
      <c r="RVP362" s="322"/>
      <c r="RVQ362" s="356"/>
      <c r="RVR362" s="258"/>
      <c r="RVS362" s="616"/>
      <c r="RVT362" s="260"/>
      <c r="RVV362" s="254"/>
      <c r="RVW362" s="615"/>
      <c r="RVX362" s="256"/>
      <c r="RVY362" s="322"/>
      <c r="RVZ362" s="356"/>
      <c r="RWA362" s="258"/>
      <c r="RWB362" s="616"/>
      <c r="RWC362" s="260"/>
      <c r="RWE362" s="254"/>
      <c r="RWF362" s="615"/>
      <c r="RWG362" s="256"/>
      <c r="RWH362" s="322"/>
      <c r="RWI362" s="356"/>
      <c r="RWJ362" s="258"/>
      <c r="RWK362" s="616"/>
      <c r="RWL362" s="260"/>
      <c r="RWN362" s="254"/>
      <c r="RWO362" s="615"/>
      <c r="RWP362" s="256"/>
      <c r="RWQ362" s="322"/>
      <c r="RWR362" s="356"/>
      <c r="RWS362" s="258"/>
      <c r="RWT362" s="616"/>
      <c r="RWU362" s="260"/>
      <c r="RWW362" s="254"/>
      <c r="RWX362" s="615"/>
      <c r="RWY362" s="256"/>
      <c r="RWZ362" s="322"/>
      <c r="RXA362" s="356"/>
      <c r="RXB362" s="258"/>
      <c r="RXC362" s="616"/>
      <c r="RXD362" s="260"/>
      <c r="RXF362" s="254"/>
      <c r="RXG362" s="615"/>
      <c r="RXH362" s="256"/>
      <c r="RXI362" s="322"/>
      <c r="RXJ362" s="356"/>
      <c r="RXK362" s="258"/>
      <c r="RXL362" s="616"/>
      <c r="RXM362" s="260"/>
      <c r="RXO362" s="254"/>
      <c r="RXP362" s="615"/>
      <c r="RXQ362" s="256"/>
      <c r="RXR362" s="322"/>
      <c r="RXS362" s="356"/>
      <c r="RXT362" s="258"/>
      <c r="RXU362" s="616"/>
      <c r="RXV362" s="260"/>
      <c r="RXX362" s="254"/>
      <c r="RXY362" s="615"/>
      <c r="RXZ362" s="256"/>
      <c r="RYA362" s="322"/>
      <c r="RYB362" s="356"/>
      <c r="RYC362" s="258"/>
      <c r="RYD362" s="616"/>
      <c r="RYE362" s="260"/>
      <c r="RYG362" s="254"/>
      <c r="RYH362" s="615"/>
      <c r="RYI362" s="256"/>
      <c r="RYJ362" s="322"/>
      <c r="RYK362" s="356"/>
      <c r="RYL362" s="258"/>
      <c r="RYM362" s="616"/>
      <c r="RYN362" s="260"/>
      <c r="RYP362" s="254"/>
      <c r="RYQ362" s="615"/>
      <c r="RYR362" s="256"/>
      <c r="RYS362" s="322"/>
      <c r="RYT362" s="356"/>
      <c r="RYU362" s="258"/>
      <c r="RYV362" s="616"/>
      <c r="RYW362" s="260"/>
      <c r="RYY362" s="254"/>
      <c r="RYZ362" s="615"/>
      <c r="RZA362" s="256"/>
      <c r="RZB362" s="322"/>
      <c r="RZC362" s="356"/>
      <c r="RZD362" s="258"/>
      <c r="RZE362" s="616"/>
      <c r="RZF362" s="260"/>
      <c r="RZH362" s="254"/>
      <c r="RZI362" s="615"/>
      <c r="RZJ362" s="256"/>
      <c r="RZK362" s="322"/>
      <c r="RZL362" s="356"/>
      <c r="RZM362" s="258"/>
      <c r="RZN362" s="616"/>
      <c r="RZO362" s="260"/>
      <c r="RZQ362" s="254"/>
      <c r="RZR362" s="615"/>
      <c r="RZS362" s="256"/>
      <c r="RZT362" s="322"/>
      <c r="RZU362" s="356"/>
      <c r="RZV362" s="258"/>
      <c r="RZW362" s="616"/>
      <c r="RZX362" s="260"/>
      <c r="RZZ362" s="254"/>
      <c r="SAA362" s="615"/>
      <c r="SAB362" s="256"/>
      <c r="SAC362" s="322"/>
      <c r="SAD362" s="356"/>
      <c r="SAE362" s="258"/>
      <c r="SAF362" s="616"/>
      <c r="SAG362" s="260"/>
      <c r="SAI362" s="254"/>
      <c r="SAJ362" s="615"/>
      <c r="SAK362" s="256"/>
      <c r="SAL362" s="322"/>
      <c r="SAM362" s="356"/>
      <c r="SAN362" s="258"/>
      <c r="SAO362" s="616"/>
      <c r="SAP362" s="260"/>
      <c r="SAR362" s="254"/>
      <c r="SAS362" s="615"/>
      <c r="SAT362" s="256"/>
      <c r="SAU362" s="322"/>
      <c r="SAV362" s="356"/>
      <c r="SAW362" s="258"/>
      <c r="SAX362" s="616"/>
      <c r="SAY362" s="260"/>
      <c r="SBA362" s="254"/>
      <c r="SBB362" s="615"/>
      <c r="SBC362" s="256"/>
      <c r="SBD362" s="322"/>
      <c r="SBE362" s="356"/>
      <c r="SBF362" s="258"/>
      <c r="SBG362" s="616"/>
      <c r="SBH362" s="260"/>
      <c r="SBJ362" s="254"/>
      <c r="SBK362" s="615"/>
      <c r="SBL362" s="256"/>
      <c r="SBM362" s="322"/>
      <c r="SBN362" s="356"/>
      <c r="SBO362" s="258"/>
      <c r="SBP362" s="616"/>
      <c r="SBQ362" s="260"/>
      <c r="SBS362" s="254"/>
      <c r="SBT362" s="615"/>
      <c r="SBU362" s="256"/>
      <c r="SBV362" s="322"/>
      <c r="SBW362" s="356"/>
      <c r="SBX362" s="258"/>
      <c r="SBY362" s="616"/>
      <c r="SBZ362" s="260"/>
      <c r="SCB362" s="254"/>
      <c r="SCC362" s="615"/>
      <c r="SCD362" s="256"/>
      <c r="SCE362" s="322"/>
      <c r="SCF362" s="356"/>
      <c r="SCG362" s="258"/>
      <c r="SCH362" s="616"/>
      <c r="SCI362" s="260"/>
      <c r="SCK362" s="254"/>
      <c r="SCL362" s="615"/>
      <c r="SCM362" s="256"/>
      <c r="SCN362" s="322"/>
      <c r="SCO362" s="356"/>
      <c r="SCP362" s="258"/>
      <c r="SCQ362" s="616"/>
      <c r="SCR362" s="260"/>
      <c r="SCT362" s="254"/>
      <c r="SCU362" s="615"/>
      <c r="SCV362" s="256"/>
      <c r="SCW362" s="322"/>
      <c r="SCX362" s="356"/>
      <c r="SCY362" s="258"/>
      <c r="SCZ362" s="616"/>
      <c r="SDA362" s="260"/>
      <c r="SDC362" s="254"/>
      <c r="SDD362" s="615"/>
      <c r="SDE362" s="256"/>
      <c r="SDF362" s="322"/>
      <c r="SDG362" s="356"/>
      <c r="SDH362" s="258"/>
      <c r="SDI362" s="616"/>
      <c r="SDJ362" s="260"/>
      <c r="SDL362" s="254"/>
      <c r="SDM362" s="615"/>
      <c r="SDN362" s="256"/>
      <c r="SDO362" s="322"/>
      <c r="SDP362" s="356"/>
      <c r="SDQ362" s="258"/>
      <c r="SDR362" s="616"/>
      <c r="SDS362" s="260"/>
      <c r="SDU362" s="254"/>
      <c r="SDV362" s="615"/>
      <c r="SDW362" s="256"/>
      <c r="SDX362" s="322"/>
      <c r="SDY362" s="356"/>
      <c r="SDZ362" s="258"/>
      <c r="SEA362" s="616"/>
      <c r="SEB362" s="260"/>
      <c r="SED362" s="254"/>
      <c r="SEE362" s="615"/>
      <c r="SEF362" s="256"/>
      <c r="SEG362" s="322"/>
      <c r="SEH362" s="356"/>
      <c r="SEI362" s="258"/>
      <c r="SEJ362" s="616"/>
      <c r="SEK362" s="260"/>
      <c r="SEM362" s="254"/>
      <c r="SEN362" s="615"/>
      <c r="SEO362" s="256"/>
      <c r="SEP362" s="322"/>
      <c r="SEQ362" s="356"/>
      <c r="SER362" s="258"/>
      <c r="SES362" s="616"/>
      <c r="SET362" s="260"/>
      <c r="SEV362" s="254"/>
      <c r="SEW362" s="615"/>
      <c r="SEX362" s="256"/>
      <c r="SEY362" s="322"/>
      <c r="SEZ362" s="356"/>
      <c r="SFA362" s="258"/>
      <c r="SFB362" s="616"/>
      <c r="SFC362" s="260"/>
      <c r="SFE362" s="254"/>
      <c r="SFF362" s="615"/>
      <c r="SFG362" s="256"/>
      <c r="SFH362" s="322"/>
      <c r="SFI362" s="356"/>
      <c r="SFJ362" s="258"/>
      <c r="SFK362" s="616"/>
      <c r="SFL362" s="260"/>
      <c r="SFN362" s="254"/>
      <c r="SFO362" s="615"/>
      <c r="SFP362" s="256"/>
      <c r="SFQ362" s="322"/>
      <c r="SFR362" s="356"/>
      <c r="SFS362" s="258"/>
      <c r="SFT362" s="616"/>
      <c r="SFU362" s="260"/>
      <c r="SFW362" s="254"/>
      <c r="SFX362" s="615"/>
      <c r="SFY362" s="256"/>
      <c r="SFZ362" s="322"/>
      <c r="SGA362" s="356"/>
      <c r="SGB362" s="258"/>
      <c r="SGC362" s="616"/>
      <c r="SGD362" s="260"/>
      <c r="SGF362" s="254"/>
      <c r="SGG362" s="615"/>
      <c r="SGH362" s="256"/>
      <c r="SGI362" s="322"/>
      <c r="SGJ362" s="356"/>
      <c r="SGK362" s="258"/>
      <c r="SGL362" s="616"/>
      <c r="SGM362" s="260"/>
      <c r="SGO362" s="254"/>
      <c r="SGP362" s="615"/>
      <c r="SGQ362" s="256"/>
      <c r="SGR362" s="322"/>
      <c r="SGS362" s="356"/>
      <c r="SGT362" s="258"/>
      <c r="SGU362" s="616"/>
      <c r="SGV362" s="260"/>
      <c r="SGX362" s="254"/>
      <c r="SGY362" s="615"/>
      <c r="SGZ362" s="256"/>
      <c r="SHA362" s="322"/>
      <c r="SHB362" s="356"/>
      <c r="SHC362" s="258"/>
      <c r="SHD362" s="616"/>
      <c r="SHE362" s="260"/>
      <c r="SHG362" s="254"/>
      <c r="SHH362" s="615"/>
      <c r="SHI362" s="256"/>
      <c r="SHJ362" s="322"/>
      <c r="SHK362" s="356"/>
      <c r="SHL362" s="258"/>
      <c r="SHM362" s="616"/>
      <c r="SHN362" s="260"/>
      <c r="SHP362" s="254"/>
      <c r="SHQ362" s="615"/>
      <c r="SHR362" s="256"/>
      <c r="SHS362" s="322"/>
      <c r="SHT362" s="356"/>
      <c r="SHU362" s="258"/>
      <c r="SHV362" s="616"/>
      <c r="SHW362" s="260"/>
      <c r="SHY362" s="254"/>
      <c r="SHZ362" s="615"/>
      <c r="SIA362" s="256"/>
      <c r="SIB362" s="322"/>
      <c r="SIC362" s="356"/>
      <c r="SID362" s="258"/>
      <c r="SIE362" s="616"/>
      <c r="SIF362" s="260"/>
      <c r="SIH362" s="254"/>
      <c r="SII362" s="615"/>
      <c r="SIJ362" s="256"/>
      <c r="SIK362" s="322"/>
      <c r="SIL362" s="356"/>
      <c r="SIM362" s="258"/>
      <c r="SIN362" s="616"/>
      <c r="SIO362" s="260"/>
      <c r="SIQ362" s="254"/>
      <c r="SIR362" s="615"/>
      <c r="SIS362" s="256"/>
      <c r="SIT362" s="322"/>
      <c r="SIU362" s="356"/>
      <c r="SIV362" s="258"/>
      <c r="SIW362" s="616"/>
      <c r="SIX362" s="260"/>
      <c r="SIZ362" s="254"/>
      <c r="SJA362" s="615"/>
      <c r="SJB362" s="256"/>
      <c r="SJC362" s="322"/>
      <c r="SJD362" s="356"/>
      <c r="SJE362" s="258"/>
      <c r="SJF362" s="616"/>
      <c r="SJG362" s="260"/>
      <c r="SJI362" s="254"/>
      <c r="SJJ362" s="615"/>
      <c r="SJK362" s="256"/>
      <c r="SJL362" s="322"/>
      <c r="SJM362" s="356"/>
      <c r="SJN362" s="258"/>
      <c r="SJO362" s="616"/>
      <c r="SJP362" s="260"/>
      <c r="SJR362" s="254"/>
      <c r="SJS362" s="615"/>
      <c r="SJT362" s="256"/>
      <c r="SJU362" s="322"/>
      <c r="SJV362" s="356"/>
      <c r="SJW362" s="258"/>
      <c r="SJX362" s="616"/>
      <c r="SJY362" s="260"/>
      <c r="SKA362" s="254"/>
      <c r="SKB362" s="615"/>
      <c r="SKC362" s="256"/>
      <c r="SKD362" s="322"/>
      <c r="SKE362" s="356"/>
      <c r="SKF362" s="258"/>
      <c r="SKG362" s="616"/>
      <c r="SKH362" s="260"/>
      <c r="SKJ362" s="254"/>
      <c r="SKK362" s="615"/>
      <c r="SKL362" s="256"/>
      <c r="SKM362" s="322"/>
      <c r="SKN362" s="356"/>
      <c r="SKO362" s="258"/>
      <c r="SKP362" s="616"/>
      <c r="SKQ362" s="260"/>
      <c r="SKS362" s="254"/>
      <c r="SKT362" s="615"/>
      <c r="SKU362" s="256"/>
      <c r="SKV362" s="322"/>
      <c r="SKW362" s="356"/>
      <c r="SKX362" s="258"/>
      <c r="SKY362" s="616"/>
      <c r="SKZ362" s="260"/>
      <c r="SLB362" s="254"/>
      <c r="SLC362" s="615"/>
      <c r="SLD362" s="256"/>
      <c r="SLE362" s="322"/>
      <c r="SLF362" s="356"/>
      <c r="SLG362" s="258"/>
      <c r="SLH362" s="616"/>
      <c r="SLI362" s="260"/>
      <c r="SLK362" s="254"/>
      <c r="SLL362" s="615"/>
      <c r="SLM362" s="256"/>
      <c r="SLN362" s="322"/>
      <c r="SLO362" s="356"/>
      <c r="SLP362" s="258"/>
      <c r="SLQ362" s="616"/>
      <c r="SLR362" s="260"/>
      <c r="SLT362" s="254"/>
      <c r="SLU362" s="615"/>
      <c r="SLV362" s="256"/>
      <c r="SLW362" s="322"/>
      <c r="SLX362" s="356"/>
      <c r="SLY362" s="258"/>
      <c r="SLZ362" s="616"/>
      <c r="SMA362" s="260"/>
      <c r="SMC362" s="254"/>
      <c r="SMD362" s="615"/>
      <c r="SME362" s="256"/>
      <c r="SMF362" s="322"/>
      <c r="SMG362" s="356"/>
      <c r="SMH362" s="258"/>
      <c r="SMI362" s="616"/>
      <c r="SMJ362" s="260"/>
      <c r="SML362" s="254"/>
      <c r="SMM362" s="615"/>
      <c r="SMN362" s="256"/>
      <c r="SMO362" s="322"/>
      <c r="SMP362" s="356"/>
      <c r="SMQ362" s="258"/>
      <c r="SMR362" s="616"/>
      <c r="SMS362" s="260"/>
      <c r="SMU362" s="254"/>
      <c r="SMV362" s="615"/>
      <c r="SMW362" s="256"/>
      <c r="SMX362" s="322"/>
      <c r="SMY362" s="356"/>
      <c r="SMZ362" s="258"/>
      <c r="SNA362" s="616"/>
      <c r="SNB362" s="260"/>
      <c r="SND362" s="254"/>
      <c r="SNE362" s="615"/>
      <c r="SNF362" s="256"/>
      <c r="SNG362" s="322"/>
      <c r="SNH362" s="356"/>
      <c r="SNI362" s="258"/>
      <c r="SNJ362" s="616"/>
      <c r="SNK362" s="260"/>
      <c r="SNM362" s="254"/>
      <c r="SNN362" s="615"/>
      <c r="SNO362" s="256"/>
      <c r="SNP362" s="322"/>
      <c r="SNQ362" s="356"/>
      <c r="SNR362" s="258"/>
      <c r="SNS362" s="616"/>
      <c r="SNT362" s="260"/>
      <c r="SNV362" s="254"/>
      <c r="SNW362" s="615"/>
      <c r="SNX362" s="256"/>
      <c r="SNY362" s="322"/>
      <c r="SNZ362" s="356"/>
      <c r="SOA362" s="258"/>
      <c r="SOB362" s="616"/>
      <c r="SOC362" s="260"/>
      <c r="SOE362" s="254"/>
      <c r="SOF362" s="615"/>
      <c r="SOG362" s="256"/>
      <c r="SOH362" s="322"/>
      <c r="SOI362" s="356"/>
      <c r="SOJ362" s="258"/>
      <c r="SOK362" s="616"/>
      <c r="SOL362" s="260"/>
      <c r="SON362" s="254"/>
      <c r="SOO362" s="615"/>
      <c r="SOP362" s="256"/>
      <c r="SOQ362" s="322"/>
      <c r="SOR362" s="356"/>
      <c r="SOS362" s="258"/>
      <c r="SOT362" s="616"/>
      <c r="SOU362" s="260"/>
      <c r="SOW362" s="254"/>
      <c r="SOX362" s="615"/>
      <c r="SOY362" s="256"/>
      <c r="SOZ362" s="322"/>
      <c r="SPA362" s="356"/>
      <c r="SPB362" s="258"/>
      <c r="SPC362" s="616"/>
      <c r="SPD362" s="260"/>
      <c r="SPF362" s="254"/>
      <c r="SPG362" s="615"/>
      <c r="SPH362" s="256"/>
      <c r="SPI362" s="322"/>
      <c r="SPJ362" s="356"/>
      <c r="SPK362" s="258"/>
      <c r="SPL362" s="616"/>
      <c r="SPM362" s="260"/>
      <c r="SPO362" s="254"/>
      <c r="SPP362" s="615"/>
      <c r="SPQ362" s="256"/>
      <c r="SPR362" s="322"/>
      <c r="SPS362" s="356"/>
      <c r="SPT362" s="258"/>
      <c r="SPU362" s="616"/>
      <c r="SPV362" s="260"/>
      <c r="SPX362" s="254"/>
      <c r="SPY362" s="615"/>
      <c r="SPZ362" s="256"/>
      <c r="SQA362" s="322"/>
      <c r="SQB362" s="356"/>
      <c r="SQC362" s="258"/>
      <c r="SQD362" s="616"/>
      <c r="SQE362" s="260"/>
      <c r="SQG362" s="254"/>
      <c r="SQH362" s="615"/>
      <c r="SQI362" s="256"/>
      <c r="SQJ362" s="322"/>
      <c r="SQK362" s="356"/>
      <c r="SQL362" s="258"/>
      <c r="SQM362" s="616"/>
      <c r="SQN362" s="260"/>
      <c r="SQP362" s="254"/>
      <c r="SQQ362" s="615"/>
      <c r="SQR362" s="256"/>
      <c r="SQS362" s="322"/>
      <c r="SQT362" s="356"/>
      <c r="SQU362" s="258"/>
      <c r="SQV362" s="616"/>
      <c r="SQW362" s="260"/>
      <c r="SQY362" s="254"/>
      <c r="SQZ362" s="615"/>
      <c r="SRA362" s="256"/>
      <c r="SRB362" s="322"/>
      <c r="SRC362" s="356"/>
      <c r="SRD362" s="258"/>
      <c r="SRE362" s="616"/>
      <c r="SRF362" s="260"/>
      <c r="SRH362" s="254"/>
      <c r="SRI362" s="615"/>
      <c r="SRJ362" s="256"/>
      <c r="SRK362" s="322"/>
      <c r="SRL362" s="356"/>
      <c r="SRM362" s="258"/>
      <c r="SRN362" s="616"/>
      <c r="SRO362" s="260"/>
      <c r="SRQ362" s="254"/>
      <c r="SRR362" s="615"/>
      <c r="SRS362" s="256"/>
      <c r="SRT362" s="322"/>
      <c r="SRU362" s="356"/>
      <c r="SRV362" s="258"/>
      <c r="SRW362" s="616"/>
      <c r="SRX362" s="260"/>
      <c r="SRZ362" s="254"/>
      <c r="SSA362" s="615"/>
      <c r="SSB362" s="256"/>
      <c r="SSC362" s="322"/>
      <c r="SSD362" s="356"/>
      <c r="SSE362" s="258"/>
      <c r="SSF362" s="616"/>
      <c r="SSG362" s="260"/>
      <c r="SSI362" s="254"/>
      <c r="SSJ362" s="615"/>
      <c r="SSK362" s="256"/>
      <c r="SSL362" s="322"/>
      <c r="SSM362" s="356"/>
      <c r="SSN362" s="258"/>
      <c r="SSO362" s="616"/>
      <c r="SSP362" s="260"/>
      <c r="SSR362" s="254"/>
      <c r="SSS362" s="615"/>
      <c r="SST362" s="256"/>
      <c r="SSU362" s="322"/>
      <c r="SSV362" s="356"/>
      <c r="SSW362" s="258"/>
      <c r="SSX362" s="616"/>
      <c r="SSY362" s="260"/>
      <c r="STA362" s="254"/>
      <c r="STB362" s="615"/>
      <c r="STC362" s="256"/>
      <c r="STD362" s="322"/>
      <c r="STE362" s="356"/>
      <c r="STF362" s="258"/>
      <c r="STG362" s="616"/>
      <c r="STH362" s="260"/>
      <c r="STJ362" s="254"/>
      <c r="STK362" s="615"/>
      <c r="STL362" s="256"/>
      <c r="STM362" s="322"/>
      <c r="STN362" s="356"/>
      <c r="STO362" s="258"/>
      <c r="STP362" s="616"/>
      <c r="STQ362" s="260"/>
      <c r="STS362" s="254"/>
      <c r="STT362" s="615"/>
      <c r="STU362" s="256"/>
      <c r="STV362" s="322"/>
      <c r="STW362" s="356"/>
      <c r="STX362" s="258"/>
      <c r="STY362" s="616"/>
      <c r="STZ362" s="260"/>
      <c r="SUB362" s="254"/>
      <c r="SUC362" s="615"/>
      <c r="SUD362" s="256"/>
      <c r="SUE362" s="322"/>
      <c r="SUF362" s="356"/>
      <c r="SUG362" s="258"/>
      <c r="SUH362" s="616"/>
      <c r="SUI362" s="260"/>
      <c r="SUK362" s="254"/>
      <c r="SUL362" s="615"/>
      <c r="SUM362" s="256"/>
      <c r="SUN362" s="322"/>
      <c r="SUO362" s="356"/>
      <c r="SUP362" s="258"/>
      <c r="SUQ362" s="616"/>
      <c r="SUR362" s="260"/>
      <c r="SUT362" s="254"/>
      <c r="SUU362" s="615"/>
      <c r="SUV362" s="256"/>
      <c r="SUW362" s="322"/>
      <c r="SUX362" s="356"/>
      <c r="SUY362" s="258"/>
      <c r="SUZ362" s="616"/>
      <c r="SVA362" s="260"/>
      <c r="SVC362" s="254"/>
      <c r="SVD362" s="615"/>
      <c r="SVE362" s="256"/>
      <c r="SVF362" s="322"/>
      <c r="SVG362" s="356"/>
      <c r="SVH362" s="258"/>
      <c r="SVI362" s="616"/>
      <c r="SVJ362" s="260"/>
      <c r="SVL362" s="254"/>
      <c r="SVM362" s="615"/>
      <c r="SVN362" s="256"/>
      <c r="SVO362" s="322"/>
      <c r="SVP362" s="356"/>
      <c r="SVQ362" s="258"/>
      <c r="SVR362" s="616"/>
      <c r="SVS362" s="260"/>
      <c r="SVU362" s="254"/>
      <c r="SVV362" s="615"/>
      <c r="SVW362" s="256"/>
      <c r="SVX362" s="322"/>
      <c r="SVY362" s="356"/>
      <c r="SVZ362" s="258"/>
      <c r="SWA362" s="616"/>
      <c r="SWB362" s="260"/>
      <c r="SWD362" s="254"/>
      <c r="SWE362" s="615"/>
      <c r="SWF362" s="256"/>
      <c r="SWG362" s="322"/>
      <c r="SWH362" s="356"/>
      <c r="SWI362" s="258"/>
      <c r="SWJ362" s="616"/>
      <c r="SWK362" s="260"/>
      <c r="SWM362" s="254"/>
      <c r="SWN362" s="615"/>
      <c r="SWO362" s="256"/>
      <c r="SWP362" s="322"/>
      <c r="SWQ362" s="356"/>
      <c r="SWR362" s="258"/>
      <c r="SWS362" s="616"/>
      <c r="SWT362" s="260"/>
      <c r="SWV362" s="254"/>
      <c r="SWW362" s="615"/>
      <c r="SWX362" s="256"/>
      <c r="SWY362" s="322"/>
      <c r="SWZ362" s="356"/>
      <c r="SXA362" s="258"/>
      <c r="SXB362" s="616"/>
      <c r="SXC362" s="260"/>
      <c r="SXE362" s="254"/>
      <c r="SXF362" s="615"/>
      <c r="SXG362" s="256"/>
      <c r="SXH362" s="322"/>
      <c r="SXI362" s="356"/>
      <c r="SXJ362" s="258"/>
      <c r="SXK362" s="616"/>
      <c r="SXL362" s="260"/>
      <c r="SXN362" s="254"/>
      <c r="SXO362" s="615"/>
      <c r="SXP362" s="256"/>
      <c r="SXQ362" s="322"/>
      <c r="SXR362" s="356"/>
      <c r="SXS362" s="258"/>
      <c r="SXT362" s="616"/>
      <c r="SXU362" s="260"/>
      <c r="SXW362" s="254"/>
      <c r="SXX362" s="615"/>
      <c r="SXY362" s="256"/>
      <c r="SXZ362" s="322"/>
      <c r="SYA362" s="356"/>
      <c r="SYB362" s="258"/>
      <c r="SYC362" s="616"/>
      <c r="SYD362" s="260"/>
      <c r="SYF362" s="254"/>
      <c r="SYG362" s="615"/>
      <c r="SYH362" s="256"/>
      <c r="SYI362" s="322"/>
      <c r="SYJ362" s="356"/>
      <c r="SYK362" s="258"/>
      <c r="SYL362" s="616"/>
      <c r="SYM362" s="260"/>
      <c r="SYO362" s="254"/>
      <c r="SYP362" s="615"/>
      <c r="SYQ362" s="256"/>
      <c r="SYR362" s="322"/>
      <c r="SYS362" s="356"/>
      <c r="SYT362" s="258"/>
      <c r="SYU362" s="616"/>
      <c r="SYV362" s="260"/>
      <c r="SYX362" s="254"/>
      <c r="SYY362" s="615"/>
      <c r="SYZ362" s="256"/>
      <c r="SZA362" s="322"/>
      <c r="SZB362" s="356"/>
      <c r="SZC362" s="258"/>
      <c r="SZD362" s="616"/>
      <c r="SZE362" s="260"/>
      <c r="SZG362" s="254"/>
      <c r="SZH362" s="615"/>
      <c r="SZI362" s="256"/>
      <c r="SZJ362" s="322"/>
      <c r="SZK362" s="356"/>
      <c r="SZL362" s="258"/>
      <c r="SZM362" s="616"/>
      <c r="SZN362" s="260"/>
      <c r="SZP362" s="254"/>
      <c r="SZQ362" s="615"/>
      <c r="SZR362" s="256"/>
      <c r="SZS362" s="322"/>
      <c r="SZT362" s="356"/>
      <c r="SZU362" s="258"/>
      <c r="SZV362" s="616"/>
      <c r="SZW362" s="260"/>
      <c r="SZY362" s="254"/>
      <c r="SZZ362" s="615"/>
      <c r="TAA362" s="256"/>
      <c r="TAB362" s="322"/>
      <c r="TAC362" s="356"/>
      <c r="TAD362" s="258"/>
      <c r="TAE362" s="616"/>
      <c r="TAF362" s="260"/>
      <c r="TAH362" s="254"/>
      <c r="TAI362" s="615"/>
      <c r="TAJ362" s="256"/>
      <c r="TAK362" s="322"/>
      <c r="TAL362" s="356"/>
      <c r="TAM362" s="258"/>
      <c r="TAN362" s="616"/>
      <c r="TAO362" s="260"/>
      <c r="TAQ362" s="254"/>
      <c r="TAR362" s="615"/>
      <c r="TAS362" s="256"/>
      <c r="TAT362" s="322"/>
      <c r="TAU362" s="356"/>
      <c r="TAV362" s="258"/>
      <c r="TAW362" s="616"/>
      <c r="TAX362" s="260"/>
      <c r="TAZ362" s="254"/>
      <c r="TBA362" s="615"/>
      <c r="TBB362" s="256"/>
      <c r="TBC362" s="322"/>
      <c r="TBD362" s="356"/>
      <c r="TBE362" s="258"/>
      <c r="TBF362" s="616"/>
      <c r="TBG362" s="260"/>
      <c r="TBI362" s="254"/>
      <c r="TBJ362" s="615"/>
      <c r="TBK362" s="256"/>
      <c r="TBL362" s="322"/>
      <c r="TBM362" s="356"/>
      <c r="TBN362" s="258"/>
      <c r="TBO362" s="616"/>
      <c r="TBP362" s="260"/>
      <c r="TBR362" s="254"/>
      <c r="TBS362" s="615"/>
      <c r="TBT362" s="256"/>
      <c r="TBU362" s="322"/>
      <c r="TBV362" s="356"/>
      <c r="TBW362" s="258"/>
      <c r="TBX362" s="616"/>
      <c r="TBY362" s="260"/>
      <c r="TCA362" s="254"/>
      <c r="TCB362" s="615"/>
      <c r="TCC362" s="256"/>
      <c r="TCD362" s="322"/>
      <c r="TCE362" s="356"/>
      <c r="TCF362" s="258"/>
      <c r="TCG362" s="616"/>
      <c r="TCH362" s="260"/>
      <c r="TCJ362" s="254"/>
      <c r="TCK362" s="615"/>
      <c r="TCL362" s="256"/>
      <c r="TCM362" s="322"/>
      <c r="TCN362" s="356"/>
      <c r="TCO362" s="258"/>
      <c r="TCP362" s="616"/>
      <c r="TCQ362" s="260"/>
      <c r="TCS362" s="254"/>
      <c r="TCT362" s="615"/>
      <c r="TCU362" s="256"/>
      <c r="TCV362" s="322"/>
      <c r="TCW362" s="356"/>
      <c r="TCX362" s="258"/>
      <c r="TCY362" s="616"/>
      <c r="TCZ362" s="260"/>
      <c r="TDB362" s="254"/>
      <c r="TDC362" s="615"/>
      <c r="TDD362" s="256"/>
      <c r="TDE362" s="322"/>
      <c r="TDF362" s="356"/>
      <c r="TDG362" s="258"/>
      <c r="TDH362" s="616"/>
      <c r="TDI362" s="260"/>
      <c r="TDK362" s="254"/>
      <c r="TDL362" s="615"/>
      <c r="TDM362" s="256"/>
      <c r="TDN362" s="322"/>
      <c r="TDO362" s="356"/>
      <c r="TDP362" s="258"/>
      <c r="TDQ362" s="616"/>
      <c r="TDR362" s="260"/>
      <c r="TDT362" s="254"/>
      <c r="TDU362" s="615"/>
      <c r="TDV362" s="256"/>
      <c r="TDW362" s="322"/>
      <c r="TDX362" s="356"/>
      <c r="TDY362" s="258"/>
      <c r="TDZ362" s="616"/>
      <c r="TEA362" s="260"/>
      <c r="TEC362" s="254"/>
      <c r="TED362" s="615"/>
      <c r="TEE362" s="256"/>
      <c r="TEF362" s="322"/>
      <c r="TEG362" s="356"/>
      <c r="TEH362" s="258"/>
      <c r="TEI362" s="616"/>
      <c r="TEJ362" s="260"/>
      <c r="TEL362" s="254"/>
      <c r="TEM362" s="615"/>
      <c r="TEN362" s="256"/>
      <c r="TEO362" s="322"/>
      <c r="TEP362" s="356"/>
      <c r="TEQ362" s="258"/>
      <c r="TER362" s="616"/>
      <c r="TES362" s="260"/>
      <c r="TEU362" s="254"/>
      <c r="TEV362" s="615"/>
      <c r="TEW362" s="256"/>
      <c r="TEX362" s="322"/>
      <c r="TEY362" s="356"/>
      <c r="TEZ362" s="258"/>
      <c r="TFA362" s="616"/>
      <c r="TFB362" s="260"/>
      <c r="TFD362" s="254"/>
      <c r="TFE362" s="615"/>
      <c r="TFF362" s="256"/>
      <c r="TFG362" s="322"/>
      <c r="TFH362" s="356"/>
      <c r="TFI362" s="258"/>
      <c r="TFJ362" s="616"/>
      <c r="TFK362" s="260"/>
      <c r="TFM362" s="254"/>
      <c r="TFN362" s="615"/>
      <c r="TFO362" s="256"/>
      <c r="TFP362" s="322"/>
      <c r="TFQ362" s="356"/>
      <c r="TFR362" s="258"/>
      <c r="TFS362" s="616"/>
      <c r="TFT362" s="260"/>
      <c r="TFV362" s="254"/>
      <c r="TFW362" s="615"/>
      <c r="TFX362" s="256"/>
      <c r="TFY362" s="322"/>
      <c r="TFZ362" s="356"/>
      <c r="TGA362" s="258"/>
      <c r="TGB362" s="616"/>
      <c r="TGC362" s="260"/>
      <c r="TGE362" s="254"/>
      <c r="TGF362" s="615"/>
      <c r="TGG362" s="256"/>
      <c r="TGH362" s="322"/>
      <c r="TGI362" s="356"/>
      <c r="TGJ362" s="258"/>
      <c r="TGK362" s="616"/>
      <c r="TGL362" s="260"/>
      <c r="TGN362" s="254"/>
      <c r="TGO362" s="615"/>
      <c r="TGP362" s="256"/>
      <c r="TGQ362" s="322"/>
      <c r="TGR362" s="356"/>
      <c r="TGS362" s="258"/>
      <c r="TGT362" s="616"/>
      <c r="TGU362" s="260"/>
      <c r="TGW362" s="254"/>
      <c r="TGX362" s="615"/>
      <c r="TGY362" s="256"/>
      <c r="TGZ362" s="322"/>
      <c r="THA362" s="356"/>
      <c r="THB362" s="258"/>
      <c r="THC362" s="616"/>
      <c r="THD362" s="260"/>
      <c r="THF362" s="254"/>
      <c r="THG362" s="615"/>
      <c r="THH362" s="256"/>
      <c r="THI362" s="322"/>
      <c r="THJ362" s="356"/>
      <c r="THK362" s="258"/>
      <c r="THL362" s="616"/>
      <c r="THM362" s="260"/>
      <c r="THO362" s="254"/>
      <c r="THP362" s="615"/>
      <c r="THQ362" s="256"/>
      <c r="THR362" s="322"/>
      <c r="THS362" s="356"/>
      <c r="THT362" s="258"/>
      <c r="THU362" s="616"/>
      <c r="THV362" s="260"/>
      <c r="THX362" s="254"/>
      <c r="THY362" s="615"/>
      <c r="THZ362" s="256"/>
      <c r="TIA362" s="322"/>
      <c r="TIB362" s="356"/>
      <c r="TIC362" s="258"/>
      <c r="TID362" s="616"/>
      <c r="TIE362" s="260"/>
      <c r="TIG362" s="254"/>
      <c r="TIH362" s="615"/>
      <c r="TII362" s="256"/>
      <c r="TIJ362" s="322"/>
      <c r="TIK362" s="356"/>
      <c r="TIL362" s="258"/>
      <c r="TIM362" s="616"/>
      <c r="TIN362" s="260"/>
      <c r="TIP362" s="254"/>
      <c r="TIQ362" s="615"/>
      <c r="TIR362" s="256"/>
      <c r="TIS362" s="322"/>
      <c r="TIT362" s="356"/>
      <c r="TIU362" s="258"/>
      <c r="TIV362" s="616"/>
      <c r="TIW362" s="260"/>
      <c r="TIY362" s="254"/>
      <c r="TIZ362" s="615"/>
      <c r="TJA362" s="256"/>
      <c r="TJB362" s="322"/>
      <c r="TJC362" s="356"/>
      <c r="TJD362" s="258"/>
      <c r="TJE362" s="616"/>
      <c r="TJF362" s="260"/>
      <c r="TJH362" s="254"/>
      <c r="TJI362" s="615"/>
      <c r="TJJ362" s="256"/>
      <c r="TJK362" s="322"/>
      <c r="TJL362" s="356"/>
      <c r="TJM362" s="258"/>
      <c r="TJN362" s="616"/>
      <c r="TJO362" s="260"/>
      <c r="TJQ362" s="254"/>
      <c r="TJR362" s="615"/>
      <c r="TJS362" s="256"/>
      <c r="TJT362" s="322"/>
      <c r="TJU362" s="356"/>
      <c r="TJV362" s="258"/>
      <c r="TJW362" s="616"/>
      <c r="TJX362" s="260"/>
      <c r="TJZ362" s="254"/>
      <c r="TKA362" s="615"/>
      <c r="TKB362" s="256"/>
      <c r="TKC362" s="322"/>
      <c r="TKD362" s="356"/>
      <c r="TKE362" s="258"/>
      <c r="TKF362" s="616"/>
      <c r="TKG362" s="260"/>
      <c r="TKI362" s="254"/>
      <c r="TKJ362" s="615"/>
      <c r="TKK362" s="256"/>
      <c r="TKL362" s="322"/>
      <c r="TKM362" s="356"/>
      <c r="TKN362" s="258"/>
      <c r="TKO362" s="616"/>
      <c r="TKP362" s="260"/>
      <c r="TKR362" s="254"/>
      <c r="TKS362" s="615"/>
      <c r="TKT362" s="256"/>
      <c r="TKU362" s="322"/>
      <c r="TKV362" s="356"/>
      <c r="TKW362" s="258"/>
      <c r="TKX362" s="616"/>
      <c r="TKY362" s="260"/>
      <c r="TLA362" s="254"/>
      <c r="TLB362" s="615"/>
      <c r="TLC362" s="256"/>
      <c r="TLD362" s="322"/>
      <c r="TLE362" s="356"/>
      <c r="TLF362" s="258"/>
      <c r="TLG362" s="616"/>
      <c r="TLH362" s="260"/>
      <c r="TLJ362" s="254"/>
      <c r="TLK362" s="615"/>
      <c r="TLL362" s="256"/>
      <c r="TLM362" s="322"/>
      <c r="TLN362" s="356"/>
      <c r="TLO362" s="258"/>
      <c r="TLP362" s="616"/>
      <c r="TLQ362" s="260"/>
      <c r="TLS362" s="254"/>
      <c r="TLT362" s="615"/>
      <c r="TLU362" s="256"/>
      <c r="TLV362" s="322"/>
      <c r="TLW362" s="356"/>
      <c r="TLX362" s="258"/>
      <c r="TLY362" s="616"/>
      <c r="TLZ362" s="260"/>
      <c r="TMB362" s="254"/>
      <c r="TMC362" s="615"/>
      <c r="TMD362" s="256"/>
      <c r="TME362" s="322"/>
      <c r="TMF362" s="356"/>
      <c r="TMG362" s="258"/>
      <c r="TMH362" s="616"/>
      <c r="TMI362" s="260"/>
      <c r="TMK362" s="254"/>
      <c r="TML362" s="615"/>
      <c r="TMM362" s="256"/>
      <c r="TMN362" s="322"/>
      <c r="TMO362" s="356"/>
      <c r="TMP362" s="258"/>
      <c r="TMQ362" s="616"/>
      <c r="TMR362" s="260"/>
      <c r="TMT362" s="254"/>
      <c r="TMU362" s="615"/>
      <c r="TMV362" s="256"/>
      <c r="TMW362" s="322"/>
      <c r="TMX362" s="356"/>
      <c r="TMY362" s="258"/>
      <c r="TMZ362" s="616"/>
      <c r="TNA362" s="260"/>
      <c r="TNC362" s="254"/>
      <c r="TND362" s="615"/>
      <c r="TNE362" s="256"/>
      <c r="TNF362" s="322"/>
      <c r="TNG362" s="356"/>
      <c r="TNH362" s="258"/>
      <c r="TNI362" s="616"/>
      <c r="TNJ362" s="260"/>
      <c r="TNL362" s="254"/>
      <c r="TNM362" s="615"/>
      <c r="TNN362" s="256"/>
      <c r="TNO362" s="322"/>
      <c r="TNP362" s="356"/>
      <c r="TNQ362" s="258"/>
      <c r="TNR362" s="616"/>
      <c r="TNS362" s="260"/>
      <c r="TNU362" s="254"/>
      <c r="TNV362" s="615"/>
      <c r="TNW362" s="256"/>
      <c r="TNX362" s="322"/>
      <c r="TNY362" s="356"/>
      <c r="TNZ362" s="258"/>
      <c r="TOA362" s="616"/>
      <c r="TOB362" s="260"/>
      <c r="TOD362" s="254"/>
      <c r="TOE362" s="615"/>
      <c r="TOF362" s="256"/>
      <c r="TOG362" s="322"/>
      <c r="TOH362" s="356"/>
      <c r="TOI362" s="258"/>
      <c r="TOJ362" s="616"/>
      <c r="TOK362" s="260"/>
      <c r="TOM362" s="254"/>
      <c r="TON362" s="615"/>
      <c r="TOO362" s="256"/>
      <c r="TOP362" s="322"/>
      <c r="TOQ362" s="356"/>
      <c r="TOR362" s="258"/>
      <c r="TOS362" s="616"/>
      <c r="TOT362" s="260"/>
      <c r="TOV362" s="254"/>
      <c r="TOW362" s="615"/>
      <c r="TOX362" s="256"/>
      <c r="TOY362" s="322"/>
      <c r="TOZ362" s="356"/>
      <c r="TPA362" s="258"/>
      <c r="TPB362" s="616"/>
      <c r="TPC362" s="260"/>
      <c r="TPE362" s="254"/>
      <c r="TPF362" s="615"/>
      <c r="TPG362" s="256"/>
      <c r="TPH362" s="322"/>
      <c r="TPI362" s="356"/>
      <c r="TPJ362" s="258"/>
      <c r="TPK362" s="616"/>
      <c r="TPL362" s="260"/>
      <c r="TPN362" s="254"/>
      <c r="TPO362" s="615"/>
      <c r="TPP362" s="256"/>
      <c r="TPQ362" s="322"/>
      <c r="TPR362" s="356"/>
      <c r="TPS362" s="258"/>
      <c r="TPT362" s="616"/>
      <c r="TPU362" s="260"/>
      <c r="TPW362" s="254"/>
      <c r="TPX362" s="615"/>
      <c r="TPY362" s="256"/>
      <c r="TPZ362" s="322"/>
      <c r="TQA362" s="356"/>
      <c r="TQB362" s="258"/>
      <c r="TQC362" s="616"/>
      <c r="TQD362" s="260"/>
      <c r="TQF362" s="254"/>
      <c r="TQG362" s="615"/>
      <c r="TQH362" s="256"/>
      <c r="TQI362" s="322"/>
      <c r="TQJ362" s="356"/>
      <c r="TQK362" s="258"/>
      <c r="TQL362" s="616"/>
      <c r="TQM362" s="260"/>
      <c r="TQO362" s="254"/>
      <c r="TQP362" s="615"/>
      <c r="TQQ362" s="256"/>
      <c r="TQR362" s="322"/>
      <c r="TQS362" s="356"/>
      <c r="TQT362" s="258"/>
      <c r="TQU362" s="616"/>
      <c r="TQV362" s="260"/>
      <c r="TQX362" s="254"/>
      <c r="TQY362" s="615"/>
      <c r="TQZ362" s="256"/>
      <c r="TRA362" s="322"/>
      <c r="TRB362" s="356"/>
      <c r="TRC362" s="258"/>
      <c r="TRD362" s="616"/>
      <c r="TRE362" s="260"/>
      <c r="TRG362" s="254"/>
      <c r="TRH362" s="615"/>
      <c r="TRI362" s="256"/>
      <c r="TRJ362" s="322"/>
      <c r="TRK362" s="356"/>
      <c r="TRL362" s="258"/>
      <c r="TRM362" s="616"/>
      <c r="TRN362" s="260"/>
      <c r="TRP362" s="254"/>
      <c r="TRQ362" s="615"/>
      <c r="TRR362" s="256"/>
      <c r="TRS362" s="322"/>
      <c r="TRT362" s="356"/>
      <c r="TRU362" s="258"/>
      <c r="TRV362" s="616"/>
      <c r="TRW362" s="260"/>
      <c r="TRY362" s="254"/>
      <c r="TRZ362" s="615"/>
      <c r="TSA362" s="256"/>
      <c r="TSB362" s="322"/>
      <c r="TSC362" s="356"/>
      <c r="TSD362" s="258"/>
      <c r="TSE362" s="616"/>
      <c r="TSF362" s="260"/>
      <c r="TSH362" s="254"/>
      <c r="TSI362" s="615"/>
      <c r="TSJ362" s="256"/>
      <c r="TSK362" s="322"/>
      <c r="TSL362" s="356"/>
      <c r="TSM362" s="258"/>
      <c r="TSN362" s="616"/>
      <c r="TSO362" s="260"/>
      <c r="TSQ362" s="254"/>
      <c r="TSR362" s="615"/>
      <c r="TSS362" s="256"/>
      <c r="TST362" s="322"/>
      <c r="TSU362" s="356"/>
      <c r="TSV362" s="258"/>
      <c r="TSW362" s="616"/>
      <c r="TSX362" s="260"/>
      <c r="TSZ362" s="254"/>
      <c r="TTA362" s="615"/>
      <c r="TTB362" s="256"/>
      <c r="TTC362" s="322"/>
      <c r="TTD362" s="356"/>
      <c r="TTE362" s="258"/>
      <c r="TTF362" s="616"/>
      <c r="TTG362" s="260"/>
      <c r="TTI362" s="254"/>
      <c r="TTJ362" s="615"/>
      <c r="TTK362" s="256"/>
      <c r="TTL362" s="322"/>
      <c r="TTM362" s="356"/>
      <c r="TTN362" s="258"/>
      <c r="TTO362" s="616"/>
      <c r="TTP362" s="260"/>
      <c r="TTR362" s="254"/>
      <c r="TTS362" s="615"/>
      <c r="TTT362" s="256"/>
      <c r="TTU362" s="322"/>
      <c r="TTV362" s="356"/>
      <c r="TTW362" s="258"/>
      <c r="TTX362" s="616"/>
      <c r="TTY362" s="260"/>
      <c r="TUA362" s="254"/>
      <c r="TUB362" s="615"/>
      <c r="TUC362" s="256"/>
      <c r="TUD362" s="322"/>
      <c r="TUE362" s="356"/>
      <c r="TUF362" s="258"/>
      <c r="TUG362" s="616"/>
      <c r="TUH362" s="260"/>
      <c r="TUJ362" s="254"/>
      <c r="TUK362" s="615"/>
      <c r="TUL362" s="256"/>
      <c r="TUM362" s="322"/>
      <c r="TUN362" s="356"/>
      <c r="TUO362" s="258"/>
      <c r="TUP362" s="616"/>
      <c r="TUQ362" s="260"/>
      <c r="TUS362" s="254"/>
      <c r="TUT362" s="615"/>
      <c r="TUU362" s="256"/>
      <c r="TUV362" s="322"/>
      <c r="TUW362" s="356"/>
      <c r="TUX362" s="258"/>
      <c r="TUY362" s="616"/>
      <c r="TUZ362" s="260"/>
      <c r="TVB362" s="254"/>
      <c r="TVC362" s="615"/>
      <c r="TVD362" s="256"/>
      <c r="TVE362" s="322"/>
      <c r="TVF362" s="356"/>
      <c r="TVG362" s="258"/>
      <c r="TVH362" s="616"/>
      <c r="TVI362" s="260"/>
      <c r="TVK362" s="254"/>
      <c r="TVL362" s="615"/>
      <c r="TVM362" s="256"/>
      <c r="TVN362" s="322"/>
      <c r="TVO362" s="356"/>
      <c r="TVP362" s="258"/>
      <c r="TVQ362" s="616"/>
      <c r="TVR362" s="260"/>
      <c r="TVT362" s="254"/>
      <c r="TVU362" s="615"/>
      <c r="TVV362" s="256"/>
      <c r="TVW362" s="322"/>
      <c r="TVX362" s="356"/>
      <c r="TVY362" s="258"/>
      <c r="TVZ362" s="616"/>
      <c r="TWA362" s="260"/>
      <c r="TWC362" s="254"/>
      <c r="TWD362" s="615"/>
      <c r="TWE362" s="256"/>
      <c r="TWF362" s="322"/>
      <c r="TWG362" s="356"/>
      <c r="TWH362" s="258"/>
      <c r="TWI362" s="616"/>
      <c r="TWJ362" s="260"/>
      <c r="TWL362" s="254"/>
      <c r="TWM362" s="615"/>
      <c r="TWN362" s="256"/>
      <c r="TWO362" s="322"/>
      <c r="TWP362" s="356"/>
      <c r="TWQ362" s="258"/>
      <c r="TWR362" s="616"/>
      <c r="TWS362" s="260"/>
      <c r="TWU362" s="254"/>
      <c r="TWV362" s="615"/>
      <c r="TWW362" s="256"/>
      <c r="TWX362" s="322"/>
      <c r="TWY362" s="356"/>
      <c r="TWZ362" s="258"/>
      <c r="TXA362" s="616"/>
      <c r="TXB362" s="260"/>
      <c r="TXD362" s="254"/>
      <c r="TXE362" s="615"/>
      <c r="TXF362" s="256"/>
      <c r="TXG362" s="322"/>
      <c r="TXH362" s="356"/>
      <c r="TXI362" s="258"/>
      <c r="TXJ362" s="616"/>
      <c r="TXK362" s="260"/>
      <c r="TXM362" s="254"/>
      <c r="TXN362" s="615"/>
      <c r="TXO362" s="256"/>
      <c r="TXP362" s="322"/>
      <c r="TXQ362" s="356"/>
      <c r="TXR362" s="258"/>
      <c r="TXS362" s="616"/>
      <c r="TXT362" s="260"/>
      <c r="TXV362" s="254"/>
      <c r="TXW362" s="615"/>
      <c r="TXX362" s="256"/>
      <c r="TXY362" s="322"/>
      <c r="TXZ362" s="356"/>
      <c r="TYA362" s="258"/>
      <c r="TYB362" s="616"/>
      <c r="TYC362" s="260"/>
      <c r="TYE362" s="254"/>
      <c r="TYF362" s="615"/>
      <c r="TYG362" s="256"/>
      <c r="TYH362" s="322"/>
      <c r="TYI362" s="356"/>
      <c r="TYJ362" s="258"/>
      <c r="TYK362" s="616"/>
      <c r="TYL362" s="260"/>
      <c r="TYN362" s="254"/>
      <c r="TYO362" s="615"/>
      <c r="TYP362" s="256"/>
      <c r="TYQ362" s="322"/>
      <c r="TYR362" s="356"/>
      <c r="TYS362" s="258"/>
      <c r="TYT362" s="616"/>
      <c r="TYU362" s="260"/>
      <c r="TYW362" s="254"/>
      <c r="TYX362" s="615"/>
      <c r="TYY362" s="256"/>
      <c r="TYZ362" s="322"/>
      <c r="TZA362" s="356"/>
      <c r="TZB362" s="258"/>
      <c r="TZC362" s="616"/>
      <c r="TZD362" s="260"/>
      <c r="TZF362" s="254"/>
      <c r="TZG362" s="615"/>
      <c r="TZH362" s="256"/>
      <c r="TZI362" s="322"/>
      <c r="TZJ362" s="356"/>
      <c r="TZK362" s="258"/>
      <c r="TZL362" s="616"/>
      <c r="TZM362" s="260"/>
      <c r="TZO362" s="254"/>
      <c r="TZP362" s="615"/>
      <c r="TZQ362" s="256"/>
      <c r="TZR362" s="322"/>
      <c r="TZS362" s="356"/>
      <c r="TZT362" s="258"/>
      <c r="TZU362" s="616"/>
      <c r="TZV362" s="260"/>
      <c r="TZX362" s="254"/>
      <c r="TZY362" s="615"/>
      <c r="TZZ362" s="256"/>
      <c r="UAA362" s="322"/>
      <c r="UAB362" s="356"/>
      <c r="UAC362" s="258"/>
      <c r="UAD362" s="616"/>
      <c r="UAE362" s="260"/>
      <c r="UAG362" s="254"/>
      <c r="UAH362" s="615"/>
      <c r="UAI362" s="256"/>
      <c r="UAJ362" s="322"/>
      <c r="UAK362" s="356"/>
      <c r="UAL362" s="258"/>
      <c r="UAM362" s="616"/>
      <c r="UAN362" s="260"/>
      <c r="UAP362" s="254"/>
      <c r="UAQ362" s="615"/>
      <c r="UAR362" s="256"/>
      <c r="UAS362" s="322"/>
      <c r="UAT362" s="356"/>
      <c r="UAU362" s="258"/>
      <c r="UAV362" s="616"/>
      <c r="UAW362" s="260"/>
      <c r="UAY362" s="254"/>
      <c r="UAZ362" s="615"/>
      <c r="UBA362" s="256"/>
      <c r="UBB362" s="322"/>
      <c r="UBC362" s="356"/>
      <c r="UBD362" s="258"/>
      <c r="UBE362" s="616"/>
      <c r="UBF362" s="260"/>
      <c r="UBH362" s="254"/>
      <c r="UBI362" s="615"/>
      <c r="UBJ362" s="256"/>
      <c r="UBK362" s="322"/>
      <c r="UBL362" s="356"/>
      <c r="UBM362" s="258"/>
      <c r="UBN362" s="616"/>
      <c r="UBO362" s="260"/>
      <c r="UBQ362" s="254"/>
      <c r="UBR362" s="615"/>
      <c r="UBS362" s="256"/>
      <c r="UBT362" s="322"/>
      <c r="UBU362" s="356"/>
      <c r="UBV362" s="258"/>
      <c r="UBW362" s="616"/>
      <c r="UBX362" s="260"/>
      <c r="UBZ362" s="254"/>
      <c r="UCA362" s="615"/>
      <c r="UCB362" s="256"/>
      <c r="UCC362" s="322"/>
      <c r="UCD362" s="356"/>
      <c r="UCE362" s="258"/>
      <c r="UCF362" s="616"/>
      <c r="UCG362" s="260"/>
      <c r="UCI362" s="254"/>
      <c r="UCJ362" s="615"/>
      <c r="UCK362" s="256"/>
      <c r="UCL362" s="322"/>
      <c r="UCM362" s="356"/>
      <c r="UCN362" s="258"/>
      <c r="UCO362" s="616"/>
      <c r="UCP362" s="260"/>
      <c r="UCR362" s="254"/>
      <c r="UCS362" s="615"/>
      <c r="UCT362" s="256"/>
      <c r="UCU362" s="322"/>
      <c r="UCV362" s="356"/>
      <c r="UCW362" s="258"/>
      <c r="UCX362" s="616"/>
      <c r="UCY362" s="260"/>
      <c r="UDA362" s="254"/>
      <c r="UDB362" s="615"/>
      <c r="UDC362" s="256"/>
      <c r="UDD362" s="322"/>
      <c r="UDE362" s="356"/>
      <c r="UDF362" s="258"/>
      <c r="UDG362" s="616"/>
      <c r="UDH362" s="260"/>
      <c r="UDJ362" s="254"/>
      <c r="UDK362" s="615"/>
      <c r="UDL362" s="256"/>
      <c r="UDM362" s="322"/>
      <c r="UDN362" s="356"/>
      <c r="UDO362" s="258"/>
      <c r="UDP362" s="616"/>
      <c r="UDQ362" s="260"/>
      <c r="UDS362" s="254"/>
      <c r="UDT362" s="615"/>
      <c r="UDU362" s="256"/>
      <c r="UDV362" s="322"/>
      <c r="UDW362" s="356"/>
      <c r="UDX362" s="258"/>
      <c r="UDY362" s="616"/>
      <c r="UDZ362" s="260"/>
      <c r="UEB362" s="254"/>
      <c r="UEC362" s="615"/>
      <c r="UED362" s="256"/>
      <c r="UEE362" s="322"/>
      <c r="UEF362" s="356"/>
      <c r="UEG362" s="258"/>
      <c r="UEH362" s="616"/>
      <c r="UEI362" s="260"/>
      <c r="UEK362" s="254"/>
      <c r="UEL362" s="615"/>
      <c r="UEM362" s="256"/>
      <c r="UEN362" s="322"/>
      <c r="UEO362" s="356"/>
      <c r="UEP362" s="258"/>
      <c r="UEQ362" s="616"/>
      <c r="UER362" s="260"/>
      <c r="UET362" s="254"/>
      <c r="UEU362" s="615"/>
      <c r="UEV362" s="256"/>
      <c r="UEW362" s="322"/>
      <c r="UEX362" s="356"/>
      <c r="UEY362" s="258"/>
      <c r="UEZ362" s="616"/>
      <c r="UFA362" s="260"/>
      <c r="UFC362" s="254"/>
      <c r="UFD362" s="615"/>
      <c r="UFE362" s="256"/>
      <c r="UFF362" s="322"/>
      <c r="UFG362" s="356"/>
      <c r="UFH362" s="258"/>
      <c r="UFI362" s="616"/>
      <c r="UFJ362" s="260"/>
      <c r="UFL362" s="254"/>
      <c r="UFM362" s="615"/>
      <c r="UFN362" s="256"/>
      <c r="UFO362" s="322"/>
      <c r="UFP362" s="356"/>
      <c r="UFQ362" s="258"/>
      <c r="UFR362" s="616"/>
      <c r="UFS362" s="260"/>
      <c r="UFU362" s="254"/>
      <c r="UFV362" s="615"/>
      <c r="UFW362" s="256"/>
      <c r="UFX362" s="322"/>
      <c r="UFY362" s="356"/>
      <c r="UFZ362" s="258"/>
      <c r="UGA362" s="616"/>
      <c r="UGB362" s="260"/>
      <c r="UGD362" s="254"/>
      <c r="UGE362" s="615"/>
      <c r="UGF362" s="256"/>
      <c r="UGG362" s="322"/>
      <c r="UGH362" s="356"/>
      <c r="UGI362" s="258"/>
      <c r="UGJ362" s="616"/>
      <c r="UGK362" s="260"/>
      <c r="UGM362" s="254"/>
      <c r="UGN362" s="615"/>
      <c r="UGO362" s="256"/>
      <c r="UGP362" s="322"/>
      <c r="UGQ362" s="356"/>
      <c r="UGR362" s="258"/>
      <c r="UGS362" s="616"/>
      <c r="UGT362" s="260"/>
      <c r="UGV362" s="254"/>
      <c r="UGW362" s="615"/>
      <c r="UGX362" s="256"/>
      <c r="UGY362" s="322"/>
      <c r="UGZ362" s="356"/>
      <c r="UHA362" s="258"/>
      <c r="UHB362" s="616"/>
      <c r="UHC362" s="260"/>
      <c r="UHE362" s="254"/>
      <c r="UHF362" s="615"/>
      <c r="UHG362" s="256"/>
      <c r="UHH362" s="322"/>
      <c r="UHI362" s="356"/>
      <c r="UHJ362" s="258"/>
      <c r="UHK362" s="616"/>
      <c r="UHL362" s="260"/>
      <c r="UHN362" s="254"/>
      <c r="UHO362" s="615"/>
      <c r="UHP362" s="256"/>
      <c r="UHQ362" s="322"/>
      <c r="UHR362" s="356"/>
      <c r="UHS362" s="258"/>
      <c r="UHT362" s="616"/>
      <c r="UHU362" s="260"/>
      <c r="UHW362" s="254"/>
      <c r="UHX362" s="615"/>
      <c r="UHY362" s="256"/>
      <c r="UHZ362" s="322"/>
      <c r="UIA362" s="356"/>
      <c r="UIB362" s="258"/>
      <c r="UIC362" s="616"/>
      <c r="UID362" s="260"/>
      <c r="UIF362" s="254"/>
      <c r="UIG362" s="615"/>
      <c r="UIH362" s="256"/>
      <c r="UII362" s="322"/>
      <c r="UIJ362" s="356"/>
      <c r="UIK362" s="258"/>
      <c r="UIL362" s="616"/>
      <c r="UIM362" s="260"/>
      <c r="UIO362" s="254"/>
      <c r="UIP362" s="615"/>
      <c r="UIQ362" s="256"/>
      <c r="UIR362" s="322"/>
      <c r="UIS362" s="356"/>
      <c r="UIT362" s="258"/>
      <c r="UIU362" s="616"/>
      <c r="UIV362" s="260"/>
      <c r="UIX362" s="254"/>
      <c r="UIY362" s="615"/>
      <c r="UIZ362" s="256"/>
      <c r="UJA362" s="322"/>
      <c r="UJB362" s="356"/>
      <c r="UJC362" s="258"/>
      <c r="UJD362" s="616"/>
      <c r="UJE362" s="260"/>
      <c r="UJG362" s="254"/>
      <c r="UJH362" s="615"/>
      <c r="UJI362" s="256"/>
      <c r="UJJ362" s="322"/>
      <c r="UJK362" s="356"/>
      <c r="UJL362" s="258"/>
      <c r="UJM362" s="616"/>
      <c r="UJN362" s="260"/>
      <c r="UJP362" s="254"/>
      <c r="UJQ362" s="615"/>
      <c r="UJR362" s="256"/>
      <c r="UJS362" s="322"/>
      <c r="UJT362" s="356"/>
      <c r="UJU362" s="258"/>
      <c r="UJV362" s="616"/>
      <c r="UJW362" s="260"/>
      <c r="UJY362" s="254"/>
      <c r="UJZ362" s="615"/>
      <c r="UKA362" s="256"/>
      <c r="UKB362" s="322"/>
      <c r="UKC362" s="356"/>
      <c r="UKD362" s="258"/>
      <c r="UKE362" s="616"/>
      <c r="UKF362" s="260"/>
      <c r="UKH362" s="254"/>
      <c r="UKI362" s="615"/>
      <c r="UKJ362" s="256"/>
      <c r="UKK362" s="322"/>
      <c r="UKL362" s="356"/>
      <c r="UKM362" s="258"/>
      <c r="UKN362" s="616"/>
      <c r="UKO362" s="260"/>
      <c r="UKQ362" s="254"/>
      <c r="UKR362" s="615"/>
      <c r="UKS362" s="256"/>
      <c r="UKT362" s="322"/>
      <c r="UKU362" s="356"/>
      <c r="UKV362" s="258"/>
      <c r="UKW362" s="616"/>
      <c r="UKX362" s="260"/>
      <c r="UKZ362" s="254"/>
      <c r="ULA362" s="615"/>
      <c r="ULB362" s="256"/>
      <c r="ULC362" s="322"/>
      <c r="ULD362" s="356"/>
      <c r="ULE362" s="258"/>
      <c r="ULF362" s="616"/>
      <c r="ULG362" s="260"/>
      <c r="ULI362" s="254"/>
      <c r="ULJ362" s="615"/>
      <c r="ULK362" s="256"/>
      <c r="ULL362" s="322"/>
      <c r="ULM362" s="356"/>
      <c r="ULN362" s="258"/>
      <c r="ULO362" s="616"/>
      <c r="ULP362" s="260"/>
      <c r="ULR362" s="254"/>
      <c r="ULS362" s="615"/>
      <c r="ULT362" s="256"/>
      <c r="ULU362" s="322"/>
      <c r="ULV362" s="356"/>
      <c r="ULW362" s="258"/>
      <c r="ULX362" s="616"/>
      <c r="ULY362" s="260"/>
      <c r="UMA362" s="254"/>
      <c r="UMB362" s="615"/>
      <c r="UMC362" s="256"/>
      <c r="UMD362" s="322"/>
      <c r="UME362" s="356"/>
      <c r="UMF362" s="258"/>
      <c r="UMG362" s="616"/>
      <c r="UMH362" s="260"/>
      <c r="UMJ362" s="254"/>
      <c r="UMK362" s="615"/>
      <c r="UML362" s="256"/>
      <c r="UMM362" s="322"/>
      <c r="UMN362" s="356"/>
      <c r="UMO362" s="258"/>
      <c r="UMP362" s="616"/>
      <c r="UMQ362" s="260"/>
      <c r="UMS362" s="254"/>
      <c r="UMT362" s="615"/>
      <c r="UMU362" s="256"/>
      <c r="UMV362" s="322"/>
      <c r="UMW362" s="356"/>
      <c r="UMX362" s="258"/>
      <c r="UMY362" s="616"/>
      <c r="UMZ362" s="260"/>
      <c r="UNB362" s="254"/>
      <c r="UNC362" s="615"/>
      <c r="UND362" s="256"/>
      <c r="UNE362" s="322"/>
      <c r="UNF362" s="356"/>
      <c r="UNG362" s="258"/>
      <c r="UNH362" s="616"/>
      <c r="UNI362" s="260"/>
      <c r="UNK362" s="254"/>
      <c r="UNL362" s="615"/>
      <c r="UNM362" s="256"/>
      <c r="UNN362" s="322"/>
      <c r="UNO362" s="356"/>
      <c r="UNP362" s="258"/>
      <c r="UNQ362" s="616"/>
      <c r="UNR362" s="260"/>
      <c r="UNT362" s="254"/>
      <c r="UNU362" s="615"/>
      <c r="UNV362" s="256"/>
      <c r="UNW362" s="322"/>
      <c r="UNX362" s="356"/>
      <c r="UNY362" s="258"/>
      <c r="UNZ362" s="616"/>
      <c r="UOA362" s="260"/>
      <c r="UOC362" s="254"/>
      <c r="UOD362" s="615"/>
      <c r="UOE362" s="256"/>
      <c r="UOF362" s="322"/>
      <c r="UOG362" s="356"/>
      <c r="UOH362" s="258"/>
      <c r="UOI362" s="616"/>
      <c r="UOJ362" s="260"/>
      <c r="UOL362" s="254"/>
      <c r="UOM362" s="615"/>
      <c r="UON362" s="256"/>
      <c r="UOO362" s="322"/>
      <c r="UOP362" s="356"/>
      <c r="UOQ362" s="258"/>
      <c r="UOR362" s="616"/>
      <c r="UOS362" s="260"/>
      <c r="UOU362" s="254"/>
      <c r="UOV362" s="615"/>
      <c r="UOW362" s="256"/>
      <c r="UOX362" s="322"/>
      <c r="UOY362" s="356"/>
      <c r="UOZ362" s="258"/>
      <c r="UPA362" s="616"/>
      <c r="UPB362" s="260"/>
      <c r="UPD362" s="254"/>
      <c r="UPE362" s="615"/>
      <c r="UPF362" s="256"/>
      <c r="UPG362" s="322"/>
      <c r="UPH362" s="356"/>
      <c r="UPI362" s="258"/>
      <c r="UPJ362" s="616"/>
      <c r="UPK362" s="260"/>
      <c r="UPM362" s="254"/>
      <c r="UPN362" s="615"/>
      <c r="UPO362" s="256"/>
      <c r="UPP362" s="322"/>
      <c r="UPQ362" s="356"/>
      <c r="UPR362" s="258"/>
      <c r="UPS362" s="616"/>
      <c r="UPT362" s="260"/>
      <c r="UPV362" s="254"/>
      <c r="UPW362" s="615"/>
      <c r="UPX362" s="256"/>
      <c r="UPY362" s="322"/>
      <c r="UPZ362" s="356"/>
      <c r="UQA362" s="258"/>
      <c r="UQB362" s="616"/>
      <c r="UQC362" s="260"/>
      <c r="UQE362" s="254"/>
      <c r="UQF362" s="615"/>
      <c r="UQG362" s="256"/>
      <c r="UQH362" s="322"/>
      <c r="UQI362" s="356"/>
      <c r="UQJ362" s="258"/>
      <c r="UQK362" s="616"/>
      <c r="UQL362" s="260"/>
      <c r="UQN362" s="254"/>
      <c r="UQO362" s="615"/>
      <c r="UQP362" s="256"/>
      <c r="UQQ362" s="322"/>
      <c r="UQR362" s="356"/>
      <c r="UQS362" s="258"/>
      <c r="UQT362" s="616"/>
      <c r="UQU362" s="260"/>
      <c r="UQW362" s="254"/>
      <c r="UQX362" s="615"/>
      <c r="UQY362" s="256"/>
      <c r="UQZ362" s="322"/>
      <c r="URA362" s="356"/>
      <c r="URB362" s="258"/>
      <c r="URC362" s="616"/>
      <c r="URD362" s="260"/>
      <c r="URF362" s="254"/>
      <c r="URG362" s="615"/>
      <c r="URH362" s="256"/>
      <c r="URI362" s="322"/>
      <c r="URJ362" s="356"/>
      <c r="URK362" s="258"/>
      <c r="URL362" s="616"/>
      <c r="URM362" s="260"/>
      <c r="URO362" s="254"/>
      <c r="URP362" s="615"/>
      <c r="URQ362" s="256"/>
      <c r="URR362" s="322"/>
      <c r="URS362" s="356"/>
      <c r="URT362" s="258"/>
      <c r="URU362" s="616"/>
      <c r="URV362" s="260"/>
      <c r="URX362" s="254"/>
      <c r="URY362" s="615"/>
      <c r="URZ362" s="256"/>
      <c r="USA362" s="322"/>
      <c r="USB362" s="356"/>
      <c r="USC362" s="258"/>
      <c r="USD362" s="616"/>
      <c r="USE362" s="260"/>
      <c r="USG362" s="254"/>
      <c r="USH362" s="615"/>
      <c r="USI362" s="256"/>
      <c r="USJ362" s="322"/>
      <c r="USK362" s="356"/>
      <c r="USL362" s="258"/>
      <c r="USM362" s="616"/>
      <c r="USN362" s="260"/>
      <c r="USP362" s="254"/>
      <c r="USQ362" s="615"/>
      <c r="USR362" s="256"/>
      <c r="USS362" s="322"/>
      <c r="UST362" s="356"/>
      <c r="USU362" s="258"/>
      <c r="USV362" s="616"/>
      <c r="USW362" s="260"/>
      <c r="USY362" s="254"/>
      <c r="USZ362" s="615"/>
      <c r="UTA362" s="256"/>
      <c r="UTB362" s="322"/>
      <c r="UTC362" s="356"/>
      <c r="UTD362" s="258"/>
      <c r="UTE362" s="616"/>
      <c r="UTF362" s="260"/>
      <c r="UTH362" s="254"/>
      <c r="UTI362" s="615"/>
      <c r="UTJ362" s="256"/>
      <c r="UTK362" s="322"/>
      <c r="UTL362" s="356"/>
      <c r="UTM362" s="258"/>
      <c r="UTN362" s="616"/>
      <c r="UTO362" s="260"/>
      <c r="UTQ362" s="254"/>
      <c r="UTR362" s="615"/>
      <c r="UTS362" s="256"/>
      <c r="UTT362" s="322"/>
      <c r="UTU362" s="356"/>
      <c r="UTV362" s="258"/>
      <c r="UTW362" s="616"/>
      <c r="UTX362" s="260"/>
      <c r="UTZ362" s="254"/>
      <c r="UUA362" s="615"/>
      <c r="UUB362" s="256"/>
      <c r="UUC362" s="322"/>
      <c r="UUD362" s="356"/>
      <c r="UUE362" s="258"/>
      <c r="UUF362" s="616"/>
      <c r="UUG362" s="260"/>
      <c r="UUI362" s="254"/>
      <c r="UUJ362" s="615"/>
      <c r="UUK362" s="256"/>
      <c r="UUL362" s="322"/>
      <c r="UUM362" s="356"/>
      <c r="UUN362" s="258"/>
      <c r="UUO362" s="616"/>
      <c r="UUP362" s="260"/>
      <c r="UUR362" s="254"/>
      <c r="UUS362" s="615"/>
      <c r="UUT362" s="256"/>
      <c r="UUU362" s="322"/>
      <c r="UUV362" s="356"/>
      <c r="UUW362" s="258"/>
      <c r="UUX362" s="616"/>
      <c r="UUY362" s="260"/>
      <c r="UVA362" s="254"/>
      <c r="UVB362" s="615"/>
      <c r="UVC362" s="256"/>
      <c r="UVD362" s="322"/>
      <c r="UVE362" s="356"/>
      <c r="UVF362" s="258"/>
      <c r="UVG362" s="616"/>
      <c r="UVH362" s="260"/>
      <c r="UVJ362" s="254"/>
      <c r="UVK362" s="615"/>
      <c r="UVL362" s="256"/>
      <c r="UVM362" s="322"/>
      <c r="UVN362" s="356"/>
      <c r="UVO362" s="258"/>
      <c r="UVP362" s="616"/>
      <c r="UVQ362" s="260"/>
      <c r="UVS362" s="254"/>
      <c r="UVT362" s="615"/>
      <c r="UVU362" s="256"/>
      <c r="UVV362" s="322"/>
      <c r="UVW362" s="356"/>
      <c r="UVX362" s="258"/>
      <c r="UVY362" s="616"/>
      <c r="UVZ362" s="260"/>
      <c r="UWB362" s="254"/>
      <c r="UWC362" s="615"/>
      <c r="UWD362" s="256"/>
      <c r="UWE362" s="322"/>
      <c r="UWF362" s="356"/>
      <c r="UWG362" s="258"/>
      <c r="UWH362" s="616"/>
      <c r="UWI362" s="260"/>
      <c r="UWK362" s="254"/>
      <c r="UWL362" s="615"/>
      <c r="UWM362" s="256"/>
      <c r="UWN362" s="322"/>
      <c r="UWO362" s="356"/>
      <c r="UWP362" s="258"/>
      <c r="UWQ362" s="616"/>
      <c r="UWR362" s="260"/>
      <c r="UWT362" s="254"/>
      <c r="UWU362" s="615"/>
      <c r="UWV362" s="256"/>
      <c r="UWW362" s="322"/>
      <c r="UWX362" s="356"/>
      <c r="UWY362" s="258"/>
      <c r="UWZ362" s="616"/>
      <c r="UXA362" s="260"/>
      <c r="UXC362" s="254"/>
      <c r="UXD362" s="615"/>
      <c r="UXE362" s="256"/>
      <c r="UXF362" s="322"/>
      <c r="UXG362" s="356"/>
      <c r="UXH362" s="258"/>
      <c r="UXI362" s="616"/>
      <c r="UXJ362" s="260"/>
      <c r="UXL362" s="254"/>
      <c r="UXM362" s="615"/>
      <c r="UXN362" s="256"/>
      <c r="UXO362" s="322"/>
      <c r="UXP362" s="356"/>
      <c r="UXQ362" s="258"/>
      <c r="UXR362" s="616"/>
      <c r="UXS362" s="260"/>
      <c r="UXU362" s="254"/>
      <c r="UXV362" s="615"/>
      <c r="UXW362" s="256"/>
      <c r="UXX362" s="322"/>
      <c r="UXY362" s="356"/>
      <c r="UXZ362" s="258"/>
      <c r="UYA362" s="616"/>
      <c r="UYB362" s="260"/>
      <c r="UYD362" s="254"/>
      <c r="UYE362" s="615"/>
      <c r="UYF362" s="256"/>
      <c r="UYG362" s="322"/>
      <c r="UYH362" s="356"/>
      <c r="UYI362" s="258"/>
      <c r="UYJ362" s="616"/>
      <c r="UYK362" s="260"/>
      <c r="UYM362" s="254"/>
      <c r="UYN362" s="615"/>
      <c r="UYO362" s="256"/>
      <c r="UYP362" s="322"/>
      <c r="UYQ362" s="356"/>
      <c r="UYR362" s="258"/>
      <c r="UYS362" s="616"/>
      <c r="UYT362" s="260"/>
      <c r="UYV362" s="254"/>
      <c r="UYW362" s="615"/>
      <c r="UYX362" s="256"/>
      <c r="UYY362" s="322"/>
      <c r="UYZ362" s="356"/>
      <c r="UZA362" s="258"/>
      <c r="UZB362" s="616"/>
      <c r="UZC362" s="260"/>
      <c r="UZE362" s="254"/>
      <c r="UZF362" s="615"/>
      <c r="UZG362" s="256"/>
      <c r="UZH362" s="322"/>
      <c r="UZI362" s="356"/>
      <c r="UZJ362" s="258"/>
      <c r="UZK362" s="616"/>
      <c r="UZL362" s="260"/>
      <c r="UZN362" s="254"/>
      <c r="UZO362" s="615"/>
      <c r="UZP362" s="256"/>
      <c r="UZQ362" s="322"/>
      <c r="UZR362" s="356"/>
      <c r="UZS362" s="258"/>
      <c r="UZT362" s="616"/>
      <c r="UZU362" s="260"/>
      <c r="UZW362" s="254"/>
      <c r="UZX362" s="615"/>
      <c r="UZY362" s="256"/>
      <c r="UZZ362" s="322"/>
      <c r="VAA362" s="356"/>
      <c r="VAB362" s="258"/>
      <c r="VAC362" s="616"/>
      <c r="VAD362" s="260"/>
      <c r="VAF362" s="254"/>
      <c r="VAG362" s="615"/>
      <c r="VAH362" s="256"/>
      <c r="VAI362" s="322"/>
      <c r="VAJ362" s="356"/>
      <c r="VAK362" s="258"/>
      <c r="VAL362" s="616"/>
      <c r="VAM362" s="260"/>
      <c r="VAO362" s="254"/>
      <c r="VAP362" s="615"/>
      <c r="VAQ362" s="256"/>
      <c r="VAR362" s="322"/>
      <c r="VAS362" s="356"/>
      <c r="VAT362" s="258"/>
      <c r="VAU362" s="616"/>
      <c r="VAV362" s="260"/>
      <c r="VAX362" s="254"/>
      <c r="VAY362" s="615"/>
      <c r="VAZ362" s="256"/>
      <c r="VBA362" s="322"/>
      <c r="VBB362" s="356"/>
      <c r="VBC362" s="258"/>
      <c r="VBD362" s="616"/>
      <c r="VBE362" s="260"/>
      <c r="VBG362" s="254"/>
      <c r="VBH362" s="615"/>
      <c r="VBI362" s="256"/>
      <c r="VBJ362" s="322"/>
      <c r="VBK362" s="356"/>
      <c r="VBL362" s="258"/>
      <c r="VBM362" s="616"/>
      <c r="VBN362" s="260"/>
      <c r="VBP362" s="254"/>
      <c r="VBQ362" s="615"/>
      <c r="VBR362" s="256"/>
      <c r="VBS362" s="322"/>
      <c r="VBT362" s="356"/>
      <c r="VBU362" s="258"/>
      <c r="VBV362" s="616"/>
      <c r="VBW362" s="260"/>
      <c r="VBY362" s="254"/>
      <c r="VBZ362" s="615"/>
      <c r="VCA362" s="256"/>
      <c r="VCB362" s="322"/>
      <c r="VCC362" s="356"/>
      <c r="VCD362" s="258"/>
      <c r="VCE362" s="616"/>
      <c r="VCF362" s="260"/>
      <c r="VCH362" s="254"/>
      <c r="VCI362" s="615"/>
      <c r="VCJ362" s="256"/>
      <c r="VCK362" s="322"/>
      <c r="VCL362" s="356"/>
      <c r="VCM362" s="258"/>
      <c r="VCN362" s="616"/>
      <c r="VCO362" s="260"/>
      <c r="VCQ362" s="254"/>
      <c r="VCR362" s="615"/>
      <c r="VCS362" s="256"/>
      <c r="VCT362" s="322"/>
      <c r="VCU362" s="356"/>
      <c r="VCV362" s="258"/>
      <c r="VCW362" s="616"/>
      <c r="VCX362" s="260"/>
      <c r="VCZ362" s="254"/>
      <c r="VDA362" s="615"/>
      <c r="VDB362" s="256"/>
      <c r="VDC362" s="322"/>
      <c r="VDD362" s="356"/>
      <c r="VDE362" s="258"/>
      <c r="VDF362" s="616"/>
      <c r="VDG362" s="260"/>
      <c r="VDI362" s="254"/>
      <c r="VDJ362" s="615"/>
      <c r="VDK362" s="256"/>
      <c r="VDL362" s="322"/>
      <c r="VDM362" s="356"/>
      <c r="VDN362" s="258"/>
      <c r="VDO362" s="616"/>
      <c r="VDP362" s="260"/>
      <c r="VDR362" s="254"/>
      <c r="VDS362" s="615"/>
      <c r="VDT362" s="256"/>
      <c r="VDU362" s="322"/>
      <c r="VDV362" s="356"/>
      <c r="VDW362" s="258"/>
      <c r="VDX362" s="616"/>
      <c r="VDY362" s="260"/>
      <c r="VEA362" s="254"/>
      <c r="VEB362" s="615"/>
      <c r="VEC362" s="256"/>
      <c r="VED362" s="322"/>
      <c r="VEE362" s="356"/>
      <c r="VEF362" s="258"/>
      <c r="VEG362" s="616"/>
      <c r="VEH362" s="260"/>
      <c r="VEJ362" s="254"/>
      <c r="VEK362" s="615"/>
      <c r="VEL362" s="256"/>
      <c r="VEM362" s="322"/>
      <c r="VEN362" s="356"/>
      <c r="VEO362" s="258"/>
      <c r="VEP362" s="616"/>
      <c r="VEQ362" s="260"/>
      <c r="VES362" s="254"/>
      <c r="VET362" s="615"/>
      <c r="VEU362" s="256"/>
      <c r="VEV362" s="322"/>
      <c r="VEW362" s="356"/>
      <c r="VEX362" s="258"/>
      <c r="VEY362" s="616"/>
      <c r="VEZ362" s="260"/>
      <c r="VFB362" s="254"/>
      <c r="VFC362" s="615"/>
      <c r="VFD362" s="256"/>
      <c r="VFE362" s="322"/>
      <c r="VFF362" s="356"/>
      <c r="VFG362" s="258"/>
      <c r="VFH362" s="616"/>
      <c r="VFI362" s="260"/>
      <c r="VFK362" s="254"/>
      <c r="VFL362" s="615"/>
      <c r="VFM362" s="256"/>
      <c r="VFN362" s="322"/>
      <c r="VFO362" s="356"/>
      <c r="VFP362" s="258"/>
      <c r="VFQ362" s="616"/>
      <c r="VFR362" s="260"/>
      <c r="VFT362" s="254"/>
      <c r="VFU362" s="615"/>
      <c r="VFV362" s="256"/>
      <c r="VFW362" s="322"/>
      <c r="VFX362" s="356"/>
      <c r="VFY362" s="258"/>
      <c r="VFZ362" s="616"/>
      <c r="VGA362" s="260"/>
      <c r="VGC362" s="254"/>
      <c r="VGD362" s="615"/>
      <c r="VGE362" s="256"/>
      <c r="VGF362" s="322"/>
      <c r="VGG362" s="356"/>
      <c r="VGH362" s="258"/>
      <c r="VGI362" s="616"/>
      <c r="VGJ362" s="260"/>
      <c r="VGL362" s="254"/>
      <c r="VGM362" s="615"/>
      <c r="VGN362" s="256"/>
      <c r="VGO362" s="322"/>
      <c r="VGP362" s="356"/>
      <c r="VGQ362" s="258"/>
      <c r="VGR362" s="616"/>
      <c r="VGS362" s="260"/>
      <c r="VGU362" s="254"/>
      <c r="VGV362" s="615"/>
      <c r="VGW362" s="256"/>
      <c r="VGX362" s="322"/>
      <c r="VGY362" s="356"/>
      <c r="VGZ362" s="258"/>
      <c r="VHA362" s="616"/>
      <c r="VHB362" s="260"/>
      <c r="VHD362" s="254"/>
      <c r="VHE362" s="615"/>
      <c r="VHF362" s="256"/>
      <c r="VHG362" s="322"/>
      <c r="VHH362" s="356"/>
      <c r="VHI362" s="258"/>
      <c r="VHJ362" s="616"/>
      <c r="VHK362" s="260"/>
      <c r="VHM362" s="254"/>
      <c r="VHN362" s="615"/>
      <c r="VHO362" s="256"/>
      <c r="VHP362" s="322"/>
      <c r="VHQ362" s="356"/>
      <c r="VHR362" s="258"/>
      <c r="VHS362" s="616"/>
      <c r="VHT362" s="260"/>
      <c r="VHV362" s="254"/>
      <c r="VHW362" s="615"/>
      <c r="VHX362" s="256"/>
      <c r="VHY362" s="322"/>
      <c r="VHZ362" s="356"/>
      <c r="VIA362" s="258"/>
      <c r="VIB362" s="616"/>
      <c r="VIC362" s="260"/>
      <c r="VIE362" s="254"/>
      <c r="VIF362" s="615"/>
      <c r="VIG362" s="256"/>
      <c r="VIH362" s="322"/>
      <c r="VII362" s="356"/>
      <c r="VIJ362" s="258"/>
      <c r="VIK362" s="616"/>
      <c r="VIL362" s="260"/>
      <c r="VIN362" s="254"/>
      <c r="VIO362" s="615"/>
      <c r="VIP362" s="256"/>
      <c r="VIQ362" s="322"/>
      <c r="VIR362" s="356"/>
      <c r="VIS362" s="258"/>
      <c r="VIT362" s="616"/>
      <c r="VIU362" s="260"/>
      <c r="VIW362" s="254"/>
      <c r="VIX362" s="615"/>
      <c r="VIY362" s="256"/>
      <c r="VIZ362" s="322"/>
      <c r="VJA362" s="356"/>
      <c r="VJB362" s="258"/>
      <c r="VJC362" s="616"/>
      <c r="VJD362" s="260"/>
      <c r="VJF362" s="254"/>
      <c r="VJG362" s="615"/>
      <c r="VJH362" s="256"/>
      <c r="VJI362" s="322"/>
      <c r="VJJ362" s="356"/>
      <c r="VJK362" s="258"/>
      <c r="VJL362" s="616"/>
      <c r="VJM362" s="260"/>
      <c r="VJO362" s="254"/>
      <c r="VJP362" s="615"/>
      <c r="VJQ362" s="256"/>
      <c r="VJR362" s="322"/>
      <c r="VJS362" s="356"/>
      <c r="VJT362" s="258"/>
      <c r="VJU362" s="616"/>
      <c r="VJV362" s="260"/>
      <c r="VJX362" s="254"/>
      <c r="VJY362" s="615"/>
      <c r="VJZ362" s="256"/>
      <c r="VKA362" s="322"/>
      <c r="VKB362" s="356"/>
      <c r="VKC362" s="258"/>
      <c r="VKD362" s="616"/>
      <c r="VKE362" s="260"/>
      <c r="VKG362" s="254"/>
      <c r="VKH362" s="615"/>
      <c r="VKI362" s="256"/>
      <c r="VKJ362" s="322"/>
      <c r="VKK362" s="356"/>
      <c r="VKL362" s="258"/>
      <c r="VKM362" s="616"/>
      <c r="VKN362" s="260"/>
      <c r="VKP362" s="254"/>
      <c r="VKQ362" s="615"/>
      <c r="VKR362" s="256"/>
      <c r="VKS362" s="322"/>
      <c r="VKT362" s="356"/>
      <c r="VKU362" s="258"/>
      <c r="VKV362" s="616"/>
      <c r="VKW362" s="260"/>
      <c r="VKY362" s="254"/>
      <c r="VKZ362" s="615"/>
      <c r="VLA362" s="256"/>
      <c r="VLB362" s="322"/>
      <c r="VLC362" s="356"/>
      <c r="VLD362" s="258"/>
      <c r="VLE362" s="616"/>
      <c r="VLF362" s="260"/>
      <c r="VLH362" s="254"/>
      <c r="VLI362" s="615"/>
      <c r="VLJ362" s="256"/>
      <c r="VLK362" s="322"/>
      <c r="VLL362" s="356"/>
      <c r="VLM362" s="258"/>
      <c r="VLN362" s="616"/>
      <c r="VLO362" s="260"/>
      <c r="VLQ362" s="254"/>
      <c r="VLR362" s="615"/>
      <c r="VLS362" s="256"/>
      <c r="VLT362" s="322"/>
      <c r="VLU362" s="356"/>
      <c r="VLV362" s="258"/>
      <c r="VLW362" s="616"/>
      <c r="VLX362" s="260"/>
      <c r="VLZ362" s="254"/>
      <c r="VMA362" s="615"/>
      <c r="VMB362" s="256"/>
      <c r="VMC362" s="322"/>
      <c r="VMD362" s="356"/>
      <c r="VME362" s="258"/>
      <c r="VMF362" s="616"/>
      <c r="VMG362" s="260"/>
      <c r="VMI362" s="254"/>
      <c r="VMJ362" s="615"/>
      <c r="VMK362" s="256"/>
      <c r="VML362" s="322"/>
      <c r="VMM362" s="356"/>
      <c r="VMN362" s="258"/>
      <c r="VMO362" s="616"/>
      <c r="VMP362" s="260"/>
      <c r="VMR362" s="254"/>
      <c r="VMS362" s="615"/>
      <c r="VMT362" s="256"/>
      <c r="VMU362" s="322"/>
      <c r="VMV362" s="356"/>
      <c r="VMW362" s="258"/>
      <c r="VMX362" s="616"/>
      <c r="VMY362" s="260"/>
      <c r="VNA362" s="254"/>
      <c r="VNB362" s="615"/>
      <c r="VNC362" s="256"/>
      <c r="VND362" s="322"/>
      <c r="VNE362" s="356"/>
      <c r="VNF362" s="258"/>
      <c r="VNG362" s="616"/>
      <c r="VNH362" s="260"/>
      <c r="VNJ362" s="254"/>
      <c r="VNK362" s="615"/>
      <c r="VNL362" s="256"/>
      <c r="VNM362" s="322"/>
      <c r="VNN362" s="356"/>
      <c r="VNO362" s="258"/>
      <c r="VNP362" s="616"/>
      <c r="VNQ362" s="260"/>
      <c r="VNS362" s="254"/>
      <c r="VNT362" s="615"/>
      <c r="VNU362" s="256"/>
      <c r="VNV362" s="322"/>
      <c r="VNW362" s="356"/>
      <c r="VNX362" s="258"/>
      <c r="VNY362" s="616"/>
      <c r="VNZ362" s="260"/>
      <c r="VOB362" s="254"/>
      <c r="VOC362" s="615"/>
      <c r="VOD362" s="256"/>
      <c r="VOE362" s="322"/>
      <c r="VOF362" s="356"/>
      <c r="VOG362" s="258"/>
      <c r="VOH362" s="616"/>
      <c r="VOI362" s="260"/>
      <c r="VOK362" s="254"/>
      <c r="VOL362" s="615"/>
      <c r="VOM362" s="256"/>
      <c r="VON362" s="322"/>
      <c r="VOO362" s="356"/>
      <c r="VOP362" s="258"/>
      <c r="VOQ362" s="616"/>
      <c r="VOR362" s="260"/>
      <c r="VOT362" s="254"/>
      <c r="VOU362" s="615"/>
      <c r="VOV362" s="256"/>
      <c r="VOW362" s="322"/>
      <c r="VOX362" s="356"/>
      <c r="VOY362" s="258"/>
      <c r="VOZ362" s="616"/>
      <c r="VPA362" s="260"/>
      <c r="VPC362" s="254"/>
      <c r="VPD362" s="615"/>
      <c r="VPE362" s="256"/>
      <c r="VPF362" s="322"/>
      <c r="VPG362" s="356"/>
      <c r="VPH362" s="258"/>
      <c r="VPI362" s="616"/>
      <c r="VPJ362" s="260"/>
      <c r="VPL362" s="254"/>
      <c r="VPM362" s="615"/>
      <c r="VPN362" s="256"/>
      <c r="VPO362" s="322"/>
      <c r="VPP362" s="356"/>
      <c r="VPQ362" s="258"/>
      <c r="VPR362" s="616"/>
      <c r="VPS362" s="260"/>
      <c r="VPU362" s="254"/>
      <c r="VPV362" s="615"/>
      <c r="VPW362" s="256"/>
      <c r="VPX362" s="322"/>
      <c r="VPY362" s="356"/>
      <c r="VPZ362" s="258"/>
      <c r="VQA362" s="616"/>
      <c r="VQB362" s="260"/>
      <c r="VQD362" s="254"/>
      <c r="VQE362" s="615"/>
      <c r="VQF362" s="256"/>
      <c r="VQG362" s="322"/>
      <c r="VQH362" s="356"/>
      <c r="VQI362" s="258"/>
      <c r="VQJ362" s="616"/>
      <c r="VQK362" s="260"/>
      <c r="VQM362" s="254"/>
      <c r="VQN362" s="615"/>
      <c r="VQO362" s="256"/>
      <c r="VQP362" s="322"/>
      <c r="VQQ362" s="356"/>
      <c r="VQR362" s="258"/>
      <c r="VQS362" s="616"/>
      <c r="VQT362" s="260"/>
      <c r="VQV362" s="254"/>
      <c r="VQW362" s="615"/>
      <c r="VQX362" s="256"/>
      <c r="VQY362" s="322"/>
      <c r="VQZ362" s="356"/>
      <c r="VRA362" s="258"/>
      <c r="VRB362" s="616"/>
      <c r="VRC362" s="260"/>
      <c r="VRE362" s="254"/>
      <c r="VRF362" s="615"/>
      <c r="VRG362" s="256"/>
      <c r="VRH362" s="322"/>
      <c r="VRI362" s="356"/>
      <c r="VRJ362" s="258"/>
      <c r="VRK362" s="616"/>
      <c r="VRL362" s="260"/>
      <c r="VRN362" s="254"/>
      <c r="VRO362" s="615"/>
      <c r="VRP362" s="256"/>
      <c r="VRQ362" s="322"/>
      <c r="VRR362" s="356"/>
      <c r="VRS362" s="258"/>
      <c r="VRT362" s="616"/>
      <c r="VRU362" s="260"/>
      <c r="VRW362" s="254"/>
      <c r="VRX362" s="615"/>
      <c r="VRY362" s="256"/>
      <c r="VRZ362" s="322"/>
      <c r="VSA362" s="356"/>
      <c r="VSB362" s="258"/>
      <c r="VSC362" s="616"/>
      <c r="VSD362" s="260"/>
      <c r="VSF362" s="254"/>
      <c r="VSG362" s="615"/>
      <c r="VSH362" s="256"/>
      <c r="VSI362" s="322"/>
      <c r="VSJ362" s="356"/>
      <c r="VSK362" s="258"/>
      <c r="VSL362" s="616"/>
      <c r="VSM362" s="260"/>
      <c r="VSO362" s="254"/>
      <c r="VSP362" s="615"/>
      <c r="VSQ362" s="256"/>
      <c r="VSR362" s="322"/>
      <c r="VSS362" s="356"/>
      <c r="VST362" s="258"/>
      <c r="VSU362" s="616"/>
      <c r="VSV362" s="260"/>
      <c r="VSX362" s="254"/>
      <c r="VSY362" s="615"/>
      <c r="VSZ362" s="256"/>
      <c r="VTA362" s="322"/>
      <c r="VTB362" s="356"/>
      <c r="VTC362" s="258"/>
      <c r="VTD362" s="616"/>
      <c r="VTE362" s="260"/>
      <c r="VTG362" s="254"/>
      <c r="VTH362" s="615"/>
      <c r="VTI362" s="256"/>
      <c r="VTJ362" s="322"/>
      <c r="VTK362" s="356"/>
      <c r="VTL362" s="258"/>
      <c r="VTM362" s="616"/>
      <c r="VTN362" s="260"/>
      <c r="VTP362" s="254"/>
      <c r="VTQ362" s="615"/>
      <c r="VTR362" s="256"/>
      <c r="VTS362" s="322"/>
      <c r="VTT362" s="356"/>
      <c r="VTU362" s="258"/>
      <c r="VTV362" s="616"/>
      <c r="VTW362" s="260"/>
      <c r="VTY362" s="254"/>
      <c r="VTZ362" s="615"/>
      <c r="VUA362" s="256"/>
      <c r="VUB362" s="322"/>
      <c r="VUC362" s="356"/>
      <c r="VUD362" s="258"/>
      <c r="VUE362" s="616"/>
      <c r="VUF362" s="260"/>
      <c r="VUH362" s="254"/>
      <c r="VUI362" s="615"/>
      <c r="VUJ362" s="256"/>
      <c r="VUK362" s="322"/>
      <c r="VUL362" s="356"/>
      <c r="VUM362" s="258"/>
      <c r="VUN362" s="616"/>
      <c r="VUO362" s="260"/>
      <c r="VUQ362" s="254"/>
      <c r="VUR362" s="615"/>
      <c r="VUS362" s="256"/>
      <c r="VUT362" s="322"/>
      <c r="VUU362" s="356"/>
      <c r="VUV362" s="258"/>
      <c r="VUW362" s="616"/>
      <c r="VUX362" s="260"/>
      <c r="VUZ362" s="254"/>
      <c r="VVA362" s="615"/>
      <c r="VVB362" s="256"/>
      <c r="VVC362" s="322"/>
      <c r="VVD362" s="356"/>
      <c r="VVE362" s="258"/>
      <c r="VVF362" s="616"/>
      <c r="VVG362" s="260"/>
      <c r="VVI362" s="254"/>
      <c r="VVJ362" s="615"/>
      <c r="VVK362" s="256"/>
      <c r="VVL362" s="322"/>
      <c r="VVM362" s="356"/>
      <c r="VVN362" s="258"/>
      <c r="VVO362" s="616"/>
      <c r="VVP362" s="260"/>
      <c r="VVR362" s="254"/>
      <c r="VVS362" s="615"/>
      <c r="VVT362" s="256"/>
      <c r="VVU362" s="322"/>
      <c r="VVV362" s="356"/>
      <c r="VVW362" s="258"/>
      <c r="VVX362" s="616"/>
      <c r="VVY362" s="260"/>
      <c r="VWA362" s="254"/>
      <c r="VWB362" s="615"/>
      <c r="VWC362" s="256"/>
      <c r="VWD362" s="322"/>
      <c r="VWE362" s="356"/>
      <c r="VWF362" s="258"/>
      <c r="VWG362" s="616"/>
      <c r="VWH362" s="260"/>
      <c r="VWJ362" s="254"/>
      <c r="VWK362" s="615"/>
      <c r="VWL362" s="256"/>
      <c r="VWM362" s="322"/>
      <c r="VWN362" s="356"/>
      <c r="VWO362" s="258"/>
      <c r="VWP362" s="616"/>
      <c r="VWQ362" s="260"/>
      <c r="VWS362" s="254"/>
      <c r="VWT362" s="615"/>
      <c r="VWU362" s="256"/>
      <c r="VWV362" s="322"/>
      <c r="VWW362" s="356"/>
      <c r="VWX362" s="258"/>
      <c r="VWY362" s="616"/>
      <c r="VWZ362" s="260"/>
      <c r="VXB362" s="254"/>
      <c r="VXC362" s="615"/>
      <c r="VXD362" s="256"/>
      <c r="VXE362" s="322"/>
      <c r="VXF362" s="356"/>
      <c r="VXG362" s="258"/>
      <c r="VXH362" s="616"/>
      <c r="VXI362" s="260"/>
      <c r="VXK362" s="254"/>
      <c r="VXL362" s="615"/>
      <c r="VXM362" s="256"/>
      <c r="VXN362" s="322"/>
      <c r="VXO362" s="356"/>
      <c r="VXP362" s="258"/>
      <c r="VXQ362" s="616"/>
      <c r="VXR362" s="260"/>
      <c r="VXT362" s="254"/>
      <c r="VXU362" s="615"/>
      <c r="VXV362" s="256"/>
      <c r="VXW362" s="322"/>
      <c r="VXX362" s="356"/>
      <c r="VXY362" s="258"/>
      <c r="VXZ362" s="616"/>
      <c r="VYA362" s="260"/>
      <c r="VYC362" s="254"/>
      <c r="VYD362" s="615"/>
      <c r="VYE362" s="256"/>
      <c r="VYF362" s="322"/>
      <c r="VYG362" s="356"/>
      <c r="VYH362" s="258"/>
      <c r="VYI362" s="616"/>
      <c r="VYJ362" s="260"/>
      <c r="VYL362" s="254"/>
      <c r="VYM362" s="615"/>
      <c r="VYN362" s="256"/>
      <c r="VYO362" s="322"/>
      <c r="VYP362" s="356"/>
      <c r="VYQ362" s="258"/>
      <c r="VYR362" s="616"/>
      <c r="VYS362" s="260"/>
      <c r="VYU362" s="254"/>
      <c r="VYV362" s="615"/>
      <c r="VYW362" s="256"/>
      <c r="VYX362" s="322"/>
      <c r="VYY362" s="356"/>
      <c r="VYZ362" s="258"/>
      <c r="VZA362" s="616"/>
      <c r="VZB362" s="260"/>
      <c r="VZD362" s="254"/>
      <c r="VZE362" s="615"/>
      <c r="VZF362" s="256"/>
      <c r="VZG362" s="322"/>
      <c r="VZH362" s="356"/>
      <c r="VZI362" s="258"/>
      <c r="VZJ362" s="616"/>
      <c r="VZK362" s="260"/>
      <c r="VZM362" s="254"/>
      <c r="VZN362" s="615"/>
      <c r="VZO362" s="256"/>
      <c r="VZP362" s="322"/>
      <c r="VZQ362" s="356"/>
      <c r="VZR362" s="258"/>
      <c r="VZS362" s="616"/>
      <c r="VZT362" s="260"/>
      <c r="VZV362" s="254"/>
      <c r="VZW362" s="615"/>
      <c r="VZX362" s="256"/>
      <c r="VZY362" s="322"/>
      <c r="VZZ362" s="356"/>
      <c r="WAA362" s="258"/>
      <c r="WAB362" s="616"/>
      <c r="WAC362" s="260"/>
      <c r="WAE362" s="254"/>
      <c r="WAF362" s="615"/>
      <c r="WAG362" s="256"/>
      <c r="WAH362" s="322"/>
      <c r="WAI362" s="356"/>
      <c r="WAJ362" s="258"/>
      <c r="WAK362" s="616"/>
      <c r="WAL362" s="260"/>
      <c r="WAN362" s="254"/>
      <c r="WAO362" s="615"/>
      <c r="WAP362" s="256"/>
      <c r="WAQ362" s="322"/>
      <c r="WAR362" s="356"/>
      <c r="WAS362" s="258"/>
      <c r="WAT362" s="616"/>
      <c r="WAU362" s="260"/>
      <c r="WAW362" s="254"/>
      <c r="WAX362" s="615"/>
      <c r="WAY362" s="256"/>
      <c r="WAZ362" s="322"/>
      <c r="WBA362" s="356"/>
      <c r="WBB362" s="258"/>
      <c r="WBC362" s="616"/>
      <c r="WBD362" s="260"/>
      <c r="WBF362" s="254"/>
      <c r="WBG362" s="615"/>
      <c r="WBH362" s="256"/>
      <c r="WBI362" s="322"/>
      <c r="WBJ362" s="356"/>
      <c r="WBK362" s="258"/>
      <c r="WBL362" s="616"/>
      <c r="WBM362" s="260"/>
      <c r="WBO362" s="254"/>
      <c r="WBP362" s="615"/>
      <c r="WBQ362" s="256"/>
      <c r="WBR362" s="322"/>
      <c r="WBS362" s="356"/>
      <c r="WBT362" s="258"/>
      <c r="WBU362" s="616"/>
      <c r="WBV362" s="260"/>
      <c r="WBX362" s="254"/>
      <c r="WBY362" s="615"/>
      <c r="WBZ362" s="256"/>
      <c r="WCA362" s="322"/>
      <c r="WCB362" s="356"/>
      <c r="WCC362" s="258"/>
      <c r="WCD362" s="616"/>
      <c r="WCE362" s="260"/>
      <c r="WCG362" s="254"/>
      <c r="WCH362" s="615"/>
      <c r="WCI362" s="256"/>
      <c r="WCJ362" s="322"/>
      <c r="WCK362" s="356"/>
      <c r="WCL362" s="258"/>
      <c r="WCM362" s="616"/>
      <c r="WCN362" s="260"/>
      <c r="WCP362" s="254"/>
      <c r="WCQ362" s="615"/>
      <c r="WCR362" s="256"/>
      <c r="WCS362" s="322"/>
      <c r="WCT362" s="356"/>
      <c r="WCU362" s="258"/>
      <c r="WCV362" s="616"/>
      <c r="WCW362" s="260"/>
      <c r="WCY362" s="254"/>
      <c r="WCZ362" s="615"/>
      <c r="WDA362" s="256"/>
      <c r="WDB362" s="322"/>
      <c r="WDC362" s="356"/>
      <c r="WDD362" s="258"/>
      <c r="WDE362" s="616"/>
      <c r="WDF362" s="260"/>
      <c r="WDH362" s="254"/>
      <c r="WDI362" s="615"/>
      <c r="WDJ362" s="256"/>
      <c r="WDK362" s="322"/>
      <c r="WDL362" s="356"/>
      <c r="WDM362" s="258"/>
      <c r="WDN362" s="616"/>
      <c r="WDO362" s="260"/>
      <c r="WDQ362" s="254"/>
      <c r="WDR362" s="615"/>
      <c r="WDS362" s="256"/>
      <c r="WDT362" s="322"/>
      <c r="WDU362" s="356"/>
      <c r="WDV362" s="258"/>
      <c r="WDW362" s="616"/>
      <c r="WDX362" s="260"/>
      <c r="WDZ362" s="254"/>
      <c r="WEA362" s="615"/>
      <c r="WEB362" s="256"/>
      <c r="WEC362" s="322"/>
      <c r="WED362" s="356"/>
      <c r="WEE362" s="258"/>
      <c r="WEF362" s="616"/>
      <c r="WEG362" s="260"/>
      <c r="WEI362" s="254"/>
      <c r="WEJ362" s="615"/>
      <c r="WEK362" s="256"/>
      <c r="WEL362" s="322"/>
      <c r="WEM362" s="356"/>
      <c r="WEN362" s="258"/>
      <c r="WEO362" s="616"/>
      <c r="WEP362" s="260"/>
      <c r="WER362" s="254"/>
      <c r="WES362" s="615"/>
      <c r="WET362" s="256"/>
      <c r="WEU362" s="322"/>
      <c r="WEV362" s="356"/>
      <c r="WEW362" s="258"/>
      <c r="WEX362" s="616"/>
      <c r="WEY362" s="260"/>
      <c r="WFA362" s="254"/>
      <c r="WFB362" s="615"/>
      <c r="WFC362" s="256"/>
      <c r="WFD362" s="322"/>
      <c r="WFE362" s="356"/>
      <c r="WFF362" s="258"/>
      <c r="WFG362" s="616"/>
      <c r="WFH362" s="260"/>
      <c r="WFJ362" s="254"/>
      <c r="WFK362" s="615"/>
      <c r="WFL362" s="256"/>
      <c r="WFM362" s="322"/>
      <c r="WFN362" s="356"/>
      <c r="WFO362" s="258"/>
      <c r="WFP362" s="616"/>
      <c r="WFQ362" s="260"/>
      <c r="WFS362" s="254"/>
      <c r="WFT362" s="615"/>
      <c r="WFU362" s="256"/>
      <c r="WFV362" s="322"/>
      <c r="WFW362" s="356"/>
      <c r="WFX362" s="258"/>
      <c r="WFY362" s="616"/>
      <c r="WFZ362" s="260"/>
      <c r="WGB362" s="254"/>
      <c r="WGC362" s="615"/>
      <c r="WGD362" s="256"/>
      <c r="WGE362" s="322"/>
      <c r="WGF362" s="356"/>
      <c r="WGG362" s="258"/>
      <c r="WGH362" s="616"/>
      <c r="WGI362" s="260"/>
      <c r="WGK362" s="254"/>
      <c r="WGL362" s="615"/>
      <c r="WGM362" s="256"/>
      <c r="WGN362" s="322"/>
      <c r="WGO362" s="356"/>
      <c r="WGP362" s="258"/>
      <c r="WGQ362" s="616"/>
      <c r="WGR362" s="260"/>
      <c r="WGT362" s="254"/>
      <c r="WGU362" s="615"/>
      <c r="WGV362" s="256"/>
      <c r="WGW362" s="322"/>
      <c r="WGX362" s="356"/>
      <c r="WGY362" s="258"/>
      <c r="WGZ362" s="616"/>
      <c r="WHA362" s="260"/>
      <c r="WHC362" s="254"/>
      <c r="WHD362" s="615"/>
      <c r="WHE362" s="256"/>
      <c r="WHF362" s="322"/>
      <c r="WHG362" s="356"/>
      <c r="WHH362" s="258"/>
      <c r="WHI362" s="616"/>
      <c r="WHJ362" s="260"/>
      <c r="WHL362" s="254"/>
      <c r="WHM362" s="615"/>
      <c r="WHN362" s="256"/>
      <c r="WHO362" s="322"/>
      <c r="WHP362" s="356"/>
      <c r="WHQ362" s="258"/>
      <c r="WHR362" s="616"/>
      <c r="WHS362" s="260"/>
      <c r="WHU362" s="254"/>
      <c r="WHV362" s="615"/>
      <c r="WHW362" s="256"/>
      <c r="WHX362" s="322"/>
      <c r="WHY362" s="356"/>
      <c r="WHZ362" s="258"/>
      <c r="WIA362" s="616"/>
      <c r="WIB362" s="260"/>
      <c r="WID362" s="254"/>
      <c r="WIE362" s="615"/>
      <c r="WIF362" s="256"/>
      <c r="WIG362" s="322"/>
      <c r="WIH362" s="356"/>
      <c r="WII362" s="258"/>
      <c r="WIJ362" s="616"/>
      <c r="WIK362" s="260"/>
      <c r="WIM362" s="254"/>
      <c r="WIN362" s="615"/>
      <c r="WIO362" s="256"/>
      <c r="WIP362" s="322"/>
      <c r="WIQ362" s="356"/>
      <c r="WIR362" s="258"/>
      <c r="WIS362" s="616"/>
      <c r="WIT362" s="260"/>
      <c r="WIV362" s="254"/>
      <c r="WIW362" s="615"/>
      <c r="WIX362" s="256"/>
      <c r="WIY362" s="322"/>
      <c r="WIZ362" s="356"/>
      <c r="WJA362" s="258"/>
      <c r="WJB362" s="616"/>
      <c r="WJC362" s="260"/>
      <c r="WJE362" s="254"/>
      <c r="WJF362" s="615"/>
      <c r="WJG362" s="256"/>
      <c r="WJH362" s="322"/>
      <c r="WJI362" s="356"/>
      <c r="WJJ362" s="258"/>
      <c r="WJK362" s="616"/>
      <c r="WJL362" s="260"/>
      <c r="WJN362" s="254"/>
      <c r="WJO362" s="615"/>
      <c r="WJP362" s="256"/>
      <c r="WJQ362" s="322"/>
      <c r="WJR362" s="356"/>
      <c r="WJS362" s="258"/>
      <c r="WJT362" s="616"/>
      <c r="WJU362" s="260"/>
      <c r="WJW362" s="254"/>
      <c r="WJX362" s="615"/>
      <c r="WJY362" s="256"/>
      <c r="WJZ362" s="322"/>
      <c r="WKA362" s="356"/>
      <c r="WKB362" s="258"/>
      <c r="WKC362" s="616"/>
      <c r="WKD362" s="260"/>
      <c r="WKF362" s="254"/>
      <c r="WKG362" s="615"/>
      <c r="WKH362" s="256"/>
      <c r="WKI362" s="322"/>
      <c r="WKJ362" s="356"/>
      <c r="WKK362" s="258"/>
      <c r="WKL362" s="616"/>
      <c r="WKM362" s="260"/>
      <c r="WKO362" s="254"/>
      <c r="WKP362" s="615"/>
      <c r="WKQ362" s="256"/>
      <c r="WKR362" s="322"/>
      <c r="WKS362" s="356"/>
      <c r="WKT362" s="258"/>
      <c r="WKU362" s="616"/>
      <c r="WKV362" s="260"/>
      <c r="WKX362" s="254"/>
      <c r="WKY362" s="615"/>
      <c r="WKZ362" s="256"/>
      <c r="WLA362" s="322"/>
      <c r="WLB362" s="356"/>
      <c r="WLC362" s="258"/>
      <c r="WLD362" s="616"/>
      <c r="WLE362" s="260"/>
      <c r="WLG362" s="254"/>
      <c r="WLH362" s="615"/>
      <c r="WLI362" s="256"/>
      <c r="WLJ362" s="322"/>
      <c r="WLK362" s="356"/>
      <c r="WLL362" s="258"/>
      <c r="WLM362" s="616"/>
      <c r="WLN362" s="260"/>
      <c r="WLP362" s="254"/>
      <c r="WLQ362" s="615"/>
      <c r="WLR362" s="256"/>
      <c r="WLS362" s="322"/>
      <c r="WLT362" s="356"/>
      <c r="WLU362" s="258"/>
      <c r="WLV362" s="616"/>
      <c r="WLW362" s="260"/>
      <c r="WLY362" s="254"/>
      <c r="WLZ362" s="615"/>
      <c r="WMA362" s="256"/>
      <c r="WMB362" s="322"/>
      <c r="WMC362" s="356"/>
      <c r="WMD362" s="258"/>
      <c r="WME362" s="616"/>
      <c r="WMF362" s="260"/>
      <c r="WMH362" s="254"/>
      <c r="WMI362" s="615"/>
      <c r="WMJ362" s="256"/>
      <c r="WMK362" s="322"/>
      <c r="WML362" s="356"/>
      <c r="WMM362" s="258"/>
      <c r="WMN362" s="616"/>
      <c r="WMO362" s="260"/>
      <c r="WMQ362" s="254"/>
      <c r="WMR362" s="615"/>
      <c r="WMS362" s="256"/>
      <c r="WMT362" s="322"/>
      <c r="WMU362" s="356"/>
      <c r="WMV362" s="258"/>
      <c r="WMW362" s="616"/>
      <c r="WMX362" s="260"/>
      <c r="WMZ362" s="254"/>
      <c r="WNA362" s="615"/>
      <c r="WNB362" s="256"/>
      <c r="WNC362" s="322"/>
      <c r="WND362" s="356"/>
      <c r="WNE362" s="258"/>
      <c r="WNF362" s="616"/>
      <c r="WNG362" s="260"/>
      <c r="WNI362" s="254"/>
      <c r="WNJ362" s="615"/>
      <c r="WNK362" s="256"/>
      <c r="WNL362" s="322"/>
      <c r="WNM362" s="356"/>
      <c r="WNN362" s="258"/>
      <c r="WNO362" s="616"/>
      <c r="WNP362" s="260"/>
      <c r="WNR362" s="254"/>
      <c r="WNS362" s="615"/>
      <c r="WNT362" s="256"/>
      <c r="WNU362" s="322"/>
      <c r="WNV362" s="356"/>
      <c r="WNW362" s="258"/>
      <c r="WNX362" s="616"/>
      <c r="WNY362" s="260"/>
      <c r="WOA362" s="254"/>
      <c r="WOB362" s="615"/>
      <c r="WOC362" s="256"/>
      <c r="WOD362" s="322"/>
      <c r="WOE362" s="356"/>
      <c r="WOF362" s="258"/>
      <c r="WOG362" s="616"/>
      <c r="WOH362" s="260"/>
      <c r="WOJ362" s="254"/>
      <c r="WOK362" s="615"/>
      <c r="WOL362" s="256"/>
      <c r="WOM362" s="322"/>
      <c r="WON362" s="356"/>
      <c r="WOO362" s="258"/>
      <c r="WOP362" s="616"/>
      <c r="WOQ362" s="260"/>
      <c r="WOS362" s="254"/>
      <c r="WOT362" s="615"/>
      <c r="WOU362" s="256"/>
      <c r="WOV362" s="322"/>
      <c r="WOW362" s="356"/>
      <c r="WOX362" s="258"/>
      <c r="WOY362" s="616"/>
      <c r="WOZ362" s="260"/>
      <c r="WPB362" s="254"/>
      <c r="WPC362" s="615"/>
      <c r="WPD362" s="256"/>
      <c r="WPE362" s="322"/>
      <c r="WPF362" s="356"/>
      <c r="WPG362" s="258"/>
      <c r="WPH362" s="616"/>
      <c r="WPI362" s="260"/>
      <c r="WPK362" s="254"/>
      <c r="WPL362" s="615"/>
      <c r="WPM362" s="256"/>
      <c r="WPN362" s="322"/>
      <c r="WPO362" s="356"/>
      <c r="WPP362" s="258"/>
      <c r="WPQ362" s="616"/>
      <c r="WPR362" s="260"/>
      <c r="WPT362" s="254"/>
      <c r="WPU362" s="615"/>
      <c r="WPV362" s="256"/>
      <c r="WPW362" s="322"/>
      <c r="WPX362" s="356"/>
      <c r="WPY362" s="258"/>
      <c r="WPZ362" s="616"/>
      <c r="WQA362" s="260"/>
      <c r="WQC362" s="254"/>
      <c r="WQD362" s="615"/>
      <c r="WQE362" s="256"/>
      <c r="WQF362" s="322"/>
      <c r="WQG362" s="356"/>
      <c r="WQH362" s="258"/>
      <c r="WQI362" s="616"/>
      <c r="WQJ362" s="260"/>
      <c r="WQL362" s="254"/>
      <c r="WQM362" s="615"/>
      <c r="WQN362" s="256"/>
      <c r="WQO362" s="322"/>
      <c r="WQP362" s="356"/>
      <c r="WQQ362" s="258"/>
      <c r="WQR362" s="616"/>
      <c r="WQS362" s="260"/>
      <c r="WQU362" s="254"/>
      <c r="WQV362" s="615"/>
      <c r="WQW362" s="256"/>
      <c r="WQX362" s="322"/>
      <c r="WQY362" s="356"/>
      <c r="WQZ362" s="258"/>
      <c r="WRA362" s="616"/>
      <c r="WRB362" s="260"/>
      <c r="WRD362" s="254"/>
      <c r="WRE362" s="615"/>
      <c r="WRF362" s="256"/>
      <c r="WRG362" s="322"/>
      <c r="WRH362" s="356"/>
      <c r="WRI362" s="258"/>
      <c r="WRJ362" s="616"/>
      <c r="WRK362" s="260"/>
      <c r="WRM362" s="254"/>
      <c r="WRN362" s="615"/>
      <c r="WRO362" s="256"/>
      <c r="WRP362" s="322"/>
      <c r="WRQ362" s="356"/>
      <c r="WRR362" s="258"/>
      <c r="WRS362" s="616"/>
      <c r="WRT362" s="260"/>
      <c r="WRV362" s="254"/>
      <c r="WRW362" s="615"/>
      <c r="WRX362" s="256"/>
      <c r="WRY362" s="322"/>
      <c r="WRZ362" s="356"/>
      <c r="WSA362" s="258"/>
      <c r="WSB362" s="616"/>
      <c r="WSC362" s="260"/>
      <c r="WSE362" s="254"/>
      <c r="WSF362" s="615"/>
      <c r="WSG362" s="256"/>
      <c r="WSH362" s="322"/>
      <c r="WSI362" s="356"/>
      <c r="WSJ362" s="258"/>
      <c r="WSK362" s="616"/>
      <c r="WSL362" s="260"/>
      <c r="WSN362" s="254"/>
      <c r="WSO362" s="615"/>
      <c r="WSP362" s="256"/>
      <c r="WSQ362" s="322"/>
      <c r="WSR362" s="356"/>
      <c r="WSS362" s="258"/>
      <c r="WST362" s="616"/>
      <c r="WSU362" s="260"/>
      <c r="WSW362" s="254"/>
      <c r="WSX362" s="615"/>
      <c r="WSY362" s="256"/>
      <c r="WSZ362" s="322"/>
      <c r="WTA362" s="356"/>
      <c r="WTB362" s="258"/>
      <c r="WTC362" s="616"/>
      <c r="WTD362" s="260"/>
      <c r="WTF362" s="254"/>
      <c r="WTG362" s="615"/>
      <c r="WTH362" s="256"/>
      <c r="WTI362" s="322"/>
      <c r="WTJ362" s="356"/>
      <c r="WTK362" s="258"/>
      <c r="WTL362" s="616"/>
      <c r="WTM362" s="260"/>
      <c r="WTO362" s="254"/>
      <c r="WTP362" s="615"/>
      <c r="WTQ362" s="256"/>
      <c r="WTR362" s="322"/>
      <c r="WTS362" s="356"/>
      <c r="WTT362" s="258"/>
      <c r="WTU362" s="616"/>
      <c r="WTV362" s="260"/>
      <c r="WTX362" s="254"/>
      <c r="WTY362" s="615"/>
      <c r="WTZ362" s="256"/>
      <c r="WUA362" s="322"/>
      <c r="WUB362" s="356"/>
      <c r="WUC362" s="258"/>
      <c r="WUD362" s="616"/>
      <c r="WUE362" s="260"/>
      <c r="WUG362" s="254"/>
      <c r="WUH362" s="615"/>
      <c r="WUI362" s="256"/>
      <c r="WUJ362" s="322"/>
      <c r="WUK362" s="356"/>
      <c r="WUL362" s="258"/>
      <c r="WUM362" s="616"/>
      <c r="WUN362" s="260"/>
      <c r="WUP362" s="254"/>
      <c r="WUQ362" s="615"/>
      <c r="WUR362" s="256"/>
      <c r="WUS362" s="322"/>
      <c r="WUT362" s="356"/>
      <c r="WUU362" s="258"/>
      <c r="WUV362" s="616"/>
      <c r="WUW362" s="260"/>
      <c r="WUY362" s="254"/>
      <c r="WUZ362" s="615"/>
      <c r="WVA362" s="256"/>
      <c r="WVB362" s="322"/>
      <c r="WVC362" s="356"/>
      <c r="WVD362" s="258"/>
      <c r="WVE362" s="616"/>
      <c r="WVF362" s="260"/>
      <c r="WVH362" s="254"/>
      <c r="WVI362" s="615"/>
      <c r="WVJ362" s="256"/>
      <c r="WVK362" s="322"/>
      <c r="WVL362" s="356"/>
      <c r="WVM362" s="258"/>
      <c r="WVN362" s="616"/>
      <c r="WVO362" s="260"/>
      <c r="WVQ362" s="254"/>
      <c r="WVR362" s="615"/>
      <c r="WVS362" s="256"/>
      <c r="WVT362" s="322"/>
      <c r="WVU362" s="356"/>
      <c r="WVV362" s="258"/>
      <c r="WVW362" s="616"/>
      <c r="WVX362" s="260"/>
      <c r="WVZ362" s="254"/>
      <c r="WWA362" s="615"/>
      <c r="WWB362" s="256"/>
      <c r="WWC362" s="322"/>
      <c r="WWD362" s="356"/>
      <c r="WWE362" s="258"/>
      <c r="WWF362" s="616"/>
      <c r="WWG362" s="260"/>
      <c r="WWI362" s="254"/>
      <c r="WWJ362" s="615"/>
      <c r="WWK362" s="256"/>
      <c r="WWL362" s="322"/>
      <c r="WWM362" s="356"/>
      <c r="WWN362" s="258"/>
      <c r="WWO362" s="616"/>
      <c r="WWP362" s="260"/>
      <c r="WWR362" s="254"/>
      <c r="WWS362" s="615"/>
      <c r="WWT362" s="256"/>
      <c r="WWU362" s="322"/>
      <c r="WWV362" s="356"/>
      <c r="WWW362" s="258"/>
      <c r="WWX362" s="616"/>
      <c r="WWY362" s="260"/>
      <c r="WXA362" s="254"/>
      <c r="WXB362" s="615"/>
      <c r="WXC362" s="256"/>
      <c r="WXD362" s="322"/>
      <c r="WXE362" s="356"/>
      <c r="WXF362" s="258"/>
      <c r="WXG362" s="616"/>
      <c r="WXH362" s="260"/>
      <c r="WXJ362" s="254"/>
      <c r="WXK362" s="615"/>
      <c r="WXL362" s="256"/>
      <c r="WXM362" s="322"/>
      <c r="WXN362" s="356"/>
      <c r="WXO362" s="258"/>
      <c r="WXP362" s="616"/>
      <c r="WXQ362" s="260"/>
      <c r="WXS362" s="254"/>
      <c r="WXT362" s="615"/>
      <c r="WXU362" s="256"/>
      <c r="WXV362" s="322"/>
      <c r="WXW362" s="356"/>
      <c r="WXX362" s="258"/>
      <c r="WXY362" s="616"/>
      <c r="WXZ362" s="260"/>
      <c r="WYB362" s="254"/>
      <c r="WYC362" s="615"/>
      <c r="WYD362" s="256"/>
      <c r="WYE362" s="322"/>
      <c r="WYF362" s="356"/>
      <c r="WYG362" s="258"/>
      <c r="WYH362" s="616"/>
      <c r="WYI362" s="260"/>
      <c r="WYK362" s="254"/>
      <c r="WYL362" s="615"/>
      <c r="WYM362" s="256"/>
      <c r="WYN362" s="322"/>
      <c r="WYO362" s="356"/>
      <c r="WYP362" s="258"/>
      <c r="WYQ362" s="616"/>
      <c r="WYR362" s="260"/>
      <c r="WYT362" s="254"/>
      <c r="WYU362" s="615"/>
      <c r="WYV362" s="256"/>
      <c r="WYW362" s="322"/>
      <c r="WYX362" s="356"/>
      <c r="WYY362" s="258"/>
      <c r="WYZ362" s="616"/>
      <c r="WZA362" s="260"/>
      <c r="WZC362" s="254"/>
      <c r="WZD362" s="615"/>
      <c r="WZE362" s="256"/>
      <c r="WZF362" s="322"/>
      <c r="WZG362" s="356"/>
      <c r="WZH362" s="258"/>
      <c r="WZI362" s="616"/>
      <c r="WZJ362" s="260"/>
      <c r="WZL362" s="254"/>
      <c r="WZM362" s="615"/>
      <c r="WZN362" s="256"/>
      <c r="WZO362" s="322"/>
      <c r="WZP362" s="356"/>
      <c r="WZQ362" s="258"/>
      <c r="WZR362" s="616"/>
      <c r="WZS362" s="260"/>
      <c r="WZU362" s="254"/>
      <c r="WZV362" s="615"/>
      <c r="WZW362" s="256"/>
      <c r="WZX362" s="322"/>
      <c r="WZY362" s="356"/>
      <c r="WZZ362" s="258"/>
      <c r="XAA362" s="616"/>
      <c r="XAB362" s="260"/>
      <c r="XAD362" s="254"/>
      <c r="XAE362" s="615"/>
      <c r="XAF362" s="256"/>
      <c r="XAG362" s="322"/>
      <c r="XAH362" s="356"/>
      <c r="XAI362" s="258"/>
      <c r="XAJ362" s="616"/>
      <c r="XAK362" s="260"/>
      <c r="XAM362" s="254"/>
      <c r="XAN362" s="615"/>
      <c r="XAO362" s="256"/>
      <c r="XAP362" s="322"/>
      <c r="XAQ362" s="356"/>
      <c r="XAR362" s="258"/>
      <c r="XAS362" s="616"/>
      <c r="XAT362" s="260"/>
      <c r="XAV362" s="254"/>
      <c r="XAW362" s="615"/>
      <c r="XAX362" s="256"/>
      <c r="XAY362" s="322"/>
      <c r="XAZ362" s="356"/>
      <c r="XBA362" s="258"/>
      <c r="XBB362" s="616"/>
      <c r="XBC362" s="260"/>
      <c r="XBE362" s="254"/>
      <c r="XBF362" s="615"/>
      <c r="XBG362" s="256"/>
      <c r="XBH362" s="322"/>
      <c r="XBI362" s="356"/>
      <c r="XBJ362" s="258"/>
      <c r="XBK362" s="616"/>
      <c r="XBL362" s="260"/>
      <c r="XBN362" s="254"/>
      <c r="XBO362" s="615"/>
      <c r="XBP362" s="256"/>
      <c r="XBQ362" s="322"/>
      <c r="XBR362" s="356"/>
      <c r="XBS362" s="258"/>
      <c r="XBT362" s="616"/>
      <c r="XBU362" s="260"/>
      <c r="XBW362" s="254"/>
      <c r="XBX362" s="615"/>
      <c r="XBY362" s="256"/>
      <c r="XBZ362" s="322"/>
      <c r="XCA362" s="356"/>
      <c r="XCB362" s="258"/>
      <c r="XCC362" s="616"/>
      <c r="XCD362" s="260"/>
      <c r="XCF362" s="254"/>
      <c r="XCG362" s="615"/>
      <c r="XCH362" s="256"/>
      <c r="XCI362" s="322"/>
      <c r="XCJ362" s="356"/>
      <c r="XCK362" s="258"/>
      <c r="XCL362" s="616"/>
      <c r="XCM362" s="260"/>
      <c r="XCO362" s="254"/>
      <c r="XCP362" s="615"/>
      <c r="XCQ362" s="256"/>
      <c r="XCR362" s="322"/>
      <c r="XCS362" s="356"/>
      <c r="XCT362" s="258"/>
      <c r="XCU362" s="616"/>
      <c r="XCV362" s="260"/>
      <c r="XCX362" s="254"/>
      <c r="XCY362" s="615"/>
      <c r="XCZ362" s="256"/>
      <c r="XDA362" s="322"/>
      <c r="XDB362" s="356"/>
      <c r="XDC362" s="258"/>
      <c r="XDD362" s="616"/>
      <c r="XDE362" s="260"/>
      <c r="XDG362" s="254"/>
      <c r="XDH362" s="615"/>
      <c r="XDI362" s="256"/>
      <c r="XDJ362" s="322"/>
      <c r="XDK362" s="356"/>
      <c r="XDL362" s="258"/>
      <c r="XDM362" s="616"/>
      <c r="XDN362" s="260"/>
      <c r="XDP362" s="254"/>
      <c r="XDQ362" s="615"/>
      <c r="XDR362" s="256"/>
      <c r="XDS362" s="322"/>
      <c r="XDT362" s="356"/>
      <c r="XDU362" s="258"/>
      <c r="XDV362" s="616"/>
      <c r="XDW362" s="260"/>
      <c r="XDY362" s="254"/>
      <c r="XDZ362" s="615"/>
      <c r="XEA362" s="256"/>
      <c r="XEB362" s="322"/>
      <c r="XEC362" s="356"/>
      <c r="XED362" s="258"/>
      <c r="XEE362" s="616"/>
      <c r="XEF362" s="260"/>
      <c r="XEH362" s="254"/>
      <c r="XEI362" s="615"/>
      <c r="XEJ362" s="256"/>
      <c r="XEK362" s="322"/>
      <c r="XEL362" s="356"/>
      <c r="XEM362" s="258"/>
      <c r="XEN362" s="616"/>
      <c r="XEO362" s="260"/>
      <c r="XEQ362" s="254"/>
      <c r="XER362" s="615"/>
      <c r="XES362" s="256"/>
      <c r="XET362" s="322"/>
      <c r="XEU362" s="356"/>
      <c r="XEV362" s="258"/>
      <c r="XEW362" s="616"/>
      <c r="XEX362" s="260"/>
      <c r="XEZ362" s="254"/>
      <c r="XFA362" s="615"/>
      <c r="XFB362" s="256"/>
      <c r="XFC362" s="322"/>
    </row>
    <row r="363" spans="1:16383" hidden="1" outlineLevel="2" x14ac:dyDescent="0.35">
      <c r="A363" s="262" t="s">
        <v>36</v>
      </c>
      <c r="B363" s="263"/>
      <c r="C363" s="419">
        <v>6426</v>
      </c>
      <c r="D363" s="264">
        <f>C363-C351</f>
        <v>-22</v>
      </c>
      <c r="E363" s="420">
        <f>(C363-C351)/C351</f>
        <v>-3.4119106699751862E-3</v>
      </c>
      <c r="F363" s="617" t="s">
        <v>37</v>
      </c>
      <c r="G363" s="618" t="s">
        <v>38</v>
      </c>
      <c r="H363" s="619" t="s">
        <v>102</v>
      </c>
      <c r="J363" s="596"/>
      <c r="K363" s="597"/>
      <c r="L363" s="610"/>
      <c r="M363" s="620"/>
      <c r="N363" s="621"/>
      <c r="O363" s="622"/>
      <c r="P363" s="623"/>
      <c r="Q363" s="624"/>
      <c r="R363" s="95"/>
      <c r="S363" s="596"/>
      <c r="T363" s="597"/>
      <c r="U363" s="610"/>
      <c r="V363" s="620"/>
      <c r="W363" s="621"/>
      <c r="X363" s="622"/>
      <c r="Y363" s="623"/>
      <c r="Z363" s="624"/>
      <c r="AA363" s="596"/>
      <c r="AB363" s="597"/>
      <c r="AC363" s="610"/>
      <c r="AD363" s="620"/>
      <c r="AE363" s="621"/>
      <c r="AF363" s="622"/>
      <c r="AG363" s="623"/>
      <c r="AH363" s="624"/>
      <c r="AI363" s="95"/>
      <c r="AJ363" s="596"/>
      <c r="AK363" s="597"/>
      <c r="AL363" s="610"/>
      <c r="AM363" s="620"/>
      <c r="AN363" s="621"/>
      <c r="AO363" s="622"/>
      <c r="AP363" s="623"/>
      <c r="AQ363" s="624"/>
      <c r="AR363" s="95"/>
      <c r="AS363" s="596"/>
      <c r="AT363" s="597"/>
      <c r="AU363" s="610"/>
      <c r="AV363" s="620"/>
      <c r="AW363" s="621"/>
      <c r="AX363" s="622"/>
      <c r="AY363" s="623"/>
      <c r="AZ363" s="624"/>
      <c r="BA363" s="95"/>
      <c r="BB363" s="596"/>
      <c r="BC363" s="597"/>
      <c r="BD363" s="610"/>
      <c r="BE363" s="620"/>
      <c r="BF363" s="621"/>
      <c r="BG363" s="622"/>
      <c r="BH363" s="623"/>
      <c r="BI363" s="624"/>
      <c r="BJ363" s="95"/>
      <c r="BK363" s="596"/>
      <c r="BL363" s="597"/>
      <c r="BM363" s="610"/>
      <c r="BN363" s="620"/>
      <c r="BO363" s="621"/>
      <c r="BP363" s="622"/>
      <c r="BQ363" s="623"/>
      <c r="BR363" s="624"/>
      <c r="BS363" s="95"/>
      <c r="BT363" s="596"/>
      <c r="BU363" s="597"/>
      <c r="BV363" s="610"/>
      <c r="BW363" s="620"/>
      <c r="BX363" s="621"/>
      <c r="BY363" s="622"/>
      <c r="BZ363" s="623"/>
      <c r="CA363" s="624"/>
      <c r="CB363" s="95"/>
      <c r="CC363" s="596"/>
      <c r="CD363" s="597"/>
      <c r="CE363" s="610"/>
      <c r="CF363" s="620"/>
      <c r="CG363" s="621"/>
      <c r="CH363" s="622"/>
      <c r="CI363" s="623"/>
      <c r="CJ363" s="624"/>
      <c r="CK363" s="95"/>
      <c r="CL363" s="596"/>
      <c r="CM363" s="597"/>
      <c r="CN363" s="610"/>
      <c r="CO363" s="620"/>
      <c r="CP363" s="621"/>
      <c r="CQ363" s="622"/>
      <c r="CR363" s="623"/>
      <c r="CS363" s="624"/>
      <c r="CT363" s="95"/>
      <c r="CU363" s="596"/>
      <c r="CV363" s="597"/>
      <c r="CW363" s="610"/>
      <c r="CX363" s="620"/>
      <c r="CY363" s="621"/>
      <c r="CZ363" s="622"/>
      <c r="DA363" s="623"/>
      <c r="DB363" s="624"/>
      <c r="DC363" s="95"/>
      <c r="DD363" s="596"/>
      <c r="DE363" s="597"/>
      <c r="DF363" s="610"/>
      <c r="DG363" s="620"/>
      <c r="DH363" s="621"/>
      <c r="DI363" s="622"/>
      <c r="DJ363" s="623"/>
      <c r="DK363" s="624"/>
      <c r="DL363" s="95"/>
      <c r="DM363" s="596"/>
      <c r="DN363" s="597"/>
      <c r="DO363" s="610"/>
      <c r="DP363" s="620"/>
      <c r="DQ363" s="621"/>
      <c r="DR363" s="622"/>
      <c r="DS363" s="623"/>
      <c r="DT363" s="624"/>
      <c r="DU363" s="95"/>
      <c r="DV363" s="596"/>
      <c r="DW363" s="597"/>
      <c r="DX363" s="610"/>
      <c r="DY363" s="620"/>
      <c r="DZ363" s="621"/>
      <c r="EA363" s="622"/>
      <c r="EB363" s="623"/>
      <c r="EC363" s="624"/>
      <c r="ED363" s="95"/>
      <c r="EE363" s="596"/>
      <c r="EF363" s="597"/>
      <c r="EG363" s="610"/>
      <c r="EH363" s="620"/>
      <c r="EI363" s="621"/>
      <c r="EJ363" s="622"/>
      <c r="EK363" s="623"/>
      <c r="EL363" s="624"/>
      <c r="EM363" s="95"/>
      <c r="EN363" s="596"/>
      <c r="EO363" s="597"/>
      <c r="EP363" s="610"/>
      <c r="EQ363" s="620"/>
      <c r="ER363" s="621"/>
      <c r="ES363" s="622"/>
      <c r="ET363" s="623"/>
      <c r="EU363" s="624"/>
      <c r="EV363" s="95"/>
      <c r="EW363" s="596"/>
      <c r="EX363" s="597"/>
      <c r="EY363" s="610"/>
      <c r="EZ363" s="620"/>
      <c r="FA363" s="621"/>
      <c r="FB363" s="622"/>
      <c r="FC363" s="623"/>
      <c r="FD363" s="624"/>
      <c r="FE363" s="95"/>
      <c r="FF363" s="596"/>
      <c r="FG363" s="597"/>
      <c r="FH363" s="610"/>
      <c r="FI363" s="620"/>
      <c r="FJ363" s="621"/>
      <c r="FK363" s="622"/>
      <c r="FL363" s="623"/>
      <c r="FM363" s="624"/>
      <c r="FN363" s="95"/>
      <c r="FO363" s="596"/>
      <c r="FP363" s="597"/>
      <c r="FQ363" s="610"/>
      <c r="FR363" s="620"/>
      <c r="FS363" s="625"/>
      <c r="FT363" s="626"/>
      <c r="FU363" s="229"/>
      <c r="FV363" s="228"/>
      <c r="FX363" s="602"/>
      <c r="FY363" s="603"/>
      <c r="FZ363" s="614"/>
      <c r="GA363" s="627"/>
      <c r="GB363" s="625"/>
      <c r="GC363" s="626"/>
      <c r="GD363" s="229"/>
      <c r="GE363" s="228"/>
      <c r="GG363" s="602"/>
      <c r="GH363" s="603"/>
      <c r="GI363" s="614"/>
      <c r="GJ363" s="627"/>
      <c r="GK363" s="625"/>
      <c r="GL363" s="626"/>
      <c r="GM363" s="229"/>
      <c r="GN363" s="228"/>
      <c r="GP363" s="602"/>
      <c r="GQ363" s="603"/>
      <c r="GR363" s="614"/>
      <c r="GS363" s="627"/>
      <c r="GT363" s="625"/>
      <c r="GU363" s="626"/>
      <c r="GV363" s="229"/>
      <c r="GW363" s="228"/>
      <c r="GY363" s="602"/>
      <c r="GZ363" s="603"/>
      <c r="HA363" s="614"/>
      <c r="HB363" s="627"/>
      <c r="HC363" s="625"/>
      <c r="HD363" s="626"/>
      <c r="HE363" s="229"/>
      <c r="HF363" s="228"/>
      <c r="HH363" s="602"/>
      <c r="HI363" s="603"/>
      <c r="HJ363" s="614"/>
      <c r="HK363" s="627"/>
      <c r="HL363" s="625"/>
      <c r="HM363" s="626"/>
      <c r="HN363" s="229"/>
      <c r="HO363" s="228"/>
      <c r="HQ363" s="602"/>
      <c r="HR363" s="603"/>
      <c r="HS363" s="614"/>
      <c r="HT363" s="627"/>
      <c r="HU363" s="625"/>
      <c r="HV363" s="626"/>
      <c r="HW363" s="229"/>
      <c r="HX363" s="228"/>
      <c r="HZ363" s="602"/>
      <c r="IA363" s="603"/>
      <c r="IB363" s="614"/>
      <c r="IC363" s="627"/>
      <c r="ID363" s="625"/>
      <c r="IE363" s="626"/>
      <c r="IF363" s="229"/>
      <c r="IG363" s="228"/>
      <c r="II363" s="602"/>
      <c r="IJ363" s="603"/>
      <c r="IK363" s="614"/>
      <c r="IL363" s="627"/>
      <c r="IM363" s="625"/>
      <c r="IN363" s="626"/>
      <c r="IO363" s="229"/>
      <c r="IP363" s="228"/>
      <c r="IR363" s="602"/>
      <c r="IS363" s="603"/>
      <c r="IT363" s="614"/>
      <c r="IU363" s="627"/>
      <c r="IV363" s="625"/>
      <c r="IW363" s="626"/>
      <c r="IX363" s="229"/>
      <c r="IY363" s="228"/>
      <c r="JA363" s="602"/>
      <c r="JB363" s="603"/>
      <c r="JC363" s="614"/>
      <c r="JD363" s="627"/>
      <c r="JE363" s="625"/>
      <c r="JF363" s="626"/>
      <c r="JG363" s="229"/>
      <c r="JH363" s="228"/>
      <c r="JJ363" s="602"/>
      <c r="JK363" s="603"/>
      <c r="JL363" s="614"/>
      <c r="JM363" s="627"/>
      <c r="JN363" s="625"/>
      <c r="JO363" s="626"/>
      <c r="JP363" s="229"/>
      <c r="JQ363" s="228"/>
      <c r="JS363" s="602"/>
      <c r="JT363" s="603"/>
      <c r="JU363" s="614"/>
      <c r="JV363" s="627"/>
      <c r="JW363" s="625"/>
      <c r="JX363" s="626"/>
      <c r="JY363" s="229"/>
      <c r="JZ363" s="228"/>
      <c r="KB363" s="602"/>
      <c r="KC363" s="603"/>
      <c r="KD363" s="614"/>
      <c r="KE363" s="627"/>
      <c r="KF363" s="625"/>
      <c r="KG363" s="626"/>
      <c r="KH363" s="229"/>
      <c r="KI363" s="228"/>
      <c r="KK363" s="602"/>
      <c r="KL363" s="603"/>
      <c r="KM363" s="614"/>
      <c r="KN363" s="627"/>
      <c r="KO363" s="625"/>
      <c r="KP363" s="626"/>
      <c r="KQ363" s="229"/>
      <c r="KR363" s="228"/>
      <c r="KT363" s="602"/>
      <c r="KU363" s="603"/>
      <c r="KV363" s="614"/>
      <c r="KW363" s="627"/>
      <c r="KX363" s="625"/>
      <c r="KY363" s="626"/>
      <c r="KZ363" s="229"/>
      <c r="LA363" s="228"/>
      <c r="LC363" s="602"/>
      <c r="LD363" s="603"/>
      <c r="LE363" s="614"/>
      <c r="LF363" s="627"/>
      <c r="LG363" s="625"/>
      <c r="LH363" s="626"/>
      <c r="LI363" s="229"/>
      <c r="LJ363" s="228"/>
      <c r="LL363" s="602"/>
      <c r="LM363" s="603"/>
      <c r="LN363" s="614"/>
      <c r="LO363" s="627"/>
      <c r="LP363" s="625"/>
      <c r="LQ363" s="626"/>
      <c r="LR363" s="229"/>
      <c r="LS363" s="228"/>
      <c r="LU363" s="602"/>
      <c r="LV363" s="603"/>
      <c r="LW363" s="614"/>
      <c r="LX363" s="627"/>
      <c r="LY363" s="625"/>
      <c r="LZ363" s="626"/>
      <c r="MA363" s="229"/>
      <c r="MB363" s="228"/>
      <c r="MD363" s="602"/>
      <c r="ME363" s="603"/>
      <c r="MF363" s="614"/>
      <c r="MG363" s="627"/>
      <c r="MH363" s="625"/>
      <c r="MI363" s="626"/>
      <c r="MJ363" s="229"/>
      <c r="MK363" s="228"/>
      <c r="MM363" s="602"/>
      <c r="MN363" s="603"/>
      <c r="MO363" s="614"/>
      <c r="MP363" s="627"/>
      <c r="MQ363" s="625"/>
      <c r="MR363" s="626"/>
      <c r="MS363" s="229"/>
      <c r="MT363" s="228"/>
      <c r="MV363" s="602"/>
      <c r="MW363" s="603"/>
      <c r="MX363" s="614"/>
      <c r="MY363" s="627"/>
      <c r="MZ363" s="625"/>
      <c r="NA363" s="626"/>
      <c r="NB363" s="229"/>
      <c r="NC363" s="228"/>
      <c r="NE363" s="602"/>
      <c r="NF363" s="603"/>
      <c r="NG363" s="614"/>
      <c r="NH363" s="627"/>
      <c r="NI363" s="625"/>
      <c r="NJ363" s="626"/>
      <c r="NK363" s="229"/>
      <c r="NL363" s="228"/>
      <c r="NN363" s="602"/>
      <c r="NO363" s="603"/>
      <c r="NP363" s="614"/>
      <c r="NQ363" s="627"/>
      <c r="NR363" s="625"/>
      <c r="NS363" s="626"/>
      <c r="NT363" s="229"/>
      <c r="NU363" s="228"/>
      <c r="NW363" s="602"/>
      <c r="NX363" s="603"/>
      <c r="NY363" s="614"/>
      <c r="NZ363" s="627"/>
      <c r="OA363" s="625"/>
      <c r="OB363" s="626"/>
      <c r="OC363" s="229"/>
      <c r="OD363" s="228"/>
      <c r="OF363" s="602"/>
      <c r="OG363" s="603"/>
      <c r="OH363" s="614"/>
      <c r="OI363" s="627"/>
      <c r="OJ363" s="625"/>
      <c r="OK363" s="626"/>
      <c r="OL363" s="229"/>
      <c r="OM363" s="228"/>
      <c r="OO363" s="602"/>
      <c r="OP363" s="603"/>
      <c r="OQ363" s="614"/>
      <c r="OR363" s="627"/>
      <c r="OS363" s="625"/>
      <c r="OT363" s="626"/>
      <c r="OU363" s="229"/>
      <c r="OV363" s="228"/>
      <c r="OX363" s="602"/>
      <c r="OY363" s="603"/>
      <c r="OZ363" s="614"/>
      <c r="PA363" s="627"/>
      <c r="PB363" s="625"/>
      <c r="PC363" s="626"/>
      <c r="PD363" s="229"/>
      <c r="PE363" s="228"/>
      <c r="PG363" s="602"/>
      <c r="PH363" s="603"/>
      <c r="PI363" s="614"/>
      <c r="PJ363" s="627"/>
      <c r="PK363" s="625"/>
      <c r="PL363" s="626"/>
      <c r="PM363" s="229"/>
      <c r="PN363" s="228"/>
      <c r="PP363" s="602"/>
      <c r="PQ363" s="603"/>
      <c r="PR363" s="614"/>
      <c r="PS363" s="627"/>
      <c r="PT363" s="625"/>
      <c r="PU363" s="626"/>
      <c r="PV363" s="229"/>
      <c r="PW363" s="228"/>
      <c r="PY363" s="602"/>
      <c r="PZ363" s="603"/>
      <c r="QA363" s="614"/>
      <c r="QB363" s="627"/>
      <c r="QC363" s="625"/>
      <c r="QD363" s="626"/>
      <c r="QE363" s="229"/>
      <c r="QF363" s="228"/>
      <c r="QH363" s="602"/>
      <c r="QI363" s="603"/>
      <c r="QJ363" s="614"/>
      <c r="QK363" s="627"/>
      <c r="QL363" s="625"/>
      <c r="QM363" s="626"/>
      <c r="QN363" s="229"/>
      <c r="QO363" s="228"/>
      <c r="QQ363" s="602"/>
      <c r="QR363" s="603"/>
      <c r="QS363" s="614"/>
      <c r="QT363" s="627"/>
      <c r="QU363" s="625"/>
      <c r="QV363" s="626"/>
      <c r="QW363" s="229"/>
      <c r="QX363" s="228"/>
      <c r="QZ363" s="602"/>
      <c r="RA363" s="603"/>
      <c r="RB363" s="614"/>
      <c r="RC363" s="627"/>
      <c r="RD363" s="625"/>
      <c r="RE363" s="626"/>
      <c r="RF363" s="229"/>
      <c r="RG363" s="228"/>
      <c r="RI363" s="602"/>
      <c r="RJ363" s="603"/>
      <c r="RK363" s="614"/>
      <c r="RL363" s="627"/>
      <c r="RM363" s="625"/>
      <c r="RN363" s="626"/>
      <c r="RO363" s="229"/>
      <c r="RP363" s="228"/>
      <c r="RR363" s="602"/>
      <c r="RS363" s="603"/>
      <c r="RT363" s="614"/>
      <c r="RU363" s="627"/>
      <c r="RV363" s="625"/>
      <c r="RW363" s="626"/>
      <c r="RX363" s="229"/>
      <c r="RY363" s="228"/>
      <c r="SA363" s="602"/>
      <c r="SB363" s="603"/>
      <c r="SC363" s="614"/>
      <c r="SD363" s="627"/>
      <c r="SE363" s="625"/>
      <c r="SF363" s="626"/>
      <c r="SG363" s="229"/>
      <c r="SH363" s="228"/>
      <c r="SJ363" s="602"/>
      <c r="SK363" s="603"/>
      <c r="SL363" s="614"/>
      <c r="SM363" s="627"/>
      <c r="SN363" s="625"/>
      <c r="SO363" s="626"/>
      <c r="SP363" s="229"/>
      <c r="SQ363" s="228"/>
      <c r="SS363" s="602"/>
      <c r="ST363" s="603"/>
      <c r="SU363" s="614"/>
      <c r="SV363" s="627"/>
      <c r="SW363" s="625"/>
      <c r="SX363" s="626"/>
      <c r="SY363" s="229"/>
      <c r="SZ363" s="228"/>
      <c r="TB363" s="602"/>
      <c r="TC363" s="603"/>
      <c r="TD363" s="614"/>
      <c r="TE363" s="627"/>
      <c r="TF363" s="625"/>
      <c r="TG363" s="626"/>
      <c r="TH363" s="229"/>
      <c r="TI363" s="228"/>
      <c r="TK363" s="602"/>
      <c r="TL363" s="603"/>
      <c r="TM363" s="614"/>
      <c r="TN363" s="627"/>
      <c r="TO363" s="625"/>
      <c r="TP363" s="626"/>
      <c r="TQ363" s="229"/>
      <c r="TR363" s="228"/>
      <c r="TT363" s="602"/>
      <c r="TU363" s="603"/>
      <c r="TV363" s="614"/>
      <c r="TW363" s="627"/>
      <c r="TX363" s="625"/>
      <c r="TY363" s="626"/>
      <c r="TZ363" s="229"/>
      <c r="UA363" s="228"/>
      <c r="UC363" s="602"/>
      <c r="UD363" s="603"/>
      <c r="UE363" s="614"/>
      <c r="UF363" s="627"/>
      <c r="UG363" s="625"/>
      <c r="UH363" s="626"/>
      <c r="UI363" s="229"/>
      <c r="UJ363" s="228"/>
      <c r="UL363" s="602"/>
      <c r="UM363" s="603"/>
      <c r="UN363" s="614"/>
      <c r="UO363" s="627"/>
      <c r="UP363" s="625"/>
      <c r="UQ363" s="626"/>
      <c r="UR363" s="229"/>
      <c r="US363" s="228"/>
      <c r="UU363" s="602"/>
      <c r="UV363" s="603"/>
      <c r="UW363" s="614"/>
      <c r="UX363" s="627"/>
      <c r="UY363" s="625"/>
      <c r="UZ363" s="626"/>
      <c r="VA363" s="229"/>
      <c r="VB363" s="228"/>
      <c r="VD363" s="602"/>
      <c r="VE363" s="603"/>
      <c r="VF363" s="614"/>
      <c r="VG363" s="627"/>
      <c r="VH363" s="625"/>
      <c r="VI363" s="626"/>
      <c r="VJ363" s="229"/>
      <c r="VK363" s="228"/>
      <c r="VM363" s="602"/>
      <c r="VN363" s="603"/>
      <c r="VO363" s="614"/>
      <c r="VP363" s="627"/>
      <c r="VQ363" s="625"/>
      <c r="VR363" s="626"/>
      <c r="VS363" s="229"/>
      <c r="VT363" s="228"/>
      <c r="VV363" s="602"/>
      <c r="VW363" s="603"/>
      <c r="VX363" s="614"/>
      <c r="VY363" s="627"/>
      <c r="VZ363" s="625"/>
      <c r="WA363" s="626"/>
      <c r="WB363" s="229"/>
      <c r="WC363" s="228"/>
      <c r="WE363" s="602"/>
      <c r="WF363" s="603"/>
      <c r="WG363" s="614"/>
      <c r="WH363" s="627"/>
      <c r="WI363" s="625"/>
      <c r="WJ363" s="626"/>
      <c r="WK363" s="229"/>
      <c r="WL363" s="228"/>
      <c r="WN363" s="602"/>
      <c r="WO363" s="603"/>
      <c r="WP363" s="614"/>
      <c r="WQ363" s="627"/>
      <c r="WR363" s="625"/>
      <c r="WS363" s="626"/>
      <c r="WT363" s="229"/>
      <c r="WU363" s="228"/>
      <c r="WW363" s="602"/>
      <c r="WX363" s="603"/>
      <c r="WY363" s="614"/>
      <c r="WZ363" s="627"/>
      <c r="XA363" s="625"/>
      <c r="XB363" s="626"/>
      <c r="XC363" s="229"/>
      <c r="XD363" s="228"/>
      <c r="XF363" s="602"/>
      <c r="XG363" s="603"/>
      <c r="XH363" s="614"/>
      <c r="XI363" s="627"/>
      <c r="XJ363" s="625"/>
      <c r="XK363" s="626"/>
      <c r="XL363" s="229"/>
      <c r="XM363" s="228"/>
      <c r="XO363" s="602"/>
      <c r="XP363" s="603"/>
      <c r="XQ363" s="614"/>
      <c r="XR363" s="627"/>
      <c r="XS363" s="625"/>
      <c r="XT363" s="626"/>
      <c r="XU363" s="229"/>
      <c r="XV363" s="228"/>
      <c r="XX363" s="602"/>
      <c r="XY363" s="603"/>
      <c r="XZ363" s="614"/>
      <c r="YA363" s="627"/>
      <c r="YB363" s="625"/>
      <c r="YC363" s="626"/>
      <c r="YD363" s="229"/>
      <c r="YE363" s="228"/>
      <c r="YG363" s="602"/>
      <c r="YH363" s="603"/>
      <c r="YI363" s="614"/>
      <c r="YJ363" s="627"/>
      <c r="YK363" s="625"/>
      <c r="YL363" s="626"/>
      <c r="YM363" s="229"/>
      <c r="YN363" s="228"/>
      <c r="YP363" s="602"/>
      <c r="YQ363" s="603"/>
      <c r="YR363" s="614"/>
      <c r="YS363" s="627"/>
      <c r="YT363" s="625"/>
      <c r="YU363" s="626"/>
      <c r="YV363" s="229"/>
      <c r="YW363" s="228"/>
      <c r="YY363" s="602"/>
      <c r="YZ363" s="603"/>
      <c r="ZA363" s="614"/>
      <c r="ZB363" s="627"/>
      <c r="ZC363" s="625"/>
      <c r="ZD363" s="626"/>
      <c r="ZE363" s="229"/>
      <c r="ZF363" s="228"/>
      <c r="ZH363" s="602"/>
      <c r="ZI363" s="603"/>
      <c r="ZJ363" s="614"/>
      <c r="ZK363" s="627"/>
      <c r="ZL363" s="625"/>
      <c r="ZM363" s="626"/>
      <c r="ZN363" s="229"/>
      <c r="ZO363" s="228"/>
      <c r="ZQ363" s="602"/>
      <c r="ZR363" s="603"/>
      <c r="ZS363" s="614"/>
      <c r="ZT363" s="627"/>
      <c r="ZU363" s="625"/>
      <c r="ZV363" s="626"/>
      <c r="ZW363" s="229"/>
      <c r="ZX363" s="228"/>
      <c r="ZZ363" s="602"/>
      <c r="AAA363" s="603"/>
      <c r="AAB363" s="614"/>
      <c r="AAC363" s="627"/>
      <c r="AAD363" s="625"/>
      <c r="AAE363" s="626"/>
      <c r="AAF363" s="229"/>
      <c r="AAG363" s="228"/>
      <c r="AAI363" s="602"/>
      <c r="AAJ363" s="603"/>
      <c r="AAK363" s="614"/>
      <c r="AAL363" s="627"/>
      <c r="AAM363" s="625"/>
      <c r="AAN363" s="626"/>
      <c r="AAO363" s="229"/>
      <c r="AAP363" s="228"/>
      <c r="AAR363" s="602"/>
      <c r="AAS363" s="603"/>
      <c r="AAT363" s="614"/>
      <c r="AAU363" s="627"/>
      <c r="AAV363" s="625"/>
      <c r="AAW363" s="626"/>
      <c r="AAX363" s="229"/>
      <c r="AAY363" s="228"/>
      <c r="ABA363" s="602"/>
      <c r="ABB363" s="603"/>
      <c r="ABC363" s="614"/>
      <c r="ABD363" s="627"/>
      <c r="ABE363" s="625"/>
      <c r="ABF363" s="626"/>
      <c r="ABG363" s="229"/>
      <c r="ABH363" s="228"/>
      <c r="ABJ363" s="602"/>
      <c r="ABK363" s="603"/>
      <c r="ABL363" s="614"/>
      <c r="ABM363" s="627"/>
      <c r="ABN363" s="625"/>
      <c r="ABO363" s="626"/>
      <c r="ABP363" s="229"/>
      <c r="ABQ363" s="228"/>
      <c r="ABS363" s="602"/>
      <c r="ABT363" s="603"/>
      <c r="ABU363" s="614"/>
      <c r="ABV363" s="627"/>
      <c r="ABW363" s="625"/>
      <c r="ABX363" s="626"/>
      <c r="ABY363" s="229"/>
      <c r="ABZ363" s="228"/>
      <c r="ACB363" s="602"/>
      <c r="ACC363" s="603"/>
      <c r="ACD363" s="614"/>
      <c r="ACE363" s="627"/>
      <c r="ACF363" s="625"/>
      <c r="ACG363" s="626"/>
      <c r="ACH363" s="229"/>
      <c r="ACI363" s="228"/>
      <c r="ACK363" s="602"/>
      <c r="ACL363" s="603"/>
      <c r="ACM363" s="614"/>
      <c r="ACN363" s="627"/>
      <c r="ACO363" s="625"/>
      <c r="ACP363" s="626"/>
      <c r="ACQ363" s="229"/>
      <c r="ACR363" s="228"/>
      <c r="ACT363" s="602"/>
      <c r="ACU363" s="603"/>
      <c r="ACV363" s="614"/>
      <c r="ACW363" s="627"/>
      <c r="ACX363" s="625"/>
      <c r="ACY363" s="626"/>
      <c r="ACZ363" s="229"/>
      <c r="ADA363" s="228"/>
      <c r="ADC363" s="602"/>
      <c r="ADD363" s="603"/>
      <c r="ADE363" s="614"/>
      <c r="ADF363" s="627"/>
      <c r="ADG363" s="625"/>
      <c r="ADH363" s="626"/>
      <c r="ADI363" s="229"/>
      <c r="ADJ363" s="228"/>
      <c r="ADL363" s="602"/>
      <c r="ADM363" s="603"/>
      <c r="ADN363" s="614"/>
      <c r="ADO363" s="627"/>
      <c r="ADP363" s="625"/>
      <c r="ADQ363" s="626"/>
      <c r="ADR363" s="229"/>
      <c r="ADS363" s="228"/>
      <c r="ADU363" s="602"/>
      <c r="ADV363" s="603"/>
      <c r="ADW363" s="614"/>
      <c r="ADX363" s="627"/>
      <c r="ADY363" s="625"/>
      <c r="ADZ363" s="626"/>
      <c r="AEA363" s="229"/>
      <c r="AEB363" s="228"/>
      <c r="AED363" s="602"/>
      <c r="AEE363" s="603"/>
      <c r="AEF363" s="614"/>
      <c r="AEG363" s="627"/>
      <c r="AEH363" s="625"/>
      <c r="AEI363" s="626"/>
      <c r="AEJ363" s="229"/>
      <c r="AEK363" s="228"/>
      <c r="AEM363" s="602"/>
      <c r="AEN363" s="603"/>
      <c r="AEO363" s="614"/>
      <c r="AEP363" s="627"/>
      <c r="AEQ363" s="625"/>
      <c r="AER363" s="626"/>
      <c r="AES363" s="229"/>
      <c r="AET363" s="228"/>
      <c r="AEV363" s="602"/>
      <c r="AEW363" s="603"/>
      <c r="AEX363" s="614"/>
      <c r="AEY363" s="627"/>
      <c r="AEZ363" s="625"/>
      <c r="AFA363" s="626"/>
      <c r="AFB363" s="229"/>
      <c r="AFC363" s="228"/>
      <c r="AFE363" s="602"/>
      <c r="AFF363" s="603"/>
      <c r="AFG363" s="614"/>
      <c r="AFH363" s="627"/>
      <c r="AFI363" s="625"/>
      <c r="AFJ363" s="626"/>
      <c r="AFK363" s="229"/>
      <c r="AFL363" s="228"/>
      <c r="AFN363" s="602"/>
      <c r="AFO363" s="603"/>
      <c r="AFP363" s="614"/>
      <c r="AFQ363" s="627"/>
      <c r="AFR363" s="625"/>
      <c r="AFS363" s="626"/>
      <c r="AFT363" s="229"/>
      <c r="AFU363" s="228"/>
      <c r="AFW363" s="602"/>
      <c r="AFX363" s="603"/>
      <c r="AFY363" s="614"/>
      <c r="AFZ363" s="627"/>
      <c r="AGA363" s="625"/>
      <c r="AGB363" s="626"/>
      <c r="AGC363" s="229"/>
      <c r="AGD363" s="228"/>
      <c r="AGF363" s="602"/>
      <c r="AGG363" s="603"/>
      <c r="AGH363" s="614"/>
      <c r="AGI363" s="627"/>
      <c r="AGJ363" s="625"/>
      <c r="AGK363" s="626"/>
      <c r="AGL363" s="229"/>
      <c r="AGM363" s="228"/>
      <c r="AGO363" s="602"/>
      <c r="AGP363" s="603"/>
      <c r="AGQ363" s="614"/>
      <c r="AGR363" s="627"/>
      <c r="AGS363" s="625"/>
      <c r="AGT363" s="626"/>
      <c r="AGU363" s="229"/>
      <c r="AGV363" s="228"/>
      <c r="AGX363" s="602"/>
      <c r="AGY363" s="603"/>
      <c r="AGZ363" s="614"/>
      <c r="AHA363" s="627"/>
      <c r="AHB363" s="625"/>
      <c r="AHC363" s="626"/>
      <c r="AHD363" s="229"/>
      <c r="AHE363" s="228"/>
      <c r="AHG363" s="602"/>
      <c r="AHH363" s="603"/>
      <c r="AHI363" s="614"/>
      <c r="AHJ363" s="627"/>
      <c r="AHK363" s="625"/>
      <c r="AHL363" s="626"/>
      <c r="AHM363" s="229"/>
      <c r="AHN363" s="228"/>
      <c r="AHP363" s="602"/>
      <c r="AHQ363" s="603"/>
      <c r="AHR363" s="614"/>
      <c r="AHS363" s="627"/>
      <c r="AHT363" s="625"/>
      <c r="AHU363" s="626"/>
      <c r="AHV363" s="229"/>
      <c r="AHW363" s="228"/>
      <c r="AHY363" s="602"/>
      <c r="AHZ363" s="603"/>
      <c r="AIA363" s="614"/>
      <c r="AIB363" s="627"/>
      <c r="AIC363" s="625"/>
      <c r="AID363" s="626"/>
      <c r="AIE363" s="229"/>
      <c r="AIF363" s="228"/>
      <c r="AIH363" s="602"/>
      <c r="AII363" s="603"/>
      <c r="AIJ363" s="614"/>
      <c r="AIK363" s="627"/>
      <c r="AIL363" s="625"/>
      <c r="AIM363" s="626"/>
      <c r="AIN363" s="229"/>
      <c r="AIO363" s="228"/>
      <c r="AIQ363" s="602"/>
      <c r="AIR363" s="603"/>
      <c r="AIS363" s="614"/>
      <c r="AIT363" s="627"/>
      <c r="AIU363" s="625"/>
      <c r="AIV363" s="626"/>
      <c r="AIW363" s="229"/>
      <c r="AIX363" s="228"/>
      <c r="AIZ363" s="602"/>
      <c r="AJA363" s="603"/>
      <c r="AJB363" s="614"/>
      <c r="AJC363" s="627"/>
      <c r="AJD363" s="625"/>
      <c r="AJE363" s="626"/>
      <c r="AJF363" s="229"/>
      <c r="AJG363" s="228"/>
      <c r="AJI363" s="602"/>
      <c r="AJJ363" s="603"/>
      <c r="AJK363" s="614"/>
      <c r="AJL363" s="627"/>
      <c r="AJM363" s="625"/>
      <c r="AJN363" s="626"/>
      <c r="AJO363" s="229"/>
      <c r="AJP363" s="228"/>
      <c r="AJR363" s="602"/>
      <c r="AJS363" s="603"/>
      <c r="AJT363" s="614"/>
      <c r="AJU363" s="627"/>
      <c r="AJV363" s="625"/>
      <c r="AJW363" s="626"/>
      <c r="AJX363" s="229"/>
      <c r="AJY363" s="228"/>
      <c r="AKA363" s="602"/>
      <c r="AKB363" s="603"/>
      <c r="AKC363" s="614"/>
      <c r="AKD363" s="627"/>
      <c r="AKE363" s="625"/>
      <c r="AKF363" s="626"/>
      <c r="AKG363" s="229"/>
      <c r="AKH363" s="228"/>
      <c r="AKJ363" s="602"/>
      <c r="AKK363" s="603"/>
      <c r="AKL363" s="614"/>
      <c r="AKM363" s="627"/>
      <c r="AKN363" s="625"/>
      <c r="AKO363" s="626"/>
      <c r="AKP363" s="229"/>
      <c r="AKQ363" s="228"/>
      <c r="AKS363" s="602"/>
      <c r="AKT363" s="603"/>
      <c r="AKU363" s="614"/>
      <c r="AKV363" s="627"/>
      <c r="AKW363" s="625"/>
      <c r="AKX363" s="626"/>
      <c r="AKY363" s="229"/>
      <c r="AKZ363" s="228"/>
      <c r="ALB363" s="602"/>
      <c r="ALC363" s="603"/>
      <c r="ALD363" s="614"/>
      <c r="ALE363" s="627"/>
      <c r="ALF363" s="625"/>
      <c r="ALG363" s="626"/>
      <c r="ALH363" s="229"/>
      <c r="ALI363" s="228"/>
      <c r="ALK363" s="602"/>
      <c r="ALL363" s="603"/>
      <c r="ALM363" s="614"/>
      <c r="ALN363" s="627"/>
      <c r="ALO363" s="625"/>
      <c r="ALP363" s="626"/>
      <c r="ALQ363" s="229"/>
      <c r="ALR363" s="228"/>
      <c r="ALT363" s="602"/>
      <c r="ALU363" s="603"/>
      <c r="ALV363" s="614"/>
      <c r="ALW363" s="627"/>
      <c r="ALX363" s="625"/>
      <c r="ALY363" s="626"/>
      <c r="ALZ363" s="229"/>
      <c r="AMA363" s="228"/>
      <c r="AMC363" s="602"/>
      <c r="AMD363" s="603"/>
      <c r="AME363" s="614"/>
      <c r="AMF363" s="627"/>
      <c r="AMG363" s="625"/>
      <c r="AMH363" s="626"/>
      <c r="AMI363" s="229"/>
      <c r="AMJ363" s="228"/>
      <c r="AML363" s="602"/>
      <c r="AMM363" s="603"/>
      <c r="AMN363" s="614"/>
      <c r="AMO363" s="627"/>
      <c r="AMP363" s="625"/>
      <c r="AMQ363" s="626"/>
      <c r="AMR363" s="229"/>
      <c r="AMS363" s="228"/>
      <c r="AMU363" s="602"/>
      <c r="AMV363" s="603"/>
      <c r="AMW363" s="614"/>
      <c r="AMX363" s="627"/>
      <c r="AMY363" s="625"/>
      <c r="AMZ363" s="626"/>
      <c r="ANA363" s="229"/>
      <c r="ANB363" s="228"/>
      <c r="AND363" s="602"/>
      <c r="ANE363" s="603"/>
      <c r="ANF363" s="614"/>
      <c r="ANG363" s="627"/>
      <c r="ANH363" s="625"/>
      <c r="ANI363" s="626"/>
      <c r="ANJ363" s="229"/>
      <c r="ANK363" s="228"/>
      <c r="ANM363" s="602"/>
      <c r="ANN363" s="603"/>
      <c r="ANO363" s="614"/>
      <c r="ANP363" s="627"/>
      <c r="ANQ363" s="625"/>
      <c r="ANR363" s="626"/>
      <c r="ANS363" s="229"/>
      <c r="ANT363" s="228"/>
      <c r="ANV363" s="602"/>
      <c r="ANW363" s="603"/>
      <c r="ANX363" s="614"/>
      <c r="ANY363" s="627"/>
      <c r="ANZ363" s="625"/>
      <c r="AOA363" s="626"/>
      <c r="AOB363" s="229"/>
      <c r="AOC363" s="228"/>
      <c r="AOE363" s="602"/>
      <c r="AOF363" s="603"/>
      <c r="AOG363" s="614"/>
      <c r="AOH363" s="627"/>
      <c r="AOI363" s="625"/>
      <c r="AOJ363" s="626"/>
      <c r="AOK363" s="229"/>
      <c r="AOL363" s="228"/>
      <c r="AON363" s="602"/>
      <c r="AOO363" s="603"/>
      <c r="AOP363" s="614"/>
      <c r="AOQ363" s="627"/>
      <c r="AOR363" s="625"/>
      <c r="AOS363" s="626"/>
      <c r="AOT363" s="229"/>
      <c r="AOU363" s="228"/>
      <c r="AOW363" s="602"/>
      <c r="AOX363" s="603"/>
      <c r="AOY363" s="614"/>
      <c r="AOZ363" s="627"/>
      <c r="APA363" s="625"/>
      <c r="APB363" s="626"/>
      <c r="APC363" s="229"/>
      <c r="APD363" s="228"/>
      <c r="APF363" s="602"/>
      <c r="APG363" s="603"/>
      <c r="APH363" s="614"/>
      <c r="API363" s="627"/>
      <c r="APJ363" s="625"/>
      <c r="APK363" s="626"/>
      <c r="APL363" s="229"/>
      <c r="APM363" s="228"/>
      <c r="APO363" s="602"/>
      <c r="APP363" s="603"/>
      <c r="APQ363" s="614"/>
      <c r="APR363" s="627"/>
      <c r="APS363" s="625"/>
      <c r="APT363" s="626"/>
      <c r="APU363" s="229"/>
      <c r="APV363" s="228"/>
      <c r="APX363" s="602"/>
      <c r="APY363" s="603"/>
      <c r="APZ363" s="614"/>
      <c r="AQA363" s="627"/>
      <c r="AQB363" s="625"/>
      <c r="AQC363" s="626"/>
      <c r="AQD363" s="229"/>
      <c r="AQE363" s="228"/>
      <c r="AQG363" s="602"/>
      <c r="AQH363" s="603"/>
      <c r="AQI363" s="614"/>
      <c r="AQJ363" s="627"/>
      <c r="AQK363" s="625"/>
      <c r="AQL363" s="626"/>
      <c r="AQM363" s="229"/>
      <c r="AQN363" s="228"/>
      <c r="AQP363" s="602"/>
      <c r="AQQ363" s="603"/>
      <c r="AQR363" s="614"/>
      <c r="AQS363" s="627"/>
      <c r="AQT363" s="625"/>
      <c r="AQU363" s="626"/>
      <c r="AQV363" s="229"/>
      <c r="AQW363" s="228"/>
      <c r="AQY363" s="602"/>
      <c r="AQZ363" s="603"/>
      <c r="ARA363" s="614"/>
      <c r="ARB363" s="627"/>
      <c r="ARC363" s="625"/>
      <c r="ARD363" s="626"/>
      <c r="ARE363" s="229"/>
      <c r="ARF363" s="228"/>
      <c r="ARH363" s="602"/>
      <c r="ARI363" s="603"/>
      <c r="ARJ363" s="614"/>
      <c r="ARK363" s="627"/>
      <c r="ARL363" s="625"/>
      <c r="ARM363" s="626"/>
      <c r="ARN363" s="229"/>
      <c r="ARO363" s="228"/>
      <c r="ARQ363" s="602"/>
      <c r="ARR363" s="603"/>
      <c r="ARS363" s="614"/>
      <c r="ART363" s="627"/>
      <c r="ARU363" s="625"/>
      <c r="ARV363" s="626"/>
      <c r="ARW363" s="229"/>
      <c r="ARX363" s="228"/>
      <c r="ARZ363" s="602"/>
      <c r="ASA363" s="603"/>
      <c r="ASB363" s="614"/>
      <c r="ASC363" s="627"/>
      <c r="ASD363" s="625"/>
      <c r="ASE363" s="626"/>
      <c r="ASF363" s="229"/>
      <c r="ASG363" s="228"/>
      <c r="ASI363" s="602"/>
      <c r="ASJ363" s="603"/>
      <c r="ASK363" s="614"/>
      <c r="ASL363" s="627"/>
      <c r="ASM363" s="625"/>
      <c r="ASN363" s="626"/>
      <c r="ASO363" s="229"/>
      <c r="ASP363" s="228"/>
      <c r="ASR363" s="602"/>
      <c r="ASS363" s="603"/>
      <c r="AST363" s="614"/>
      <c r="ASU363" s="627"/>
      <c r="ASV363" s="625"/>
      <c r="ASW363" s="626"/>
      <c r="ASX363" s="229"/>
      <c r="ASY363" s="228"/>
      <c r="ATA363" s="602"/>
      <c r="ATB363" s="603"/>
      <c r="ATC363" s="614"/>
      <c r="ATD363" s="627"/>
      <c r="ATE363" s="625"/>
      <c r="ATF363" s="626"/>
      <c r="ATG363" s="229"/>
      <c r="ATH363" s="228"/>
      <c r="ATJ363" s="602"/>
      <c r="ATK363" s="603"/>
      <c r="ATL363" s="614"/>
      <c r="ATM363" s="627"/>
      <c r="ATN363" s="625"/>
      <c r="ATO363" s="626"/>
      <c r="ATP363" s="229"/>
      <c r="ATQ363" s="228"/>
      <c r="ATS363" s="602"/>
      <c r="ATT363" s="603"/>
      <c r="ATU363" s="614"/>
      <c r="ATV363" s="627"/>
      <c r="ATW363" s="625"/>
      <c r="ATX363" s="626"/>
      <c r="ATY363" s="229"/>
      <c r="ATZ363" s="228"/>
      <c r="AUB363" s="602"/>
      <c r="AUC363" s="603"/>
      <c r="AUD363" s="614"/>
      <c r="AUE363" s="627"/>
      <c r="AUF363" s="625"/>
      <c r="AUG363" s="626"/>
      <c r="AUH363" s="229"/>
      <c r="AUI363" s="228"/>
      <c r="AUK363" s="602"/>
      <c r="AUL363" s="603"/>
      <c r="AUM363" s="614"/>
      <c r="AUN363" s="627"/>
      <c r="AUO363" s="625"/>
      <c r="AUP363" s="626"/>
      <c r="AUQ363" s="229"/>
      <c r="AUR363" s="228"/>
      <c r="AUT363" s="602"/>
      <c r="AUU363" s="603"/>
      <c r="AUV363" s="614"/>
      <c r="AUW363" s="627"/>
      <c r="AUX363" s="625"/>
      <c r="AUY363" s="626"/>
      <c r="AUZ363" s="229"/>
      <c r="AVA363" s="228"/>
      <c r="AVC363" s="602"/>
      <c r="AVD363" s="603"/>
      <c r="AVE363" s="614"/>
      <c r="AVF363" s="627"/>
      <c r="AVG363" s="625"/>
      <c r="AVH363" s="626"/>
      <c r="AVI363" s="229"/>
      <c r="AVJ363" s="228"/>
      <c r="AVL363" s="602"/>
      <c r="AVM363" s="603"/>
      <c r="AVN363" s="614"/>
      <c r="AVO363" s="627"/>
      <c r="AVP363" s="625"/>
      <c r="AVQ363" s="626"/>
      <c r="AVR363" s="229"/>
      <c r="AVS363" s="228"/>
      <c r="AVU363" s="602"/>
      <c r="AVV363" s="603"/>
      <c r="AVW363" s="614"/>
      <c r="AVX363" s="627"/>
      <c r="AVY363" s="625"/>
      <c r="AVZ363" s="626"/>
      <c r="AWA363" s="229"/>
      <c r="AWB363" s="228"/>
      <c r="AWD363" s="602"/>
      <c r="AWE363" s="603"/>
      <c r="AWF363" s="614"/>
      <c r="AWG363" s="627"/>
      <c r="AWH363" s="625"/>
      <c r="AWI363" s="626"/>
      <c r="AWJ363" s="229"/>
      <c r="AWK363" s="228"/>
      <c r="AWM363" s="602"/>
      <c r="AWN363" s="603"/>
      <c r="AWO363" s="614"/>
      <c r="AWP363" s="627"/>
      <c r="AWQ363" s="625"/>
      <c r="AWR363" s="626"/>
      <c r="AWS363" s="229"/>
      <c r="AWT363" s="228"/>
      <c r="AWV363" s="602"/>
      <c r="AWW363" s="603"/>
      <c r="AWX363" s="614"/>
      <c r="AWY363" s="627"/>
      <c r="AWZ363" s="625"/>
      <c r="AXA363" s="626"/>
      <c r="AXB363" s="229"/>
      <c r="AXC363" s="228"/>
      <c r="AXE363" s="602"/>
      <c r="AXF363" s="603"/>
      <c r="AXG363" s="614"/>
      <c r="AXH363" s="627"/>
      <c r="AXI363" s="625"/>
      <c r="AXJ363" s="626"/>
      <c r="AXK363" s="229"/>
      <c r="AXL363" s="228"/>
      <c r="AXN363" s="602"/>
      <c r="AXO363" s="603"/>
      <c r="AXP363" s="614"/>
      <c r="AXQ363" s="627"/>
      <c r="AXR363" s="625"/>
      <c r="AXS363" s="626"/>
      <c r="AXT363" s="229"/>
      <c r="AXU363" s="228"/>
      <c r="AXW363" s="602"/>
      <c r="AXX363" s="603"/>
      <c r="AXY363" s="614"/>
      <c r="AXZ363" s="627"/>
      <c r="AYA363" s="625"/>
      <c r="AYB363" s="626"/>
      <c r="AYC363" s="229"/>
      <c r="AYD363" s="228"/>
      <c r="AYF363" s="602"/>
      <c r="AYG363" s="603"/>
      <c r="AYH363" s="614"/>
      <c r="AYI363" s="627"/>
      <c r="AYJ363" s="625"/>
      <c r="AYK363" s="626"/>
      <c r="AYL363" s="229"/>
      <c r="AYM363" s="228"/>
      <c r="AYO363" s="602"/>
      <c r="AYP363" s="603"/>
      <c r="AYQ363" s="614"/>
      <c r="AYR363" s="627"/>
      <c r="AYS363" s="625"/>
      <c r="AYT363" s="626"/>
      <c r="AYU363" s="229"/>
      <c r="AYV363" s="228"/>
      <c r="AYX363" s="602"/>
      <c r="AYY363" s="603"/>
      <c r="AYZ363" s="614"/>
      <c r="AZA363" s="627"/>
      <c r="AZB363" s="625"/>
      <c r="AZC363" s="626"/>
      <c r="AZD363" s="229"/>
      <c r="AZE363" s="228"/>
      <c r="AZG363" s="602"/>
      <c r="AZH363" s="603"/>
      <c r="AZI363" s="614"/>
      <c r="AZJ363" s="627"/>
      <c r="AZK363" s="625"/>
      <c r="AZL363" s="626"/>
      <c r="AZM363" s="229"/>
      <c r="AZN363" s="228"/>
      <c r="AZP363" s="602"/>
      <c r="AZQ363" s="603"/>
      <c r="AZR363" s="614"/>
      <c r="AZS363" s="627"/>
      <c r="AZT363" s="625"/>
      <c r="AZU363" s="626"/>
      <c r="AZV363" s="229"/>
      <c r="AZW363" s="228"/>
      <c r="AZY363" s="602"/>
      <c r="AZZ363" s="603"/>
      <c r="BAA363" s="614"/>
      <c r="BAB363" s="627"/>
      <c r="BAC363" s="625"/>
      <c r="BAD363" s="626"/>
      <c r="BAE363" s="229"/>
      <c r="BAF363" s="228"/>
      <c r="BAH363" s="602"/>
      <c r="BAI363" s="603"/>
      <c r="BAJ363" s="614"/>
      <c r="BAK363" s="627"/>
      <c r="BAL363" s="625"/>
      <c r="BAM363" s="626"/>
      <c r="BAN363" s="229"/>
      <c r="BAO363" s="228"/>
      <c r="BAQ363" s="602"/>
      <c r="BAR363" s="603"/>
      <c r="BAS363" s="614"/>
      <c r="BAT363" s="627"/>
      <c r="BAU363" s="625"/>
      <c r="BAV363" s="626"/>
      <c r="BAW363" s="229"/>
      <c r="BAX363" s="228"/>
      <c r="BAZ363" s="602"/>
      <c r="BBA363" s="603"/>
      <c r="BBB363" s="614"/>
      <c r="BBC363" s="627"/>
      <c r="BBD363" s="625"/>
      <c r="BBE363" s="626"/>
      <c r="BBF363" s="229"/>
      <c r="BBG363" s="228"/>
      <c r="BBI363" s="602"/>
      <c r="BBJ363" s="603"/>
      <c r="BBK363" s="614"/>
      <c r="BBL363" s="627"/>
      <c r="BBM363" s="625"/>
      <c r="BBN363" s="626"/>
      <c r="BBO363" s="229"/>
      <c r="BBP363" s="228"/>
      <c r="BBR363" s="602"/>
      <c r="BBS363" s="603"/>
      <c r="BBT363" s="614"/>
      <c r="BBU363" s="627"/>
      <c r="BBV363" s="625"/>
      <c r="BBW363" s="626"/>
      <c r="BBX363" s="229"/>
      <c r="BBY363" s="228"/>
      <c r="BCA363" s="602"/>
      <c r="BCB363" s="603"/>
      <c r="BCC363" s="614"/>
      <c r="BCD363" s="627"/>
      <c r="BCE363" s="625"/>
      <c r="BCF363" s="626"/>
      <c r="BCG363" s="229"/>
      <c r="BCH363" s="228"/>
      <c r="BCJ363" s="602"/>
      <c r="BCK363" s="603"/>
      <c r="BCL363" s="614"/>
      <c r="BCM363" s="627"/>
      <c r="BCN363" s="625"/>
      <c r="BCO363" s="626"/>
      <c r="BCP363" s="229"/>
      <c r="BCQ363" s="228"/>
      <c r="BCS363" s="602"/>
      <c r="BCT363" s="603"/>
      <c r="BCU363" s="614"/>
      <c r="BCV363" s="627"/>
      <c r="BCW363" s="625"/>
      <c r="BCX363" s="626"/>
      <c r="BCY363" s="229"/>
      <c r="BCZ363" s="228"/>
      <c r="BDB363" s="602"/>
      <c r="BDC363" s="603"/>
      <c r="BDD363" s="614"/>
      <c r="BDE363" s="627"/>
      <c r="BDF363" s="625"/>
      <c r="BDG363" s="626"/>
      <c r="BDH363" s="229"/>
      <c r="BDI363" s="228"/>
      <c r="BDK363" s="602"/>
      <c r="BDL363" s="603"/>
      <c r="BDM363" s="614"/>
      <c r="BDN363" s="627"/>
      <c r="BDO363" s="625"/>
      <c r="BDP363" s="626"/>
      <c r="BDQ363" s="229"/>
      <c r="BDR363" s="228"/>
      <c r="BDT363" s="602"/>
      <c r="BDU363" s="603"/>
      <c r="BDV363" s="614"/>
      <c r="BDW363" s="627"/>
      <c r="BDX363" s="625"/>
      <c r="BDY363" s="626"/>
      <c r="BDZ363" s="229"/>
      <c r="BEA363" s="228"/>
      <c r="BEC363" s="602"/>
      <c r="BED363" s="603"/>
      <c r="BEE363" s="614"/>
      <c r="BEF363" s="627"/>
      <c r="BEG363" s="625"/>
      <c r="BEH363" s="626"/>
      <c r="BEI363" s="229"/>
      <c r="BEJ363" s="228"/>
      <c r="BEL363" s="602"/>
      <c r="BEM363" s="603"/>
      <c r="BEN363" s="614"/>
      <c r="BEO363" s="627"/>
      <c r="BEP363" s="625"/>
      <c r="BEQ363" s="626"/>
      <c r="BER363" s="229"/>
      <c r="BES363" s="228"/>
      <c r="BEU363" s="602"/>
      <c r="BEV363" s="603"/>
      <c r="BEW363" s="614"/>
      <c r="BEX363" s="627"/>
      <c r="BEY363" s="625"/>
      <c r="BEZ363" s="626"/>
      <c r="BFA363" s="229"/>
      <c r="BFB363" s="228"/>
      <c r="BFD363" s="602"/>
      <c r="BFE363" s="603"/>
      <c r="BFF363" s="614"/>
      <c r="BFG363" s="627"/>
      <c r="BFH363" s="625"/>
      <c r="BFI363" s="626"/>
      <c r="BFJ363" s="229"/>
      <c r="BFK363" s="228"/>
      <c r="BFM363" s="602"/>
      <c r="BFN363" s="603"/>
      <c r="BFO363" s="614"/>
      <c r="BFP363" s="627"/>
      <c r="BFQ363" s="625"/>
      <c r="BFR363" s="626"/>
      <c r="BFS363" s="229"/>
      <c r="BFT363" s="228"/>
      <c r="BFV363" s="602"/>
      <c r="BFW363" s="603"/>
      <c r="BFX363" s="614"/>
      <c r="BFY363" s="627"/>
      <c r="BFZ363" s="625"/>
      <c r="BGA363" s="626"/>
      <c r="BGB363" s="229"/>
      <c r="BGC363" s="228"/>
      <c r="BGE363" s="602"/>
      <c r="BGF363" s="603"/>
      <c r="BGG363" s="614"/>
      <c r="BGH363" s="627"/>
      <c r="BGI363" s="625"/>
      <c r="BGJ363" s="626"/>
      <c r="BGK363" s="229"/>
      <c r="BGL363" s="228"/>
      <c r="BGN363" s="602"/>
      <c r="BGO363" s="603"/>
      <c r="BGP363" s="614"/>
      <c r="BGQ363" s="627"/>
      <c r="BGR363" s="625"/>
      <c r="BGS363" s="626"/>
      <c r="BGT363" s="229"/>
      <c r="BGU363" s="228"/>
      <c r="BGW363" s="602"/>
      <c r="BGX363" s="603"/>
      <c r="BGY363" s="614"/>
      <c r="BGZ363" s="627"/>
      <c r="BHA363" s="625"/>
      <c r="BHB363" s="626"/>
      <c r="BHC363" s="229"/>
      <c r="BHD363" s="228"/>
      <c r="BHF363" s="602"/>
      <c r="BHG363" s="603"/>
      <c r="BHH363" s="614"/>
      <c r="BHI363" s="627"/>
      <c r="BHJ363" s="625"/>
      <c r="BHK363" s="626"/>
      <c r="BHL363" s="229"/>
      <c r="BHM363" s="228"/>
      <c r="BHO363" s="602"/>
      <c r="BHP363" s="603"/>
      <c r="BHQ363" s="614"/>
      <c r="BHR363" s="627"/>
      <c r="BHS363" s="625"/>
      <c r="BHT363" s="626"/>
      <c r="BHU363" s="229"/>
      <c r="BHV363" s="228"/>
      <c r="BHX363" s="602"/>
      <c r="BHY363" s="603"/>
      <c r="BHZ363" s="614"/>
      <c r="BIA363" s="627"/>
      <c r="BIB363" s="625"/>
      <c r="BIC363" s="626"/>
      <c r="BID363" s="229"/>
      <c r="BIE363" s="228"/>
      <c r="BIG363" s="602"/>
      <c r="BIH363" s="603"/>
      <c r="BII363" s="614"/>
      <c r="BIJ363" s="627"/>
      <c r="BIK363" s="625"/>
      <c r="BIL363" s="626"/>
      <c r="BIM363" s="229"/>
      <c r="BIN363" s="228"/>
      <c r="BIP363" s="602"/>
      <c r="BIQ363" s="603"/>
      <c r="BIR363" s="614"/>
      <c r="BIS363" s="627"/>
      <c r="BIT363" s="625"/>
      <c r="BIU363" s="626"/>
      <c r="BIV363" s="229"/>
      <c r="BIW363" s="228"/>
      <c r="BIY363" s="602"/>
      <c r="BIZ363" s="603"/>
      <c r="BJA363" s="614"/>
      <c r="BJB363" s="627"/>
      <c r="BJC363" s="625"/>
      <c r="BJD363" s="626"/>
      <c r="BJE363" s="229"/>
      <c r="BJF363" s="228"/>
      <c r="BJH363" s="602"/>
      <c r="BJI363" s="603"/>
      <c r="BJJ363" s="614"/>
      <c r="BJK363" s="627"/>
      <c r="BJL363" s="625"/>
      <c r="BJM363" s="626"/>
      <c r="BJN363" s="229"/>
      <c r="BJO363" s="228"/>
      <c r="BJQ363" s="602"/>
      <c r="BJR363" s="603"/>
      <c r="BJS363" s="614"/>
      <c r="BJT363" s="627"/>
      <c r="BJU363" s="625"/>
      <c r="BJV363" s="626"/>
      <c r="BJW363" s="229"/>
      <c r="BJX363" s="228"/>
      <c r="BJZ363" s="602"/>
      <c r="BKA363" s="603"/>
      <c r="BKB363" s="614"/>
      <c r="BKC363" s="627"/>
      <c r="BKD363" s="625"/>
      <c r="BKE363" s="626"/>
      <c r="BKF363" s="229"/>
      <c r="BKG363" s="228"/>
      <c r="BKI363" s="602"/>
      <c r="BKJ363" s="603"/>
      <c r="BKK363" s="614"/>
      <c r="BKL363" s="627"/>
      <c r="BKM363" s="625"/>
      <c r="BKN363" s="626"/>
      <c r="BKO363" s="229"/>
      <c r="BKP363" s="228"/>
      <c r="BKR363" s="602"/>
      <c r="BKS363" s="603"/>
      <c r="BKT363" s="614"/>
      <c r="BKU363" s="627"/>
      <c r="BKV363" s="625"/>
      <c r="BKW363" s="626"/>
      <c r="BKX363" s="229"/>
      <c r="BKY363" s="228"/>
      <c r="BLA363" s="602"/>
      <c r="BLB363" s="603"/>
      <c r="BLC363" s="614"/>
      <c r="BLD363" s="627"/>
      <c r="BLE363" s="625"/>
      <c r="BLF363" s="626"/>
      <c r="BLG363" s="229"/>
      <c r="BLH363" s="228"/>
      <c r="BLJ363" s="602"/>
      <c r="BLK363" s="603"/>
      <c r="BLL363" s="614"/>
      <c r="BLM363" s="627"/>
      <c r="BLN363" s="625"/>
      <c r="BLO363" s="626"/>
      <c r="BLP363" s="229"/>
      <c r="BLQ363" s="228"/>
      <c r="BLS363" s="602"/>
      <c r="BLT363" s="603"/>
      <c r="BLU363" s="614"/>
      <c r="BLV363" s="627"/>
      <c r="BLW363" s="625"/>
      <c r="BLX363" s="626"/>
      <c r="BLY363" s="229"/>
      <c r="BLZ363" s="228"/>
      <c r="BMB363" s="602"/>
      <c r="BMC363" s="603"/>
      <c r="BMD363" s="614"/>
      <c r="BME363" s="627"/>
      <c r="BMF363" s="625"/>
      <c r="BMG363" s="626"/>
      <c r="BMH363" s="229"/>
      <c r="BMI363" s="228"/>
      <c r="BMK363" s="602"/>
      <c r="BML363" s="603"/>
      <c r="BMM363" s="614"/>
      <c r="BMN363" s="627"/>
      <c r="BMO363" s="625"/>
      <c r="BMP363" s="626"/>
      <c r="BMQ363" s="229"/>
      <c r="BMR363" s="228"/>
      <c r="BMT363" s="602"/>
      <c r="BMU363" s="603"/>
      <c r="BMV363" s="614"/>
      <c r="BMW363" s="627"/>
      <c r="BMX363" s="625"/>
      <c r="BMY363" s="626"/>
      <c r="BMZ363" s="229"/>
      <c r="BNA363" s="228"/>
      <c r="BNC363" s="602"/>
      <c r="BND363" s="603"/>
      <c r="BNE363" s="614"/>
      <c r="BNF363" s="627"/>
      <c r="BNG363" s="625"/>
      <c r="BNH363" s="626"/>
      <c r="BNI363" s="229"/>
      <c r="BNJ363" s="228"/>
      <c r="BNL363" s="602"/>
      <c r="BNM363" s="603"/>
      <c r="BNN363" s="614"/>
      <c r="BNO363" s="627"/>
      <c r="BNP363" s="625"/>
      <c r="BNQ363" s="626"/>
      <c r="BNR363" s="229"/>
      <c r="BNS363" s="228"/>
      <c r="BNU363" s="602"/>
      <c r="BNV363" s="603"/>
      <c r="BNW363" s="614"/>
      <c r="BNX363" s="627"/>
      <c r="BNY363" s="625"/>
      <c r="BNZ363" s="626"/>
      <c r="BOA363" s="229"/>
      <c r="BOB363" s="228"/>
      <c r="BOD363" s="602"/>
      <c r="BOE363" s="603"/>
      <c r="BOF363" s="614"/>
      <c r="BOG363" s="627"/>
      <c r="BOH363" s="625"/>
      <c r="BOI363" s="626"/>
      <c r="BOJ363" s="229"/>
      <c r="BOK363" s="228"/>
      <c r="BOM363" s="602"/>
      <c r="BON363" s="603"/>
      <c r="BOO363" s="614"/>
      <c r="BOP363" s="627"/>
      <c r="BOQ363" s="625"/>
      <c r="BOR363" s="626"/>
      <c r="BOS363" s="229"/>
      <c r="BOT363" s="228"/>
      <c r="BOV363" s="602"/>
      <c r="BOW363" s="603"/>
      <c r="BOX363" s="614"/>
      <c r="BOY363" s="627"/>
      <c r="BOZ363" s="625"/>
      <c r="BPA363" s="626"/>
      <c r="BPB363" s="229"/>
      <c r="BPC363" s="228"/>
      <c r="BPE363" s="602"/>
      <c r="BPF363" s="603"/>
      <c r="BPG363" s="614"/>
      <c r="BPH363" s="627"/>
      <c r="BPI363" s="625"/>
      <c r="BPJ363" s="626"/>
      <c r="BPK363" s="229"/>
      <c r="BPL363" s="228"/>
      <c r="BPN363" s="602"/>
      <c r="BPO363" s="603"/>
      <c r="BPP363" s="614"/>
      <c r="BPQ363" s="627"/>
      <c r="BPR363" s="625"/>
      <c r="BPS363" s="626"/>
      <c r="BPT363" s="229"/>
      <c r="BPU363" s="228"/>
      <c r="BPW363" s="602"/>
      <c r="BPX363" s="603"/>
      <c r="BPY363" s="614"/>
      <c r="BPZ363" s="627"/>
      <c r="BQA363" s="625"/>
      <c r="BQB363" s="626"/>
      <c r="BQC363" s="229"/>
      <c r="BQD363" s="228"/>
      <c r="BQF363" s="602"/>
      <c r="BQG363" s="603"/>
      <c r="BQH363" s="614"/>
      <c r="BQI363" s="627"/>
      <c r="BQJ363" s="625"/>
      <c r="BQK363" s="626"/>
      <c r="BQL363" s="229"/>
      <c r="BQM363" s="228"/>
      <c r="BQO363" s="602"/>
      <c r="BQP363" s="603"/>
      <c r="BQQ363" s="614"/>
      <c r="BQR363" s="627"/>
      <c r="BQS363" s="625"/>
      <c r="BQT363" s="626"/>
      <c r="BQU363" s="229"/>
      <c r="BQV363" s="228"/>
      <c r="BQX363" s="602"/>
      <c r="BQY363" s="603"/>
      <c r="BQZ363" s="614"/>
      <c r="BRA363" s="627"/>
      <c r="BRB363" s="625"/>
      <c r="BRC363" s="626"/>
      <c r="BRD363" s="229"/>
      <c r="BRE363" s="228"/>
      <c r="BRG363" s="602"/>
      <c r="BRH363" s="603"/>
      <c r="BRI363" s="614"/>
      <c r="BRJ363" s="627"/>
      <c r="BRK363" s="625"/>
      <c r="BRL363" s="626"/>
      <c r="BRM363" s="229"/>
      <c r="BRN363" s="228"/>
      <c r="BRP363" s="602"/>
      <c r="BRQ363" s="603"/>
      <c r="BRR363" s="614"/>
      <c r="BRS363" s="627"/>
      <c r="BRT363" s="625"/>
      <c r="BRU363" s="626"/>
      <c r="BRV363" s="229"/>
      <c r="BRW363" s="228"/>
      <c r="BRY363" s="602"/>
      <c r="BRZ363" s="603"/>
      <c r="BSA363" s="614"/>
      <c r="BSB363" s="627"/>
      <c r="BSC363" s="625"/>
      <c r="BSD363" s="626"/>
      <c r="BSE363" s="229"/>
      <c r="BSF363" s="228"/>
      <c r="BSH363" s="602"/>
      <c r="BSI363" s="603"/>
      <c r="BSJ363" s="614"/>
      <c r="BSK363" s="627"/>
      <c r="BSL363" s="625"/>
      <c r="BSM363" s="626"/>
      <c r="BSN363" s="229"/>
      <c r="BSO363" s="228"/>
      <c r="BSQ363" s="602"/>
      <c r="BSR363" s="603"/>
      <c r="BSS363" s="614"/>
      <c r="BST363" s="627"/>
      <c r="BSU363" s="625"/>
      <c r="BSV363" s="626"/>
      <c r="BSW363" s="229"/>
      <c r="BSX363" s="228"/>
      <c r="BSZ363" s="602"/>
      <c r="BTA363" s="603"/>
      <c r="BTB363" s="614"/>
      <c r="BTC363" s="627"/>
      <c r="BTD363" s="625"/>
      <c r="BTE363" s="626"/>
      <c r="BTF363" s="229"/>
      <c r="BTG363" s="228"/>
      <c r="BTI363" s="602"/>
      <c r="BTJ363" s="603"/>
      <c r="BTK363" s="614"/>
      <c r="BTL363" s="627"/>
      <c r="BTM363" s="625"/>
      <c r="BTN363" s="626"/>
      <c r="BTO363" s="229"/>
      <c r="BTP363" s="228"/>
      <c r="BTR363" s="602"/>
      <c r="BTS363" s="603"/>
      <c r="BTT363" s="614"/>
      <c r="BTU363" s="627"/>
      <c r="BTV363" s="625"/>
      <c r="BTW363" s="626"/>
      <c r="BTX363" s="229"/>
      <c r="BTY363" s="228"/>
      <c r="BUA363" s="602"/>
      <c r="BUB363" s="603"/>
      <c r="BUC363" s="614"/>
      <c r="BUD363" s="627"/>
      <c r="BUE363" s="625"/>
      <c r="BUF363" s="626"/>
      <c r="BUG363" s="229"/>
      <c r="BUH363" s="228"/>
      <c r="BUJ363" s="602"/>
      <c r="BUK363" s="603"/>
      <c r="BUL363" s="614"/>
      <c r="BUM363" s="627"/>
      <c r="BUN363" s="625"/>
      <c r="BUO363" s="626"/>
      <c r="BUP363" s="229"/>
      <c r="BUQ363" s="228"/>
      <c r="BUS363" s="602"/>
      <c r="BUT363" s="603"/>
      <c r="BUU363" s="614"/>
      <c r="BUV363" s="627"/>
      <c r="BUW363" s="625"/>
      <c r="BUX363" s="626"/>
      <c r="BUY363" s="229"/>
      <c r="BUZ363" s="228"/>
      <c r="BVB363" s="602"/>
      <c r="BVC363" s="603"/>
      <c r="BVD363" s="614"/>
      <c r="BVE363" s="627"/>
      <c r="BVF363" s="625"/>
      <c r="BVG363" s="626"/>
      <c r="BVH363" s="229"/>
      <c r="BVI363" s="228"/>
      <c r="BVK363" s="602"/>
      <c r="BVL363" s="603"/>
      <c r="BVM363" s="614"/>
      <c r="BVN363" s="627"/>
      <c r="BVO363" s="625"/>
      <c r="BVP363" s="626"/>
      <c r="BVQ363" s="229"/>
      <c r="BVR363" s="228"/>
      <c r="BVT363" s="602"/>
      <c r="BVU363" s="603"/>
      <c r="BVV363" s="614"/>
      <c r="BVW363" s="627"/>
      <c r="BVX363" s="625"/>
      <c r="BVY363" s="626"/>
      <c r="BVZ363" s="229"/>
      <c r="BWA363" s="228"/>
      <c r="BWC363" s="602"/>
      <c r="BWD363" s="603"/>
      <c r="BWE363" s="614"/>
      <c r="BWF363" s="627"/>
      <c r="BWG363" s="625"/>
      <c r="BWH363" s="626"/>
      <c r="BWI363" s="229"/>
      <c r="BWJ363" s="228"/>
      <c r="BWL363" s="602"/>
      <c r="BWM363" s="603"/>
      <c r="BWN363" s="614"/>
      <c r="BWO363" s="627"/>
      <c r="BWP363" s="625"/>
      <c r="BWQ363" s="626"/>
      <c r="BWR363" s="229"/>
      <c r="BWS363" s="228"/>
      <c r="BWU363" s="602"/>
      <c r="BWV363" s="603"/>
      <c r="BWW363" s="614"/>
      <c r="BWX363" s="627"/>
      <c r="BWY363" s="625"/>
      <c r="BWZ363" s="626"/>
      <c r="BXA363" s="229"/>
      <c r="BXB363" s="228"/>
      <c r="BXD363" s="602"/>
      <c r="BXE363" s="603"/>
      <c r="BXF363" s="614"/>
      <c r="BXG363" s="627"/>
      <c r="BXH363" s="625"/>
      <c r="BXI363" s="626"/>
      <c r="BXJ363" s="229"/>
      <c r="BXK363" s="228"/>
      <c r="BXM363" s="602"/>
      <c r="BXN363" s="603"/>
      <c r="BXO363" s="614"/>
      <c r="BXP363" s="627"/>
      <c r="BXQ363" s="625"/>
      <c r="BXR363" s="626"/>
      <c r="BXS363" s="229"/>
      <c r="BXT363" s="228"/>
      <c r="BXV363" s="602"/>
      <c r="BXW363" s="603"/>
      <c r="BXX363" s="614"/>
      <c r="BXY363" s="627"/>
      <c r="BXZ363" s="625"/>
      <c r="BYA363" s="626"/>
      <c r="BYB363" s="229"/>
      <c r="BYC363" s="228"/>
      <c r="BYE363" s="602"/>
      <c r="BYF363" s="603"/>
      <c r="BYG363" s="614"/>
      <c r="BYH363" s="627"/>
      <c r="BYI363" s="625"/>
      <c r="BYJ363" s="626"/>
      <c r="BYK363" s="229"/>
      <c r="BYL363" s="228"/>
      <c r="BYN363" s="602"/>
      <c r="BYO363" s="603"/>
      <c r="BYP363" s="614"/>
      <c r="BYQ363" s="627"/>
      <c r="BYR363" s="625"/>
      <c r="BYS363" s="626"/>
      <c r="BYT363" s="229"/>
      <c r="BYU363" s="228"/>
      <c r="BYW363" s="602"/>
      <c r="BYX363" s="603"/>
      <c r="BYY363" s="614"/>
      <c r="BYZ363" s="627"/>
      <c r="BZA363" s="625"/>
      <c r="BZB363" s="626"/>
      <c r="BZC363" s="229"/>
      <c r="BZD363" s="228"/>
      <c r="BZF363" s="602"/>
      <c r="BZG363" s="603"/>
      <c r="BZH363" s="614"/>
      <c r="BZI363" s="627"/>
      <c r="BZJ363" s="625"/>
      <c r="BZK363" s="626"/>
      <c r="BZL363" s="229"/>
      <c r="BZM363" s="228"/>
      <c r="BZO363" s="602"/>
      <c r="BZP363" s="603"/>
      <c r="BZQ363" s="614"/>
      <c r="BZR363" s="627"/>
      <c r="BZS363" s="625"/>
      <c r="BZT363" s="626"/>
      <c r="BZU363" s="229"/>
      <c r="BZV363" s="228"/>
      <c r="BZX363" s="602"/>
      <c r="BZY363" s="603"/>
      <c r="BZZ363" s="614"/>
      <c r="CAA363" s="627"/>
      <c r="CAB363" s="625"/>
      <c r="CAC363" s="626"/>
      <c r="CAD363" s="229"/>
      <c r="CAE363" s="228"/>
      <c r="CAG363" s="602"/>
      <c r="CAH363" s="603"/>
      <c r="CAI363" s="614"/>
      <c r="CAJ363" s="627"/>
      <c r="CAK363" s="625"/>
      <c r="CAL363" s="626"/>
      <c r="CAM363" s="229"/>
      <c r="CAN363" s="228"/>
      <c r="CAP363" s="602"/>
      <c r="CAQ363" s="603"/>
      <c r="CAR363" s="614"/>
      <c r="CAS363" s="627"/>
      <c r="CAT363" s="625"/>
      <c r="CAU363" s="626"/>
      <c r="CAV363" s="229"/>
      <c r="CAW363" s="228"/>
      <c r="CAY363" s="602"/>
      <c r="CAZ363" s="603"/>
      <c r="CBA363" s="614"/>
      <c r="CBB363" s="627"/>
      <c r="CBC363" s="625"/>
      <c r="CBD363" s="626"/>
      <c r="CBE363" s="229"/>
      <c r="CBF363" s="228"/>
      <c r="CBH363" s="602"/>
      <c r="CBI363" s="603"/>
      <c r="CBJ363" s="614"/>
      <c r="CBK363" s="627"/>
      <c r="CBL363" s="625"/>
      <c r="CBM363" s="626"/>
      <c r="CBN363" s="229"/>
      <c r="CBO363" s="228"/>
      <c r="CBQ363" s="602"/>
      <c r="CBR363" s="603"/>
      <c r="CBS363" s="614"/>
      <c r="CBT363" s="627"/>
      <c r="CBU363" s="625"/>
      <c r="CBV363" s="626"/>
      <c r="CBW363" s="229"/>
      <c r="CBX363" s="228"/>
      <c r="CBZ363" s="602"/>
      <c r="CCA363" s="603"/>
      <c r="CCB363" s="614"/>
      <c r="CCC363" s="627"/>
      <c r="CCD363" s="625"/>
      <c r="CCE363" s="626"/>
      <c r="CCF363" s="229"/>
      <c r="CCG363" s="228"/>
      <c r="CCI363" s="602"/>
      <c r="CCJ363" s="603"/>
      <c r="CCK363" s="614"/>
      <c r="CCL363" s="627"/>
      <c r="CCM363" s="625"/>
      <c r="CCN363" s="626"/>
      <c r="CCO363" s="229"/>
      <c r="CCP363" s="228"/>
      <c r="CCR363" s="602"/>
      <c r="CCS363" s="603"/>
      <c r="CCT363" s="614"/>
      <c r="CCU363" s="627"/>
      <c r="CCV363" s="625"/>
      <c r="CCW363" s="626"/>
      <c r="CCX363" s="229"/>
      <c r="CCY363" s="228"/>
      <c r="CDA363" s="602"/>
      <c r="CDB363" s="603"/>
      <c r="CDC363" s="614"/>
      <c r="CDD363" s="627"/>
      <c r="CDE363" s="625"/>
      <c r="CDF363" s="626"/>
      <c r="CDG363" s="229"/>
      <c r="CDH363" s="228"/>
      <c r="CDJ363" s="602"/>
      <c r="CDK363" s="603"/>
      <c r="CDL363" s="614"/>
      <c r="CDM363" s="627"/>
      <c r="CDN363" s="625"/>
      <c r="CDO363" s="626"/>
      <c r="CDP363" s="229"/>
      <c r="CDQ363" s="228"/>
      <c r="CDS363" s="602"/>
      <c r="CDT363" s="603"/>
      <c r="CDU363" s="614"/>
      <c r="CDV363" s="627"/>
      <c r="CDW363" s="625"/>
      <c r="CDX363" s="626"/>
      <c r="CDY363" s="229"/>
      <c r="CDZ363" s="228"/>
      <c r="CEB363" s="602"/>
      <c r="CEC363" s="603"/>
      <c r="CED363" s="614"/>
      <c r="CEE363" s="627"/>
      <c r="CEF363" s="625"/>
      <c r="CEG363" s="626"/>
      <c r="CEH363" s="229"/>
      <c r="CEI363" s="228"/>
      <c r="CEK363" s="602"/>
      <c r="CEL363" s="603"/>
      <c r="CEM363" s="614"/>
      <c r="CEN363" s="627"/>
      <c r="CEO363" s="625"/>
      <c r="CEP363" s="626"/>
      <c r="CEQ363" s="229"/>
      <c r="CER363" s="228"/>
      <c r="CET363" s="602"/>
      <c r="CEU363" s="603"/>
      <c r="CEV363" s="614"/>
      <c r="CEW363" s="627"/>
      <c r="CEX363" s="625"/>
      <c r="CEY363" s="626"/>
      <c r="CEZ363" s="229"/>
      <c r="CFA363" s="228"/>
      <c r="CFC363" s="602"/>
      <c r="CFD363" s="603"/>
      <c r="CFE363" s="614"/>
      <c r="CFF363" s="627"/>
      <c r="CFG363" s="625"/>
      <c r="CFH363" s="626"/>
      <c r="CFI363" s="229"/>
      <c r="CFJ363" s="228"/>
      <c r="CFL363" s="602"/>
      <c r="CFM363" s="603"/>
      <c r="CFN363" s="614"/>
      <c r="CFO363" s="627"/>
      <c r="CFP363" s="625"/>
      <c r="CFQ363" s="626"/>
      <c r="CFR363" s="229"/>
      <c r="CFS363" s="228"/>
      <c r="CFU363" s="602"/>
      <c r="CFV363" s="603"/>
      <c r="CFW363" s="614"/>
      <c r="CFX363" s="627"/>
      <c r="CFY363" s="625"/>
      <c r="CFZ363" s="626"/>
      <c r="CGA363" s="229"/>
      <c r="CGB363" s="228"/>
      <c r="CGD363" s="602"/>
      <c r="CGE363" s="603"/>
      <c r="CGF363" s="614"/>
      <c r="CGG363" s="627"/>
      <c r="CGH363" s="625"/>
      <c r="CGI363" s="626"/>
      <c r="CGJ363" s="229"/>
      <c r="CGK363" s="228"/>
      <c r="CGM363" s="602"/>
      <c r="CGN363" s="603"/>
      <c r="CGO363" s="614"/>
      <c r="CGP363" s="627"/>
      <c r="CGQ363" s="625"/>
      <c r="CGR363" s="626"/>
      <c r="CGS363" s="229"/>
      <c r="CGT363" s="228"/>
      <c r="CGV363" s="602"/>
      <c r="CGW363" s="603"/>
      <c r="CGX363" s="614"/>
      <c r="CGY363" s="627"/>
      <c r="CGZ363" s="625"/>
      <c r="CHA363" s="626"/>
      <c r="CHB363" s="229"/>
      <c r="CHC363" s="228"/>
      <c r="CHE363" s="602"/>
      <c r="CHF363" s="603"/>
      <c r="CHG363" s="614"/>
      <c r="CHH363" s="627"/>
      <c r="CHI363" s="625"/>
      <c r="CHJ363" s="626"/>
      <c r="CHK363" s="229"/>
      <c r="CHL363" s="228"/>
      <c r="CHN363" s="602"/>
      <c r="CHO363" s="603"/>
      <c r="CHP363" s="614"/>
      <c r="CHQ363" s="627"/>
      <c r="CHR363" s="625"/>
      <c r="CHS363" s="626"/>
      <c r="CHT363" s="229"/>
      <c r="CHU363" s="228"/>
      <c r="CHW363" s="602"/>
      <c r="CHX363" s="603"/>
      <c r="CHY363" s="614"/>
      <c r="CHZ363" s="627"/>
      <c r="CIA363" s="625"/>
      <c r="CIB363" s="626"/>
      <c r="CIC363" s="229"/>
      <c r="CID363" s="228"/>
      <c r="CIF363" s="602"/>
      <c r="CIG363" s="603"/>
      <c r="CIH363" s="614"/>
      <c r="CII363" s="627"/>
      <c r="CIJ363" s="625"/>
      <c r="CIK363" s="626"/>
      <c r="CIL363" s="229"/>
      <c r="CIM363" s="228"/>
      <c r="CIO363" s="602"/>
      <c r="CIP363" s="603"/>
      <c r="CIQ363" s="614"/>
      <c r="CIR363" s="627"/>
      <c r="CIS363" s="625"/>
      <c r="CIT363" s="626"/>
      <c r="CIU363" s="229"/>
      <c r="CIV363" s="228"/>
      <c r="CIX363" s="602"/>
      <c r="CIY363" s="603"/>
      <c r="CIZ363" s="614"/>
      <c r="CJA363" s="627"/>
      <c r="CJB363" s="625"/>
      <c r="CJC363" s="626"/>
      <c r="CJD363" s="229"/>
      <c r="CJE363" s="228"/>
      <c r="CJG363" s="602"/>
      <c r="CJH363" s="603"/>
      <c r="CJI363" s="614"/>
      <c r="CJJ363" s="627"/>
      <c r="CJK363" s="625"/>
      <c r="CJL363" s="626"/>
      <c r="CJM363" s="229"/>
      <c r="CJN363" s="228"/>
      <c r="CJP363" s="602"/>
      <c r="CJQ363" s="603"/>
      <c r="CJR363" s="614"/>
      <c r="CJS363" s="627"/>
      <c r="CJT363" s="625"/>
      <c r="CJU363" s="626"/>
      <c r="CJV363" s="229"/>
      <c r="CJW363" s="228"/>
      <c r="CJY363" s="602"/>
      <c r="CJZ363" s="603"/>
      <c r="CKA363" s="614"/>
      <c r="CKB363" s="627"/>
      <c r="CKC363" s="625"/>
      <c r="CKD363" s="626"/>
      <c r="CKE363" s="229"/>
      <c r="CKF363" s="228"/>
      <c r="CKH363" s="602"/>
      <c r="CKI363" s="603"/>
      <c r="CKJ363" s="614"/>
      <c r="CKK363" s="627"/>
      <c r="CKL363" s="625"/>
      <c r="CKM363" s="626"/>
      <c r="CKN363" s="229"/>
      <c r="CKO363" s="228"/>
      <c r="CKQ363" s="602"/>
      <c r="CKR363" s="603"/>
      <c r="CKS363" s="614"/>
      <c r="CKT363" s="627"/>
      <c r="CKU363" s="625"/>
      <c r="CKV363" s="626"/>
      <c r="CKW363" s="229"/>
      <c r="CKX363" s="228"/>
      <c r="CKZ363" s="602"/>
      <c r="CLA363" s="603"/>
      <c r="CLB363" s="614"/>
      <c r="CLC363" s="627"/>
      <c r="CLD363" s="625"/>
      <c r="CLE363" s="626"/>
      <c r="CLF363" s="229"/>
      <c r="CLG363" s="228"/>
      <c r="CLI363" s="602"/>
      <c r="CLJ363" s="603"/>
      <c r="CLK363" s="614"/>
      <c r="CLL363" s="627"/>
      <c r="CLM363" s="625"/>
      <c r="CLN363" s="626"/>
      <c r="CLO363" s="229"/>
      <c r="CLP363" s="228"/>
      <c r="CLR363" s="602"/>
      <c r="CLS363" s="603"/>
      <c r="CLT363" s="614"/>
      <c r="CLU363" s="627"/>
      <c r="CLV363" s="625"/>
      <c r="CLW363" s="626"/>
      <c r="CLX363" s="229"/>
      <c r="CLY363" s="228"/>
      <c r="CMA363" s="602"/>
      <c r="CMB363" s="603"/>
      <c r="CMC363" s="614"/>
      <c r="CMD363" s="627"/>
      <c r="CME363" s="625"/>
      <c r="CMF363" s="626"/>
      <c r="CMG363" s="229"/>
      <c r="CMH363" s="228"/>
      <c r="CMJ363" s="602"/>
      <c r="CMK363" s="603"/>
      <c r="CML363" s="614"/>
      <c r="CMM363" s="627"/>
      <c r="CMN363" s="625"/>
      <c r="CMO363" s="626"/>
      <c r="CMP363" s="229"/>
      <c r="CMQ363" s="228"/>
      <c r="CMS363" s="602"/>
      <c r="CMT363" s="603"/>
      <c r="CMU363" s="614"/>
      <c r="CMV363" s="627"/>
      <c r="CMW363" s="625"/>
      <c r="CMX363" s="626"/>
      <c r="CMY363" s="229"/>
      <c r="CMZ363" s="228"/>
      <c r="CNB363" s="602"/>
      <c r="CNC363" s="603"/>
      <c r="CND363" s="614"/>
      <c r="CNE363" s="627"/>
      <c r="CNF363" s="625"/>
      <c r="CNG363" s="626"/>
      <c r="CNH363" s="229"/>
      <c r="CNI363" s="228"/>
      <c r="CNK363" s="602"/>
      <c r="CNL363" s="603"/>
      <c r="CNM363" s="614"/>
      <c r="CNN363" s="627"/>
      <c r="CNO363" s="625"/>
      <c r="CNP363" s="626"/>
      <c r="CNQ363" s="229"/>
      <c r="CNR363" s="228"/>
      <c r="CNT363" s="602"/>
      <c r="CNU363" s="603"/>
      <c r="CNV363" s="614"/>
      <c r="CNW363" s="627"/>
      <c r="CNX363" s="625"/>
      <c r="CNY363" s="626"/>
      <c r="CNZ363" s="229"/>
      <c r="COA363" s="228"/>
      <c r="COC363" s="602"/>
      <c r="COD363" s="603"/>
      <c r="COE363" s="614"/>
      <c r="COF363" s="627"/>
      <c r="COG363" s="625"/>
      <c r="COH363" s="626"/>
      <c r="COI363" s="229"/>
      <c r="COJ363" s="228"/>
      <c r="COL363" s="602"/>
      <c r="COM363" s="603"/>
      <c r="CON363" s="614"/>
      <c r="COO363" s="627"/>
      <c r="COP363" s="625"/>
      <c r="COQ363" s="626"/>
      <c r="COR363" s="229"/>
      <c r="COS363" s="228"/>
      <c r="COU363" s="602"/>
      <c r="COV363" s="603"/>
      <c r="COW363" s="614"/>
      <c r="COX363" s="627"/>
      <c r="COY363" s="625"/>
      <c r="COZ363" s="626"/>
      <c r="CPA363" s="229"/>
      <c r="CPB363" s="228"/>
      <c r="CPD363" s="602"/>
      <c r="CPE363" s="603"/>
      <c r="CPF363" s="614"/>
      <c r="CPG363" s="627"/>
      <c r="CPH363" s="625"/>
      <c r="CPI363" s="626"/>
      <c r="CPJ363" s="229"/>
      <c r="CPK363" s="228"/>
      <c r="CPM363" s="602"/>
      <c r="CPN363" s="603"/>
      <c r="CPO363" s="614"/>
      <c r="CPP363" s="627"/>
      <c r="CPQ363" s="625"/>
      <c r="CPR363" s="626"/>
      <c r="CPS363" s="229"/>
      <c r="CPT363" s="228"/>
      <c r="CPV363" s="602"/>
      <c r="CPW363" s="603"/>
      <c r="CPX363" s="614"/>
      <c r="CPY363" s="627"/>
      <c r="CPZ363" s="625"/>
      <c r="CQA363" s="626"/>
      <c r="CQB363" s="229"/>
      <c r="CQC363" s="228"/>
      <c r="CQE363" s="602"/>
      <c r="CQF363" s="603"/>
      <c r="CQG363" s="614"/>
      <c r="CQH363" s="627"/>
      <c r="CQI363" s="625"/>
      <c r="CQJ363" s="626"/>
      <c r="CQK363" s="229"/>
      <c r="CQL363" s="228"/>
      <c r="CQN363" s="602"/>
      <c r="CQO363" s="603"/>
      <c r="CQP363" s="614"/>
      <c r="CQQ363" s="627"/>
      <c r="CQR363" s="625"/>
      <c r="CQS363" s="626"/>
      <c r="CQT363" s="229"/>
      <c r="CQU363" s="228"/>
      <c r="CQW363" s="602"/>
      <c r="CQX363" s="603"/>
      <c r="CQY363" s="614"/>
      <c r="CQZ363" s="627"/>
      <c r="CRA363" s="625"/>
      <c r="CRB363" s="626"/>
      <c r="CRC363" s="229"/>
      <c r="CRD363" s="228"/>
      <c r="CRF363" s="602"/>
      <c r="CRG363" s="603"/>
      <c r="CRH363" s="614"/>
      <c r="CRI363" s="627"/>
      <c r="CRJ363" s="625"/>
      <c r="CRK363" s="626"/>
      <c r="CRL363" s="229"/>
      <c r="CRM363" s="228"/>
      <c r="CRO363" s="602"/>
      <c r="CRP363" s="603"/>
      <c r="CRQ363" s="614"/>
      <c r="CRR363" s="627"/>
      <c r="CRS363" s="625"/>
      <c r="CRT363" s="626"/>
      <c r="CRU363" s="229"/>
      <c r="CRV363" s="228"/>
      <c r="CRX363" s="602"/>
      <c r="CRY363" s="603"/>
      <c r="CRZ363" s="614"/>
      <c r="CSA363" s="627"/>
      <c r="CSB363" s="625"/>
      <c r="CSC363" s="626"/>
      <c r="CSD363" s="229"/>
      <c r="CSE363" s="228"/>
      <c r="CSG363" s="602"/>
      <c r="CSH363" s="603"/>
      <c r="CSI363" s="614"/>
      <c r="CSJ363" s="627"/>
      <c r="CSK363" s="625"/>
      <c r="CSL363" s="626"/>
      <c r="CSM363" s="229"/>
      <c r="CSN363" s="228"/>
      <c r="CSP363" s="602"/>
      <c r="CSQ363" s="603"/>
      <c r="CSR363" s="614"/>
      <c r="CSS363" s="627"/>
      <c r="CST363" s="625"/>
      <c r="CSU363" s="626"/>
      <c r="CSV363" s="229"/>
      <c r="CSW363" s="228"/>
      <c r="CSY363" s="602"/>
      <c r="CSZ363" s="603"/>
      <c r="CTA363" s="614"/>
      <c r="CTB363" s="627"/>
      <c r="CTC363" s="625"/>
      <c r="CTD363" s="626"/>
      <c r="CTE363" s="229"/>
      <c r="CTF363" s="228"/>
      <c r="CTH363" s="602"/>
      <c r="CTI363" s="603"/>
      <c r="CTJ363" s="614"/>
      <c r="CTK363" s="627"/>
      <c r="CTL363" s="625"/>
      <c r="CTM363" s="626"/>
      <c r="CTN363" s="229"/>
      <c r="CTO363" s="228"/>
      <c r="CTQ363" s="602"/>
      <c r="CTR363" s="603"/>
      <c r="CTS363" s="614"/>
      <c r="CTT363" s="627"/>
      <c r="CTU363" s="625"/>
      <c r="CTV363" s="626"/>
      <c r="CTW363" s="229"/>
      <c r="CTX363" s="228"/>
      <c r="CTZ363" s="602"/>
      <c r="CUA363" s="603"/>
      <c r="CUB363" s="614"/>
      <c r="CUC363" s="627"/>
      <c r="CUD363" s="625"/>
      <c r="CUE363" s="626"/>
      <c r="CUF363" s="229"/>
      <c r="CUG363" s="228"/>
      <c r="CUI363" s="602"/>
      <c r="CUJ363" s="603"/>
      <c r="CUK363" s="614"/>
      <c r="CUL363" s="627"/>
      <c r="CUM363" s="625"/>
      <c r="CUN363" s="626"/>
      <c r="CUO363" s="229"/>
      <c r="CUP363" s="228"/>
      <c r="CUR363" s="602"/>
      <c r="CUS363" s="603"/>
      <c r="CUT363" s="614"/>
      <c r="CUU363" s="627"/>
      <c r="CUV363" s="625"/>
      <c r="CUW363" s="626"/>
      <c r="CUX363" s="229"/>
      <c r="CUY363" s="228"/>
      <c r="CVA363" s="602"/>
      <c r="CVB363" s="603"/>
      <c r="CVC363" s="614"/>
      <c r="CVD363" s="627"/>
      <c r="CVE363" s="625"/>
      <c r="CVF363" s="626"/>
      <c r="CVG363" s="229"/>
      <c r="CVH363" s="228"/>
      <c r="CVJ363" s="602"/>
      <c r="CVK363" s="603"/>
      <c r="CVL363" s="614"/>
      <c r="CVM363" s="627"/>
      <c r="CVN363" s="625"/>
      <c r="CVO363" s="626"/>
      <c r="CVP363" s="229"/>
      <c r="CVQ363" s="228"/>
      <c r="CVS363" s="602"/>
      <c r="CVT363" s="603"/>
      <c r="CVU363" s="614"/>
      <c r="CVV363" s="627"/>
      <c r="CVW363" s="625"/>
      <c r="CVX363" s="626"/>
      <c r="CVY363" s="229"/>
      <c r="CVZ363" s="228"/>
      <c r="CWB363" s="602"/>
      <c r="CWC363" s="603"/>
      <c r="CWD363" s="614"/>
      <c r="CWE363" s="627"/>
      <c r="CWF363" s="625"/>
      <c r="CWG363" s="626"/>
      <c r="CWH363" s="229"/>
      <c r="CWI363" s="228"/>
      <c r="CWK363" s="602"/>
      <c r="CWL363" s="603"/>
      <c r="CWM363" s="614"/>
      <c r="CWN363" s="627"/>
      <c r="CWO363" s="625"/>
      <c r="CWP363" s="626"/>
      <c r="CWQ363" s="229"/>
      <c r="CWR363" s="228"/>
      <c r="CWT363" s="602"/>
      <c r="CWU363" s="603"/>
      <c r="CWV363" s="614"/>
      <c r="CWW363" s="627"/>
      <c r="CWX363" s="625"/>
      <c r="CWY363" s="626"/>
      <c r="CWZ363" s="229"/>
      <c r="CXA363" s="228"/>
      <c r="CXC363" s="602"/>
      <c r="CXD363" s="603"/>
      <c r="CXE363" s="614"/>
      <c r="CXF363" s="627"/>
      <c r="CXG363" s="625"/>
      <c r="CXH363" s="626"/>
      <c r="CXI363" s="229"/>
      <c r="CXJ363" s="228"/>
      <c r="CXL363" s="602"/>
      <c r="CXM363" s="603"/>
      <c r="CXN363" s="614"/>
      <c r="CXO363" s="627"/>
      <c r="CXP363" s="625"/>
      <c r="CXQ363" s="626"/>
      <c r="CXR363" s="229"/>
      <c r="CXS363" s="228"/>
      <c r="CXU363" s="602"/>
      <c r="CXV363" s="603"/>
      <c r="CXW363" s="614"/>
      <c r="CXX363" s="627"/>
      <c r="CXY363" s="625"/>
      <c r="CXZ363" s="626"/>
      <c r="CYA363" s="229"/>
      <c r="CYB363" s="228"/>
      <c r="CYD363" s="602"/>
      <c r="CYE363" s="603"/>
      <c r="CYF363" s="614"/>
      <c r="CYG363" s="627"/>
      <c r="CYH363" s="625"/>
      <c r="CYI363" s="626"/>
      <c r="CYJ363" s="229"/>
      <c r="CYK363" s="228"/>
      <c r="CYM363" s="602"/>
      <c r="CYN363" s="603"/>
      <c r="CYO363" s="614"/>
      <c r="CYP363" s="627"/>
      <c r="CYQ363" s="625"/>
      <c r="CYR363" s="626"/>
      <c r="CYS363" s="229"/>
      <c r="CYT363" s="228"/>
      <c r="CYV363" s="602"/>
      <c r="CYW363" s="603"/>
      <c r="CYX363" s="614"/>
      <c r="CYY363" s="627"/>
      <c r="CYZ363" s="625"/>
      <c r="CZA363" s="626"/>
      <c r="CZB363" s="229"/>
      <c r="CZC363" s="228"/>
      <c r="CZE363" s="602"/>
      <c r="CZF363" s="603"/>
      <c r="CZG363" s="614"/>
      <c r="CZH363" s="627"/>
      <c r="CZI363" s="625"/>
      <c r="CZJ363" s="626"/>
      <c r="CZK363" s="229"/>
      <c r="CZL363" s="228"/>
      <c r="CZN363" s="602"/>
      <c r="CZO363" s="603"/>
      <c r="CZP363" s="614"/>
      <c r="CZQ363" s="627"/>
      <c r="CZR363" s="625"/>
      <c r="CZS363" s="626"/>
      <c r="CZT363" s="229"/>
      <c r="CZU363" s="228"/>
      <c r="CZW363" s="602"/>
      <c r="CZX363" s="603"/>
      <c r="CZY363" s="614"/>
      <c r="CZZ363" s="627"/>
      <c r="DAA363" s="625"/>
      <c r="DAB363" s="626"/>
      <c r="DAC363" s="229"/>
      <c r="DAD363" s="228"/>
      <c r="DAF363" s="602"/>
      <c r="DAG363" s="603"/>
      <c r="DAH363" s="614"/>
      <c r="DAI363" s="627"/>
      <c r="DAJ363" s="625"/>
      <c r="DAK363" s="626"/>
      <c r="DAL363" s="229"/>
      <c r="DAM363" s="228"/>
      <c r="DAO363" s="602"/>
      <c r="DAP363" s="603"/>
      <c r="DAQ363" s="614"/>
      <c r="DAR363" s="627"/>
      <c r="DAS363" s="625"/>
      <c r="DAT363" s="626"/>
      <c r="DAU363" s="229"/>
      <c r="DAV363" s="228"/>
      <c r="DAX363" s="602"/>
      <c r="DAY363" s="603"/>
      <c r="DAZ363" s="614"/>
      <c r="DBA363" s="627"/>
      <c r="DBB363" s="625"/>
      <c r="DBC363" s="626"/>
      <c r="DBD363" s="229"/>
      <c r="DBE363" s="228"/>
      <c r="DBG363" s="602"/>
      <c r="DBH363" s="603"/>
      <c r="DBI363" s="614"/>
      <c r="DBJ363" s="627"/>
      <c r="DBK363" s="625"/>
      <c r="DBL363" s="626"/>
      <c r="DBM363" s="229"/>
      <c r="DBN363" s="228"/>
      <c r="DBP363" s="602"/>
      <c r="DBQ363" s="603"/>
      <c r="DBR363" s="614"/>
      <c r="DBS363" s="627"/>
      <c r="DBT363" s="625"/>
      <c r="DBU363" s="626"/>
      <c r="DBV363" s="229"/>
      <c r="DBW363" s="228"/>
      <c r="DBY363" s="602"/>
      <c r="DBZ363" s="603"/>
      <c r="DCA363" s="614"/>
      <c r="DCB363" s="627"/>
      <c r="DCC363" s="625"/>
      <c r="DCD363" s="626"/>
      <c r="DCE363" s="229"/>
      <c r="DCF363" s="228"/>
      <c r="DCH363" s="602"/>
      <c r="DCI363" s="603"/>
      <c r="DCJ363" s="614"/>
      <c r="DCK363" s="627"/>
      <c r="DCL363" s="625"/>
      <c r="DCM363" s="626"/>
      <c r="DCN363" s="229"/>
      <c r="DCO363" s="228"/>
      <c r="DCQ363" s="602"/>
      <c r="DCR363" s="603"/>
      <c r="DCS363" s="614"/>
      <c r="DCT363" s="627"/>
      <c r="DCU363" s="625"/>
      <c r="DCV363" s="626"/>
      <c r="DCW363" s="229"/>
      <c r="DCX363" s="228"/>
      <c r="DCZ363" s="602"/>
      <c r="DDA363" s="603"/>
      <c r="DDB363" s="614"/>
      <c r="DDC363" s="627"/>
      <c r="DDD363" s="625"/>
      <c r="DDE363" s="626"/>
      <c r="DDF363" s="229"/>
      <c r="DDG363" s="228"/>
      <c r="DDI363" s="602"/>
      <c r="DDJ363" s="603"/>
      <c r="DDK363" s="614"/>
      <c r="DDL363" s="627"/>
      <c r="DDM363" s="625"/>
      <c r="DDN363" s="626"/>
      <c r="DDO363" s="229"/>
      <c r="DDP363" s="228"/>
      <c r="DDR363" s="602"/>
      <c r="DDS363" s="603"/>
      <c r="DDT363" s="614"/>
      <c r="DDU363" s="627"/>
      <c r="DDV363" s="625"/>
      <c r="DDW363" s="626"/>
      <c r="DDX363" s="229"/>
      <c r="DDY363" s="228"/>
      <c r="DEA363" s="602"/>
      <c r="DEB363" s="603"/>
      <c r="DEC363" s="614"/>
      <c r="DED363" s="627"/>
      <c r="DEE363" s="625"/>
      <c r="DEF363" s="626"/>
      <c r="DEG363" s="229"/>
      <c r="DEH363" s="228"/>
      <c r="DEJ363" s="602"/>
      <c r="DEK363" s="603"/>
      <c r="DEL363" s="614"/>
      <c r="DEM363" s="627"/>
      <c r="DEN363" s="625"/>
      <c r="DEO363" s="626"/>
      <c r="DEP363" s="229"/>
      <c r="DEQ363" s="228"/>
      <c r="DES363" s="602"/>
      <c r="DET363" s="603"/>
      <c r="DEU363" s="614"/>
      <c r="DEV363" s="627"/>
      <c r="DEW363" s="625"/>
      <c r="DEX363" s="626"/>
      <c r="DEY363" s="229"/>
      <c r="DEZ363" s="228"/>
      <c r="DFB363" s="602"/>
      <c r="DFC363" s="603"/>
      <c r="DFD363" s="614"/>
      <c r="DFE363" s="627"/>
      <c r="DFF363" s="625"/>
      <c r="DFG363" s="626"/>
      <c r="DFH363" s="229"/>
      <c r="DFI363" s="228"/>
      <c r="DFK363" s="602"/>
      <c r="DFL363" s="603"/>
      <c r="DFM363" s="614"/>
      <c r="DFN363" s="627"/>
      <c r="DFO363" s="625"/>
      <c r="DFP363" s="626"/>
      <c r="DFQ363" s="229"/>
      <c r="DFR363" s="228"/>
      <c r="DFT363" s="602"/>
      <c r="DFU363" s="603"/>
      <c r="DFV363" s="614"/>
      <c r="DFW363" s="627"/>
      <c r="DFX363" s="625"/>
      <c r="DFY363" s="626"/>
      <c r="DFZ363" s="229"/>
      <c r="DGA363" s="228"/>
      <c r="DGC363" s="602"/>
      <c r="DGD363" s="603"/>
      <c r="DGE363" s="614"/>
      <c r="DGF363" s="627"/>
      <c r="DGG363" s="625"/>
      <c r="DGH363" s="626"/>
      <c r="DGI363" s="229"/>
      <c r="DGJ363" s="228"/>
      <c r="DGL363" s="602"/>
      <c r="DGM363" s="603"/>
      <c r="DGN363" s="614"/>
      <c r="DGO363" s="627"/>
      <c r="DGP363" s="625"/>
      <c r="DGQ363" s="626"/>
      <c r="DGR363" s="229"/>
      <c r="DGS363" s="228"/>
      <c r="DGU363" s="602"/>
      <c r="DGV363" s="603"/>
      <c r="DGW363" s="614"/>
      <c r="DGX363" s="627"/>
      <c r="DGY363" s="625"/>
      <c r="DGZ363" s="626"/>
      <c r="DHA363" s="229"/>
      <c r="DHB363" s="228"/>
      <c r="DHD363" s="602"/>
      <c r="DHE363" s="603"/>
      <c r="DHF363" s="614"/>
      <c r="DHG363" s="627"/>
      <c r="DHH363" s="625"/>
      <c r="DHI363" s="626"/>
      <c r="DHJ363" s="229"/>
      <c r="DHK363" s="228"/>
      <c r="DHM363" s="602"/>
      <c r="DHN363" s="603"/>
      <c r="DHO363" s="614"/>
      <c r="DHP363" s="627"/>
      <c r="DHQ363" s="625"/>
      <c r="DHR363" s="626"/>
      <c r="DHS363" s="229"/>
      <c r="DHT363" s="228"/>
      <c r="DHV363" s="602"/>
      <c r="DHW363" s="603"/>
      <c r="DHX363" s="614"/>
      <c r="DHY363" s="627"/>
      <c r="DHZ363" s="625"/>
      <c r="DIA363" s="626"/>
      <c r="DIB363" s="229"/>
      <c r="DIC363" s="228"/>
      <c r="DIE363" s="602"/>
      <c r="DIF363" s="603"/>
      <c r="DIG363" s="614"/>
      <c r="DIH363" s="627"/>
      <c r="DII363" s="625"/>
      <c r="DIJ363" s="626"/>
      <c r="DIK363" s="229"/>
      <c r="DIL363" s="228"/>
      <c r="DIN363" s="602"/>
      <c r="DIO363" s="603"/>
      <c r="DIP363" s="614"/>
      <c r="DIQ363" s="627"/>
      <c r="DIR363" s="625"/>
      <c r="DIS363" s="626"/>
      <c r="DIT363" s="229"/>
      <c r="DIU363" s="228"/>
      <c r="DIW363" s="602"/>
      <c r="DIX363" s="603"/>
      <c r="DIY363" s="614"/>
      <c r="DIZ363" s="627"/>
      <c r="DJA363" s="625"/>
      <c r="DJB363" s="626"/>
      <c r="DJC363" s="229"/>
      <c r="DJD363" s="228"/>
      <c r="DJF363" s="602"/>
      <c r="DJG363" s="603"/>
      <c r="DJH363" s="614"/>
      <c r="DJI363" s="627"/>
      <c r="DJJ363" s="625"/>
      <c r="DJK363" s="626"/>
      <c r="DJL363" s="229"/>
      <c r="DJM363" s="228"/>
      <c r="DJO363" s="602"/>
      <c r="DJP363" s="603"/>
      <c r="DJQ363" s="614"/>
      <c r="DJR363" s="627"/>
      <c r="DJS363" s="625"/>
      <c r="DJT363" s="626"/>
      <c r="DJU363" s="229"/>
      <c r="DJV363" s="228"/>
      <c r="DJX363" s="602"/>
      <c r="DJY363" s="603"/>
      <c r="DJZ363" s="614"/>
      <c r="DKA363" s="627"/>
      <c r="DKB363" s="625"/>
      <c r="DKC363" s="626"/>
      <c r="DKD363" s="229"/>
      <c r="DKE363" s="228"/>
      <c r="DKG363" s="602"/>
      <c r="DKH363" s="603"/>
      <c r="DKI363" s="614"/>
      <c r="DKJ363" s="627"/>
      <c r="DKK363" s="625"/>
      <c r="DKL363" s="626"/>
      <c r="DKM363" s="229"/>
      <c r="DKN363" s="228"/>
      <c r="DKP363" s="602"/>
      <c r="DKQ363" s="603"/>
      <c r="DKR363" s="614"/>
      <c r="DKS363" s="627"/>
      <c r="DKT363" s="625"/>
      <c r="DKU363" s="626"/>
      <c r="DKV363" s="229"/>
      <c r="DKW363" s="228"/>
      <c r="DKY363" s="602"/>
      <c r="DKZ363" s="603"/>
      <c r="DLA363" s="614"/>
      <c r="DLB363" s="627"/>
      <c r="DLC363" s="625"/>
      <c r="DLD363" s="626"/>
      <c r="DLE363" s="229"/>
      <c r="DLF363" s="228"/>
      <c r="DLH363" s="602"/>
      <c r="DLI363" s="603"/>
      <c r="DLJ363" s="614"/>
      <c r="DLK363" s="627"/>
      <c r="DLL363" s="625"/>
      <c r="DLM363" s="626"/>
      <c r="DLN363" s="229"/>
      <c r="DLO363" s="228"/>
      <c r="DLQ363" s="602"/>
      <c r="DLR363" s="603"/>
      <c r="DLS363" s="614"/>
      <c r="DLT363" s="627"/>
      <c r="DLU363" s="625"/>
      <c r="DLV363" s="626"/>
      <c r="DLW363" s="229"/>
      <c r="DLX363" s="228"/>
      <c r="DLZ363" s="602"/>
      <c r="DMA363" s="603"/>
      <c r="DMB363" s="614"/>
      <c r="DMC363" s="627"/>
      <c r="DMD363" s="625"/>
      <c r="DME363" s="626"/>
      <c r="DMF363" s="229"/>
      <c r="DMG363" s="228"/>
      <c r="DMI363" s="602"/>
      <c r="DMJ363" s="603"/>
      <c r="DMK363" s="614"/>
      <c r="DML363" s="627"/>
      <c r="DMM363" s="625"/>
      <c r="DMN363" s="626"/>
      <c r="DMO363" s="229"/>
      <c r="DMP363" s="228"/>
      <c r="DMR363" s="602"/>
      <c r="DMS363" s="603"/>
      <c r="DMT363" s="614"/>
      <c r="DMU363" s="627"/>
      <c r="DMV363" s="625"/>
      <c r="DMW363" s="626"/>
      <c r="DMX363" s="229"/>
      <c r="DMY363" s="228"/>
      <c r="DNA363" s="602"/>
      <c r="DNB363" s="603"/>
      <c r="DNC363" s="614"/>
      <c r="DND363" s="627"/>
      <c r="DNE363" s="625"/>
      <c r="DNF363" s="626"/>
      <c r="DNG363" s="229"/>
      <c r="DNH363" s="228"/>
      <c r="DNJ363" s="602"/>
      <c r="DNK363" s="603"/>
      <c r="DNL363" s="614"/>
      <c r="DNM363" s="627"/>
      <c r="DNN363" s="625"/>
      <c r="DNO363" s="626"/>
      <c r="DNP363" s="229"/>
      <c r="DNQ363" s="228"/>
      <c r="DNS363" s="602"/>
      <c r="DNT363" s="603"/>
      <c r="DNU363" s="614"/>
      <c r="DNV363" s="627"/>
      <c r="DNW363" s="625"/>
      <c r="DNX363" s="626"/>
      <c r="DNY363" s="229"/>
      <c r="DNZ363" s="228"/>
      <c r="DOB363" s="602"/>
      <c r="DOC363" s="603"/>
      <c r="DOD363" s="614"/>
      <c r="DOE363" s="627"/>
      <c r="DOF363" s="625"/>
      <c r="DOG363" s="626"/>
      <c r="DOH363" s="229"/>
      <c r="DOI363" s="228"/>
      <c r="DOK363" s="602"/>
      <c r="DOL363" s="603"/>
      <c r="DOM363" s="614"/>
      <c r="DON363" s="627"/>
      <c r="DOO363" s="625"/>
      <c r="DOP363" s="626"/>
      <c r="DOQ363" s="229"/>
      <c r="DOR363" s="228"/>
      <c r="DOT363" s="602"/>
      <c r="DOU363" s="603"/>
      <c r="DOV363" s="614"/>
      <c r="DOW363" s="627"/>
      <c r="DOX363" s="625"/>
      <c r="DOY363" s="626"/>
      <c r="DOZ363" s="229"/>
      <c r="DPA363" s="228"/>
      <c r="DPC363" s="602"/>
      <c r="DPD363" s="603"/>
      <c r="DPE363" s="614"/>
      <c r="DPF363" s="627"/>
      <c r="DPG363" s="625"/>
      <c r="DPH363" s="626"/>
      <c r="DPI363" s="229"/>
      <c r="DPJ363" s="228"/>
      <c r="DPL363" s="602"/>
      <c r="DPM363" s="603"/>
      <c r="DPN363" s="614"/>
      <c r="DPO363" s="627"/>
      <c r="DPP363" s="625"/>
      <c r="DPQ363" s="626"/>
      <c r="DPR363" s="229"/>
      <c r="DPS363" s="228"/>
      <c r="DPU363" s="602"/>
      <c r="DPV363" s="603"/>
      <c r="DPW363" s="614"/>
      <c r="DPX363" s="627"/>
      <c r="DPY363" s="625"/>
      <c r="DPZ363" s="626"/>
      <c r="DQA363" s="229"/>
      <c r="DQB363" s="228"/>
      <c r="DQD363" s="602"/>
      <c r="DQE363" s="603"/>
      <c r="DQF363" s="614"/>
      <c r="DQG363" s="627"/>
      <c r="DQH363" s="625"/>
      <c r="DQI363" s="626"/>
      <c r="DQJ363" s="229"/>
      <c r="DQK363" s="228"/>
      <c r="DQM363" s="602"/>
      <c r="DQN363" s="603"/>
      <c r="DQO363" s="614"/>
      <c r="DQP363" s="627"/>
      <c r="DQQ363" s="625"/>
      <c r="DQR363" s="626"/>
      <c r="DQS363" s="229"/>
      <c r="DQT363" s="228"/>
      <c r="DQV363" s="602"/>
      <c r="DQW363" s="603"/>
      <c r="DQX363" s="614"/>
      <c r="DQY363" s="627"/>
      <c r="DQZ363" s="625"/>
      <c r="DRA363" s="626"/>
      <c r="DRB363" s="229"/>
      <c r="DRC363" s="228"/>
      <c r="DRE363" s="602"/>
      <c r="DRF363" s="603"/>
      <c r="DRG363" s="614"/>
      <c r="DRH363" s="627"/>
      <c r="DRI363" s="625"/>
      <c r="DRJ363" s="626"/>
      <c r="DRK363" s="229"/>
      <c r="DRL363" s="228"/>
      <c r="DRN363" s="602"/>
      <c r="DRO363" s="603"/>
      <c r="DRP363" s="614"/>
      <c r="DRQ363" s="627"/>
      <c r="DRR363" s="625"/>
      <c r="DRS363" s="626"/>
      <c r="DRT363" s="229"/>
      <c r="DRU363" s="228"/>
      <c r="DRW363" s="602"/>
      <c r="DRX363" s="603"/>
      <c r="DRY363" s="614"/>
      <c r="DRZ363" s="627"/>
      <c r="DSA363" s="625"/>
      <c r="DSB363" s="626"/>
      <c r="DSC363" s="229"/>
      <c r="DSD363" s="228"/>
      <c r="DSF363" s="602"/>
      <c r="DSG363" s="603"/>
      <c r="DSH363" s="614"/>
      <c r="DSI363" s="627"/>
      <c r="DSJ363" s="625"/>
      <c r="DSK363" s="626"/>
      <c r="DSL363" s="229"/>
      <c r="DSM363" s="228"/>
      <c r="DSO363" s="602"/>
      <c r="DSP363" s="603"/>
      <c r="DSQ363" s="614"/>
      <c r="DSR363" s="627"/>
      <c r="DSS363" s="625"/>
      <c r="DST363" s="626"/>
      <c r="DSU363" s="229"/>
      <c r="DSV363" s="228"/>
      <c r="DSX363" s="602"/>
      <c r="DSY363" s="603"/>
      <c r="DSZ363" s="614"/>
      <c r="DTA363" s="627"/>
      <c r="DTB363" s="625"/>
      <c r="DTC363" s="626"/>
      <c r="DTD363" s="229"/>
      <c r="DTE363" s="228"/>
      <c r="DTG363" s="602"/>
      <c r="DTH363" s="603"/>
      <c r="DTI363" s="614"/>
      <c r="DTJ363" s="627"/>
      <c r="DTK363" s="625"/>
      <c r="DTL363" s="626"/>
      <c r="DTM363" s="229"/>
      <c r="DTN363" s="228"/>
      <c r="DTP363" s="602"/>
      <c r="DTQ363" s="603"/>
      <c r="DTR363" s="614"/>
      <c r="DTS363" s="627"/>
      <c r="DTT363" s="625"/>
      <c r="DTU363" s="626"/>
      <c r="DTV363" s="229"/>
      <c r="DTW363" s="228"/>
      <c r="DTY363" s="602"/>
      <c r="DTZ363" s="603"/>
      <c r="DUA363" s="614"/>
      <c r="DUB363" s="627"/>
      <c r="DUC363" s="625"/>
      <c r="DUD363" s="626"/>
      <c r="DUE363" s="229"/>
      <c r="DUF363" s="228"/>
      <c r="DUH363" s="602"/>
      <c r="DUI363" s="603"/>
      <c r="DUJ363" s="614"/>
      <c r="DUK363" s="627"/>
      <c r="DUL363" s="625"/>
      <c r="DUM363" s="626"/>
      <c r="DUN363" s="229"/>
      <c r="DUO363" s="228"/>
      <c r="DUQ363" s="602"/>
      <c r="DUR363" s="603"/>
      <c r="DUS363" s="614"/>
      <c r="DUT363" s="627"/>
      <c r="DUU363" s="625"/>
      <c r="DUV363" s="626"/>
      <c r="DUW363" s="229"/>
      <c r="DUX363" s="228"/>
      <c r="DUZ363" s="602"/>
      <c r="DVA363" s="603"/>
      <c r="DVB363" s="614"/>
      <c r="DVC363" s="627"/>
      <c r="DVD363" s="625"/>
      <c r="DVE363" s="626"/>
      <c r="DVF363" s="229"/>
      <c r="DVG363" s="228"/>
      <c r="DVI363" s="602"/>
      <c r="DVJ363" s="603"/>
      <c r="DVK363" s="614"/>
      <c r="DVL363" s="627"/>
      <c r="DVM363" s="625"/>
      <c r="DVN363" s="626"/>
      <c r="DVO363" s="229"/>
      <c r="DVP363" s="228"/>
      <c r="DVR363" s="602"/>
      <c r="DVS363" s="603"/>
      <c r="DVT363" s="614"/>
      <c r="DVU363" s="627"/>
      <c r="DVV363" s="625"/>
      <c r="DVW363" s="626"/>
      <c r="DVX363" s="229"/>
      <c r="DVY363" s="228"/>
      <c r="DWA363" s="602"/>
      <c r="DWB363" s="603"/>
      <c r="DWC363" s="614"/>
      <c r="DWD363" s="627"/>
      <c r="DWE363" s="625"/>
      <c r="DWF363" s="626"/>
      <c r="DWG363" s="229"/>
      <c r="DWH363" s="228"/>
      <c r="DWJ363" s="602"/>
      <c r="DWK363" s="603"/>
      <c r="DWL363" s="614"/>
      <c r="DWM363" s="627"/>
      <c r="DWN363" s="625"/>
      <c r="DWO363" s="626"/>
      <c r="DWP363" s="229"/>
      <c r="DWQ363" s="228"/>
      <c r="DWS363" s="602"/>
      <c r="DWT363" s="603"/>
      <c r="DWU363" s="614"/>
      <c r="DWV363" s="627"/>
      <c r="DWW363" s="625"/>
      <c r="DWX363" s="626"/>
      <c r="DWY363" s="229"/>
      <c r="DWZ363" s="228"/>
      <c r="DXB363" s="602"/>
      <c r="DXC363" s="603"/>
      <c r="DXD363" s="614"/>
      <c r="DXE363" s="627"/>
      <c r="DXF363" s="625"/>
      <c r="DXG363" s="626"/>
      <c r="DXH363" s="229"/>
      <c r="DXI363" s="228"/>
      <c r="DXK363" s="602"/>
      <c r="DXL363" s="603"/>
      <c r="DXM363" s="614"/>
      <c r="DXN363" s="627"/>
      <c r="DXO363" s="625"/>
      <c r="DXP363" s="626"/>
      <c r="DXQ363" s="229"/>
      <c r="DXR363" s="228"/>
      <c r="DXT363" s="602"/>
      <c r="DXU363" s="603"/>
      <c r="DXV363" s="614"/>
      <c r="DXW363" s="627"/>
      <c r="DXX363" s="625"/>
      <c r="DXY363" s="626"/>
      <c r="DXZ363" s="229"/>
      <c r="DYA363" s="228"/>
      <c r="DYC363" s="602"/>
      <c r="DYD363" s="603"/>
      <c r="DYE363" s="614"/>
      <c r="DYF363" s="627"/>
      <c r="DYG363" s="625"/>
      <c r="DYH363" s="626"/>
      <c r="DYI363" s="229"/>
      <c r="DYJ363" s="228"/>
      <c r="DYL363" s="602"/>
      <c r="DYM363" s="603"/>
      <c r="DYN363" s="614"/>
      <c r="DYO363" s="627"/>
      <c r="DYP363" s="625"/>
      <c r="DYQ363" s="626"/>
      <c r="DYR363" s="229"/>
      <c r="DYS363" s="228"/>
      <c r="DYU363" s="602"/>
      <c r="DYV363" s="603"/>
      <c r="DYW363" s="614"/>
      <c r="DYX363" s="627"/>
      <c r="DYY363" s="625"/>
      <c r="DYZ363" s="626"/>
      <c r="DZA363" s="229"/>
      <c r="DZB363" s="228"/>
      <c r="DZD363" s="602"/>
      <c r="DZE363" s="603"/>
      <c r="DZF363" s="614"/>
      <c r="DZG363" s="627"/>
      <c r="DZH363" s="625"/>
      <c r="DZI363" s="626"/>
      <c r="DZJ363" s="229"/>
      <c r="DZK363" s="228"/>
      <c r="DZM363" s="602"/>
      <c r="DZN363" s="603"/>
      <c r="DZO363" s="614"/>
      <c r="DZP363" s="627"/>
      <c r="DZQ363" s="625"/>
      <c r="DZR363" s="626"/>
      <c r="DZS363" s="229"/>
      <c r="DZT363" s="228"/>
      <c r="DZV363" s="602"/>
      <c r="DZW363" s="603"/>
      <c r="DZX363" s="614"/>
      <c r="DZY363" s="627"/>
      <c r="DZZ363" s="625"/>
      <c r="EAA363" s="626"/>
      <c r="EAB363" s="229"/>
      <c r="EAC363" s="228"/>
      <c r="EAE363" s="602"/>
      <c r="EAF363" s="603"/>
      <c r="EAG363" s="614"/>
      <c r="EAH363" s="627"/>
      <c r="EAI363" s="625"/>
      <c r="EAJ363" s="626"/>
      <c r="EAK363" s="229"/>
      <c r="EAL363" s="228"/>
      <c r="EAN363" s="602"/>
      <c r="EAO363" s="603"/>
      <c r="EAP363" s="614"/>
      <c r="EAQ363" s="627"/>
      <c r="EAR363" s="625"/>
      <c r="EAS363" s="626"/>
      <c r="EAT363" s="229"/>
      <c r="EAU363" s="228"/>
      <c r="EAW363" s="602"/>
      <c r="EAX363" s="603"/>
      <c r="EAY363" s="614"/>
      <c r="EAZ363" s="627"/>
      <c r="EBA363" s="625"/>
      <c r="EBB363" s="626"/>
      <c r="EBC363" s="229"/>
      <c r="EBD363" s="228"/>
      <c r="EBF363" s="602"/>
      <c r="EBG363" s="603"/>
      <c r="EBH363" s="614"/>
      <c r="EBI363" s="627"/>
      <c r="EBJ363" s="625"/>
      <c r="EBK363" s="626"/>
      <c r="EBL363" s="229"/>
      <c r="EBM363" s="228"/>
      <c r="EBO363" s="602"/>
      <c r="EBP363" s="603"/>
      <c r="EBQ363" s="614"/>
      <c r="EBR363" s="627"/>
      <c r="EBS363" s="625"/>
      <c r="EBT363" s="626"/>
      <c r="EBU363" s="229"/>
      <c r="EBV363" s="228"/>
      <c r="EBX363" s="602"/>
      <c r="EBY363" s="603"/>
      <c r="EBZ363" s="614"/>
      <c r="ECA363" s="627"/>
      <c r="ECB363" s="625"/>
      <c r="ECC363" s="626"/>
      <c r="ECD363" s="229"/>
      <c r="ECE363" s="228"/>
      <c r="ECG363" s="602"/>
      <c r="ECH363" s="603"/>
      <c r="ECI363" s="614"/>
      <c r="ECJ363" s="627"/>
      <c r="ECK363" s="625"/>
      <c r="ECL363" s="626"/>
      <c r="ECM363" s="229"/>
      <c r="ECN363" s="228"/>
      <c r="ECP363" s="602"/>
      <c r="ECQ363" s="603"/>
      <c r="ECR363" s="614"/>
      <c r="ECS363" s="627"/>
      <c r="ECT363" s="625"/>
      <c r="ECU363" s="626"/>
      <c r="ECV363" s="229"/>
      <c r="ECW363" s="228"/>
      <c r="ECY363" s="602"/>
      <c r="ECZ363" s="603"/>
      <c r="EDA363" s="614"/>
      <c r="EDB363" s="627"/>
      <c r="EDC363" s="625"/>
      <c r="EDD363" s="626"/>
      <c r="EDE363" s="229"/>
      <c r="EDF363" s="228"/>
      <c r="EDH363" s="602"/>
      <c r="EDI363" s="603"/>
      <c r="EDJ363" s="614"/>
      <c r="EDK363" s="627"/>
      <c r="EDL363" s="625"/>
      <c r="EDM363" s="626"/>
      <c r="EDN363" s="229"/>
      <c r="EDO363" s="228"/>
      <c r="EDQ363" s="602"/>
      <c r="EDR363" s="603"/>
      <c r="EDS363" s="614"/>
      <c r="EDT363" s="627"/>
      <c r="EDU363" s="625"/>
      <c r="EDV363" s="626"/>
      <c r="EDW363" s="229"/>
      <c r="EDX363" s="228"/>
      <c r="EDZ363" s="602"/>
      <c r="EEA363" s="603"/>
      <c r="EEB363" s="614"/>
      <c r="EEC363" s="627"/>
      <c r="EED363" s="625"/>
      <c r="EEE363" s="626"/>
      <c r="EEF363" s="229"/>
      <c r="EEG363" s="228"/>
      <c r="EEI363" s="602"/>
      <c r="EEJ363" s="603"/>
      <c r="EEK363" s="614"/>
      <c r="EEL363" s="627"/>
      <c r="EEM363" s="625"/>
      <c r="EEN363" s="626"/>
      <c r="EEO363" s="229"/>
      <c r="EEP363" s="228"/>
      <c r="EER363" s="602"/>
      <c r="EES363" s="603"/>
      <c r="EET363" s="614"/>
      <c r="EEU363" s="627"/>
      <c r="EEV363" s="625"/>
      <c r="EEW363" s="626"/>
      <c r="EEX363" s="229"/>
      <c r="EEY363" s="228"/>
      <c r="EFA363" s="602"/>
      <c r="EFB363" s="603"/>
      <c r="EFC363" s="614"/>
      <c r="EFD363" s="627"/>
      <c r="EFE363" s="625"/>
      <c r="EFF363" s="626"/>
      <c r="EFG363" s="229"/>
      <c r="EFH363" s="228"/>
      <c r="EFJ363" s="602"/>
      <c r="EFK363" s="603"/>
      <c r="EFL363" s="614"/>
      <c r="EFM363" s="627"/>
      <c r="EFN363" s="625"/>
      <c r="EFO363" s="626"/>
      <c r="EFP363" s="229"/>
      <c r="EFQ363" s="228"/>
      <c r="EFS363" s="602"/>
      <c r="EFT363" s="603"/>
      <c r="EFU363" s="614"/>
      <c r="EFV363" s="627"/>
      <c r="EFW363" s="625"/>
      <c r="EFX363" s="626"/>
      <c r="EFY363" s="229"/>
      <c r="EFZ363" s="228"/>
      <c r="EGB363" s="602"/>
      <c r="EGC363" s="603"/>
      <c r="EGD363" s="614"/>
      <c r="EGE363" s="627"/>
      <c r="EGF363" s="625"/>
      <c r="EGG363" s="626"/>
      <c r="EGH363" s="229"/>
      <c r="EGI363" s="228"/>
      <c r="EGK363" s="602"/>
      <c r="EGL363" s="603"/>
      <c r="EGM363" s="614"/>
      <c r="EGN363" s="627"/>
      <c r="EGO363" s="625"/>
      <c r="EGP363" s="626"/>
      <c r="EGQ363" s="229"/>
      <c r="EGR363" s="228"/>
      <c r="EGT363" s="602"/>
      <c r="EGU363" s="603"/>
      <c r="EGV363" s="614"/>
      <c r="EGW363" s="627"/>
      <c r="EGX363" s="625"/>
      <c r="EGY363" s="626"/>
      <c r="EGZ363" s="229"/>
      <c r="EHA363" s="228"/>
      <c r="EHC363" s="602"/>
      <c r="EHD363" s="603"/>
      <c r="EHE363" s="614"/>
      <c r="EHF363" s="627"/>
      <c r="EHG363" s="625"/>
      <c r="EHH363" s="626"/>
      <c r="EHI363" s="229"/>
      <c r="EHJ363" s="228"/>
      <c r="EHL363" s="602"/>
      <c r="EHM363" s="603"/>
      <c r="EHN363" s="614"/>
      <c r="EHO363" s="627"/>
      <c r="EHP363" s="625"/>
      <c r="EHQ363" s="626"/>
      <c r="EHR363" s="229"/>
      <c r="EHS363" s="228"/>
      <c r="EHU363" s="602"/>
      <c r="EHV363" s="603"/>
      <c r="EHW363" s="614"/>
      <c r="EHX363" s="627"/>
      <c r="EHY363" s="625"/>
      <c r="EHZ363" s="626"/>
      <c r="EIA363" s="229"/>
      <c r="EIB363" s="228"/>
      <c r="EID363" s="602"/>
      <c r="EIE363" s="603"/>
      <c r="EIF363" s="614"/>
      <c r="EIG363" s="627"/>
      <c r="EIH363" s="625"/>
      <c r="EII363" s="626"/>
      <c r="EIJ363" s="229"/>
      <c r="EIK363" s="228"/>
      <c r="EIM363" s="602"/>
      <c r="EIN363" s="603"/>
      <c r="EIO363" s="614"/>
      <c r="EIP363" s="627"/>
      <c r="EIQ363" s="625"/>
      <c r="EIR363" s="626"/>
      <c r="EIS363" s="229"/>
      <c r="EIT363" s="228"/>
      <c r="EIV363" s="602"/>
      <c r="EIW363" s="603"/>
      <c r="EIX363" s="614"/>
      <c r="EIY363" s="627"/>
      <c r="EIZ363" s="625"/>
      <c r="EJA363" s="626"/>
      <c r="EJB363" s="229"/>
      <c r="EJC363" s="228"/>
      <c r="EJE363" s="602"/>
      <c r="EJF363" s="603"/>
      <c r="EJG363" s="614"/>
      <c r="EJH363" s="627"/>
      <c r="EJI363" s="625"/>
      <c r="EJJ363" s="626"/>
      <c r="EJK363" s="229"/>
      <c r="EJL363" s="228"/>
      <c r="EJN363" s="602"/>
      <c r="EJO363" s="603"/>
      <c r="EJP363" s="614"/>
      <c r="EJQ363" s="627"/>
      <c r="EJR363" s="625"/>
      <c r="EJS363" s="626"/>
      <c r="EJT363" s="229"/>
      <c r="EJU363" s="228"/>
      <c r="EJW363" s="602"/>
      <c r="EJX363" s="603"/>
      <c r="EJY363" s="614"/>
      <c r="EJZ363" s="627"/>
      <c r="EKA363" s="625"/>
      <c r="EKB363" s="626"/>
      <c r="EKC363" s="229"/>
      <c r="EKD363" s="228"/>
      <c r="EKF363" s="602"/>
      <c r="EKG363" s="603"/>
      <c r="EKH363" s="614"/>
      <c r="EKI363" s="627"/>
      <c r="EKJ363" s="625"/>
      <c r="EKK363" s="626"/>
      <c r="EKL363" s="229"/>
      <c r="EKM363" s="228"/>
      <c r="EKO363" s="602"/>
      <c r="EKP363" s="603"/>
      <c r="EKQ363" s="614"/>
      <c r="EKR363" s="627"/>
      <c r="EKS363" s="625"/>
      <c r="EKT363" s="626"/>
      <c r="EKU363" s="229"/>
      <c r="EKV363" s="228"/>
      <c r="EKX363" s="602"/>
      <c r="EKY363" s="603"/>
      <c r="EKZ363" s="614"/>
      <c r="ELA363" s="627"/>
      <c r="ELB363" s="625"/>
      <c r="ELC363" s="626"/>
      <c r="ELD363" s="229"/>
      <c r="ELE363" s="228"/>
      <c r="ELG363" s="602"/>
      <c r="ELH363" s="603"/>
      <c r="ELI363" s="614"/>
      <c r="ELJ363" s="627"/>
      <c r="ELK363" s="625"/>
      <c r="ELL363" s="626"/>
      <c r="ELM363" s="229"/>
      <c r="ELN363" s="228"/>
      <c r="ELP363" s="602"/>
      <c r="ELQ363" s="603"/>
      <c r="ELR363" s="614"/>
      <c r="ELS363" s="627"/>
      <c r="ELT363" s="625"/>
      <c r="ELU363" s="626"/>
      <c r="ELV363" s="229"/>
      <c r="ELW363" s="228"/>
      <c r="ELY363" s="602"/>
      <c r="ELZ363" s="603"/>
      <c r="EMA363" s="614"/>
      <c r="EMB363" s="627"/>
      <c r="EMC363" s="625"/>
      <c r="EMD363" s="626"/>
      <c r="EME363" s="229"/>
      <c r="EMF363" s="228"/>
      <c r="EMH363" s="602"/>
      <c r="EMI363" s="603"/>
      <c r="EMJ363" s="614"/>
      <c r="EMK363" s="627"/>
      <c r="EML363" s="625"/>
      <c r="EMM363" s="626"/>
      <c r="EMN363" s="229"/>
      <c r="EMO363" s="228"/>
      <c r="EMQ363" s="602"/>
      <c r="EMR363" s="603"/>
      <c r="EMS363" s="614"/>
      <c r="EMT363" s="627"/>
      <c r="EMU363" s="625"/>
      <c r="EMV363" s="626"/>
      <c r="EMW363" s="229"/>
      <c r="EMX363" s="228"/>
      <c r="EMZ363" s="602"/>
      <c r="ENA363" s="603"/>
      <c r="ENB363" s="614"/>
      <c r="ENC363" s="627"/>
      <c r="END363" s="625"/>
      <c r="ENE363" s="626"/>
      <c r="ENF363" s="229"/>
      <c r="ENG363" s="228"/>
      <c r="ENI363" s="602"/>
      <c r="ENJ363" s="603"/>
      <c r="ENK363" s="614"/>
      <c r="ENL363" s="627"/>
      <c r="ENM363" s="625"/>
      <c r="ENN363" s="626"/>
      <c r="ENO363" s="229"/>
      <c r="ENP363" s="228"/>
      <c r="ENR363" s="602"/>
      <c r="ENS363" s="603"/>
      <c r="ENT363" s="614"/>
      <c r="ENU363" s="627"/>
      <c r="ENV363" s="625"/>
      <c r="ENW363" s="626"/>
      <c r="ENX363" s="229"/>
      <c r="ENY363" s="228"/>
      <c r="EOA363" s="602"/>
      <c r="EOB363" s="603"/>
      <c r="EOC363" s="614"/>
      <c r="EOD363" s="627"/>
      <c r="EOE363" s="625"/>
      <c r="EOF363" s="626"/>
      <c r="EOG363" s="229"/>
      <c r="EOH363" s="228"/>
      <c r="EOJ363" s="602"/>
      <c r="EOK363" s="603"/>
      <c r="EOL363" s="614"/>
      <c r="EOM363" s="627"/>
      <c r="EON363" s="625"/>
      <c r="EOO363" s="626"/>
      <c r="EOP363" s="229"/>
      <c r="EOQ363" s="228"/>
      <c r="EOS363" s="602"/>
      <c r="EOT363" s="603"/>
      <c r="EOU363" s="614"/>
      <c r="EOV363" s="627"/>
      <c r="EOW363" s="625"/>
      <c r="EOX363" s="626"/>
      <c r="EOY363" s="229"/>
      <c r="EOZ363" s="228"/>
      <c r="EPB363" s="602"/>
      <c r="EPC363" s="603"/>
      <c r="EPD363" s="614"/>
      <c r="EPE363" s="627"/>
      <c r="EPF363" s="625"/>
      <c r="EPG363" s="626"/>
      <c r="EPH363" s="229"/>
      <c r="EPI363" s="228"/>
      <c r="EPK363" s="602"/>
      <c r="EPL363" s="603"/>
      <c r="EPM363" s="614"/>
      <c r="EPN363" s="627"/>
      <c r="EPO363" s="625"/>
      <c r="EPP363" s="626"/>
      <c r="EPQ363" s="229"/>
      <c r="EPR363" s="228"/>
      <c r="EPT363" s="602"/>
      <c r="EPU363" s="603"/>
      <c r="EPV363" s="614"/>
      <c r="EPW363" s="627"/>
      <c r="EPX363" s="625"/>
      <c r="EPY363" s="626"/>
      <c r="EPZ363" s="229"/>
      <c r="EQA363" s="228"/>
      <c r="EQC363" s="602"/>
      <c r="EQD363" s="603"/>
      <c r="EQE363" s="614"/>
      <c r="EQF363" s="627"/>
      <c r="EQG363" s="625"/>
      <c r="EQH363" s="626"/>
      <c r="EQI363" s="229"/>
      <c r="EQJ363" s="228"/>
      <c r="EQL363" s="602"/>
      <c r="EQM363" s="603"/>
      <c r="EQN363" s="614"/>
      <c r="EQO363" s="627"/>
      <c r="EQP363" s="625"/>
      <c r="EQQ363" s="626"/>
      <c r="EQR363" s="229"/>
      <c r="EQS363" s="228"/>
      <c r="EQU363" s="602"/>
      <c r="EQV363" s="603"/>
      <c r="EQW363" s="614"/>
      <c r="EQX363" s="627"/>
      <c r="EQY363" s="625"/>
      <c r="EQZ363" s="626"/>
      <c r="ERA363" s="229"/>
      <c r="ERB363" s="228"/>
      <c r="ERD363" s="602"/>
      <c r="ERE363" s="603"/>
      <c r="ERF363" s="614"/>
      <c r="ERG363" s="627"/>
      <c r="ERH363" s="625"/>
      <c r="ERI363" s="626"/>
      <c r="ERJ363" s="229"/>
      <c r="ERK363" s="228"/>
      <c r="ERM363" s="602"/>
      <c r="ERN363" s="603"/>
      <c r="ERO363" s="614"/>
      <c r="ERP363" s="627"/>
      <c r="ERQ363" s="625"/>
      <c r="ERR363" s="626"/>
      <c r="ERS363" s="229"/>
      <c r="ERT363" s="228"/>
      <c r="ERV363" s="602"/>
      <c r="ERW363" s="603"/>
      <c r="ERX363" s="614"/>
      <c r="ERY363" s="627"/>
      <c r="ERZ363" s="625"/>
      <c r="ESA363" s="626"/>
      <c r="ESB363" s="229"/>
      <c r="ESC363" s="228"/>
      <c r="ESE363" s="602"/>
      <c r="ESF363" s="603"/>
      <c r="ESG363" s="614"/>
      <c r="ESH363" s="627"/>
      <c r="ESI363" s="625"/>
      <c r="ESJ363" s="626"/>
      <c r="ESK363" s="229"/>
      <c r="ESL363" s="228"/>
      <c r="ESN363" s="602"/>
      <c r="ESO363" s="603"/>
      <c r="ESP363" s="614"/>
      <c r="ESQ363" s="627"/>
      <c r="ESR363" s="625"/>
      <c r="ESS363" s="626"/>
      <c r="EST363" s="229"/>
      <c r="ESU363" s="228"/>
      <c r="ESW363" s="602"/>
      <c r="ESX363" s="603"/>
      <c r="ESY363" s="614"/>
      <c r="ESZ363" s="627"/>
      <c r="ETA363" s="625"/>
      <c r="ETB363" s="626"/>
      <c r="ETC363" s="229"/>
      <c r="ETD363" s="228"/>
      <c r="ETF363" s="602"/>
      <c r="ETG363" s="603"/>
      <c r="ETH363" s="614"/>
      <c r="ETI363" s="627"/>
      <c r="ETJ363" s="625"/>
      <c r="ETK363" s="626"/>
      <c r="ETL363" s="229"/>
      <c r="ETM363" s="228"/>
      <c r="ETO363" s="602"/>
      <c r="ETP363" s="603"/>
      <c r="ETQ363" s="614"/>
      <c r="ETR363" s="627"/>
      <c r="ETS363" s="625"/>
      <c r="ETT363" s="626"/>
      <c r="ETU363" s="229"/>
      <c r="ETV363" s="228"/>
      <c r="ETX363" s="602"/>
      <c r="ETY363" s="603"/>
      <c r="ETZ363" s="614"/>
      <c r="EUA363" s="627"/>
      <c r="EUB363" s="625"/>
      <c r="EUC363" s="626"/>
      <c r="EUD363" s="229"/>
      <c r="EUE363" s="228"/>
      <c r="EUG363" s="602"/>
      <c r="EUH363" s="603"/>
      <c r="EUI363" s="614"/>
      <c r="EUJ363" s="627"/>
      <c r="EUK363" s="625"/>
      <c r="EUL363" s="626"/>
      <c r="EUM363" s="229"/>
      <c r="EUN363" s="228"/>
      <c r="EUP363" s="602"/>
      <c r="EUQ363" s="603"/>
      <c r="EUR363" s="614"/>
      <c r="EUS363" s="627"/>
      <c r="EUT363" s="625"/>
      <c r="EUU363" s="626"/>
      <c r="EUV363" s="229"/>
      <c r="EUW363" s="228"/>
      <c r="EUY363" s="602"/>
      <c r="EUZ363" s="603"/>
      <c r="EVA363" s="614"/>
      <c r="EVB363" s="627"/>
      <c r="EVC363" s="625"/>
      <c r="EVD363" s="626"/>
      <c r="EVE363" s="229"/>
      <c r="EVF363" s="228"/>
      <c r="EVH363" s="602"/>
      <c r="EVI363" s="603"/>
      <c r="EVJ363" s="614"/>
      <c r="EVK363" s="627"/>
      <c r="EVL363" s="625"/>
      <c r="EVM363" s="626"/>
      <c r="EVN363" s="229"/>
      <c r="EVO363" s="228"/>
      <c r="EVQ363" s="602"/>
      <c r="EVR363" s="603"/>
      <c r="EVS363" s="614"/>
      <c r="EVT363" s="627"/>
      <c r="EVU363" s="625"/>
      <c r="EVV363" s="626"/>
      <c r="EVW363" s="229"/>
      <c r="EVX363" s="228"/>
      <c r="EVZ363" s="602"/>
      <c r="EWA363" s="603"/>
      <c r="EWB363" s="614"/>
      <c r="EWC363" s="627"/>
      <c r="EWD363" s="625"/>
      <c r="EWE363" s="626"/>
      <c r="EWF363" s="229"/>
      <c r="EWG363" s="228"/>
      <c r="EWI363" s="602"/>
      <c r="EWJ363" s="603"/>
      <c r="EWK363" s="614"/>
      <c r="EWL363" s="627"/>
      <c r="EWM363" s="625"/>
      <c r="EWN363" s="626"/>
      <c r="EWO363" s="229"/>
      <c r="EWP363" s="228"/>
      <c r="EWR363" s="602"/>
      <c r="EWS363" s="603"/>
      <c r="EWT363" s="614"/>
      <c r="EWU363" s="627"/>
      <c r="EWV363" s="625"/>
      <c r="EWW363" s="626"/>
      <c r="EWX363" s="229"/>
      <c r="EWY363" s="228"/>
      <c r="EXA363" s="602"/>
      <c r="EXB363" s="603"/>
      <c r="EXC363" s="614"/>
      <c r="EXD363" s="627"/>
      <c r="EXE363" s="625"/>
      <c r="EXF363" s="626"/>
      <c r="EXG363" s="229"/>
      <c r="EXH363" s="228"/>
      <c r="EXJ363" s="602"/>
      <c r="EXK363" s="603"/>
      <c r="EXL363" s="614"/>
      <c r="EXM363" s="627"/>
      <c r="EXN363" s="625"/>
      <c r="EXO363" s="626"/>
      <c r="EXP363" s="229"/>
      <c r="EXQ363" s="228"/>
      <c r="EXS363" s="602"/>
      <c r="EXT363" s="603"/>
      <c r="EXU363" s="614"/>
      <c r="EXV363" s="627"/>
      <c r="EXW363" s="625"/>
      <c r="EXX363" s="626"/>
      <c r="EXY363" s="229"/>
      <c r="EXZ363" s="228"/>
      <c r="EYB363" s="602"/>
      <c r="EYC363" s="603"/>
      <c r="EYD363" s="614"/>
      <c r="EYE363" s="627"/>
      <c r="EYF363" s="625"/>
      <c r="EYG363" s="626"/>
      <c r="EYH363" s="229"/>
      <c r="EYI363" s="228"/>
      <c r="EYK363" s="602"/>
      <c r="EYL363" s="603"/>
      <c r="EYM363" s="614"/>
      <c r="EYN363" s="627"/>
      <c r="EYO363" s="625"/>
      <c r="EYP363" s="626"/>
      <c r="EYQ363" s="229"/>
      <c r="EYR363" s="228"/>
      <c r="EYT363" s="602"/>
      <c r="EYU363" s="603"/>
      <c r="EYV363" s="614"/>
      <c r="EYW363" s="627"/>
      <c r="EYX363" s="625"/>
      <c r="EYY363" s="626"/>
      <c r="EYZ363" s="229"/>
      <c r="EZA363" s="228"/>
      <c r="EZC363" s="602"/>
      <c r="EZD363" s="603"/>
      <c r="EZE363" s="614"/>
      <c r="EZF363" s="627"/>
      <c r="EZG363" s="625"/>
      <c r="EZH363" s="626"/>
      <c r="EZI363" s="229"/>
      <c r="EZJ363" s="228"/>
      <c r="EZL363" s="602"/>
      <c r="EZM363" s="603"/>
      <c r="EZN363" s="614"/>
      <c r="EZO363" s="627"/>
      <c r="EZP363" s="625"/>
      <c r="EZQ363" s="626"/>
      <c r="EZR363" s="229"/>
      <c r="EZS363" s="228"/>
      <c r="EZU363" s="602"/>
      <c r="EZV363" s="603"/>
      <c r="EZW363" s="614"/>
      <c r="EZX363" s="627"/>
      <c r="EZY363" s="625"/>
      <c r="EZZ363" s="626"/>
      <c r="FAA363" s="229"/>
      <c r="FAB363" s="228"/>
      <c r="FAD363" s="602"/>
      <c r="FAE363" s="603"/>
      <c r="FAF363" s="614"/>
      <c r="FAG363" s="627"/>
      <c r="FAH363" s="625"/>
      <c r="FAI363" s="626"/>
      <c r="FAJ363" s="229"/>
      <c r="FAK363" s="228"/>
      <c r="FAM363" s="602"/>
      <c r="FAN363" s="603"/>
      <c r="FAO363" s="614"/>
      <c r="FAP363" s="627"/>
      <c r="FAQ363" s="625"/>
      <c r="FAR363" s="626"/>
      <c r="FAS363" s="229"/>
      <c r="FAT363" s="228"/>
      <c r="FAV363" s="602"/>
      <c r="FAW363" s="603"/>
      <c r="FAX363" s="614"/>
      <c r="FAY363" s="627"/>
      <c r="FAZ363" s="625"/>
      <c r="FBA363" s="626"/>
      <c r="FBB363" s="229"/>
      <c r="FBC363" s="228"/>
      <c r="FBE363" s="602"/>
      <c r="FBF363" s="603"/>
      <c r="FBG363" s="614"/>
      <c r="FBH363" s="627"/>
      <c r="FBI363" s="625"/>
      <c r="FBJ363" s="626"/>
      <c r="FBK363" s="229"/>
      <c r="FBL363" s="228"/>
      <c r="FBN363" s="602"/>
      <c r="FBO363" s="603"/>
      <c r="FBP363" s="614"/>
      <c r="FBQ363" s="627"/>
      <c r="FBR363" s="625"/>
      <c r="FBS363" s="626"/>
      <c r="FBT363" s="229"/>
      <c r="FBU363" s="228"/>
      <c r="FBW363" s="602"/>
      <c r="FBX363" s="603"/>
      <c r="FBY363" s="614"/>
      <c r="FBZ363" s="627"/>
      <c r="FCA363" s="625"/>
      <c r="FCB363" s="626"/>
      <c r="FCC363" s="229"/>
      <c r="FCD363" s="228"/>
      <c r="FCF363" s="602"/>
      <c r="FCG363" s="603"/>
      <c r="FCH363" s="614"/>
      <c r="FCI363" s="627"/>
      <c r="FCJ363" s="625"/>
      <c r="FCK363" s="626"/>
      <c r="FCL363" s="229"/>
      <c r="FCM363" s="228"/>
      <c r="FCO363" s="602"/>
      <c r="FCP363" s="603"/>
      <c r="FCQ363" s="614"/>
      <c r="FCR363" s="627"/>
      <c r="FCS363" s="625"/>
      <c r="FCT363" s="626"/>
      <c r="FCU363" s="229"/>
      <c r="FCV363" s="228"/>
      <c r="FCX363" s="602"/>
      <c r="FCY363" s="603"/>
      <c r="FCZ363" s="614"/>
      <c r="FDA363" s="627"/>
      <c r="FDB363" s="625"/>
      <c r="FDC363" s="626"/>
      <c r="FDD363" s="229"/>
      <c r="FDE363" s="228"/>
      <c r="FDG363" s="602"/>
      <c r="FDH363" s="603"/>
      <c r="FDI363" s="614"/>
      <c r="FDJ363" s="627"/>
      <c r="FDK363" s="625"/>
      <c r="FDL363" s="626"/>
      <c r="FDM363" s="229"/>
      <c r="FDN363" s="228"/>
      <c r="FDP363" s="602"/>
      <c r="FDQ363" s="603"/>
      <c r="FDR363" s="614"/>
      <c r="FDS363" s="627"/>
      <c r="FDT363" s="625"/>
      <c r="FDU363" s="626"/>
      <c r="FDV363" s="229"/>
      <c r="FDW363" s="228"/>
      <c r="FDY363" s="602"/>
      <c r="FDZ363" s="603"/>
      <c r="FEA363" s="614"/>
      <c r="FEB363" s="627"/>
      <c r="FEC363" s="625"/>
      <c r="FED363" s="626"/>
      <c r="FEE363" s="229"/>
      <c r="FEF363" s="228"/>
      <c r="FEH363" s="602"/>
      <c r="FEI363" s="603"/>
      <c r="FEJ363" s="614"/>
      <c r="FEK363" s="627"/>
      <c r="FEL363" s="625"/>
      <c r="FEM363" s="626"/>
      <c r="FEN363" s="229"/>
      <c r="FEO363" s="228"/>
      <c r="FEQ363" s="602"/>
      <c r="FER363" s="603"/>
      <c r="FES363" s="614"/>
      <c r="FET363" s="627"/>
      <c r="FEU363" s="625"/>
      <c r="FEV363" s="626"/>
      <c r="FEW363" s="229"/>
      <c r="FEX363" s="228"/>
      <c r="FEZ363" s="602"/>
      <c r="FFA363" s="603"/>
      <c r="FFB363" s="614"/>
      <c r="FFC363" s="627"/>
      <c r="FFD363" s="625"/>
      <c r="FFE363" s="626"/>
      <c r="FFF363" s="229"/>
      <c r="FFG363" s="228"/>
      <c r="FFI363" s="602"/>
      <c r="FFJ363" s="603"/>
      <c r="FFK363" s="614"/>
      <c r="FFL363" s="627"/>
      <c r="FFM363" s="625"/>
      <c r="FFN363" s="626"/>
      <c r="FFO363" s="229"/>
      <c r="FFP363" s="228"/>
      <c r="FFR363" s="602"/>
      <c r="FFS363" s="603"/>
      <c r="FFT363" s="614"/>
      <c r="FFU363" s="627"/>
      <c r="FFV363" s="625"/>
      <c r="FFW363" s="626"/>
      <c r="FFX363" s="229"/>
      <c r="FFY363" s="228"/>
      <c r="FGA363" s="602"/>
      <c r="FGB363" s="603"/>
      <c r="FGC363" s="614"/>
      <c r="FGD363" s="627"/>
      <c r="FGE363" s="625"/>
      <c r="FGF363" s="626"/>
      <c r="FGG363" s="229"/>
      <c r="FGH363" s="228"/>
      <c r="FGJ363" s="602"/>
      <c r="FGK363" s="603"/>
      <c r="FGL363" s="614"/>
      <c r="FGM363" s="627"/>
      <c r="FGN363" s="625"/>
      <c r="FGO363" s="626"/>
      <c r="FGP363" s="229"/>
      <c r="FGQ363" s="228"/>
      <c r="FGS363" s="602"/>
      <c r="FGT363" s="603"/>
      <c r="FGU363" s="614"/>
      <c r="FGV363" s="627"/>
      <c r="FGW363" s="625"/>
      <c r="FGX363" s="626"/>
      <c r="FGY363" s="229"/>
      <c r="FGZ363" s="228"/>
      <c r="FHB363" s="602"/>
      <c r="FHC363" s="603"/>
      <c r="FHD363" s="614"/>
      <c r="FHE363" s="627"/>
      <c r="FHF363" s="625"/>
      <c r="FHG363" s="626"/>
      <c r="FHH363" s="229"/>
      <c r="FHI363" s="228"/>
      <c r="FHK363" s="602"/>
      <c r="FHL363" s="603"/>
      <c r="FHM363" s="614"/>
      <c r="FHN363" s="627"/>
      <c r="FHO363" s="625"/>
      <c r="FHP363" s="626"/>
      <c r="FHQ363" s="229"/>
      <c r="FHR363" s="228"/>
      <c r="FHT363" s="602"/>
      <c r="FHU363" s="603"/>
      <c r="FHV363" s="614"/>
      <c r="FHW363" s="627"/>
      <c r="FHX363" s="625"/>
      <c r="FHY363" s="626"/>
      <c r="FHZ363" s="229"/>
      <c r="FIA363" s="228"/>
      <c r="FIC363" s="602"/>
      <c r="FID363" s="603"/>
      <c r="FIE363" s="614"/>
      <c r="FIF363" s="627"/>
      <c r="FIG363" s="625"/>
      <c r="FIH363" s="626"/>
      <c r="FII363" s="229"/>
      <c r="FIJ363" s="228"/>
      <c r="FIL363" s="602"/>
      <c r="FIM363" s="603"/>
      <c r="FIN363" s="614"/>
      <c r="FIO363" s="627"/>
      <c r="FIP363" s="625"/>
      <c r="FIQ363" s="626"/>
      <c r="FIR363" s="229"/>
      <c r="FIS363" s="228"/>
      <c r="FIU363" s="602"/>
      <c r="FIV363" s="603"/>
      <c r="FIW363" s="614"/>
      <c r="FIX363" s="627"/>
      <c r="FIY363" s="625"/>
      <c r="FIZ363" s="626"/>
      <c r="FJA363" s="229"/>
      <c r="FJB363" s="228"/>
      <c r="FJD363" s="602"/>
      <c r="FJE363" s="603"/>
      <c r="FJF363" s="614"/>
      <c r="FJG363" s="627"/>
      <c r="FJH363" s="625"/>
      <c r="FJI363" s="626"/>
      <c r="FJJ363" s="229"/>
      <c r="FJK363" s="228"/>
      <c r="FJM363" s="602"/>
      <c r="FJN363" s="603"/>
      <c r="FJO363" s="614"/>
      <c r="FJP363" s="627"/>
      <c r="FJQ363" s="625"/>
      <c r="FJR363" s="626"/>
      <c r="FJS363" s="229"/>
      <c r="FJT363" s="228"/>
      <c r="FJV363" s="602"/>
      <c r="FJW363" s="603"/>
      <c r="FJX363" s="614"/>
      <c r="FJY363" s="627"/>
      <c r="FJZ363" s="625"/>
      <c r="FKA363" s="626"/>
      <c r="FKB363" s="229"/>
      <c r="FKC363" s="228"/>
      <c r="FKE363" s="602"/>
      <c r="FKF363" s="603"/>
      <c r="FKG363" s="614"/>
      <c r="FKH363" s="627"/>
      <c r="FKI363" s="625"/>
      <c r="FKJ363" s="626"/>
      <c r="FKK363" s="229"/>
      <c r="FKL363" s="228"/>
      <c r="FKN363" s="602"/>
      <c r="FKO363" s="603"/>
      <c r="FKP363" s="614"/>
      <c r="FKQ363" s="627"/>
      <c r="FKR363" s="625"/>
      <c r="FKS363" s="626"/>
      <c r="FKT363" s="229"/>
      <c r="FKU363" s="228"/>
      <c r="FKW363" s="602"/>
      <c r="FKX363" s="603"/>
      <c r="FKY363" s="614"/>
      <c r="FKZ363" s="627"/>
      <c r="FLA363" s="625"/>
      <c r="FLB363" s="626"/>
      <c r="FLC363" s="229"/>
      <c r="FLD363" s="228"/>
      <c r="FLF363" s="602"/>
      <c r="FLG363" s="603"/>
      <c r="FLH363" s="614"/>
      <c r="FLI363" s="627"/>
      <c r="FLJ363" s="625"/>
      <c r="FLK363" s="626"/>
      <c r="FLL363" s="229"/>
      <c r="FLM363" s="228"/>
      <c r="FLO363" s="602"/>
      <c r="FLP363" s="603"/>
      <c r="FLQ363" s="614"/>
      <c r="FLR363" s="627"/>
      <c r="FLS363" s="625"/>
      <c r="FLT363" s="626"/>
      <c r="FLU363" s="229"/>
      <c r="FLV363" s="228"/>
      <c r="FLX363" s="602"/>
      <c r="FLY363" s="603"/>
      <c r="FLZ363" s="614"/>
      <c r="FMA363" s="627"/>
      <c r="FMB363" s="625"/>
      <c r="FMC363" s="626"/>
      <c r="FMD363" s="229"/>
      <c r="FME363" s="228"/>
      <c r="FMG363" s="602"/>
      <c r="FMH363" s="603"/>
      <c r="FMI363" s="614"/>
      <c r="FMJ363" s="627"/>
      <c r="FMK363" s="625"/>
      <c r="FML363" s="626"/>
      <c r="FMM363" s="229"/>
      <c r="FMN363" s="228"/>
      <c r="FMP363" s="602"/>
      <c r="FMQ363" s="603"/>
      <c r="FMR363" s="614"/>
      <c r="FMS363" s="627"/>
      <c r="FMT363" s="625"/>
      <c r="FMU363" s="626"/>
      <c r="FMV363" s="229"/>
      <c r="FMW363" s="228"/>
      <c r="FMY363" s="602"/>
      <c r="FMZ363" s="603"/>
      <c r="FNA363" s="614"/>
      <c r="FNB363" s="627"/>
      <c r="FNC363" s="625"/>
      <c r="FND363" s="626"/>
      <c r="FNE363" s="229"/>
      <c r="FNF363" s="228"/>
      <c r="FNH363" s="602"/>
      <c r="FNI363" s="603"/>
      <c r="FNJ363" s="614"/>
      <c r="FNK363" s="627"/>
      <c r="FNL363" s="625"/>
      <c r="FNM363" s="626"/>
      <c r="FNN363" s="229"/>
      <c r="FNO363" s="228"/>
      <c r="FNQ363" s="602"/>
      <c r="FNR363" s="603"/>
      <c r="FNS363" s="614"/>
      <c r="FNT363" s="627"/>
      <c r="FNU363" s="625"/>
      <c r="FNV363" s="626"/>
      <c r="FNW363" s="229"/>
      <c r="FNX363" s="228"/>
      <c r="FNZ363" s="602"/>
      <c r="FOA363" s="603"/>
      <c r="FOB363" s="614"/>
      <c r="FOC363" s="627"/>
      <c r="FOD363" s="625"/>
      <c r="FOE363" s="626"/>
      <c r="FOF363" s="229"/>
      <c r="FOG363" s="228"/>
      <c r="FOI363" s="602"/>
      <c r="FOJ363" s="603"/>
      <c r="FOK363" s="614"/>
      <c r="FOL363" s="627"/>
      <c r="FOM363" s="625"/>
      <c r="FON363" s="626"/>
      <c r="FOO363" s="229"/>
      <c r="FOP363" s="228"/>
      <c r="FOR363" s="602"/>
      <c r="FOS363" s="603"/>
      <c r="FOT363" s="614"/>
      <c r="FOU363" s="627"/>
      <c r="FOV363" s="625"/>
      <c r="FOW363" s="626"/>
      <c r="FOX363" s="229"/>
      <c r="FOY363" s="228"/>
      <c r="FPA363" s="602"/>
      <c r="FPB363" s="603"/>
      <c r="FPC363" s="614"/>
      <c r="FPD363" s="627"/>
      <c r="FPE363" s="625"/>
      <c r="FPF363" s="626"/>
      <c r="FPG363" s="229"/>
      <c r="FPH363" s="228"/>
      <c r="FPJ363" s="602"/>
      <c r="FPK363" s="603"/>
      <c r="FPL363" s="614"/>
      <c r="FPM363" s="627"/>
      <c r="FPN363" s="625"/>
      <c r="FPO363" s="626"/>
      <c r="FPP363" s="229"/>
      <c r="FPQ363" s="228"/>
      <c r="FPS363" s="602"/>
      <c r="FPT363" s="603"/>
      <c r="FPU363" s="614"/>
      <c r="FPV363" s="627"/>
      <c r="FPW363" s="625"/>
      <c r="FPX363" s="626"/>
      <c r="FPY363" s="229"/>
      <c r="FPZ363" s="228"/>
      <c r="FQB363" s="602"/>
      <c r="FQC363" s="603"/>
      <c r="FQD363" s="614"/>
      <c r="FQE363" s="627"/>
      <c r="FQF363" s="625"/>
      <c r="FQG363" s="626"/>
      <c r="FQH363" s="229"/>
      <c r="FQI363" s="228"/>
      <c r="FQK363" s="602"/>
      <c r="FQL363" s="603"/>
      <c r="FQM363" s="614"/>
      <c r="FQN363" s="627"/>
      <c r="FQO363" s="625"/>
      <c r="FQP363" s="626"/>
      <c r="FQQ363" s="229"/>
      <c r="FQR363" s="228"/>
      <c r="FQT363" s="602"/>
      <c r="FQU363" s="603"/>
      <c r="FQV363" s="614"/>
      <c r="FQW363" s="627"/>
      <c r="FQX363" s="625"/>
      <c r="FQY363" s="626"/>
      <c r="FQZ363" s="229"/>
      <c r="FRA363" s="228"/>
      <c r="FRC363" s="602"/>
      <c r="FRD363" s="603"/>
      <c r="FRE363" s="614"/>
      <c r="FRF363" s="627"/>
      <c r="FRG363" s="625"/>
      <c r="FRH363" s="626"/>
      <c r="FRI363" s="229"/>
      <c r="FRJ363" s="228"/>
      <c r="FRL363" s="602"/>
      <c r="FRM363" s="603"/>
      <c r="FRN363" s="614"/>
      <c r="FRO363" s="627"/>
      <c r="FRP363" s="625"/>
      <c r="FRQ363" s="626"/>
      <c r="FRR363" s="229"/>
      <c r="FRS363" s="228"/>
      <c r="FRU363" s="602"/>
      <c r="FRV363" s="603"/>
      <c r="FRW363" s="614"/>
      <c r="FRX363" s="627"/>
      <c r="FRY363" s="625"/>
      <c r="FRZ363" s="626"/>
      <c r="FSA363" s="229"/>
      <c r="FSB363" s="228"/>
      <c r="FSD363" s="602"/>
      <c r="FSE363" s="603"/>
      <c r="FSF363" s="614"/>
      <c r="FSG363" s="627"/>
      <c r="FSH363" s="625"/>
      <c r="FSI363" s="626"/>
      <c r="FSJ363" s="229"/>
      <c r="FSK363" s="228"/>
      <c r="FSM363" s="602"/>
      <c r="FSN363" s="603"/>
      <c r="FSO363" s="614"/>
      <c r="FSP363" s="627"/>
      <c r="FSQ363" s="625"/>
      <c r="FSR363" s="626"/>
      <c r="FSS363" s="229"/>
      <c r="FST363" s="228"/>
      <c r="FSV363" s="602"/>
      <c r="FSW363" s="603"/>
      <c r="FSX363" s="614"/>
      <c r="FSY363" s="627"/>
      <c r="FSZ363" s="625"/>
      <c r="FTA363" s="626"/>
      <c r="FTB363" s="229"/>
      <c r="FTC363" s="228"/>
      <c r="FTE363" s="602"/>
      <c r="FTF363" s="603"/>
      <c r="FTG363" s="614"/>
      <c r="FTH363" s="627"/>
      <c r="FTI363" s="625"/>
      <c r="FTJ363" s="626"/>
      <c r="FTK363" s="229"/>
      <c r="FTL363" s="228"/>
      <c r="FTN363" s="602"/>
      <c r="FTO363" s="603"/>
      <c r="FTP363" s="614"/>
      <c r="FTQ363" s="627"/>
      <c r="FTR363" s="625"/>
      <c r="FTS363" s="626"/>
      <c r="FTT363" s="229"/>
      <c r="FTU363" s="228"/>
      <c r="FTW363" s="602"/>
      <c r="FTX363" s="603"/>
      <c r="FTY363" s="614"/>
      <c r="FTZ363" s="627"/>
      <c r="FUA363" s="625"/>
      <c r="FUB363" s="626"/>
      <c r="FUC363" s="229"/>
      <c r="FUD363" s="228"/>
      <c r="FUF363" s="602"/>
      <c r="FUG363" s="603"/>
      <c r="FUH363" s="614"/>
      <c r="FUI363" s="627"/>
      <c r="FUJ363" s="625"/>
      <c r="FUK363" s="626"/>
      <c r="FUL363" s="229"/>
      <c r="FUM363" s="228"/>
      <c r="FUO363" s="602"/>
      <c r="FUP363" s="603"/>
      <c r="FUQ363" s="614"/>
      <c r="FUR363" s="627"/>
      <c r="FUS363" s="625"/>
      <c r="FUT363" s="626"/>
      <c r="FUU363" s="229"/>
      <c r="FUV363" s="228"/>
      <c r="FUX363" s="602"/>
      <c r="FUY363" s="603"/>
      <c r="FUZ363" s="614"/>
      <c r="FVA363" s="627"/>
      <c r="FVB363" s="625"/>
      <c r="FVC363" s="626"/>
      <c r="FVD363" s="229"/>
      <c r="FVE363" s="228"/>
      <c r="FVG363" s="602"/>
      <c r="FVH363" s="628"/>
      <c r="FVI363" s="419"/>
      <c r="FVJ363" s="223"/>
      <c r="FVK363" s="420"/>
      <c r="FVL363" s="266"/>
      <c r="FVM363" s="629"/>
      <c r="FVN363" s="268"/>
      <c r="FVP363" s="262"/>
      <c r="FVQ363" s="628"/>
      <c r="FVR363" s="419"/>
      <c r="FVS363" s="223"/>
      <c r="FVT363" s="420"/>
      <c r="FVU363" s="266"/>
      <c r="FVV363" s="629"/>
      <c r="FVW363" s="268"/>
      <c r="FVY363" s="262"/>
      <c r="FVZ363" s="628"/>
      <c r="FWA363" s="419"/>
      <c r="FWB363" s="223"/>
      <c r="FWC363" s="420"/>
      <c r="FWD363" s="266"/>
      <c r="FWE363" s="629"/>
      <c r="FWF363" s="268"/>
      <c r="FWH363" s="262"/>
      <c r="FWI363" s="628"/>
      <c r="FWJ363" s="419"/>
      <c r="FWK363" s="223"/>
      <c r="FWL363" s="420"/>
      <c r="FWM363" s="266"/>
      <c r="FWN363" s="629"/>
      <c r="FWO363" s="268"/>
      <c r="FWQ363" s="262"/>
      <c r="FWR363" s="628"/>
      <c r="FWS363" s="419"/>
      <c r="FWT363" s="223"/>
      <c r="FWU363" s="420"/>
      <c r="FWV363" s="266"/>
      <c r="FWW363" s="629"/>
      <c r="FWX363" s="268"/>
      <c r="FWZ363" s="262"/>
      <c r="FXA363" s="628"/>
      <c r="FXB363" s="419"/>
      <c r="FXC363" s="223"/>
      <c r="FXD363" s="420"/>
      <c r="FXE363" s="266"/>
      <c r="FXF363" s="629"/>
      <c r="FXG363" s="268"/>
      <c r="FXI363" s="262"/>
      <c r="FXJ363" s="628"/>
      <c r="FXK363" s="419"/>
      <c r="FXL363" s="223"/>
      <c r="FXM363" s="420"/>
      <c r="FXN363" s="266"/>
      <c r="FXO363" s="629"/>
      <c r="FXP363" s="268"/>
      <c r="FXR363" s="262"/>
      <c r="FXS363" s="628"/>
      <c r="FXT363" s="419"/>
      <c r="FXU363" s="223"/>
      <c r="FXV363" s="420"/>
      <c r="FXW363" s="266"/>
      <c r="FXX363" s="629"/>
      <c r="FXY363" s="268"/>
      <c r="FYA363" s="262"/>
      <c r="FYB363" s="628"/>
      <c r="FYC363" s="419"/>
      <c r="FYD363" s="223"/>
      <c r="FYE363" s="420"/>
      <c r="FYF363" s="266"/>
      <c r="FYG363" s="629"/>
      <c r="FYH363" s="268"/>
      <c r="FYJ363" s="262"/>
      <c r="FYK363" s="628"/>
      <c r="FYL363" s="419"/>
      <c r="FYM363" s="223"/>
      <c r="FYN363" s="420"/>
      <c r="FYO363" s="266"/>
      <c r="FYP363" s="629"/>
      <c r="FYQ363" s="268"/>
      <c r="FYS363" s="262"/>
      <c r="FYT363" s="628"/>
      <c r="FYU363" s="419"/>
      <c r="FYV363" s="223"/>
      <c r="FYW363" s="420"/>
      <c r="FYX363" s="266"/>
      <c r="FYY363" s="629"/>
      <c r="FYZ363" s="268"/>
      <c r="FZB363" s="262"/>
      <c r="FZC363" s="628"/>
      <c r="FZD363" s="419"/>
      <c r="FZE363" s="223"/>
      <c r="FZF363" s="420"/>
      <c r="FZG363" s="266"/>
      <c r="FZH363" s="629"/>
      <c r="FZI363" s="268"/>
      <c r="FZK363" s="262"/>
      <c r="FZL363" s="628"/>
      <c r="FZM363" s="419"/>
      <c r="FZN363" s="223"/>
      <c r="FZO363" s="420"/>
      <c r="FZP363" s="266"/>
      <c r="FZQ363" s="629"/>
      <c r="FZR363" s="268"/>
      <c r="FZT363" s="262"/>
      <c r="FZU363" s="628"/>
      <c r="FZV363" s="419"/>
      <c r="FZW363" s="223"/>
      <c r="FZX363" s="420"/>
      <c r="FZY363" s="266"/>
      <c r="FZZ363" s="629"/>
      <c r="GAA363" s="268"/>
      <c r="GAC363" s="262"/>
      <c r="GAD363" s="628"/>
      <c r="GAE363" s="419"/>
      <c r="GAF363" s="223"/>
      <c r="GAG363" s="420"/>
      <c r="GAH363" s="266"/>
      <c r="GAI363" s="629"/>
      <c r="GAJ363" s="268"/>
      <c r="GAL363" s="262"/>
      <c r="GAM363" s="628"/>
      <c r="GAN363" s="419"/>
      <c r="GAO363" s="223"/>
      <c r="GAP363" s="420"/>
      <c r="GAQ363" s="266"/>
      <c r="GAR363" s="629"/>
      <c r="GAS363" s="268"/>
      <c r="GAU363" s="262"/>
      <c r="GAV363" s="628"/>
      <c r="GAW363" s="419"/>
      <c r="GAX363" s="223"/>
      <c r="GAY363" s="420"/>
      <c r="GAZ363" s="266"/>
      <c r="GBA363" s="629"/>
      <c r="GBB363" s="268"/>
      <c r="GBD363" s="262"/>
      <c r="GBE363" s="628"/>
      <c r="GBF363" s="419"/>
      <c r="GBG363" s="223"/>
      <c r="GBH363" s="420"/>
      <c r="GBI363" s="266"/>
      <c r="GBJ363" s="629"/>
      <c r="GBK363" s="268"/>
      <c r="GBM363" s="262"/>
      <c r="GBN363" s="628"/>
      <c r="GBO363" s="419"/>
      <c r="GBP363" s="223"/>
      <c r="GBQ363" s="420"/>
      <c r="GBR363" s="266"/>
      <c r="GBS363" s="629"/>
      <c r="GBT363" s="268"/>
      <c r="GBV363" s="262"/>
      <c r="GBW363" s="628"/>
      <c r="GBX363" s="419"/>
      <c r="GBY363" s="223"/>
      <c r="GBZ363" s="420"/>
      <c r="GCA363" s="266"/>
      <c r="GCB363" s="629"/>
      <c r="GCC363" s="268"/>
      <c r="GCE363" s="262"/>
      <c r="GCF363" s="628"/>
      <c r="GCG363" s="419"/>
      <c r="GCH363" s="223"/>
      <c r="GCI363" s="420"/>
      <c r="GCJ363" s="266"/>
      <c r="GCK363" s="629"/>
      <c r="GCL363" s="268"/>
      <c r="GCN363" s="262"/>
      <c r="GCO363" s="628"/>
      <c r="GCP363" s="419"/>
      <c r="GCQ363" s="223"/>
      <c r="GCR363" s="420"/>
      <c r="GCS363" s="266"/>
      <c r="GCT363" s="629"/>
      <c r="GCU363" s="268"/>
      <c r="GCW363" s="262"/>
      <c r="GCX363" s="628"/>
      <c r="GCY363" s="419"/>
      <c r="GCZ363" s="223"/>
      <c r="GDA363" s="420"/>
      <c r="GDB363" s="266"/>
      <c r="GDC363" s="629"/>
      <c r="GDD363" s="268"/>
      <c r="GDF363" s="262"/>
      <c r="GDG363" s="628"/>
      <c r="GDH363" s="419"/>
      <c r="GDI363" s="223"/>
      <c r="GDJ363" s="420"/>
      <c r="GDK363" s="266"/>
      <c r="GDL363" s="629"/>
      <c r="GDM363" s="268"/>
      <c r="GDO363" s="262"/>
      <c r="GDP363" s="628"/>
      <c r="GDQ363" s="419"/>
      <c r="GDR363" s="223"/>
      <c r="GDS363" s="420"/>
      <c r="GDT363" s="266"/>
      <c r="GDU363" s="629"/>
      <c r="GDV363" s="268"/>
      <c r="GDX363" s="262"/>
      <c r="GDY363" s="628"/>
      <c r="GDZ363" s="419"/>
      <c r="GEA363" s="223"/>
      <c r="GEB363" s="420"/>
      <c r="GEC363" s="266"/>
      <c r="GED363" s="629"/>
      <c r="GEE363" s="268"/>
      <c r="GEG363" s="262"/>
      <c r="GEH363" s="628"/>
      <c r="GEI363" s="419"/>
      <c r="GEJ363" s="223"/>
      <c r="GEK363" s="420"/>
      <c r="GEL363" s="266"/>
      <c r="GEM363" s="629"/>
      <c r="GEN363" s="268"/>
      <c r="GEP363" s="262"/>
      <c r="GEQ363" s="628"/>
      <c r="GER363" s="419"/>
      <c r="GES363" s="223"/>
      <c r="GET363" s="420"/>
      <c r="GEU363" s="266"/>
      <c r="GEV363" s="629"/>
      <c r="GEW363" s="268"/>
      <c r="GEY363" s="262"/>
      <c r="GEZ363" s="628"/>
      <c r="GFA363" s="419"/>
      <c r="GFB363" s="223"/>
      <c r="GFC363" s="420"/>
      <c r="GFD363" s="266"/>
      <c r="GFE363" s="629"/>
      <c r="GFF363" s="268"/>
      <c r="GFH363" s="262"/>
      <c r="GFI363" s="628"/>
      <c r="GFJ363" s="419"/>
      <c r="GFK363" s="223"/>
      <c r="GFL363" s="420"/>
      <c r="GFM363" s="266"/>
      <c r="GFN363" s="629"/>
      <c r="GFO363" s="268"/>
      <c r="GFQ363" s="262"/>
      <c r="GFR363" s="628"/>
      <c r="GFS363" s="419"/>
      <c r="GFT363" s="223"/>
      <c r="GFU363" s="420"/>
      <c r="GFV363" s="266"/>
      <c r="GFW363" s="629"/>
      <c r="GFX363" s="268"/>
      <c r="GFZ363" s="262"/>
      <c r="GGA363" s="628"/>
      <c r="GGB363" s="419"/>
      <c r="GGC363" s="223"/>
      <c r="GGD363" s="420"/>
      <c r="GGE363" s="266"/>
      <c r="GGF363" s="629"/>
      <c r="GGG363" s="268"/>
      <c r="GGI363" s="262"/>
      <c r="GGJ363" s="628"/>
      <c r="GGK363" s="419"/>
      <c r="GGL363" s="223"/>
      <c r="GGM363" s="420"/>
      <c r="GGN363" s="266"/>
      <c r="GGO363" s="629"/>
      <c r="GGP363" s="268"/>
      <c r="GGR363" s="262"/>
      <c r="GGS363" s="628"/>
      <c r="GGT363" s="419"/>
      <c r="GGU363" s="223"/>
      <c r="GGV363" s="420"/>
      <c r="GGW363" s="266"/>
      <c r="GGX363" s="629"/>
      <c r="GGY363" s="268"/>
      <c r="GHA363" s="262"/>
      <c r="GHB363" s="628"/>
      <c r="GHC363" s="419"/>
      <c r="GHD363" s="223"/>
      <c r="GHE363" s="420"/>
      <c r="GHF363" s="266"/>
      <c r="GHG363" s="629"/>
      <c r="GHH363" s="268"/>
      <c r="GHJ363" s="262"/>
      <c r="GHK363" s="628"/>
      <c r="GHL363" s="419"/>
      <c r="GHM363" s="223"/>
      <c r="GHN363" s="420"/>
      <c r="GHO363" s="266"/>
      <c r="GHP363" s="629"/>
      <c r="GHQ363" s="268"/>
      <c r="GHS363" s="262"/>
      <c r="GHT363" s="628"/>
      <c r="GHU363" s="419"/>
      <c r="GHV363" s="223"/>
      <c r="GHW363" s="420"/>
      <c r="GHX363" s="266"/>
      <c r="GHY363" s="629"/>
      <c r="GHZ363" s="268"/>
      <c r="GIB363" s="262"/>
      <c r="GIC363" s="628"/>
      <c r="GID363" s="419"/>
      <c r="GIE363" s="223"/>
      <c r="GIF363" s="420"/>
      <c r="GIG363" s="266"/>
      <c r="GIH363" s="629"/>
      <c r="GII363" s="268"/>
      <c r="GIK363" s="262"/>
      <c r="GIL363" s="628"/>
      <c r="GIM363" s="419"/>
      <c r="GIN363" s="223"/>
      <c r="GIO363" s="420"/>
      <c r="GIP363" s="266"/>
      <c r="GIQ363" s="629"/>
      <c r="GIR363" s="268"/>
      <c r="GIT363" s="262"/>
      <c r="GIU363" s="628"/>
      <c r="GIV363" s="419"/>
      <c r="GIW363" s="223"/>
      <c r="GIX363" s="420"/>
      <c r="GIY363" s="266"/>
      <c r="GIZ363" s="629"/>
      <c r="GJA363" s="268"/>
      <c r="GJC363" s="262"/>
      <c r="GJD363" s="628"/>
      <c r="GJE363" s="419"/>
      <c r="GJF363" s="223"/>
      <c r="GJG363" s="420"/>
      <c r="GJH363" s="266"/>
      <c r="GJI363" s="629"/>
      <c r="GJJ363" s="268"/>
      <c r="GJL363" s="262"/>
      <c r="GJM363" s="628"/>
      <c r="GJN363" s="419"/>
      <c r="GJO363" s="223"/>
      <c r="GJP363" s="420"/>
      <c r="GJQ363" s="266"/>
      <c r="GJR363" s="629"/>
      <c r="GJS363" s="268"/>
      <c r="GJU363" s="262"/>
      <c r="GJV363" s="628"/>
      <c r="GJW363" s="419"/>
      <c r="GJX363" s="223"/>
      <c r="GJY363" s="420"/>
      <c r="GJZ363" s="266"/>
      <c r="GKA363" s="629"/>
      <c r="GKB363" s="268"/>
      <c r="GKD363" s="262"/>
      <c r="GKE363" s="628"/>
      <c r="GKF363" s="419"/>
      <c r="GKG363" s="223"/>
      <c r="GKH363" s="420"/>
      <c r="GKI363" s="266"/>
      <c r="GKJ363" s="629"/>
      <c r="GKK363" s="268"/>
      <c r="GKM363" s="262"/>
      <c r="GKN363" s="628"/>
      <c r="GKO363" s="419"/>
      <c r="GKP363" s="223"/>
      <c r="GKQ363" s="420"/>
      <c r="GKR363" s="266"/>
      <c r="GKS363" s="629"/>
      <c r="GKT363" s="268"/>
      <c r="GKV363" s="262"/>
      <c r="GKW363" s="628"/>
      <c r="GKX363" s="419"/>
      <c r="GKY363" s="223"/>
      <c r="GKZ363" s="420"/>
      <c r="GLA363" s="266"/>
      <c r="GLB363" s="629"/>
      <c r="GLC363" s="268"/>
      <c r="GLE363" s="262"/>
      <c r="GLF363" s="628"/>
      <c r="GLG363" s="419"/>
      <c r="GLH363" s="223"/>
      <c r="GLI363" s="420"/>
      <c r="GLJ363" s="266"/>
      <c r="GLK363" s="629"/>
      <c r="GLL363" s="268"/>
      <c r="GLN363" s="262"/>
      <c r="GLO363" s="628"/>
      <c r="GLP363" s="419"/>
      <c r="GLQ363" s="223"/>
      <c r="GLR363" s="420"/>
      <c r="GLS363" s="266"/>
      <c r="GLT363" s="629"/>
      <c r="GLU363" s="268"/>
      <c r="GLW363" s="262"/>
      <c r="GLX363" s="628"/>
      <c r="GLY363" s="419"/>
      <c r="GLZ363" s="223"/>
      <c r="GMA363" s="420"/>
      <c r="GMB363" s="266"/>
      <c r="GMC363" s="629"/>
      <c r="GMD363" s="268"/>
      <c r="GMF363" s="262"/>
      <c r="GMG363" s="628"/>
      <c r="GMH363" s="419"/>
      <c r="GMI363" s="223"/>
      <c r="GMJ363" s="420"/>
      <c r="GMK363" s="266"/>
      <c r="GML363" s="629"/>
      <c r="GMM363" s="268"/>
      <c r="GMO363" s="262"/>
      <c r="GMP363" s="628"/>
      <c r="GMQ363" s="419"/>
      <c r="GMR363" s="223"/>
      <c r="GMS363" s="420"/>
      <c r="GMT363" s="266"/>
      <c r="GMU363" s="629"/>
      <c r="GMV363" s="268"/>
      <c r="GMX363" s="262"/>
      <c r="GMY363" s="628"/>
      <c r="GMZ363" s="419"/>
      <c r="GNA363" s="223"/>
      <c r="GNB363" s="420"/>
      <c r="GNC363" s="266"/>
      <c r="GND363" s="629"/>
      <c r="GNE363" s="268"/>
      <c r="GNG363" s="262"/>
      <c r="GNH363" s="628"/>
      <c r="GNI363" s="419"/>
      <c r="GNJ363" s="223"/>
      <c r="GNK363" s="420"/>
      <c r="GNL363" s="266"/>
      <c r="GNM363" s="629"/>
      <c r="GNN363" s="268"/>
      <c r="GNP363" s="262"/>
      <c r="GNQ363" s="628"/>
      <c r="GNR363" s="419"/>
      <c r="GNS363" s="223"/>
      <c r="GNT363" s="420"/>
      <c r="GNU363" s="266"/>
      <c r="GNV363" s="629"/>
      <c r="GNW363" s="268"/>
      <c r="GNY363" s="262"/>
      <c r="GNZ363" s="628"/>
      <c r="GOA363" s="419"/>
      <c r="GOB363" s="223"/>
      <c r="GOC363" s="420"/>
      <c r="GOD363" s="266"/>
      <c r="GOE363" s="629"/>
      <c r="GOF363" s="268"/>
      <c r="GOH363" s="262"/>
      <c r="GOI363" s="628"/>
      <c r="GOJ363" s="419"/>
      <c r="GOK363" s="223"/>
      <c r="GOL363" s="420"/>
      <c r="GOM363" s="266"/>
      <c r="GON363" s="629"/>
      <c r="GOO363" s="268"/>
      <c r="GOQ363" s="262"/>
      <c r="GOR363" s="628"/>
      <c r="GOS363" s="419"/>
      <c r="GOT363" s="223"/>
      <c r="GOU363" s="420"/>
      <c r="GOV363" s="266"/>
      <c r="GOW363" s="629"/>
      <c r="GOX363" s="268"/>
      <c r="GOZ363" s="262"/>
      <c r="GPA363" s="628"/>
      <c r="GPB363" s="419"/>
      <c r="GPC363" s="223"/>
      <c r="GPD363" s="420"/>
      <c r="GPE363" s="266"/>
      <c r="GPF363" s="629"/>
      <c r="GPG363" s="268"/>
      <c r="GPI363" s="262"/>
      <c r="GPJ363" s="628"/>
      <c r="GPK363" s="419"/>
      <c r="GPL363" s="223"/>
      <c r="GPM363" s="420"/>
      <c r="GPN363" s="266"/>
      <c r="GPO363" s="629"/>
      <c r="GPP363" s="268"/>
      <c r="GPR363" s="262"/>
      <c r="GPS363" s="628"/>
      <c r="GPT363" s="419"/>
      <c r="GPU363" s="223"/>
      <c r="GPV363" s="420"/>
      <c r="GPW363" s="266"/>
      <c r="GPX363" s="629"/>
      <c r="GPY363" s="268"/>
      <c r="GQA363" s="262"/>
      <c r="GQB363" s="628"/>
      <c r="GQC363" s="419"/>
      <c r="GQD363" s="223"/>
      <c r="GQE363" s="420"/>
      <c r="GQF363" s="266"/>
      <c r="GQG363" s="629"/>
      <c r="GQH363" s="268"/>
      <c r="GQJ363" s="262"/>
      <c r="GQK363" s="628"/>
      <c r="GQL363" s="419"/>
      <c r="GQM363" s="223"/>
      <c r="GQN363" s="420"/>
      <c r="GQO363" s="266"/>
      <c r="GQP363" s="629"/>
      <c r="GQQ363" s="268"/>
      <c r="GQS363" s="262"/>
      <c r="GQT363" s="628"/>
      <c r="GQU363" s="419"/>
      <c r="GQV363" s="223"/>
      <c r="GQW363" s="420"/>
      <c r="GQX363" s="266"/>
      <c r="GQY363" s="629"/>
      <c r="GQZ363" s="268"/>
      <c r="GRB363" s="262"/>
      <c r="GRC363" s="628"/>
      <c r="GRD363" s="419"/>
      <c r="GRE363" s="223"/>
      <c r="GRF363" s="420"/>
      <c r="GRG363" s="266"/>
      <c r="GRH363" s="629"/>
      <c r="GRI363" s="268"/>
      <c r="GRK363" s="262"/>
      <c r="GRL363" s="628"/>
      <c r="GRM363" s="419"/>
      <c r="GRN363" s="223"/>
      <c r="GRO363" s="420"/>
      <c r="GRP363" s="266"/>
      <c r="GRQ363" s="629"/>
      <c r="GRR363" s="268"/>
      <c r="GRT363" s="262"/>
      <c r="GRU363" s="628"/>
      <c r="GRV363" s="419"/>
      <c r="GRW363" s="223"/>
      <c r="GRX363" s="420"/>
      <c r="GRY363" s="266"/>
      <c r="GRZ363" s="629"/>
      <c r="GSA363" s="268"/>
      <c r="GSC363" s="262"/>
      <c r="GSD363" s="628"/>
      <c r="GSE363" s="419"/>
      <c r="GSF363" s="223"/>
      <c r="GSG363" s="420"/>
      <c r="GSH363" s="266"/>
      <c r="GSI363" s="629"/>
      <c r="GSJ363" s="268"/>
      <c r="GSL363" s="262"/>
      <c r="GSM363" s="628"/>
      <c r="GSN363" s="419"/>
      <c r="GSO363" s="223"/>
      <c r="GSP363" s="420"/>
      <c r="GSQ363" s="266"/>
      <c r="GSR363" s="629"/>
      <c r="GSS363" s="268"/>
      <c r="GSU363" s="262"/>
      <c r="GSV363" s="628"/>
      <c r="GSW363" s="419"/>
      <c r="GSX363" s="223"/>
      <c r="GSY363" s="420"/>
      <c r="GSZ363" s="266"/>
      <c r="GTA363" s="629"/>
      <c r="GTB363" s="268"/>
      <c r="GTD363" s="262"/>
      <c r="GTE363" s="628"/>
      <c r="GTF363" s="419"/>
      <c r="GTG363" s="223"/>
      <c r="GTH363" s="420"/>
      <c r="GTI363" s="266"/>
      <c r="GTJ363" s="629"/>
      <c r="GTK363" s="268"/>
      <c r="GTM363" s="262"/>
      <c r="GTN363" s="628"/>
      <c r="GTO363" s="419"/>
      <c r="GTP363" s="223"/>
      <c r="GTQ363" s="420"/>
      <c r="GTR363" s="266"/>
      <c r="GTS363" s="629"/>
      <c r="GTT363" s="268"/>
      <c r="GTV363" s="262"/>
      <c r="GTW363" s="628"/>
      <c r="GTX363" s="419"/>
      <c r="GTY363" s="223"/>
      <c r="GTZ363" s="420"/>
      <c r="GUA363" s="266"/>
      <c r="GUB363" s="629"/>
      <c r="GUC363" s="268"/>
      <c r="GUE363" s="262"/>
      <c r="GUF363" s="628"/>
      <c r="GUG363" s="419"/>
      <c r="GUH363" s="223"/>
      <c r="GUI363" s="420"/>
      <c r="GUJ363" s="266"/>
      <c r="GUK363" s="629"/>
      <c r="GUL363" s="268"/>
      <c r="GUN363" s="262"/>
      <c r="GUO363" s="628"/>
      <c r="GUP363" s="419"/>
      <c r="GUQ363" s="223"/>
      <c r="GUR363" s="420"/>
      <c r="GUS363" s="266"/>
      <c r="GUT363" s="629"/>
      <c r="GUU363" s="268"/>
      <c r="GUW363" s="262"/>
      <c r="GUX363" s="628"/>
      <c r="GUY363" s="419"/>
      <c r="GUZ363" s="223"/>
      <c r="GVA363" s="420"/>
      <c r="GVB363" s="266"/>
      <c r="GVC363" s="629"/>
      <c r="GVD363" s="268"/>
      <c r="GVF363" s="262"/>
      <c r="GVG363" s="628"/>
      <c r="GVH363" s="419"/>
      <c r="GVI363" s="223"/>
      <c r="GVJ363" s="420"/>
      <c r="GVK363" s="266"/>
      <c r="GVL363" s="629"/>
      <c r="GVM363" s="268"/>
      <c r="GVO363" s="262"/>
      <c r="GVP363" s="628"/>
      <c r="GVQ363" s="419"/>
      <c r="GVR363" s="223"/>
      <c r="GVS363" s="420"/>
      <c r="GVT363" s="266"/>
      <c r="GVU363" s="629"/>
      <c r="GVV363" s="268"/>
      <c r="GVX363" s="262"/>
      <c r="GVY363" s="628"/>
      <c r="GVZ363" s="419"/>
      <c r="GWA363" s="223"/>
      <c r="GWB363" s="420"/>
      <c r="GWC363" s="266"/>
      <c r="GWD363" s="629"/>
      <c r="GWE363" s="268"/>
      <c r="GWG363" s="262"/>
      <c r="GWH363" s="628"/>
      <c r="GWI363" s="419"/>
      <c r="GWJ363" s="223"/>
      <c r="GWK363" s="420"/>
      <c r="GWL363" s="266"/>
      <c r="GWM363" s="629"/>
      <c r="GWN363" s="268"/>
      <c r="GWP363" s="262"/>
      <c r="GWQ363" s="628"/>
      <c r="GWR363" s="419"/>
      <c r="GWS363" s="223"/>
      <c r="GWT363" s="420"/>
      <c r="GWU363" s="266"/>
      <c r="GWV363" s="629"/>
      <c r="GWW363" s="268"/>
      <c r="GWY363" s="262"/>
      <c r="GWZ363" s="628"/>
      <c r="GXA363" s="419"/>
      <c r="GXB363" s="223"/>
      <c r="GXC363" s="420"/>
      <c r="GXD363" s="266"/>
      <c r="GXE363" s="629"/>
      <c r="GXF363" s="268"/>
      <c r="GXH363" s="262"/>
      <c r="GXI363" s="628"/>
      <c r="GXJ363" s="419"/>
      <c r="GXK363" s="223"/>
      <c r="GXL363" s="420"/>
      <c r="GXM363" s="266"/>
      <c r="GXN363" s="629"/>
      <c r="GXO363" s="268"/>
      <c r="GXQ363" s="262"/>
      <c r="GXR363" s="628"/>
      <c r="GXS363" s="419"/>
      <c r="GXT363" s="223"/>
      <c r="GXU363" s="420"/>
      <c r="GXV363" s="266"/>
      <c r="GXW363" s="629"/>
      <c r="GXX363" s="268"/>
      <c r="GXZ363" s="262"/>
      <c r="GYA363" s="628"/>
      <c r="GYB363" s="419"/>
      <c r="GYC363" s="223"/>
      <c r="GYD363" s="420"/>
      <c r="GYE363" s="266"/>
      <c r="GYF363" s="629"/>
      <c r="GYG363" s="268"/>
      <c r="GYI363" s="262"/>
      <c r="GYJ363" s="628"/>
      <c r="GYK363" s="419"/>
      <c r="GYL363" s="223"/>
      <c r="GYM363" s="420"/>
      <c r="GYN363" s="266"/>
      <c r="GYO363" s="629"/>
      <c r="GYP363" s="268"/>
      <c r="GYR363" s="262"/>
      <c r="GYS363" s="628"/>
      <c r="GYT363" s="419"/>
      <c r="GYU363" s="223"/>
      <c r="GYV363" s="420"/>
      <c r="GYW363" s="266"/>
      <c r="GYX363" s="629"/>
      <c r="GYY363" s="268"/>
      <c r="GZA363" s="262"/>
      <c r="GZB363" s="628"/>
      <c r="GZC363" s="419"/>
      <c r="GZD363" s="223"/>
      <c r="GZE363" s="420"/>
      <c r="GZF363" s="266"/>
      <c r="GZG363" s="629"/>
      <c r="GZH363" s="268"/>
      <c r="GZJ363" s="262"/>
      <c r="GZK363" s="628"/>
      <c r="GZL363" s="419"/>
      <c r="GZM363" s="223"/>
      <c r="GZN363" s="420"/>
      <c r="GZO363" s="266"/>
      <c r="GZP363" s="629"/>
      <c r="GZQ363" s="268"/>
      <c r="GZS363" s="262"/>
      <c r="GZT363" s="628"/>
      <c r="GZU363" s="419"/>
      <c r="GZV363" s="223"/>
      <c r="GZW363" s="420"/>
      <c r="GZX363" s="266"/>
      <c r="GZY363" s="629"/>
      <c r="GZZ363" s="268"/>
      <c r="HAB363" s="262"/>
      <c r="HAC363" s="628"/>
      <c r="HAD363" s="419"/>
      <c r="HAE363" s="223"/>
      <c r="HAF363" s="420"/>
      <c r="HAG363" s="266"/>
      <c r="HAH363" s="629"/>
      <c r="HAI363" s="268"/>
      <c r="HAK363" s="262"/>
      <c r="HAL363" s="628"/>
      <c r="HAM363" s="419"/>
      <c r="HAN363" s="223"/>
      <c r="HAO363" s="420"/>
      <c r="HAP363" s="266"/>
      <c r="HAQ363" s="629"/>
      <c r="HAR363" s="268"/>
      <c r="HAT363" s="262"/>
      <c r="HAU363" s="628"/>
      <c r="HAV363" s="419"/>
      <c r="HAW363" s="223"/>
      <c r="HAX363" s="420"/>
      <c r="HAY363" s="266"/>
      <c r="HAZ363" s="629"/>
      <c r="HBA363" s="268"/>
      <c r="HBC363" s="262"/>
      <c r="HBD363" s="628"/>
      <c r="HBE363" s="419"/>
      <c r="HBF363" s="223"/>
      <c r="HBG363" s="420"/>
      <c r="HBH363" s="266"/>
      <c r="HBI363" s="629"/>
      <c r="HBJ363" s="268"/>
      <c r="HBL363" s="262"/>
      <c r="HBM363" s="628"/>
      <c r="HBN363" s="419"/>
      <c r="HBO363" s="223"/>
      <c r="HBP363" s="420"/>
      <c r="HBQ363" s="266"/>
      <c r="HBR363" s="629"/>
      <c r="HBS363" s="268"/>
      <c r="HBU363" s="262"/>
      <c r="HBV363" s="628"/>
      <c r="HBW363" s="419"/>
      <c r="HBX363" s="223"/>
      <c r="HBY363" s="420"/>
      <c r="HBZ363" s="266"/>
      <c r="HCA363" s="629"/>
      <c r="HCB363" s="268"/>
      <c r="HCD363" s="262"/>
      <c r="HCE363" s="628"/>
      <c r="HCF363" s="419"/>
      <c r="HCG363" s="223"/>
      <c r="HCH363" s="420"/>
      <c r="HCI363" s="266"/>
      <c r="HCJ363" s="629"/>
      <c r="HCK363" s="268"/>
      <c r="HCM363" s="262"/>
      <c r="HCN363" s="628"/>
      <c r="HCO363" s="419"/>
      <c r="HCP363" s="223"/>
      <c r="HCQ363" s="420"/>
      <c r="HCR363" s="266"/>
      <c r="HCS363" s="629"/>
      <c r="HCT363" s="268"/>
      <c r="HCV363" s="262"/>
      <c r="HCW363" s="628"/>
      <c r="HCX363" s="419"/>
      <c r="HCY363" s="223"/>
      <c r="HCZ363" s="420"/>
      <c r="HDA363" s="266"/>
      <c r="HDB363" s="629"/>
      <c r="HDC363" s="268"/>
      <c r="HDE363" s="262"/>
      <c r="HDF363" s="628"/>
      <c r="HDG363" s="419"/>
      <c r="HDH363" s="223"/>
      <c r="HDI363" s="420"/>
      <c r="HDJ363" s="266"/>
      <c r="HDK363" s="629"/>
      <c r="HDL363" s="268"/>
      <c r="HDN363" s="262"/>
      <c r="HDO363" s="628"/>
      <c r="HDP363" s="419"/>
      <c r="HDQ363" s="223"/>
      <c r="HDR363" s="420"/>
      <c r="HDS363" s="266"/>
      <c r="HDT363" s="629"/>
      <c r="HDU363" s="268"/>
      <c r="HDW363" s="262"/>
      <c r="HDX363" s="628"/>
      <c r="HDY363" s="419"/>
      <c r="HDZ363" s="223"/>
      <c r="HEA363" s="420"/>
      <c r="HEB363" s="266"/>
      <c r="HEC363" s="629"/>
      <c r="HED363" s="268"/>
      <c r="HEF363" s="262"/>
      <c r="HEG363" s="628"/>
      <c r="HEH363" s="419"/>
      <c r="HEI363" s="223"/>
      <c r="HEJ363" s="420"/>
      <c r="HEK363" s="266"/>
      <c r="HEL363" s="629"/>
      <c r="HEM363" s="268"/>
      <c r="HEO363" s="262"/>
      <c r="HEP363" s="628"/>
      <c r="HEQ363" s="419"/>
      <c r="HER363" s="223"/>
      <c r="HES363" s="420"/>
      <c r="HET363" s="266"/>
      <c r="HEU363" s="629"/>
      <c r="HEV363" s="268"/>
      <c r="HEX363" s="262"/>
      <c r="HEY363" s="628"/>
      <c r="HEZ363" s="419"/>
      <c r="HFA363" s="223"/>
      <c r="HFB363" s="420"/>
      <c r="HFC363" s="266"/>
      <c r="HFD363" s="629"/>
      <c r="HFE363" s="268"/>
      <c r="HFG363" s="262"/>
      <c r="HFH363" s="628"/>
      <c r="HFI363" s="419"/>
      <c r="HFJ363" s="223"/>
      <c r="HFK363" s="420"/>
      <c r="HFL363" s="266"/>
      <c r="HFM363" s="629"/>
      <c r="HFN363" s="268"/>
      <c r="HFP363" s="262"/>
      <c r="HFQ363" s="628"/>
      <c r="HFR363" s="419"/>
      <c r="HFS363" s="223"/>
      <c r="HFT363" s="420"/>
      <c r="HFU363" s="266"/>
      <c r="HFV363" s="629"/>
      <c r="HFW363" s="268"/>
      <c r="HFY363" s="262"/>
      <c r="HFZ363" s="628"/>
      <c r="HGA363" s="419"/>
      <c r="HGB363" s="223"/>
      <c r="HGC363" s="420"/>
      <c r="HGD363" s="266"/>
      <c r="HGE363" s="629"/>
      <c r="HGF363" s="268"/>
      <c r="HGH363" s="262"/>
      <c r="HGI363" s="628"/>
      <c r="HGJ363" s="419"/>
      <c r="HGK363" s="223"/>
      <c r="HGL363" s="420"/>
      <c r="HGM363" s="266"/>
      <c r="HGN363" s="629"/>
      <c r="HGO363" s="268"/>
      <c r="HGQ363" s="262"/>
      <c r="HGR363" s="628"/>
      <c r="HGS363" s="419"/>
      <c r="HGT363" s="223"/>
      <c r="HGU363" s="420"/>
      <c r="HGV363" s="266"/>
      <c r="HGW363" s="629"/>
      <c r="HGX363" s="268"/>
      <c r="HGZ363" s="262"/>
      <c r="HHA363" s="628"/>
      <c r="HHB363" s="419"/>
      <c r="HHC363" s="223"/>
      <c r="HHD363" s="420"/>
      <c r="HHE363" s="266"/>
      <c r="HHF363" s="629"/>
      <c r="HHG363" s="268"/>
      <c r="HHI363" s="262"/>
      <c r="HHJ363" s="628"/>
      <c r="HHK363" s="419"/>
      <c r="HHL363" s="223"/>
      <c r="HHM363" s="420"/>
      <c r="HHN363" s="266"/>
      <c r="HHO363" s="629"/>
      <c r="HHP363" s="268"/>
      <c r="HHR363" s="262"/>
      <c r="HHS363" s="628"/>
      <c r="HHT363" s="419"/>
      <c r="HHU363" s="223"/>
      <c r="HHV363" s="420"/>
      <c r="HHW363" s="266"/>
      <c r="HHX363" s="629"/>
      <c r="HHY363" s="268"/>
      <c r="HIA363" s="262"/>
      <c r="HIB363" s="628"/>
      <c r="HIC363" s="419"/>
      <c r="HID363" s="223"/>
      <c r="HIE363" s="420"/>
      <c r="HIF363" s="266"/>
      <c r="HIG363" s="629"/>
      <c r="HIH363" s="268"/>
      <c r="HIJ363" s="262"/>
      <c r="HIK363" s="628"/>
      <c r="HIL363" s="419"/>
      <c r="HIM363" s="223"/>
      <c r="HIN363" s="420"/>
      <c r="HIO363" s="266"/>
      <c r="HIP363" s="629"/>
      <c r="HIQ363" s="268"/>
      <c r="HIS363" s="262"/>
      <c r="HIT363" s="628"/>
      <c r="HIU363" s="419"/>
      <c r="HIV363" s="223"/>
      <c r="HIW363" s="420"/>
      <c r="HIX363" s="266"/>
      <c r="HIY363" s="629"/>
      <c r="HIZ363" s="268"/>
      <c r="HJB363" s="262"/>
      <c r="HJC363" s="628"/>
      <c r="HJD363" s="419"/>
      <c r="HJE363" s="223"/>
      <c r="HJF363" s="420"/>
      <c r="HJG363" s="266"/>
      <c r="HJH363" s="629"/>
      <c r="HJI363" s="268"/>
      <c r="HJK363" s="262"/>
      <c r="HJL363" s="628"/>
      <c r="HJM363" s="419"/>
      <c r="HJN363" s="223"/>
      <c r="HJO363" s="420"/>
      <c r="HJP363" s="266"/>
      <c r="HJQ363" s="629"/>
      <c r="HJR363" s="268"/>
      <c r="HJT363" s="262"/>
      <c r="HJU363" s="628"/>
      <c r="HJV363" s="419"/>
      <c r="HJW363" s="223"/>
      <c r="HJX363" s="420"/>
      <c r="HJY363" s="266"/>
      <c r="HJZ363" s="629"/>
      <c r="HKA363" s="268"/>
      <c r="HKC363" s="262"/>
      <c r="HKD363" s="628"/>
      <c r="HKE363" s="419"/>
      <c r="HKF363" s="223"/>
      <c r="HKG363" s="420"/>
      <c r="HKH363" s="266"/>
      <c r="HKI363" s="629"/>
      <c r="HKJ363" s="268"/>
      <c r="HKL363" s="262"/>
      <c r="HKM363" s="628"/>
      <c r="HKN363" s="419"/>
      <c r="HKO363" s="223"/>
      <c r="HKP363" s="420"/>
      <c r="HKQ363" s="266"/>
      <c r="HKR363" s="629"/>
      <c r="HKS363" s="268"/>
      <c r="HKU363" s="262"/>
      <c r="HKV363" s="628"/>
      <c r="HKW363" s="419"/>
      <c r="HKX363" s="223"/>
      <c r="HKY363" s="420"/>
      <c r="HKZ363" s="266"/>
      <c r="HLA363" s="629"/>
      <c r="HLB363" s="268"/>
      <c r="HLD363" s="262"/>
      <c r="HLE363" s="628"/>
      <c r="HLF363" s="419"/>
      <c r="HLG363" s="223"/>
      <c r="HLH363" s="420"/>
      <c r="HLI363" s="266"/>
      <c r="HLJ363" s="629"/>
      <c r="HLK363" s="268"/>
      <c r="HLM363" s="262"/>
      <c r="HLN363" s="628"/>
      <c r="HLO363" s="419"/>
      <c r="HLP363" s="223"/>
      <c r="HLQ363" s="420"/>
      <c r="HLR363" s="266"/>
      <c r="HLS363" s="629"/>
      <c r="HLT363" s="268"/>
      <c r="HLV363" s="262"/>
      <c r="HLW363" s="628"/>
      <c r="HLX363" s="419"/>
      <c r="HLY363" s="223"/>
      <c r="HLZ363" s="420"/>
      <c r="HMA363" s="266"/>
      <c r="HMB363" s="629"/>
      <c r="HMC363" s="268"/>
      <c r="HME363" s="262"/>
      <c r="HMF363" s="628"/>
      <c r="HMG363" s="419"/>
      <c r="HMH363" s="223"/>
      <c r="HMI363" s="420"/>
      <c r="HMJ363" s="266"/>
      <c r="HMK363" s="629"/>
      <c r="HML363" s="268"/>
      <c r="HMN363" s="262"/>
      <c r="HMO363" s="628"/>
      <c r="HMP363" s="419"/>
      <c r="HMQ363" s="223"/>
      <c r="HMR363" s="420"/>
      <c r="HMS363" s="266"/>
      <c r="HMT363" s="629"/>
      <c r="HMU363" s="268"/>
      <c r="HMW363" s="262"/>
      <c r="HMX363" s="628"/>
      <c r="HMY363" s="419"/>
      <c r="HMZ363" s="223"/>
      <c r="HNA363" s="420"/>
      <c r="HNB363" s="266"/>
      <c r="HNC363" s="629"/>
      <c r="HND363" s="268"/>
      <c r="HNF363" s="262"/>
      <c r="HNG363" s="628"/>
      <c r="HNH363" s="419"/>
      <c r="HNI363" s="223"/>
      <c r="HNJ363" s="420"/>
      <c r="HNK363" s="266"/>
      <c r="HNL363" s="629"/>
      <c r="HNM363" s="268"/>
      <c r="HNO363" s="262"/>
      <c r="HNP363" s="628"/>
      <c r="HNQ363" s="419"/>
      <c r="HNR363" s="223"/>
      <c r="HNS363" s="420"/>
      <c r="HNT363" s="266"/>
      <c r="HNU363" s="629"/>
      <c r="HNV363" s="268"/>
      <c r="HNX363" s="262"/>
      <c r="HNY363" s="628"/>
      <c r="HNZ363" s="419"/>
      <c r="HOA363" s="223"/>
      <c r="HOB363" s="420"/>
      <c r="HOC363" s="266"/>
      <c r="HOD363" s="629"/>
      <c r="HOE363" s="268"/>
      <c r="HOG363" s="262"/>
      <c r="HOH363" s="628"/>
      <c r="HOI363" s="419"/>
      <c r="HOJ363" s="223"/>
      <c r="HOK363" s="420"/>
      <c r="HOL363" s="266"/>
      <c r="HOM363" s="629"/>
      <c r="HON363" s="268"/>
      <c r="HOP363" s="262"/>
      <c r="HOQ363" s="628"/>
      <c r="HOR363" s="419"/>
      <c r="HOS363" s="223"/>
      <c r="HOT363" s="420"/>
      <c r="HOU363" s="266"/>
      <c r="HOV363" s="629"/>
      <c r="HOW363" s="268"/>
      <c r="HOY363" s="262"/>
      <c r="HOZ363" s="628"/>
      <c r="HPA363" s="419"/>
      <c r="HPB363" s="223"/>
      <c r="HPC363" s="420"/>
      <c r="HPD363" s="266"/>
      <c r="HPE363" s="629"/>
      <c r="HPF363" s="268"/>
      <c r="HPH363" s="262"/>
      <c r="HPI363" s="628"/>
      <c r="HPJ363" s="419"/>
      <c r="HPK363" s="223"/>
      <c r="HPL363" s="420"/>
      <c r="HPM363" s="266"/>
      <c r="HPN363" s="629"/>
      <c r="HPO363" s="268"/>
      <c r="HPQ363" s="262"/>
      <c r="HPR363" s="628"/>
      <c r="HPS363" s="419"/>
      <c r="HPT363" s="223"/>
      <c r="HPU363" s="420"/>
      <c r="HPV363" s="266"/>
      <c r="HPW363" s="629"/>
      <c r="HPX363" s="268"/>
      <c r="HPZ363" s="262"/>
      <c r="HQA363" s="628"/>
      <c r="HQB363" s="419"/>
      <c r="HQC363" s="223"/>
      <c r="HQD363" s="420"/>
      <c r="HQE363" s="266"/>
      <c r="HQF363" s="629"/>
      <c r="HQG363" s="268"/>
      <c r="HQI363" s="262"/>
      <c r="HQJ363" s="628"/>
      <c r="HQK363" s="419"/>
      <c r="HQL363" s="223"/>
      <c r="HQM363" s="420"/>
      <c r="HQN363" s="266"/>
      <c r="HQO363" s="629"/>
      <c r="HQP363" s="268"/>
      <c r="HQR363" s="262"/>
      <c r="HQS363" s="628"/>
      <c r="HQT363" s="419"/>
      <c r="HQU363" s="223"/>
      <c r="HQV363" s="420"/>
      <c r="HQW363" s="266"/>
      <c r="HQX363" s="629"/>
      <c r="HQY363" s="268"/>
      <c r="HRA363" s="262"/>
      <c r="HRB363" s="628"/>
      <c r="HRC363" s="419"/>
      <c r="HRD363" s="223"/>
      <c r="HRE363" s="420"/>
      <c r="HRF363" s="266"/>
      <c r="HRG363" s="629"/>
      <c r="HRH363" s="268"/>
      <c r="HRJ363" s="262"/>
      <c r="HRK363" s="628"/>
      <c r="HRL363" s="419"/>
      <c r="HRM363" s="223"/>
      <c r="HRN363" s="420"/>
      <c r="HRO363" s="266"/>
      <c r="HRP363" s="629"/>
      <c r="HRQ363" s="268"/>
      <c r="HRS363" s="262"/>
      <c r="HRT363" s="628"/>
      <c r="HRU363" s="419"/>
      <c r="HRV363" s="223"/>
      <c r="HRW363" s="420"/>
      <c r="HRX363" s="266"/>
      <c r="HRY363" s="629"/>
      <c r="HRZ363" s="268"/>
      <c r="HSB363" s="262"/>
      <c r="HSC363" s="628"/>
      <c r="HSD363" s="419"/>
      <c r="HSE363" s="223"/>
      <c r="HSF363" s="420"/>
      <c r="HSG363" s="266"/>
      <c r="HSH363" s="629"/>
      <c r="HSI363" s="268"/>
      <c r="HSK363" s="262"/>
      <c r="HSL363" s="628"/>
      <c r="HSM363" s="419"/>
      <c r="HSN363" s="223"/>
      <c r="HSO363" s="420"/>
      <c r="HSP363" s="266"/>
      <c r="HSQ363" s="629"/>
      <c r="HSR363" s="268"/>
      <c r="HST363" s="262"/>
      <c r="HSU363" s="628"/>
      <c r="HSV363" s="419"/>
      <c r="HSW363" s="223"/>
      <c r="HSX363" s="420"/>
      <c r="HSY363" s="266"/>
      <c r="HSZ363" s="629"/>
      <c r="HTA363" s="268"/>
      <c r="HTC363" s="262"/>
      <c r="HTD363" s="628"/>
      <c r="HTE363" s="419"/>
      <c r="HTF363" s="223"/>
      <c r="HTG363" s="420"/>
      <c r="HTH363" s="266"/>
      <c r="HTI363" s="629"/>
      <c r="HTJ363" s="268"/>
      <c r="HTL363" s="262"/>
      <c r="HTM363" s="628"/>
      <c r="HTN363" s="419"/>
      <c r="HTO363" s="223"/>
      <c r="HTP363" s="420"/>
      <c r="HTQ363" s="266"/>
      <c r="HTR363" s="629"/>
      <c r="HTS363" s="268"/>
      <c r="HTU363" s="262"/>
      <c r="HTV363" s="628"/>
      <c r="HTW363" s="419"/>
      <c r="HTX363" s="223"/>
      <c r="HTY363" s="420"/>
      <c r="HTZ363" s="266"/>
      <c r="HUA363" s="629"/>
      <c r="HUB363" s="268"/>
      <c r="HUD363" s="262"/>
      <c r="HUE363" s="628"/>
      <c r="HUF363" s="419"/>
      <c r="HUG363" s="223"/>
      <c r="HUH363" s="420"/>
      <c r="HUI363" s="266"/>
      <c r="HUJ363" s="629"/>
      <c r="HUK363" s="268"/>
      <c r="HUM363" s="262"/>
      <c r="HUN363" s="628"/>
      <c r="HUO363" s="419"/>
      <c r="HUP363" s="223"/>
      <c r="HUQ363" s="420"/>
      <c r="HUR363" s="266"/>
      <c r="HUS363" s="629"/>
      <c r="HUT363" s="268"/>
      <c r="HUV363" s="262"/>
      <c r="HUW363" s="628"/>
      <c r="HUX363" s="419"/>
      <c r="HUY363" s="223"/>
      <c r="HUZ363" s="420"/>
      <c r="HVA363" s="266"/>
      <c r="HVB363" s="629"/>
      <c r="HVC363" s="268"/>
      <c r="HVE363" s="262"/>
      <c r="HVF363" s="628"/>
      <c r="HVG363" s="419"/>
      <c r="HVH363" s="223"/>
      <c r="HVI363" s="420"/>
      <c r="HVJ363" s="266"/>
      <c r="HVK363" s="629"/>
      <c r="HVL363" s="268"/>
      <c r="HVN363" s="262"/>
      <c r="HVO363" s="628"/>
      <c r="HVP363" s="419"/>
      <c r="HVQ363" s="223"/>
      <c r="HVR363" s="420"/>
      <c r="HVS363" s="266"/>
      <c r="HVT363" s="629"/>
      <c r="HVU363" s="268"/>
      <c r="HVW363" s="262"/>
      <c r="HVX363" s="628"/>
      <c r="HVY363" s="419"/>
      <c r="HVZ363" s="223"/>
      <c r="HWA363" s="420"/>
      <c r="HWB363" s="266"/>
      <c r="HWC363" s="629"/>
      <c r="HWD363" s="268"/>
      <c r="HWF363" s="262"/>
      <c r="HWG363" s="628"/>
      <c r="HWH363" s="419"/>
      <c r="HWI363" s="223"/>
      <c r="HWJ363" s="420"/>
      <c r="HWK363" s="266"/>
      <c r="HWL363" s="629"/>
      <c r="HWM363" s="268"/>
      <c r="HWO363" s="262"/>
      <c r="HWP363" s="628"/>
      <c r="HWQ363" s="419"/>
      <c r="HWR363" s="223"/>
      <c r="HWS363" s="420"/>
      <c r="HWT363" s="266"/>
      <c r="HWU363" s="629"/>
      <c r="HWV363" s="268"/>
      <c r="HWX363" s="262"/>
      <c r="HWY363" s="628"/>
      <c r="HWZ363" s="419"/>
      <c r="HXA363" s="223"/>
      <c r="HXB363" s="420"/>
      <c r="HXC363" s="266"/>
      <c r="HXD363" s="629"/>
      <c r="HXE363" s="268"/>
      <c r="HXG363" s="262"/>
      <c r="HXH363" s="628"/>
      <c r="HXI363" s="419"/>
      <c r="HXJ363" s="223"/>
      <c r="HXK363" s="420"/>
      <c r="HXL363" s="266"/>
      <c r="HXM363" s="629"/>
      <c r="HXN363" s="268"/>
      <c r="HXP363" s="262"/>
      <c r="HXQ363" s="628"/>
      <c r="HXR363" s="419"/>
      <c r="HXS363" s="223"/>
      <c r="HXT363" s="420"/>
      <c r="HXU363" s="266"/>
      <c r="HXV363" s="629"/>
      <c r="HXW363" s="268"/>
      <c r="HXY363" s="262"/>
      <c r="HXZ363" s="628"/>
      <c r="HYA363" s="419"/>
      <c r="HYB363" s="223"/>
      <c r="HYC363" s="420"/>
      <c r="HYD363" s="266"/>
      <c r="HYE363" s="629"/>
      <c r="HYF363" s="268"/>
      <c r="HYH363" s="262"/>
      <c r="HYI363" s="628"/>
      <c r="HYJ363" s="419"/>
      <c r="HYK363" s="223"/>
      <c r="HYL363" s="420"/>
      <c r="HYM363" s="266"/>
      <c r="HYN363" s="629"/>
      <c r="HYO363" s="268"/>
      <c r="HYQ363" s="262"/>
      <c r="HYR363" s="628"/>
      <c r="HYS363" s="419"/>
      <c r="HYT363" s="223"/>
      <c r="HYU363" s="420"/>
      <c r="HYV363" s="266"/>
      <c r="HYW363" s="629"/>
      <c r="HYX363" s="268"/>
      <c r="HYZ363" s="262"/>
      <c r="HZA363" s="628"/>
      <c r="HZB363" s="419"/>
      <c r="HZC363" s="223"/>
      <c r="HZD363" s="420"/>
      <c r="HZE363" s="266"/>
      <c r="HZF363" s="629"/>
      <c r="HZG363" s="268"/>
      <c r="HZI363" s="262"/>
      <c r="HZJ363" s="628"/>
      <c r="HZK363" s="419"/>
      <c r="HZL363" s="223"/>
      <c r="HZM363" s="420"/>
      <c r="HZN363" s="266"/>
      <c r="HZO363" s="629"/>
      <c r="HZP363" s="268"/>
      <c r="HZR363" s="262"/>
      <c r="HZS363" s="628"/>
      <c r="HZT363" s="419"/>
      <c r="HZU363" s="223"/>
      <c r="HZV363" s="420"/>
      <c r="HZW363" s="266"/>
      <c r="HZX363" s="629"/>
      <c r="HZY363" s="268"/>
      <c r="IAA363" s="262"/>
      <c r="IAB363" s="628"/>
      <c r="IAC363" s="419"/>
      <c r="IAD363" s="223"/>
      <c r="IAE363" s="420"/>
      <c r="IAF363" s="266"/>
      <c r="IAG363" s="629"/>
      <c r="IAH363" s="268"/>
      <c r="IAJ363" s="262"/>
      <c r="IAK363" s="628"/>
      <c r="IAL363" s="419"/>
      <c r="IAM363" s="223"/>
      <c r="IAN363" s="420"/>
      <c r="IAO363" s="266"/>
      <c r="IAP363" s="629"/>
      <c r="IAQ363" s="268"/>
      <c r="IAS363" s="262"/>
      <c r="IAT363" s="628"/>
      <c r="IAU363" s="419"/>
      <c r="IAV363" s="223"/>
      <c r="IAW363" s="420"/>
      <c r="IAX363" s="266"/>
      <c r="IAY363" s="629"/>
      <c r="IAZ363" s="268"/>
      <c r="IBB363" s="262"/>
      <c r="IBC363" s="628"/>
      <c r="IBD363" s="419"/>
      <c r="IBE363" s="223"/>
      <c r="IBF363" s="420"/>
      <c r="IBG363" s="266"/>
      <c r="IBH363" s="629"/>
      <c r="IBI363" s="268"/>
      <c r="IBK363" s="262"/>
      <c r="IBL363" s="628"/>
      <c r="IBM363" s="419"/>
      <c r="IBN363" s="223"/>
      <c r="IBO363" s="420"/>
      <c r="IBP363" s="266"/>
      <c r="IBQ363" s="629"/>
      <c r="IBR363" s="268"/>
      <c r="IBT363" s="262"/>
      <c r="IBU363" s="628"/>
      <c r="IBV363" s="419"/>
      <c r="IBW363" s="223"/>
      <c r="IBX363" s="420"/>
      <c r="IBY363" s="266"/>
      <c r="IBZ363" s="629"/>
      <c r="ICA363" s="268"/>
      <c r="ICC363" s="262"/>
      <c r="ICD363" s="628"/>
      <c r="ICE363" s="419"/>
      <c r="ICF363" s="223"/>
      <c r="ICG363" s="420"/>
      <c r="ICH363" s="266"/>
      <c r="ICI363" s="629"/>
      <c r="ICJ363" s="268"/>
      <c r="ICL363" s="262"/>
      <c r="ICM363" s="628"/>
      <c r="ICN363" s="419"/>
      <c r="ICO363" s="223"/>
      <c r="ICP363" s="420"/>
      <c r="ICQ363" s="266"/>
      <c r="ICR363" s="629"/>
      <c r="ICS363" s="268"/>
      <c r="ICU363" s="262"/>
      <c r="ICV363" s="628"/>
      <c r="ICW363" s="419"/>
      <c r="ICX363" s="223"/>
      <c r="ICY363" s="420"/>
      <c r="ICZ363" s="266"/>
      <c r="IDA363" s="629"/>
      <c r="IDB363" s="268"/>
      <c r="IDD363" s="262"/>
      <c r="IDE363" s="628"/>
      <c r="IDF363" s="419"/>
      <c r="IDG363" s="223"/>
      <c r="IDH363" s="420"/>
      <c r="IDI363" s="266"/>
      <c r="IDJ363" s="629"/>
      <c r="IDK363" s="268"/>
      <c r="IDM363" s="262"/>
      <c r="IDN363" s="628"/>
      <c r="IDO363" s="419"/>
      <c r="IDP363" s="223"/>
      <c r="IDQ363" s="420"/>
      <c r="IDR363" s="266"/>
      <c r="IDS363" s="629"/>
      <c r="IDT363" s="268"/>
      <c r="IDV363" s="262"/>
      <c r="IDW363" s="628"/>
      <c r="IDX363" s="419"/>
      <c r="IDY363" s="223"/>
      <c r="IDZ363" s="420"/>
      <c r="IEA363" s="266"/>
      <c r="IEB363" s="629"/>
      <c r="IEC363" s="268"/>
      <c r="IEE363" s="262"/>
      <c r="IEF363" s="628"/>
      <c r="IEG363" s="419"/>
      <c r="IEH363" s="223"/>
      <c r="IEI363" s="420"/>
      <c r="IEJ363" s="266"/>
      <c r="IEK363" s="629"/>
      <c r="IEL363" s="268"/>
      <c r="IEN363" s="262"/>
      <c r="IEO363" s="628"/>
      <c r="IEP363" s="419"/>
      <c r="IEQ363" s="223"/>
      <c r="IER363" s="420"/>
      <c r="IES363" s="266"/>
      <c r="IET363" s="629"/>
      <c r="IEU363" s="268"/>
      <c r="IEW363" s="262"/>
      <c r="IEX363" s="628"/>
      <c r="IEY363" s="419"/>
      <c r="IEZ363" s="223"/>
      <c r="IFA363" s="420"/>
      <c r="IFB363" s="266"/>
      <c r="IFC363" s="629"/>
      <c r="IFD363" s="268"/>
      <c r="IFF363" s="262"/>
      <c r="IFG363" s="628"/>
      <c r="IFH363" s="419"/>
      <c r="IFI363" s="223"/>
      <c r="IFJ363" s="420"/>
      <c r="IFK363" s="266"/>
      <c r="IFL363" s="629"/>
      <c r="IFM363" s="268"/>
      <c r="IFO363" s="262"/>
      <c r="IFP363" s="628"/>
      <c r="IFQ363" s="419"/>
      <c r="IFR363" s="223"/>
      <c r="IFS363" s="420"/>
      <c r="IFT363" s="266"/>
      <c r="IFU363" s="629"/>
      <c r="IFV363" s="268"/>
      <c r="IFX363" s="262"/>
      <c r="IFY363" s="628"/>
      <c r="IFZ363" s="419"/>
      <c r="IGA363" s="223"/>
      <c r="IGB363" s="420"/>
      <c r="IGC363" s="266"/>
      <c r="IGD363" s="629"/>
      <c r="IGE363" s="268"/>
      <c r="IGG363" s="262"/>
      <c r="IGH363" s="628"/>
      <c r="IGI363" s="419"/>
      <c r="IGJ363" s="223"/>
      <c r="IGK363" s="420"/>
      <c r="IGL363" s="266"/>
      <c r="IGM363" s="629"/>
      <c r="IGN363" s="268"/>
      <c r="IGP363" s="262"/>
      <c r="IGQ363" s="628"/>
      <c r="IGR363" s="419"/>
      <c r="IGS363" s="223"/>
      <c r="IGT363" s="420"/>
      <c r="IGU363" s="266"/>
      <c r="IGV363" s="629"/>
      <c r="IGW363" s="268"/>
      <c r="IGY363" s="262"/>
      <c r="IGZ363" s="628"/>
      <c r="IHA363" s="419"/>
      <c r="IHB363" s="223"/>
      <c r="IHC363" s="420"/>
      <c r="IHD363" s="266"/>
      <c r="IHE363" s="629"/>
      <c r="IHF363" s="268"/>
      <c r="IHH363" s="262"/>
      <c r="IHI363" s="628"/>
      <c r="IHJ363" s="419"/>
      <c r="IHK363" s="223"/>
      <c r="IHL363" s="420"/>
      <c r="IHM363" s="266"/>
      <c r="IHN363" s="629"/>
      <c r="IHO363" s="268"/>
      <c r="IHQ363" s="262"/>
      <c r="IHR363" s="628"/>
      <c r="IHS363" s="419"/>
      <c r="IHT363" s="223"/>
      <c r="IHU363" s="420"/>
      <c r="IHV363" s="266"/>
      <c r="IHW363" s="629"/>
      <c r="IHX363" s="268"/>
      <c r="IHZ363" s="262"/>
      <c r="IIA363" s="628"/>
      <c r="IIB363" s="419"/>
      <c r="IIC363" s="223"/>
      <c r="IID363" s="420"/>
      <c r="IIE363" s="266"/>
      <c r="IIF363" s="629"/>
      <c r="IIG363" s="268"/>
      <c r="III363" s="262"/>
      <c r="IIJ363" s="628"/>
      <c r="IIK363" s="419"/>
      <c r="IIL363" s="223"/>
      <c r="IIM363" s="420"/>
      <c r="IIN363" s="266"/>
      <c r="IIO363" s="629"/>
      <c r="IIP363" s="268"/>
      <c r="IIR363" s="262"/>
      <c r="IIS363" s="628"/>
      <c r="IIT363" s="419"/>
      <c r="IIU363" s="223"/>
      <c r="IIV363" s="420"/>
      <c r="IIW363" s="266"/>
      <c r="IIX363" s="629"/>
      <c r="IIY363" s="268"/>
      <c r="IJA363" s="262"/>
      <c r="IJB363" s="628"/>
      <c r="IJC363" s="419"/>
      <c r="IJD363" s="223"/>
      <c r="IJE363" s="420"/>
      <c r="IJF363" s="266"/>
      <c r="IJG363" s="629"/>
      <c r="IJH363" s="268"/>
      <c r="IJJ363" s="262"/>
      <c r="IJK363" s="628"/>
      <c r="IJL363" s="419"/>
      <c r="IJM363" s="223"/>
      <c r="IJN363" s="420"/>
      <c r="IJO363" s="266"/>
      <c r="IJP363" s="629"/>
      <c r="IJQ363" s="268"/>
      <c r="IJS363" s="262"/>
      <c r="IJT363" s="628"/>
      <c r="IJU363" s="419"/>
      <c r="IJV363" s="223"/>
      <c r="IJW363" s="420"/>
      <c r="IJX363" s="266"/>
      <c r="IJY363" s="629"/>
      <c r="IJZ363" s="268"/>
      <c r="IKB363" s="262"/>
      <c r="IKC363" s="628"/>
      <c r="IKD363" s="419"/>
      <c r="IKE363" s="223"/>
      <c r="IKF363" s="420"/>
      <c r="IKG363" s="266"/>
      <c r="IKH363" s="629"/>
      <c r="IKI363" s="268"/>
      <c r="IKK363" s="262"/>
      <c r="IKL363" s="628"/>
      <c r="IKM363" s="419"/>
      <c r="IKN363" s="223"/>
      <c r="IKO363" s="420"/>
      <c r="IKP363" s="266"/>
      <c r="IKQ363" s="629"/>
      <c r="IKR363" s="268"/>
      <c r="IKT363" s="262"/>
      <c r="IKU363" s="628"/>
      <c r="IKV363" s="419"/>
      <c r="IKW363" s="223"/>
      <c r="IKX363" s="420"/>
      <c r="IKY363" s="266"/>
      <c r="IKZ363" s="629"/>
      <c r="ILA363" s="268"/>
      <c r="ILC363" s="262"/>
      <c r="ILD363" s="628"/>
      <c r="ILE363" s="419"/>
      <c r="ILF363" s="223"/>
      <c r="ILG363" s="420"/>
      <c r="ILH363" s="266"/>
      <c r="ILI363" s="629"/>
      <c r="ILJ363" s="268"/>
      <c r="ILL363" s="262"/>
      <c r="ILM363" s="628"/>
      <c r="ILN363" s="419"/>
      <c r="ILO363" s="223"/>
      <c r="ILP363" s="420"/>
      <c r="ILQ363" s="266"/>
      <c r="ILR363" s="629"/>
      <c r="ILS363" s="268"/>
      <c r="ILU363" s="262"/>
      <c r="ILV363" s="628"/>
      <c r="ILW363" s="419"/>
      <c r="ILX363" s="223"/>
      <c r="ILY363" s="420"/>
      <c r="ILZ363" s="266"/>
      <c r="IMA363" s="629"/>
      <c r="IMB363" s="268"/>
      <c r="IMD363" s="262"/>
      <c r="IME363" s="628"/>
      <c r="IMF363" s="419"/>
      <c r="IMG363" s="223"/>
      <c r="IMH363" s="420"/>
      <c r="IMI363" s="266"/>
      <c r="IMJ363" s="629"/>
      <c r="IMK363" s="268"/>
      <c r="IMM363" s="262"/>
      <c r="IMN363" s="628"/>
      <c r="IMO363" s="419"/>
      <c r="IMP363" s="223"/>
      <c r="IMQ363" s="420"/>
      <c r="IMR363" s="266"/>
      <c r="IMS363" s="629"/>
      <c r="IMT363" s="268"/>
      <c r="IMV363" s="262"/>
      <c r="IMW363" s="628"/>
      <c r="IMX363" s="419"/>
      <c r="IMY363" s="223"/>
      <c r="IMZ363" s="420"/>
      <c r="INA363" s="266"/>
      <c r="INB363" s="629"/>
      <c r="INC363" s="268"/>
      <c r="INE363" s="262"/>
      <c r="INF363" s="628"/>
      <c r="ING363" s="419"/>
      <c r="INH363" s="223"/>
      <c r="INI363" s="420"/>
      <c r="INJ363" s="266"/>
      <c r="INK363" s="629"/>
      <c r="INL363" s="268"/>
      <c r="INN363" s="262"/>
      <c r="INO363" s="628"/>
      <c r="INP363" s="419"/>
      <c r="INQ363" s="223"/>
      <c r="INR363" s="420"/>
      <c r="INS363" s="266"/>
      <c r="INT363" s="629"/>
      <c r="INU363" s="268"/>
      <c r="INW363" s="262"/>
      <c r="INX363" s="628"/>
      <c r="INY363" s="419"/>
      <c r="INZ363" s="223"/>
      <c r="IOA363" s="420"/>
      <c r="IOB363" s="266"/>
      <c r="IOC363" s="629"/>
      <c r="IOD363" s="268"/>
      <c r="IOF363" s="262"/>
      <c r="IOG363" s="628"/>
      <c r="IOH363" s="419"/>
      <c r="IOI363" s="223"/>
      <c r="IOJ363" s="420"/>
      <c r="IOK363" s="266"/>
      <c r="IOL363" s="629"/>
      <c r="IOM363" s="268"/>
      <c r="IOO363" s="262"/>
      <c r="IOP363" s="628"/>
      <c r="IOQ363" s="419"/>
      <c r="IOR363" s="223"/>
      <c r="IOS363" s="420"/>
      <c r="IOT363" s="266"/>
      <c r="IOU363" s="629"/>
      <c r="IOV363" s="268"/>
      <c r="IOX363" s="262"/>
      <c r="IOY363" s="628"/>
      <c r="IOZ363" s="419"/>
      <c r="IPA363" s="223"/>
      <c r="IPB363" s="420"/>
      <c r="IPC363" s="266"/>
      <c r="IPD363" s="629"/>
      <c r="IPE363" s="268"/>
      <c r="IPG363" s="262"/>
      <c r="IPH363" s="628"/>
      <c r="IPI363" s="419"/>
      <c r="IPJ363" s="223"/>
      <c r="IPK363" s="420"/>
      <c r="IPL363" s="266"/>
      <c r="IPM363" s="629"/>
      <c r="IPN363" s="268"/>
      <c r="IPP363" s="262"/>
      <c r="IPQ363" s="628"/>
      <c r="IPR363" s="419"/>
      <c r="IPS363" s="223"/>
      <c r="IPT363" s="420"/>
      <c r="IPU363" s="266"/>
      <c r="IPV363" s="629"/>
      <c r="IPW363" s="268"/>
      <c r="IPY363" s="262"/>
      <c r="IPZ363" s="628"/>
      <c r="IQA363" s="419"/>
      <c r="IQB363" s="223"/>
      <c r="IQC363" s="420"/>
      <c r="IQD363" s="266"/>
      <c r="IQE363" s="629"/>
      <c r="IQF363" s="268"/>
      <c r="IQH363" s="262"/>
      <c r="IQI363" s="628"/>
      <c r="IQJ363" s="419"/>
      <c r="IQK363" s="223"/>
      <c r="IQL363" s="420"/>
      <c r="IQM363" s="266"/>
      <c r="IQN363" s="629"/>
      <c r="IQO363" s="268"/>
      <c r="IQQ363" s="262"/>
      <c r="IQR363" s="628"/>
      <c r="IQS363" s="419"/>
      <c r="IQT363" s="223"/>
      <c r="IQU363" s="420"/>
      <c r="IQV363" s="266"/>
      <c r="IQW363" s="629"/>
      <c r="IQX363" s="268"/>
      <c r="IQZ363" s="262"/>
      <c r="IRA363" s="628"/>
      <c r="IRB363" s="419"/>
      <c r="IRC363" s="223"/>
      <c r="IRD363" s="420"/>
      <c r="IRE363" s="266"/>
      <c r="IRF363" s="629"/>
      <c r="IRG363" s="268"/>
      <c r="IRI363" s="262"/>
      <c r="IRJ363" s="628"/>
      <c r="IRK363" s="419"/>
      <c r="IRL363" s="223"/>
      <c r="IRM363" s="420"/>
      <c r="IRN363" s="266"/>
      <c r="IRO363" s="629"/>
      <c r="IRP363" s="268"/>
      <c r="IRR363" s="262"/>
      <c r="IRS363" s="628"/>
      <c r="IRT363" s="419"/>
      <c r="IRU363" s="223"/>
      <c r="IRV363" s="420"/>
      <c r="IRW363" s="266"/>
      <c r="IRX363" s="629"/>
      <c r="IRY363" s="268"/>
      <c r="ISA363" s="262"/>
      <c r="ISB363" s="628"/>
      <c r="ISC363" s="419"/>
      <c r="ISD363" s="223"/>
      <c r="ISE363" s="420"/>
      <c r="ISF363" s="266"/>
      <c r="ISG363" s="629"/>
      <c r="ISH363" s="268"/>
      <c r="ISJ363" s="262"/>
      <c r="ISK363" s="628"/>
      <c r="ISL363" s="419"/>
      <c r="ISM363" s="223"/>
      <c r="ISN363" s="420"/>
      <c r="ISO363" s="266"/>
      <c r="ISP363" s="629"/>
      <c r="ISQ363" s="268"/>
      <c r="ISS363" s="262"/>
      <c r="IST363" s="628"/>
      <c r="ISU363" s="419"/>
      <c r="ISV363" s="223"/>
      <c r="ISW363" s="420"/>
      <c r="ISX363" s="266"/>
      <c r="ISY363" s="629"/>
      <c r="ISZ363" s="268"/>
      <c r="ITB363" s="262"/>
      <c r="ITC363" s="628"/>
      <c r="ITD363" s="419"/>
      <c r="ITE363" s="223"/>
      <c r="ITF363" s="420"/>
      <c r="ITG363" s="266"/>
      <c r="ITH363" s="629"/>
      <c r="ITI363" s="268"/>
      <c r="ITK363" s="262"/>
      <c r="ITL363" s="628"/>
      <c r="ITM363" s="419"/>
      <c r="ITN363" s="223"/>
      <c r="ITO363" s="420"/>
      <c r="ITP363" s="266"/>
      <c r="ITQ363" s="629"/>
      <c r="ITR363" s="268"/>
      <c r="ITT363" s="262"/>
      <c r="ITU363" s="628"/>
      <c r="ITV363" s="419"/>
      <c r="ITW363" s="223"/>
      <c r="ITX363" s="420"/>
      <c r="ITY363" s="266"/>
      <c r="ITZ363" s="629"/>
      <c r="IUA363" s="268"/>
      <c r="IUC363" s="262"/>
      <c r="IUD363" s="628"/>
      <c r="IUE363" s="419"/>
      <c r="IUF363" s="223"/>
      <c r="IUG363" s="420"/>
      <c r="IUH363" s="266"/>
      <c r="IUI363" s="629"/>
      <c r="IUJ363" s="268"/>
      <c r="IUL363" s="262"/>
      <c r="IUM363" s="628"/>
      <c r="IUN363" s="419"/>
      <c r="IUO363" s="223"/>
      <c r="IUP363" s="420"/>
      <c r="IUQ363" s="266"/>
      <c r="IUR363" s="629"/>
      <c r="IUS363" s="268"/>
      <c r="IUU363" s="262"/>
      <c r="IUV363" s="628"/>
      <c r="IUW363" s="419"/>
      <c r="IUX363" s="223"/>
      <c r="IUY363" s="420"/>
      <c r="IUZ363" s="266"/>
      <c r="IVA363" s="629"/>
      <c r="IVB363" s="268"/>
      <c r="IVD363" s="262"/>
      <c r="IVE363" s="628"/>
      <c r="IVF363" s="419"/>
      <c r="IVG363" s="223"/>
      <c r="IVH363" s="420"/>
      <c r="IVI363" s="266"/>
      <c r="IVJ363" s="629"/>
      <c r="IVK363" s="268"/>
      <c r="IVM363" s="262"/>
      <c r="IVN363" s="628"/>
      <c r="IVO363" s="419"/>
      <c r="IVP363" s="223"/>
      <c r="IVQ363" s="420"/>
      <c r="IVR363" s="266"/>
      <c r="IVS363" s="629"/>
      <c r="IVT363" s="268"/>
      <c r="IVV363" s="262"/>
      <c r="IVW363" s="628"/>
      <c r="IVX363" s="419"/>
      <c r="IVY363" s="223"/>
      <c r="IVZ363" s="420"/>
      <c r="IWA363" s="266"/>
      <c r="IWB363" s="629"/>
      <c r="IWC363" s="268"/>
      <c r="IWE363" s="262"/>
      <c r="IWF363" s="628"/>
      <c r="IWG363" s="419"/>
      <c r="IWH363" s="223"/>
      <c r="IWI363" s="420"/>
      <c r="IWJ363" s="266"/>
      <c r="IWK363" s="629"/>
      <c r="IWL363" s="268"/>
      <c r="IWN363" s="262"/>
      <c r="IWO363" s="628"/>
      <c r="IWP363" s="419"/>
      <c r="IWQ363" s="223"/>
      <c r="IWR363" s="420"/>
      <c r="IWS363" s="266"/>
      <c r="IWT363" s="629"/>
      <c r="IWU363" s="268"/>
      <c r="IWW363" s="262"/>
      <c r="IWX363" s="628"/>
      <c r="IWY363" s="419"/>
      <c r="IWZ363" s="223"/>
      <c r="IXA363" s="420"/>
      <c r="IXB363" s="266"/>
      <c r="IXC363" s="629"/>
      <c r="IXD363" s="268"/>
      <c r="IXF363" s="262"/>
      <c r="IXG363" s="628"/>
      <c r="IXH363" s="419"/>
      <c r="IXI363" s="223"/>
      <c r="IXJ363" s="420"/>
      <c r="IXK363" s="266"/>
      <c r="IXL363" s="629"/>
      <c r="IXM363" s="268"/>
      <c r="IXO363" s="262"/>
      <c r="IXP363" s="628"/>
      <c r="IXQ363" s="419"/>
      <c r="IXR363" s="223"/>
      <c r="IXS363" s="420"/>
      <c r="IXT363" s="266"/>
      <c r="IXU363" s="629"/>
      <c r="IXV363" s="268"/>
      <c r="IXX363" s="262"/>
      <c r="IXY363" s="628"/>
      <c r="IXZ363" s="419"/>
      <c r="IYA363" s="223"/>
      <c r="IYB363" s="420"/>
      <c r="IYC363" s="266"/>
      <c r="IYD363" s="629"/>
      <c r="IYE363" s="268"/>
      <c r="IYG363" s="262"/>
      <c r="IYH363" s="628"/>
      <c r="IYI363" s="419"/>
      <c r="IYJ363" s="223"/>
      <c r="IYK363" s="420"/>
      <c r="IYL363" s="266"/>
      <c r="IYM363" s="629"/>
      <c r="IYN363" s="268"/>
      <c r="IYP363" s="262"/>
      <c r="IYQ363" s="628"/>
      <c r="IYR363" s="419"/>
      <c r="IYS363" s="223"/>
      <c r="IYT363" s="420"/>
      <c r="IYU363" s="266"/>
      <c r="IYV363" s="629"/>
      <c r="IYW363" s="268"/>
      <c r="IYY363" s="262"/>
      <c r="IYZ363" s="628"/>
      <c r="IZA363" s="419"/>
      <c r="IZB363" s="223"/>
      <c r="IZC363" s="420"/>
      <c r="IZD363" s="266"/>
      <c r="IZE363" s="629"/>
      <c r="IZF363" s="268"/>
      <c r="IZH363" s="262"/>
      <c r="IZI363" s="628"/>
      <c r="IZJ363" s="419"/>
      <c r="IZK363" s="223"/>
      <c r="IZL363" s="420"/>
      <c r="IZM363" s="266"/>
      <c r="IZN363" s="629"/>
      <c r="IZO363" s="268"/>
      <c r="IZQ363" s="262"/>
      <c r="IZR363" s="628"/>
      <c r="IZS363" s="419"/>
      <c r="IZT363" s="223"/>
      <c r="IZU363" s="420"/>
      <c r="IZV363" s="266"/>
      <c r="IZW363" s="629"/>
      <c r="IZX363" s="268"/>
      <c r="IZZ363" s="262"/>
      <c r="JAA363" s="628"/>
      <c r="JAB363" s="419"/>
      <c r="JAC363" s="223"/>
      <c r="JAD363" s="420"/>
      <c r="JAE363" s="266"/>
      <c r="JAF363" s="629"/>
      <c r="JAG363" s="268"/>
      <c r="JAI363" s="262"/>
      <c r="JAJ363" s="628"/>
      <c r="JAK363" s="419"/>
      <c r="JAL363" s="223"/>
      <c r="JAM363" s="420"/>
      <c r="JAN363" s="266"/>
      <c r="JAO363" s="629"/>
      <c r="JAP363" s="268"/>
      <c r="JAR363" s="262"/>
      <c r="JAS363" s="628"/>
      <c r="JAT363" s="419"/>
      <c r="JAU363" s="223"/>
      <c r="JAV363" s="420"/>
      <c r="JAW363" s="266"/>
      <c r="JAX363" s="629"/>
      <c r="JAY363" s="268"/>
      <c r="JBA363" s="262"/>
      <c r="JBB363" s="628"/>
      <c r="JBC363" s="419"/>
      <c r="JBD363" s="223"/>
      <c r="JBE363" s="420"/>
      <c r="JBF363" s="266"/>
      <c r="JBG363" s="629"/>
      <c r="JBH363" s="268"/>
      <c r="JBJ363" s="262"/>
      <c r="JBK363" s="628"/>
      <c r="JBL363" s="419"/>
      <c r="JBM363" s="223"/>
      <c r="JBN363" s="420"/>
      <c r="JBO363" s="266"/>
      <c r="JBP363" s="629"/>
      <c r="JBQ363" s="268"/>
      <c r="JBS363" s="262"/>
      <c r="JBT363" s="628"/>
      <c r="JBU363" s="419"/>
      <c r="JBV363" s="223"/>
      <c r="JBW363" s="420"/>
      <c r="JBX363" s="266"/>
      <c r="JBY363" s="629"/>
      <c r="JBZ363" s="268"/>
      <c r="JCB363" s="262"/>
      <c r="JCC363" s="628"/>
      <c r="JCD363" s="419"/>
      <c r="JCE363" s="223"/>
      <c r="JCF363" s="420"/>
      <c r="JCG363" s="266"/>
      <c r="JCH363" s="629"/>
      <c r="JCI363" s="268"/>
      <c r="JCK363" s="262"/>
      <c r="JCL363" s="628"/>
      <c r="JCM363" s="419"/>
      <c r="JCN363" s="223"/>
      <c r="JCO363" s="420"/>
      <c r="JCP363" s="266"/>
      <c r="JCQ363" s="629"/>
      <c r="JCR363" s="268"/>
      <c r="JCT363" s="262"/>
      <c r="JCU363" s="628"/>
      <c r="JCV363" s="419"/>
      <c r="JCW363" s="223"/>
      <c r="JCX363" s="420"/>
      <c r="JCY363" s="266"/>
      <c r="JCZ363" s="629"/>
      <c r="JDA363" s="268"/>
      <c r="JDC363" s="262"/>
      <c r="JDD363" s="628"/>
      <c r="JDE363" s="419"/>
      <c r="JDF363" s="223"/>
      <c r="JDG363" s="420"/>
      <c r="JDH363" s="266"/>
      <c r="JDI363" s="629"/>
      <c r="JDJ363" s="268"/>
      <c r="JDL363" s="262"/>
      <c r="JDM363" s="628"/>
      <c r="JDN363" s="419"/>
      <c r="JDO363" s="223"/>
      <c r="JDP363" s="420"/>
      <c r="JDQ363" s="266"/>
      <c r="JDR363" s="629"/>
      <c r="JDS363" s="268"/>
      <c r="JDU363" s="262"/>
      <c r="JDV363" s="628"/>
      <c r="JDW363" s="419"/>
      <c r="JDX363" s="223"/>
      <c r="JDY363" s="420"/>
      <c r="JDZ363" s="266"/>
      <c r="JEA363" s="629"/>
      <c r="JEB363" s="268"/>
      <c r="JED363" s="262"/>
      <c r="JEE363" s="628"/>
      <c r="JEF363" s="419"/>
      <c r="JEG363" s="223"/>
      <c r="JEH363" s="420"/>
      <c r="JEI363" s="266"/>
      <c r="JEJ363" s="629"/>
      <c r="JEK363" s="268"/>
      <c r="JEM363" s="262"/>
      <c r="JEN363" s="628"/>
      <c r="JEO363" s="419"/>
      <c r="JEP363" s="223"/>
      <c r="JEQ363" s="420"/>
      <c r="JER363" s="266"/>
      <c r="JES363" s="629"/>
      <c r="JET363" s="268"/>
      <c r="JEV363" s="262"/>
      <c r="JEW363" s="628"/>
      <c r="JEX363" s="419"/>
      <c r="JEY363" s="223"/>
      <c r="JEZ363" s="420"/>
      <c r="JFA363" s="266"/>
      <c r="JFB363" s="629"/>
      <c r="JFC363" s="268"/>
      <c r="JFE363" s="262"/>
      <c r="JFF363" s="628"/>
      <c r="JFG363" s="419"/>
      <c r="JFH363" s="223"/>
      <c r="JFI363" s="420"/>
      <c r="JFJ363" s="266"/>
      <c r="JFK363" s="629"/>
      <c r="JFL363" s="268"/>
      <c r="JFN363" s="262"/>
      <c r="JFO363" s="628"/>
      <c r="JFP363" s="419"/>
      <c r="JFQ363" s="223"/>
      <c r="JFR363" s="420"/>
      <c r="JFS363" s="266"/>
      <c r="JFT363" s="629"/>
      <c r="JFU363" s="268"/>
      <c r="JFW363" s="262"/>
      <c r="JFX363" s="628"/>
      <c r="JFY363" s="419"/>
      <c r="JFZ363" s="223"/>
      <c r="JGA363" s="420"/>
      <c r="JGB363" s="266"/>
      <c r="JGC363" s="629"/>
      <c r="JGD363" s="268"/>
      <c r="JGF363" s="262"/>
      <c r="JGG363" s="628"/>
      <c r="JGH363" s="419"/>
      <c r="JGI363" s="223"/>
      <c r="JGJ363" s="420"/>
      <c r="JGK363" s="266"/>
      <c r="JGL363" s="629"/>
      <c r="JGM363" s="268"/>
      <c r="JGO363" s="262"/>
      <c r="JGP363" s="628"/>
      <c r="JGQ363" s="419"/>
      <c r="JGR363" s="223"/>
      <c r="JGS363" s="420"/>
      <c r="JGT363" s="266"/>
      <c r="JGU363" s="629"/>
      <c r="JGV363" s="268"/>
      <c r="JGX363" s="262"/>
      <c r="JGY363" s="628"/>
      <c r="JGZ363" s="419"/>
      <c r="JHA363" s="223"/>
      <c r="JHB363" s="420"/>
      <c r="JHC363" s="266"/>
      <c r="JHD363" s="629"/>
      <c r="JHE363" s="268"/>
      <c r="JHG363" s="262"/>
      <c r="JHH363" s="628"/>
      <c r="JHI363" s="419"/>
      <c r="JHJ363" s="223"/>
      <c r="JHK363" s="420"/>
      <c r="JHL363" s="266"/>
      <c r="JHM363" s="629"/>
      <c r="JHN363" s="268"/>
      <c r="JHP363" s="262"/>
      <c r="JHQ363" s="628"/>
      <c r="JHR363" s="419"/>
      <c r="JHS363" s="223"/>
      <c r="JHT363" s="420"/>
      <c r="JHU363" s="266"/>
      <c r="JHV363" s="629"/>
      <c r="JHW363" s="268"/>
      <c r="JHY363" s="262"/>
      <c r="JHZ363" s="628"/>
      <c r="JIA363" s="419"/>
      <c r="JIB363" s="223"/>
      <c r="JIC363" s="420"/>
      <c r="JID363" s="266"/>
      <c r="JIE363" s="629"/>
      <c r="JIF363" s="268"/>
      <c r="JIH363" s="262"/>
      <c r="JII363" s="628"/>
      <c r="JIJ363" s="419"/>
      <c r="JIK363" s="223"/>
      <c r="JIL363" s="420"/>
      <c r="JIM363" s="266"/>
      <c r="JIN363" s="629"/>
      <c r="JIO363" s="268"/>
      <c r="JIQ363" s="262"/>
      <c r="JIR363" s="628"/>
      <c r="JIS363" s="419"/>
      <c r="JIT363" s="223"/>
      <c r="JIU363" s="420"/>
      <c r="JIV363" s="266"/>
      <c r="JIW363" s="629"/>
      <c r="JIX363" s="268"/>
      <c r="JIZ363" s="262"/>
      <c r="JJA363" s="628"/>
      <c r="JJB363" s="419"/>
      <c r="JJC363" s="223"/>
      <c r="JJD363" s="420"/>
      <c r="JJE363" s="266"/>
      <c r="JJF363" s="629"/>
      <c r="JJG363" s="268"/>
      <c r="JJI363" s="262"/>
      <c r="JJJ363" s="628"/>
      <c r="JJK363" s="419"/>
      <c r="JJL363" s="223"/>
      <c r="JJM363" s="420"/>
      <c r="JJN363" s="266"/>
      <c r="JJO363" s="629"/>
      <c r="JJP363" s="268"/>
      <c r="JJR363" s="262"/>
      <c r="JJS363" s="628"/>
      <c r="JJT363" s="419"/>
      <c r="JJU363" s="223"/>
      <c r="JJV363" s="420"/>
      <c r="JJW363" s="266"/>
      <c r="JJX363" s="629"/>
      <c r="JJY363" s="268"/>
      <c r="JKA363" s="262"/>
      <c r="JKB363" s="628"/>
      <c r="JKC363" s="419"/>
      <c r="JKD363" s="223"/>
      <c r="JKE363" s="420"/>
      <c r="JKF363" s="266"/>
      <c r="JKG363" s="629"/>
      <c r="JKH363" s="268"/>
      <c r="JKJ363" s="262"/>
      <c r="JKK363" s="628"/>
      <c r="JKL363" s="419"/>
      <c r="JKM363" s="223"/>
      <c r="JKN363" s="420"/>
      <c r="JKO363" s="266"/>
      <c r="JKP363" s="629"/>
      <c r="JKQ363" s="268"/>
      <c r="JKS363" s="262"/>
      <c r="JKT363" s="628"/>
      <c r="JKU363" s="419"/>
      <c r="JKV363" s="223"/>
      <c r="JKW363" s="420"/>
      <c r="JKX363" s="266"/>
      <c r="JKY363" s="629"/>
      <c r="JKZ363" s="268"/>
      <c r="JLB363" s="262"/>
      <c r="JLC363" s="628"/>
      <c r="JLD363" s="419"/>
      <c r="JLE363" s="223"/>
      <c r="JLF363" s="420"/>
      <c r="JLG363" s="266"/>
      <c r="JLH363" s="629"/>
      <c r="JLI363" s="268"/>
      <c r="JLK363" s="262"/>
      <c r="JLL363" s="628"/>
      <c r="JLM363" s="419"/>
      <c r="JLN363" s="223"/>
      <c r="JLO363" s="420"/>
      <c r="JLP363" s="266"/>
      <c r="JLQ363" s="629"/>
      <c r="JLR363" s="268"/>
      <c r="JLT363" s="262"/>
      <c r="JLU363" s="628"/>
      <c r="JLV363" s="419"/>
      <c r="JLW363" s="223"/>
      <c r="JLX363" s="420"/>
      <c r="JLY363" s="266"/>
      <c r="JLZ363" s="629"/>
      <c r="JMA363" s="268"/>
      <c r="JMC363" s="262"/>
      <c r="JMD363" s="628"/>
      <c r="JME363" s="419"/>
      <c r="JMF363" s="223"/>
      <c r="JMG363" s="420"/>
      <c r="JMH363" s="266"/>
      <c r="JMI363" s="629"/>
      <c r="JMJ363" s="268"/>
      <c r="JML363" s="262"/>
      <c r="JMM363" s="628"/>
      <c r="JMN363" s="419"/>
      <c r="JMO363" s="223"/>
      <c r="JMP363" s="420"/>
      <c r="JMQ363" s="266"/>
      <c r="JMR363" s="629"/>
      <c r="JMS363" s="268"/>
      <c r="JMU363" s="262"/>
      <c r="JMV363" s="628"/>
      <c r="JMW363" s="419"/>
      <c r="JMX363" s="223"/>
      <c r="JMY363" s="420"/>
      <c r="JMZ363" s="266"/>
      <c r="JNA363" s="629"/>
      <c r="JNB363" s="268"/>
      <c r="JND363" s="262"/>
      <c r="JNE363" s="628"/>
      <c r="JNF363" s="419"/>
      <c r="JNG363" s="223"/>
      <c r="JNH363" s="420"/>
      <c r="JNI363" s="266"/>
      <c r="JNJ363" s="629"/>
      <c r="JNK363" s="268"/>
      <c r="JNM363" s="262"/>
      <c r="JNN363" s="628"/>
      <c r="JNO363" s="419"/>
      <c r="JNP363" s="223"/>
      <c r="JNQ363" s="420"/>
      <c r="JNR363" s="266"/>
      <c r="JNS363" s="629"/>
      <c r="JNT363" s="268"/>
      <c r="JNV363" s="262"/>
      <c r="JNW363" s="628"/>
      <c r="JNX363" s="419"/>
      <c r="JNY363" s="223"/>
      <c r="JNZ363" s="420"/>
      <c r="JOA363" s="266"/>
      <c r="JOB363" s="629"/>
      <c r="JOC363" s="268"/>
      <c r="JOE363" s="262"/>
      <c r="JOF363" s="628"/>
      <c r="JOG363" s="419"/>
      <c r="JOH363" s="223"/>
      <c r="JOI363" s="420"/>
      <c r="JOJ363" s="266"/>
      <c r="JOK363" s="629"/>
      <c r="JOL363" s="268"/>
      <c r="JON363" s="262"/>
      <c r="JOO363" s="628"/>
      <c r="JOP363" s="419"/>
      <c r="JOQ363" s="223"/>
      <c r="JOR363" s="420"/>
      <c r="JOS363" s="266"/>
      <c r="JOT363" s="629"/>
      <c r="JOU363" s="268"/>
      <c r="JOW363" s="262"/>
      <c r="JOX363" s="628"/>
      <c r="JOY363" s="419"/>
      <c r="JOZ363" s="223"/>
      <c r="JPA363" s="420"/>
      <c r="JPB363" s="266"/>
      <c r="JPC363" s="629"/>
      <c r="JPD363" s="268"/>
      <c r="JPF363" s="262"/>
      <c r="JPG363" s="628"/>
      <c r="JPH363" s="419"/>
      <c r="JPI363" s="223"/>
      <c r="JPJ363" s="420"/>
      <c r="JPK363" s="266"/>
      <c r="JPL363" s="629"/>
      <c r="JPM363" s="268"/>
      <c r="JPO363" s="262"/>
      <c r="JPP363" s="628"/>
      <c r="JPQ363" s="419"/>
      <c r="JPR363" s="223"/>
      <c r="JPS363" s="420"/>
      <c r="JPT363" s="266"/>
      <c r="JPU363" s="629"/>
      <c r="JPV363" s="268"/>
      <c r="JPX363" s="262"/>
      <c r="JPY363" s="628"/>
      <c r="JPZ363" s="419"/>
      <c r="JQA363" s="223"/>
      <c r="JQB363" s="420"/>
      <c r="JQC363" s="266"/>
      <c r="JQD363" s="629"/>
      <c r="JQE363" s="268"/>
      <c r="JQG363" s="262"/>
      <c r="JQH363" s="628"/>
      <c r="JQI363" s="419"/>
      <c r="JQJ363" s="223"/>
      <c r="JQK363" s="420"/>
      <c r="JQL363" s="266"/>
      <c r="JQM363" s="629"/>
      <c r="JQN363" s="268"/>
      <c r="JQP363" s="262"/>
      <c r="JQQ363" s="628"/>
      <c r="JQR363" s="419"/>
      <c r="JQS363" s="223"/>
      <c r="JQT363" s="420"/>
      <c r="JQU363" s="266"/>
      <c r="JQV363" s="629"/>
      <c r="JQW363" s="268"/>
      <c r="JQY363" s="262"/>
      <c r="JQZ363" s="628"/>
      <c r="JRA363" s="419"/>
      <c r="JRB363" s="223"/>
      <c r="JRC363" s="420"/>
      <c r="JRD363" s="266"/>
      <c r="JRE363" s="629"/>
      <c r="JRF363" s="268"/>
      <c r="JRH363" s="262"/>
      <c r="JRI363" s="628"/>
      <c r="JRJ363" s="419"/>
      <c r="JRK363" s="223"/>
      <c r="JRL363" s="420"/>
      <c r="JRM363" s="266"/>
      <c r="JRN363" s="629"/>
      <c r="JRO363" s="268"/>
      <c r="JRQ363" s="262"/>
      <c r="JRR363" s="628"/>
      <c r="JRS363" s="419"/>
      <c r="JRT363" s="223"/>
      <c r="JRU363" s="420"/>
      <c r="JRV363" s="266"/>
      <c r="JRW363" s="629"/>
      <c r="JRX363" s="268"/>
      <c r="JRZ363" s="262"/>
      <c r="JSA363" s="628"/>
      <c r="JSB363" s="419"/>
      <c r="JSC363" s="223"/>
      <c r="JSD363" s="420"/>
      <c r="JSE363" s="266"/>
      <c r="JSF363" s="629"/>
      <c r="JSG363" s="268"/>
      <c r="JSI363" s="262"/>
      <c r="JSJ363" s="628"/>
      <c r="JSK363" s="419"/>
      <c r="JSL363" s="223"/>
      <c r="JSM363" s="420"/>
      <c r="JSN363" s="266"/>
      <c r="JSO363" s="629"/>
      <c r="JSP363" s="268"/>
      <c r="JSR363" s="262"/>
      <c r="JSS363" s="628"/>
      <c r="JST363" s="419"/>
      <c r="JSU363" s="223"/>
      <c r="JSV363" s="420"/>
      <c r="JSW363" s="266"/>
      <c r="JSX363" s="629"/>
      <c r="JSY363" s="268"/>
      <c r="JTA363" s="262"/>
      <c r="JTB363" s="628"/>
      <c r="JTC363" s="419"/>
      <c r="JTD363" s="223"/>
      <c r="JTE363" s="420"/>
      <c r="JTF363" s="266"/>
      <c r="JTG363" s="629"/>
      <c r="JTH363" s="268"/>
      <c r="JTJ363" s="262"/>
      <c r="JTK363" s="628"/>
      <c r="JTL363" s="419"/>
      <c r="JTM363" s="223"/>
      <c r="JTN363" s="420"/>
      <c r="JTO363" s="266"/>
      <c r="JTP363" s="629"/>
      <c r="JTQ363" s="268"/>
      <c r="JTS363" s="262"/>
      <c r="JTT363" s="628"/>
      <c r="JTU363" s="419"/>
      <c r="JTV363" s="223"/>
      <c r="JTW363" s="420"/>
      <c r="JTX363" s="266"/>
      <c r="JTY363" s="629"/>
      <c r="JTZ363" s="268"/>
      <c r="JUB363" s="262"/>
      <c r="JUC363" s="628"/>
      <c r="JUD363" s="419"/>
      <c r="JUE363" s="223"/>
      <c r="JUF363" s="420"/>
      <c r="JUG363" s="266"/>
      <c r="JUH363" s="629"/>
      <c r="JUI363" s="268"/>
      <c r="JUK363" s="262"/>
      <c r="JUL363" s="628"/>
      <c r="JUM363" s="419"/>
      <c r="JUN363" s="223"/>
      <c r="JUO363" s="420"/>
      <c r="JUP363" s="266"/>
      <c r="JUQ363" s="629"/>
      <c r="JUR363" s="268"/>
      <c r="JUT363" s="262"/>
      <c r="JUU363" s="628"/>
      <c r="JUV363" s="419"/>
      <c r="JUW363" s="223"/>
      <c r="JUX363" s="420"/>
      <c r="JUY363" s="266"/>
      <c r="JUZ363" s="629"/>
      <c r="JVA363" s="268"/>
      <c r="JVC363" s="262"/>
      <c r="JVD363" s="628"/>
      <c r="JVE363" s="419"/>
      <c r="JVF363" s="223"/>
      <c r="JVG363" s="420"/>
      <c r="JVH363" s="266"/>
      <c r="JVI363" s="629"/>
      <c r="JVJ363" s="268"/>
      <c r="JVL363" s="262"/>
      <c r="JVM363" s="628"/>
      <c r="JVN363" s="419"/>
      <c r="JVO363" s="223"/>
      <c r="JVP363" s="420"/>
      <c r="JVQ363" s="266"/>
      <c r="JVR363" s="629"/>
      <c r="JVS363" s="268"/>
      <c r="JVU363" s="262"/>
      <c r="JVV363" s="628"/>
      <c r="JVW363" s="419"/>
      <c r="JVX363" s="223"/>
      <c r="JVY363" s="420"/>
      <c r="JVZ363" s="266"/>
      <c r="JWA363" s="629"/>
      <c r="JWB363" s="268"/>
      <c r="JWD363" s="262"/>
      <c r="JWE363" s="628"/>
      <c r="JWF363" s="419"/>
      <c r="JWG363" s="223"/>
      <c r="JWH363" s="420"/>
      <c r="JWI363" s="266"/>
      <c r="JWJ363" s="629"/>
      <c r="JWK363" s="268"/>
      <c r="JWM363" s="262"/>
      <c r="JWN363" s="628"/>
      <c r="JWO363" s="419"/>
      <c r="JWP363" s="223"/>
      <c r="JWQ363" s="420"/>
      <c r="JWR363" s="266"/>
      <c r="JWS363" s="629"/>
      <c r="JWT363" s="268"/>
      <c r="JWV363" s="262"/>
      <c r="JWW363" s="628"/>
      <c r="JWX363" s="419"/>
      <c r="JWY363" s="223"/>
      <c r="JWZ363" s="420"/>
      <c r="JXA363" s="266"/>
      <c r="JXB363" s="629"/>
      <c r="JXC363" s="268"/>
      <c r="JXE363" s="262"/>
      <c r="JXF363" s="628"/>
      <c r="JXG363" s="419"/>
      <c r="JXH363" s="223"/>
      <c r="JXI363" s="420"/>
      <c r="JXJ363" s="266"/>
      <c r="JXK363" s="629"/>
      <c r="JXL363" s="268"/>
      <c r="JXN363" s="262"/>
      <c r="JXO363" s="628"/>
      <c r="JXP363" s="419"/>
      <c r="JXQ363" s="223"/>
      <c r="JXR363" s="420"/>
      <c r="JXS363" s="266"/>
      <c r="JXT363" s="629"/>
      <c r="JXU363" s="268"/>
      <c r="JXW363" s="262"/>
      <c r="JXX363" s="628"/>
      <c r="JXY363" s="419"/>
      <c r="JXZ363" s="223"/>
      <c r="JYA363" s="420"/>
      <c r="JYB363" s="266"/>
      <c r="JYC363" s="629"/>
      <c r="JYD363" s="268"/>
      <c r="JYF363" s="262"/>
      <c r="JYG363" s="628"/>
      <c r="JYH363" s="419"/>
      <c r="JYI363" s="223"/>
      <c r="JYJ363" s="420"/>
      <c r="JYK363" s="266"/>
      <c r="JYL363" s="629"/>
      <c r="JYM363" s="268"/>
      <c r="JYO363" s="262"/>
      <c r="JYP363" s="628"/>
      <c r="JYQ363" s="419"/>
      <c r="JYR363" s="223"/>
      <c r="JYS363" s="420"/>
      <c r="JYT363" s="266"/>
      <c r="JYU363" s="629"/>
      <c r="JYV363" s="268"/>
      <c r="JYX363" s="262"/>
      <c r="JYY363" s="628"/>
      <c r="JYZ363" s="419"/>
      <c r="JZA363" s="223"/>
      <c r="JZB363" s="420"/>
      <c r="JZC363" s="266"/>
      <c r="JZD363" s="629"/>
      <c r="JZE363" s="268"/>
      <c r="JZG363" s="262"/>
      <c r="JZH363" s="628"/>
      <c r="JZI363" s="419"/>
      <c r="JZJ363" s="223"/>
      <c r="JZK363" s="420"/>
      <c r="JZL363" s="266"/>
      <c r="JZM363" s="629"/>
      <c r="JZN363" s="268"/>
      <c r="JZP363" s="262"/>
      <c r="JZQ363" s="628"/>
      <c r="JZR363" s="419"/>
      <c r="JZS363" s="223"/>
      <c r="JZT363" s="420"/>
      <c r="JZU363" s="266"/>
      <c r="JZV363" s="629"/>
      <c r="JZW363" s="268"/>
      <c r="JZY363" s="262"/>
      <c r="JZZ363" s="628"/>
      <c r="KAA363" s="419"/>
      <c r="KAB363" s="223"/>
      <c r="KAC363" s="420"/>
      <c r="KAD363" s="266"/>
      <c r="KAE363" s="629"/>
      <c r="KAF363" s="268"/>
      <c r="KAH363" s="262"/>
      <c r="KAI363" s="628"/>
      <c r="KAJ363" s="419"/>
      <c r="KAK363" s="223"/>
      <c r="KAL363" s="420"/>
      <c r="KAM363" s="266"/>
      <c r="KAN363" s="629"/>
      <c r="KAO363" s="268"/>
      <c r="KAQ363" s="262"/>
      <c r="KAR363" s="628"/>
      <c r="KAS363" s="419"/>
      <c r="KAT363" s="223"/>
      <c r="KAU363" s="420"/>
      <c r="KAV363" s="266"/>
      <c r="KAW363" s="629"/>
      <c r="KAX363" s="268"/>
      <c r="KAZ363" s="262"/>
      <c r="KBA363" s="628"/>
      <c r="KBB363" s="419"/>
      <c r="KBC363" s="223"/>
      <c r="KBD363" s="420"/>
      <c r="KBE363" s="266"/>
      <c r="KBF363" s="629"/>
      <c r="KBG363" s="268"/>
      <c r="KBI363" s="262"/>
      <c r="KBJ363" s="628"/>
      <c r="KBK363" s="419"/>
      <c r="KBL363" s="223"/>
      <c r="KBM363" s="420"/>
      <c r="KBN363" s="266"/>
      <c r="KBO363" s="629"/>
      <c r="KBP363" s="268"/>
      <c r="KBR363" s="262"/>
      <c r="KBS363" s="628"/>
      <c r="KBT363" s="419"/>
      <c r="KBU363" s="223"/>
      <c r="KBV363" s="420"/>
      <c r="KBW363" s="266"/>
      <c r="KBX363" s="629"/>
      <c r="KBY363" s="268"/>
      <c r="KCA363" s="262"/>
      <c r="KCB363" s="628"/>
      <c r="KCC363" s="419"/>
      <c r="KCD363" s="223"/>
      <c r="KCE363" s="420"/>
      <c r="KCF363" s="266"/>
      <c r="KCG363" s="629"/>
      <c r="KCH363" s="268"/>
      <c r="KCJ363" s="262"/>
      <c r="KCK363" s="628"/>
      <c r="KCL363" s="419"/>
      <c r="KCM363" s="223"/>
      <c r="KCN363" s="420"/>
      <c r="KCO363" s="266"/>
      <c r="KCP363" s="629"/>
      <c r="KCQ363" s="268"/>
      <c r="KCS363" s="262"/>
      <c r="KCT363" s="628"/>
      <c r="KCU363" s="419"/>
      <c r="KCV363" s="223"/>
      <c r="KCW363" s="420"/>
      <c r="KCX363" s="266"/>
      <c r="KCY363" s="629"/>
      <c r="KCZ363" s="268"/>
      <c r="KDB363" s="262"/>
      <c r="KDC363" s="628"/>
      <c r="KDD363" s="419"/>
      <c r="KDE363" s="223"/>
      <c r="KDF363" s="420"/>
      <c r="KDG363" s="266"/>
      <c r="KDH363" s="629"/>
      <c r="KDI363" s="268"/>
      <c r="KDK363" s="262"/>
      <c r="KDL363" s="628"/>
      <c r="KDM363" s="419"/>
      <c r="KDN363" s="223"/>
      <c r="KDO363" s="420"/>
      <c r="KDP363" s="266"/>
      <c r="KDQ363" s="629"/>
      <c r="KDR363" s="268"/>
      <c r="KDT363" s="262"/>
      <c r="KDU363" s="628"/>
      <c r="KDV363" s="419"/>
      <c r="KDW363" s="223"/>
      <c r="KDX363" s="420"/>
      <c r="KDY363" s="266"/>
      <c r="KDZ363" s="629"/>
      <c r="KEA363" s="268"/>
      <c r="KEC363" s="262"/>
      <c r="KED363" s="628"/>
      <c r="KEE363" s="419"/>
      <c r="KEF363" s="223"/>
      <c r="KEG363" s="420"/>
      <c r="KEH363" s="266"/>
      <c r="KEI363" s="629"/>
      <c r="KEJ363" s="268"/>
      <c r="KEL363" s="262"/>
      <c r="KEM363" s="628"/>
      <c r="KEN363" s="419"/>
      <c r="KEO363" s="223"/>
      <c r="KEP363" s="420"/>
      <c r="KEQ363" s="266"/>
      <c r="KER363" s="629"/>
      <c r="KES363" s="268"/>
      <c r="KEU363" s="262"/>
      <c r="KEV363" s="628"/>
      <c r="KEW363" s="419"/>
      <c r="KEX363" s="223"/>
      <c r="KEY363" s="420"/>
      <c r="KEZ363" s="266"/>
      <c r="KFA363" s="629"/>
      <c r="KFB363" s="268"/>
      <c r="KFD363" s="262"/>
      <c r="KFE363" s="628"/>
      <c r="KFF363" s="419"/>
      <c r="KFG363" s="223"/>
      <c r="KFH363" s="420"/>
      <c r="KFI363" s="266"/>
      <c r="KFJ363" s="629"/>
      <c r="KFK363" s="268"/>
      <c r="KFM363" s="262"/>
      <c r="KFN363" s="628"/>
      <c r="KFO363" s="419"/>
      <c r="KFP363" s="223"/>
      <c r="KFQ363" s="420"/>
      <c r="KFR363" s="266"/>
      <c r="KFS363" s="629"/>
      <c r="KFT363" s="268"/>
      <c r="KFV363" s="262"/>
      <c r="KFW363" s="628"/>
      <c r="KFX363" s="419"/>
      <c r="KFY363" s="223"/>
      <c r="KFZ363" s="420"/>
      <c r="KGA363" s="266"/>
      <c r="KGB363" s="629"/>
      <c r="KGC363" s="268"/>
      <c r="KGE363" s="262"/>
      <c r="KGF363" s="628"/>
      <c r="KGG363" s="419"/>
      <c r="KGH363" s="223"/>
      <c r="KGI363" s="420"/>
      <c r="KGJ363" s="266"/>
      <c r="KGK363" s="629"/>
      <c r="KGL363" s="268"/>
      <c r="KGN363" s="262"/>
      <c r="KGO363" s="628"/>
      <c r="KGP363" s="419"/>
      <c r="KGQ363" s="223"/>
      <c r="KGR363" s="420"/>
      <c r="KGS363" s="266"/>
      <c r="KGT363" s="629"/>
      <c r="KGU363" s="268"/>
      <c r="KGW363" s="262"/>
      <c r="KGX363" s="628"/>
      <c r="KGY363" s="419"/>
      <c r="KGZ363" s="223"/>
      <c r="KHA363" s="420"/>
      <c r="KHB363" s="266"/>
      <c r="KHC363" s="629"/>
      <c r="KHD363" s="268"/>
      <c r="KHF363" s="262"/>
      <c r="KHG363" s="628"/>
      <c r="KHH363" s="419"/>
      <c r="KHI363" s="223"/>
      <c r="KHJ363" s="420"/>
      <c r="KHK363" s="266"/>
      <c r="KHL363" s="629"/>
      <c r="KHM363" s="268"/>
      <c r="KHO363" s="262"/>
      <c r="KHP363" s="628"/>
      <c r="KHQ363" s="419"/>
      <c r="KHR363" s="223"/>
      <c r="KHS363" s="420"/>
      <c r="KHT363" s="266"/>
      <c r="KHU363" s="629"/>
      <c r="KHV363" s="268"/>
      <c r="KHX363" s="262"/>
      <c r="KHY363" s="628"/>
      <c r="KHZ363" s="419"/>
      <c r="KIA363" s="223"/>
      <c r="KIB363" s="420"/>
      <c r="KIC363" s="266"/>
      <c r="KID363" s="629"/>
      <c r="KIE363" s="268"/>
      <c r="KIG363" s="262"/>
      <c r="KIH363" s="628"/>
      <c r="KII363" s="419"/>
      <c r="KIJ363" s="223"/>
      <c r="KIK363" s="420"/>
      <c r="KIL363" s="266"/>
      <c r="KIM363" s="629"/>
      <c r="KIN363" s="268"/>
      <c r="KIP363" s="262"/>
      <c r="KIQ363" s="628"/>
      <c r="KIR363" s="419"/>
      <c r="KIS363" s="223"/>
      <c r="KIT363" s="420"/>
      <c r="KIU363" s="266"/>
      <c r="KIV363" s="629"/>
      <c r="KIW363" s="268"/>
      <c r="KIY363" s="262"/>
      <c r="KIZ363" s="628"/>
      <c r="KJA363" s="419"/>
      <c r="KJB363" s="223"/>
      <c r="KJC363" s="420"/>
      <c r="KJD363" s="266"/>
      <c r="KJE363" s="629"/>
      <c r="KJF363" s="268"/>
      <c r="KJH363" s="262"/>
      <c r="KJI363" s="628"/>
      <c r="KJJ363" s="419"/>
      <c r="KJK363" s="223"/>
      <c r="KJL363" s="420"/>
      <c r="KJM363" s="266"/>
      <c r="KJN363" s="629"/>
      <c r="KJO363" s="268"/>
      <c r="KJQ363" s="262"/>
      <c r="KJR363" s="628"/>
      <c r="KJS363" s="419"/>
      <c r="KJT363" s="223"/>
      <c r="KJU363" s="420"/>
      <c r="KJV363" s="266"/>
      <c r="KJW363" s="629"/>
      <c r="KJX363" s="268"/>
      <c r="KJZ363" s="262"/>
      <c r="KKA363" s="628"/>
      <c r="KKB363" s="419"/>
      <c r="KKC363" s="223"/>
      <c r="KKD363" s="420"/>
      <c r="KKE363" s="266"/>
      <c r="KKF363" s="629"/>
      <c r="KKG363" s="268"/>
      <c r="KKI363" s="262"/>
      <c r="KKJ363" s="628"/>
      <c r="KKK363" s="419"/>
      <c r="KKL363" s="223"/>
      <c r="KKM363" s="420"/>
      <c r="KKN363" s="266"/>
      <c r="KKO363" s="629"/>
      <c r="KKP363" s="268"/>
      <c r="KKR363" s="262"/>
      <c r="KKS363" s="628"/>
      <c r="KKT363" s="419"/>
      <c r="KKU363" s="223"/>
      <c r="KKV363" s="420"/>
      <c r="KKW363" s="266"/>
      <c r="KKX363" s="629"/>
      <c r="KKY363" s="268"/>
      <c r="KLA363" s="262"/>
      <c r="KLB363" s="628"/>
      <c r="KLC363" s="419"/>
      <c r="KLD363" s="223"/>
      <c r="KLE363" s="420"/>
      <c r="KLF363" s="266"/>
      <c r="KLG363" s="629"/>
      <c r="KLH363" s="268"/>
      <c r="KLJ363" s="262"/>
      <c r="KLK363" s="628"/>
      <c r="KLL363" s="419"/>
      <c r="KLM363" s="223"/>
      <c r="KLN363" s="420"/>
      <c r="KLO363" s="266"/>
      <c r="KLP363" s="629"/>
      <c r="KLQ363" s="268"/>
      <c r="KLS363" s="262"/>
      <c r="KLT363" s="628"/>
      <c r="KLU363" s="419"/>
      <c r="KLV363" s="223"/>
      <c r="KLW363" s="420"/>
      <c r="KLX363" s="266"/>
      <c r="KLY363" s="629"/>
      <c r="KLZ363" s="268"/>
      <c r="KMB363" s="262"/>
      <c r="KMC363" s="628"/>
      <c r="KMD363" s="419"/>
      <c r="KME363" s="223"/>
      <c r="KMF363" s="420"/>
      <c r="KMG363" s="266"/>
      <c r="KMH363" s="629"/>
      <c r="KMI363" s="268"/>
      <c r="KMK363" s="262"/>
      <c r="KML363" s="628"/>
      <c r="KMM363" s="419"/>
      <c r="KMN363" s="223"/>
      <c r="KMO363" s="420"/>
      <c r="KMP363" s="266"/>
      <c r="KMQ363" s="629"/>
      <c r="KMR363" s="268"/>
      <c r="KMT363" s="262"/>
      <c r="KMU363" s="628"/>
      <c r="KMV363" s="419"/>
      <c r="KMW363" s="223"/>
      <c r="KMX363" s="420"/>
      <c r="KMY363" s="266"/>
      <c r="KMZ363" s="629"/>
      <c r="KNA363" s="268"/>
      <c r="KNC363" s="262"/>
      <c r="KND363" s="628"/>
      <c r="KNE363" s="419"/>
      <c r="KNF363" s="223"/>
      <c r="KNG363" s="420"/>
      <c r="KNH363" s="266"/>
      <c r="KNI363" s="629"/>
      <c r="KNJ363" s="268"/>
      <c r="KNL363" s="262"/>
      <c r="KNM363" s="628"/>
      <c r="KNN363" s="419"/>
      <c r="KNO363" s="223"/>
      <c r="KNP363" s="420"/>
      <c r="KNQ363" s="266"/>
      <c r="KNR363" s="629"/>
      <c r="KNS363" s="268"/>
      <c r="KNU363" s="262"/>
      <c r="KNV363" s="628"/>
      <c r="KNW363" s="419"/>
      <c r="KNX363" s="223"/>
      <c r="KNY363" s="420"/>
      <c r="KNZ363" s="266"/>
      <c r="KOA363" s="629"/>
      <c r="KOB363" s="268"/>
      <c r="KOD363" s="262"/>
      <c r="KOE363" s="628"/>
      <c r="KOF363" s="419"/>
      <c r="KOG363" s="223"/>
      <c r="KOH363" s="420"/>
      <c r="KOI363" s="266"/>
      <c r="KOJ363" s="629"/>
      <c r="KOK363" s="268"/>
      <c r="KOM363" s="262"/>
      <c r="KON363" s="628"/>
      <c r="KOO363" s="419"/>
      <c r="KOP363" s="223"/>
      <c r="KOQ363" s="420"/>
      <c r="KOR363" s="266"/>
      <c r="KOS363" s="629"/>
      <c r="KOT363" s="268"/>
      <c r="KOV363" s="262"/>
      <c r="KOW363" s="628"/>
      <c r="KOX363" s="419"/>
      <c r="KOY363" s="223"/>
      <c r="KOZ363" s="420"/>
      <c r="KPA363" s="266"/>
      <c r="KPB363" s="629"/>
      <c r="KPC363" s="268"/>
      <c r="KPE363" s="262"/>
      <c r="KPF363" s="628"/>
      <c r="KPG363" s="419"/>
      <c r="KPH363" s="223"/>
      <c r="KPI363" s="420"/>
      <c r="KPJ363" s="266"/>
      <c r="KPK363" s="629"/>
      <c r="KPL363" s="268"/>
      <c r="KPN363" s="262"/>
      <c r="KPO363" s="628"/>
      <c r="KPP363" s="419"/>
      <c r="KPQ363" s="223"/>
      <c r="KPR363" s="420"/>
      <c r="KPS363" s="266"/>
      <c r="KPT363" s="629"/>
      <c r="KPU363" s="268"/>
      <c r="KPW363" s="262"/>
      <c r="KPX363" s="628"/>
      <c r="KPY363" s="419"/>
      <c r="KPZ363" s="223"/>
      <c r="KQA363" s="420"/>
      <c r="KQB363" s="266"/>
      <c r="KQC363" s="629"/>
      <c r="KQD363" s="268"/>
      <c r="KQF363" s="262"/>
      <c r="KQG363" s="628"/>
      <c r="KQH363" s="419"/>
      <c r="KQI363" s="223"/>
      <c r="KQJ363" s="420"/>
      <c r="KQK363" s="266"/>
      <c r="KQL363" s="629"/>
      <c r="KQM363" s="268"/>
      <c r="KQO363" s="262"/>
      <c r="KQP363" s="628"/>
      <c r="KQQ363" s="419"/>
      <c r="KQR363" s="223"/>
      <c r="KQS363" s="420"/>
      <c r="KQT363" s="266"/>
      <c r="KQU363" s="629"/>
      <c r="KQV363" s="268"/>
      <c r="KQX363" s="262"/>
      <c r="KQY363" s="628"/>
      <c r="KQZ363" s="419"/>
      <c r="KRA363" s="223"/>
      <c r="KRB363" s="420"/>
      <c r="KRC363" s="266"/>
      <c r="KRD363" s="629"/>
      <c r="KRE363" s="268"/>
      <c r="KRG363" s="262"/>
      <c r="KRH363" s="628"/>
      <c r="KRI363" s="419"/>
      <c r="KRJ363" s="223"/>
      <c r="KRK363" s="420"/>
      <c r="KRL363" s="266"/>
      <c r="KRM363" s="629"/>
      <c r="KRN363" s="268"/>
      <c r="KRP363" s="262"/>
      <c r="KRQ363" s="628"/>
      <c r="KRR363" s="419"/>
      <c r="KRS363" s="223"/>
      <c r="KRT363" s="420"/>
      <c r="KRU363" s="266"/>
      <c r="KRV363" s="629"/>
      <c r="KRW363" s="268"/>
      <c r="KRY363" s="262"/>
      <c r="KRZ363" s="628"/>
      <c r="KSA363" s="419"/>
      <c r="KSB363" s="223"/>
      <c r="KSC363" s="420"/>
      <c r="KSD363" s="266"/>
      <c r="KSE363" s="629"/>
      <c r="KSF363" s="268"/>
      <c r="KSH363" s="262"/>
      <c r="KSI363" s="628"/>
      <c r="KSJ363" s="419"/>
      <c r="KSK363" s="223"/>
      <c r="KSL363" s="420"/>
      <c r="KSM363" s="266"/>
      <c r="KSN363" s="629"/>
      <c r="KSO363" s="268"/>
      <c r="KSQ363" s="262"/>
      <c r="KSR363" s="628"/>
      <c r="KSS363" s="419"/>
      <c r="KST363" s="223"/>
      <c r="KSU363" s="420"/>
      <c r="KSV363" s="266"/>
      <c r="KSW363" s="629"/>
      <c r="KSX363" s="268"/>
      <c r="KSZ363" s="262"/>
      <c r="KTA363" s="628"/>
      <c r="KTB363" s="419"/>
      <c r="KTC363" s="223"/>
      <c r="KTD363" s="420"/>
      <c r="KTE363" s="266"/>
      <c r="KTF363" s="629"/>
      <c r="KTG363" s="268"/>
      <c r="KTI363" s="262"/>
      <c r="KTJ363" s="628"/>
      <c r="KTK363" s="419"/>
      <c r="KTL363" s="223"/>
      <c r="KTM363" s="420"/>
      <c r="KTN363" s="266"/>
      <c r="KTO363" s="629"/>
      <c r="KTP363" s="268"/>
      <c r="KTR363" s="262"/>
      <c r="KTS363" s="628"/>
      <c r="KTT363" s="419"/>
      <c r="KTU363" s="223"/>
      <c r="KTV363" s="420"/>
      <c r="KTW363" s="266"/>
      <c r="KTX363" s="629"/>
      <c r="KTY363" s="268"/>
      <c r="KUA363" s="262"/>
      <c r="KUB363" s="628"/>
      <c r="KUC363" s="419"/>
      <c r="KUD363" s="223"/>
      <c r="KUE363" s="420"/>
      <c r="KUF363" s="266"/>
      <c r="KUG363" s="629"/>
      <c r="KUH363" s="268"/>
      <c r="KUJ363" s="262"/>
      <c r="KUK363" s="628"/>
      <c r="KUL363" s="419"/>
      <c r="KUM363" s="223"/>
      <c r="KUN363" s="420"/>
      <c r="KUO363" s="266"/>
      <c r="KUP363" s="629"/>
      <c r="KUQ363" s="268"/>
      <c r="KUS363" s="262"/>
      <c r="KUT363" s="628"/>
      <c r="KUU363" s="419"/>
      <c r="KUV363" s="223"/>
      <c r="KUW363" s="420"/>
      <c r="KUX363" s="266"/>
      <c r="KUY363" s="629"/>
      <c r="KUZ363" s="268"/>
      <c r="KVB363" s="262"/>
      <c r="KVC363" s="628"/>
      <c r="KVD363" s="419"/>
      <c r="KVE363" s="223"/>
      <c r="KVF363" s="420"/>
      <c r="KVG363" s="266"/>
      <c r="KVH363" s="629"/>
      <c r="KVI363" s="268"/>
      <c r="KVK363" s="262"/>
      <c r="KVL363" s="628"/>
      <c r="KVM363" s="419"/>
      <c r="KVN363" s="223"/>
      <c r="KVO363" s="420"/>
      <c r="KVP363" s="266"/>
      <c r="KVQ363" s="629"/>
      <c r="KVR363" s="268"/>
      <c r="KVT363" s="262"/>
      <c r="KVU363" s="628"/>
      <c r="KVV363" s="419"/>
      <c r="KVW363" s="223"/>
      <c r="KVX363" s="420"/>
      <c r="KVY363" s="266"/>
      <c r="KVZ363" s="629"/>
      <c r="KWA363" s="268"/>
      <c r="KWC363" s="262"/>
      <c r="KWD363" s="628"/>
      <c r="KWE363" s="419"/>
      <c r="KWF363" s="223"/>
      <c r="KWG363" s="420"/>
      <c r="KWH363" s="266"/>
      <c r="KWI363" s="629"/>
      <c r="KWJ363" s="268"/>
      <c r="KWL363" s="262"/>
      <c r="KWM363" s="628"/>
      <c r="KWN363" s="419"/>
      <c r="KWO363" s="223"/>
      <c r="KWP363" s="420"/>
      <c r="KWQ363" s="266"/>
      <c r="KWR363" s="629"/>
      <c r="KWS363" s="268"/>
      <c r="KWU363" s="262"/>
      <c r="KWV363" s="628"/>
      <c r="KWW363" s="419"/>
      <c r="KWX363" s="223"/>
      <c r="KWY363" s="420"/>
      <c r="KWZ363" s="266"/>
      <c r="KXA363" s="629"/>
      <c r="KXB363" s="268"/>
      <c r="KXD363" s="262"/>
      <c r="KXE363" s="628"/>
      <c r="KXF363" s="419"/>
      <c r="KXG363" s="223"/>
      <c r="KXH363" s="420"/>
      <c r="KXI363" s="266"/>
      <c r="KXJ363" s="629"/>
      <c r="KXK363" s="268"/>
      <c r="KXM363" s="262"/>
      <c r="KXN363" s="628"/>
      <c r="KXO363" s="419"/>
      <c r="KXP363" s="223"/>
      <c r="KXQ363" s="420"/>
      <c r="KXR363" s="266"/>
      <c r="KXS363" s="629"/>
      <c r="KXT363" s="268"/>
      <c r="KXV363" s="262"/>
      <c r="KXW363" s="628"/>
      <c r="KXX363" s="419"/>
      <c r="KXY363" s="223"/>
      <c r="KXZ363" s="420"/>
      <c r="KYA363" s="266"/>
      <c r="KYB363" s="629"/>
      <c r="KYC363" s="268"/>
      <c r="KYE363" s="262"/>
      <c r="KYF363" s="628"/>
      <c r="KYG363" s="419"/>
      <c r="KYH363" s="223"/>
      <c r="KYI363" s="420"/>
      <c r="KYJ363" s="266"/>
      <c r="KYK363" s="629"/>
      <c r="KYL363" s="268"/>
      <c r="KYN363" s="262"/>
      <c r="KYO363" s="628"/>
      <c r="KYP363" s="419"/>
      <c r="KYQ363" s="223"/>
      <c r="KYR363" s="420"/>
      <c r="KYS363" s="266"/>
      <c r="KYT363" s="629"/>
      <c r="KYU363" s="268"/>
      <c r="KYW363" s="262"/>
      <c r="KYX363" s="628"/>
      <c r="KYY363" s="419"/>
      <c r="KYZ363" s="223"/>
      <c r="KZA363" s="420"/>
      <c r="KZB363" s="266"/>
      <c r="KZC363" s="629"/>
      <c r="KZD363" s="268"/>
      <c r="KZF363" s="262"/>
      <c r="KZG363" s="628"/>
      <c r="KZH363" s="419"/>
      <c r="KZI363" s="223"/>
      <c r="KZJ363" s="420"/>
      <c r="KZK363" s="266"/>
      <c r="KZL363" s="629"/>
      <c r="KZM363" s="268"/>
      <c r="KZO363" s="262"/>
      <c r="KZP363" s="628"/>
      <c r="KZQ363" s="419"/>
      <c r="KZR363" s="223"/>
      <c r="KZS363" s="420"/>
      <c r="KZT363" s="266"/>
      <c r="KZU363" s="629"/>
      <c r="KZV363" s="268"/>
      <c r="KZX363" s="262"/>
      <c r="KZY363" s="628"/>
      <c r="KZZ363" s="419"/>
      <c r="LAA363" s="223"/>
      <c r="LAB363" s="420"/>
      <c r="LAC363" s="266"/>
      <c r="LAD363" s="629"/>
      <c r="LAE363" s="268"/>
      <c r="LAG363" s="262"/>
      <c r="LAH363" s="628"/>
      <c r="LAI363" s="419"/>
      <c r="LAJ363" s="223"/>
      <c r="LAK363" s="420"/>
      <c r="LAL363" s="266"/>
      <c r="LAM363" s="629"/>
      <c r="LAN363" s="268"/>
      <c r="LAP363" s="262"/>
      <c r="LAQ363" s="628"/>
      <c r="LAR363" s="419"/>
      <c r="LAS363" s="223"/>
      <c r="LAT363" s="420"/>
      <c r="LAU363" s="266"/>
      <c r="LAV363" s="629"/>
      <c r="LAW363" s="268"/>
      <c r="LAY363" s="262"/>
      <c r="LAZ363" s="628"/>
      <c r="LBA363" s="419"/>
      <c r="LBB363" s="223"/>
      <c r="LBC363" s="420"/>
      <c r="LBD363" s="266"/>
      <c r="LBE363" s="629"/>
      <c r="LBF363" s="268"/>
      <c r="LBH363" s="262"/>
      <c r="LBI363" s="628"/>
      <c r="LBJ363" s="419"/>
      <c r="LBK363" s="223"/>
      <c r="LBL363" s="420"/>
      <c r="LBM363" s="266"/>
      <c r="LBN363" s="629"/>
      <c r="LBO363" s="268"/>
      <c r="LBQ363" s="262"/>
      <c r="LBR363" s="628"/>
      <c r="LBS363" s="419"/>
      <c r="LBT363" s="223"/>
      <c r="LBU363" s="420"/>
      <c r="LBV363" s="266"/>
      <c r="LBW363" s="629"/>
      <c r="LBX363" s="268"/>
      <c r="LBZ363" s="262"/>
      <c r="LCA363" s="628"/>
      <c r="LCB363" s="419"/>
      <c r="LCC363" s="223"/>
      <c r="LCD363" s="420"/>
      <c r="LCE363" s="266"/>
      <c r="LCF363" s="629"/>
      <c r="LCG363" s="268"/>
      <c r="LCI363" s="262"/>
      <c r="LCJ363" s="628"/>
      <c r="LCK363" s="419"/>
      <c r="LCL363" s="223"/>
      <c r="LCM363" s="420"/>
      <c r="LCN363" s="266"/>
      <c r="LCO363" s="629"/>
      <c r="LCP363" s="268"/>
      <c r="LCR363" s="262"/>
      <c r="LCS363" s="628"/>
      <c r="LCT363" s="419"/>
      <c r="LCU363" s="223"/>
      <c r="LCV363" s="420"/>
      <c r="LCW363" s="266"/>
      <c r="LCX363" s="629"/>
      <c r="LCY363" s="268"/>
      <c r="LDA363" s="262"/>
      <c r="LDB363" s="628"/>
      <c r="LDC363" s="419"/>
      <c r="LDD363" s="223"/>
      <c r="LDE363" s="420"/>
      <c r="LDF363" s="266"/>
      <c r="LDG363" s="629"/>
      <c r="LDH363" s="268"/>
      <c r="LDJ363" s="262"/>
      <c r="LDK363" s="628"/>
      <c r="LDL363" s="419"/>
      <c r="LDM363" s="223"/>
      <c r="LDN363" s="420"/>
      <c r="LDO363" s="266"/>
      <c r="LDP363" s="629"/>
      <c r="LDQ363" s="268"/>
      <c r="LDS363" s="262"/>
      <c r="LDT363" s="628"/>
      <c r="LDU363" s="419"/>
      <c r="LDV363" s="223"/>
      <c r="LDW363" s="420"/>
      <c r="LDX363" s="266"/>
      <c r="LDY363" s="629"/>
      <c r="LDZ363" s="268"/>
      <c r="LEB363" s="262"/>
      <c r="LEC363" s="628"/>
      <c r="LED363" s="419"/>
      <c r="LEE363" s="223"/>
      <c r="LEF363" s="420"/>
      <c r="LEG363" s="266"/>
      <c r="LEH363" s="629"/>
      <c r="LEI363" s="268"/>
      <c r="LEK363" s="262"/>
      <c r="LEL363" s="628"/>
      <c r="LEM363" s="419"/>
      <c r="LEN363" s="223"/>
      <c r="LEO363" s="420"/>
      <c r="LEP363" s="266"/>
      <c r="LEQ363" s="629"/>
      <c r="LER363" s="268"/>
      <c r="LET363" s="262"/>
      <c r="LEU363" s="628"/>
      <c r="LEV363" s="419"/>
      <c r="LEW363" s="223"/>
      <c r="LEX363" s="420"/>
      <c r="LEY363" s="266"/>
      <c r="LEZ363" s="629"/>
      <c r="LFA363" s="268"/>
      <c r="LFC363" s="262"/>
      <c r="LFD363" s="628"/>
      <c r="LFE363" s="419"/>
      <c r="LFF363" s="223"/>
      <c r="LFG363" s="420"/>
      <c r="LFH363" s="266"/>
      <c r="LFI363" s="629"/>
      <c r="LFJ363" s="268"/>
      <c r="LFL363" s="262"/>
      <c r="LFM363" s="628"/>
      <c r="LFN363" s="419"/>
      <c r="LFO363" s="223"/>
      <c r="LFP363" s="420"/>
      <c r="LFQ363" s="266"/>
      <c r="LFR363" s="629"/>
      <c r="LFS363" s="268"/>
      <c r="LFU363" s="262"/>
      <c r="LFV363" s="628"/>
      <c r="LFW363" s="419"/>
      <c r="LFX363" s="223"/>
      <c r="LFY363" s="420"/>
      <c r="LFZ363" s="266"/>
      <c r="LGA363" s="629"/>
      <c r="LGB363" s="268"/>
      <c r="LGD363" s="262"/>
      <c r="LGE363" s="628"/>
      <c r="LGF363" s="419"/>
      <c r="LGG363" s="223"/>
      <c r="LGH363" s="420"/>
      <c r="LGI363" s="266"/>
      <c r="LGJ363" s="629"/>
      <c r="LGK363" s="268"/>
      <c r="LGM363" s="262"/>
      <c r="LGN363" s="628"/>
      <c r="LGO363" s="419"/>
      <c r="LGP363" s="223"/>
      <c r="LGQ363" s="420"/>
      <c r="LGR363" s="266"/>
      <c r="LGS363" s="629"/>
      <c r="LGT363" s="268"/>
      <c r="LGV363" s="262"/>
      <c r="LGW363" s="628"/>
      <c r="LGX363" s="419"/>
      <c r="LGY363" s="223"/>
      <c r="LGZ363" s="420"/>
      <c r="LHA363" s="266"/>
      <c r="LHB363" s="629"/>
      <c r="LHC363" s="268"/>
      <c r="LHE363" s="262"/>
      <c r="LHF363" s="628"/>
      <c r="LHG363" s="419"/>
      <c r="LHH363" s="223"/>
      <c r="LHI363" s="420"/>
      <c r="LHJ363" s="266"/>
      <c r="LHK363" s="629"/>
      <c r="LHL363" s="268"/>
      <c r="LHN363" s="262"/>
      <c r="LHO363" s="628"/>
      <c r="LHP363" s="419"/>
      <c r="LHQ363" s="223"/>
      <c r="LHR363" s="420"/>
      <c r="LHS363" s="266"/>
      <c r="LHT363" s="629"/>
      <c r="LHU363" s="268"/>
      <c r="LHW363" s="262"/>
      <c r="LHX363" s="628"/>
      <c r="LHY363" s="419"/>
      <c r="LHZ363" s="223"/>
      <c r="LIA363" s="420"/>
      <c r="LIB363" s="266"/>
      <c r="LIC363" s="629"/>
      <c r="LID363" s="268"/>
      <c r="LIF363" s="262"/>
      <c r="LIG363" s="628"/>
      <c r="LIH363" s="419"/>
      <c r="LII363" s="223"/>
      <c r="LIJ363" s="420"/>
      <c r="LIK363" s="266"/>
      <c r="LIL363" s="629"/>
      <c r="LIM363" s="268"/>
      <c r="LIO363" s="262"/>
      <c r="LIP363" s="628"/>
      <c r="LIQ363" s="419"/>
      <c r="LIR363" s="223"/>
      <c r="LIS363" s="420"/>
      <c r="LIT363" s="266"/>
      <c r="LIU363" s="629"/>
      <c r="LIV363" s="268"/>
      <c r="LIX363" s="262"/>
      <c r="LIY363" s="628"/>
      <c r="LIZ363" s="419"/>
      <c r="LJA363" s="223"/>
      <c r="LJB363" s="420"/>
      <c r="LJC363" s="266"/>
      <c r="LJD363" s="629"/>
      <c r="LJE363" s="268"/>
      <c r="LJG363" s="262"/>
      <c r="LJH363" s="628"/>
      <c r="LJI363" s="419"/>
      <c r="LJJ363" s="223"/>
      <c r="LJK363" s="420"/>
      <c r="LJL363" s="266"/>
      <c r="LJM363" s="629"/>
      <c r="LJN363" s="268"/>
      <c r="LJP363" s="262"/>
      <c r="LJQ363" s="628"/>
      <c r="LJR363" s="419"/>
      <c r="LJS363" s="223"/>
      <c r="LJT363" s="420"/>
      <c r="LJU363" s="266"/>
      <c r="LJV363" s="629"/>
      <c r="LJW363" s="268"/>
      <c r="LJY363" s="262"/>
      <c r="LJZ363" s="628"/>
      <c r="LKA363" s="419"/>
      <c r="LKB363" s="223"/>
      <c r="LKC363" s="420"/>
      <c r="LKD363" s="266"/>
      <c r="LKE363" s="629"/>
      <c r="LKF363" s="268"/>
      <c r="LKH363" s="262"/>
      <c r="LKI363" s="628"/>
      <c r="LKJ363" s="419"/>
      <c r="LKK363" s="223"/>
      <c r="LKL363" s="420"/>
      <c r="LKM363" s="266"/>
      <c r="LKN363" s="629"/>
      <c r="LKO363" s="268"/>
      <c r="LKQ363" s="262"/>
      <c r="LKR363" s="628"/>
      <c r="LKS363" s="419"/>
      <c r="LKT363" s="223"/>
      <c r="LKU363" s="420"/>
      <c r="LKV363" s="266"/>
      <c r="LKW363" s="629"/>
      <c r="LKX363" s="268"/>
      <c r="LKZ363" s="262"/>
      <c r="LLA363" s="628"/>
      <c r="LLB363" s="419"/>
      <c r="LLC363" s="223"/>
      <c r="LLD363" s="420"/>
      <c r="LLE363" s="266"/>
      <c r="LLF363" s="629"/>
      <c r="LLG363" s="268"/>
      <c r="LLI363" s="262"/>
      <c r="LLJ363" s="628"/>
      <c r="LLK363" s="419"/>
      <c r="LLL363" s="223"/>
      <c r="LLM363" s="420"/>
      <c r="LLN363" s="266"/>
      <c r="LLO363" s="629"/>
      <c r="LLP363" s="268"/>
      <c r="LLR363" s="262"/>
      <c r="LLS363" s="628"/>
      <c r="LLT363" s="419"/>
      <c r="LLU363" s="223"/>
      <c r="LLV363" s="420"/>
      <c r="LLW363" s="266"/>
      <c r="LLX363" s="629"/>
      <c r="LLY363" s="268"/>
      <c r="LMA363" s="262"/>
      <c r="LMB363" s="628"/>
      <c r="LMC363" s="419"/>
      <c r="LMD363" s="223"/>
      <c r="LME363" s="420"/>
      <c r="LMF363" s="266"/>
      <c r="LMG363" s="629"/>
      <c r="LMH363" s="268"/>
      <c r="LMJ363" s="262"/>
      <c r="LMK363" s="628"/>
      <c r="LML363" s="419"/>
      <c r="LMM363" s="223"/>
      <c r="LMN363" s="420"/>
      <c r="LMO363" s="266"/>
      <c r="LMP363" s="629"/>
      <c r="LMQ363" s="268"/>
      <c r="LMS363" s="262"/>
      <c r="LMT363" s="628"/>
      <c r="LMU363" s="419"/>
      <c r="LMV363" s="223"/>
      <c r="LMW363" s="420"/>
      <c r="LMX363" s="266"/>
      <c r="LMY363" s="629"/>
      <c r="LMZ363" s="268"/>
      <c r="LNB363" s="262"/>
      <c r="LNC363" s="628"/>
      <c r="LND363" s="419"/>
      <c r="LNE363" s="223"/>
      <c r="LNF363" s="420"/>
      <c r="LNG363" s="266"/>
      <c r="LNH363" s="629"/>
      <c r="LNI363" s="268"/>
      <c r="LNK363" s="262"/>
      <c r="LNL363" s="628"/>
      <c r="LNM363" s="419"/>
      <c r="LNN363" s="223"/>
      <c r="LNO363" s="420"/>
      <c r="LNP363" s="266"/>
      <c r="LNQ363" s="629"/>
      <c r="LNR363" s="268"/>
      <c r="LNT363" s="262"/>
      <c r="LNU363" s="628"/>
      <c r="LNV363" s="419"/>
      <c r="LNW363" s="223"/>
      <c r="LNX363" s="420"/>
      <c r="LNY363" s="266"/>
      <c r="LNZ363" s="629"/>
      <c r="LOA363" s="268"/>
      <c r="LOC363" s="262"/>
      <c r="LOD363" s="628"/>
      <c r="LOE363" s="419"/>
      <c r="LOF363" s="223"/>
      <c r="LOG363" s="420"/>
      <c r="LOH363" s="266"/>
      <c r="LOI363" s="629"/>
      <c r="LOJ363" s="268"/>
      <c r="LOL363" s="262"/>
      <c r="LOM363" s="628"/>
      <c r="LON363" s="419"/>
      <c r="LOO363" s="223"/>
      <c r="LOP363" s="420"/>
      <c r="LOQ363" s="266"/>
      <c r="LOR363" s="629"/>
      <c r="LOS363" s="268"/>
      <c r="LOU363" s="262"/>
      <c r="LOV363" s="628"/>
      <c r="LOW363" s="419"/>
      <c r="LOX363" s="223"/>
      <c r="LOY363" s="420"/>
      <c r="LOZ363" s="266"/>
      <c r="LPA363" s="629"/>
      <c r="LPB363" s="268"/>
      <c r="LPD363" s="262"/>
      <c r="LPE363" s="628"/>
      <c r="LPF363" s="419"/>
      <c r="LPG363" s="223"/>
      <c r="LPH363" s="420"/>
      <c r="LPI363" s="266"/>
      <c r="LPJ363" s="629"/>
      <c r="LPK363" s="268"/>
      <c r="LPM363" s="262"/>
      <c r="LPN363" s="628"/>
      <c r="LPO363" s="419"/>
      <c r="LPP363" s="223"/>
      <c r="LPQ363" s="420"/>
      <c r="LPR363" s="266"/>
      <c r="LPS363" s="629"/>
      <c r="LPT363" s="268"/>
      <c r="LPV363" s="262"/>
      <c r="LPW363" s="628"/>
      <c r="LPX363" s="419"/>
      <c r="LPY363" s="223"/>
      <c r="LPZ363" s="420"/>
      <c r="LQA363" s="266"/>
      <c r="LQB363" s="629"/>
      <c r="LQC363" s="268"/>
      <c r="LQE363" s="262"/>
      <c r="LQF363" s="628"/>
      <c r="LQG363" s="419"/>
      <c r="LQH363" s="223"/>
      <c r="LQI363" s="420"/>
      <c r="LQJ363" s="266"/>
      <c r="LQK363" s="629"/>
      <c r="LQL363" s="268"/>
      <c r="LQN363" s="262"/>
      <c r="LQO363" s="628"/>
      <c r="LQP363" s="419"/>
      <c r="LQQ363" s="223"/>
      <c r="LQR363" s="420"/>
      <c r="LQS363" s="266"/>
      <c r="LQT363" s="629"/>
      <c r="LQU363" s="268"/>
      <c r="LQW363" s="262"/>
      <c r="LQX363" s="628"/>
      <c r="LQY363" s="419"/>
      <c r="LQZ363" s="223"/>
      <c r="LRA363" s="420"/>
      <c r="LRB363" s="266"/>
      <c r="LRC363" s="629"/>
      <c r="LRD363" s="268"/>
      <c r="LRF363" s="262"/>
      <c r="LRG363" s="628"/>
      <c r="LRH363" s="419"/>
      <c r="LRI363" s="223"/>
      <c r="LRJ363" s="420"/>
      <c r="LRK363" s="266"/>
      <c r="LRL363" s="629"/>
      <c r="LRM363" s="268"/>
      <c r="LRO363" s="262"/>
      <c r="LRP363" s="628"/>
      <c r="LRQ363" s="419"/>
      <c r="LRR363" s="223"/>
      <c r="LRS363" s="420"/>
      <c r="LRT363" s="266"/>
      <c r="LRU363" s="629"/>
      <c r="LRV363" s="268"/>
      <c r="LRX363" s="262"/>
      <c r="LRY363" s="628"/>
      <c r="LRZ363" s="419"/>
      <c r="LSA363" s="223"/>
      <c r="LSB363" s="420"/>
      <c r="LSC363" s="266"/>
      <c r="LSD363" s="629"/>
      <c r="LSE363" s="268"/>
      <c r="LSG363" s="262"/>
      <c r="LSH363" s="628"/>
      <c r="LSI363" s="419"/>
      <c r="LSJ363" s="223"/>
      <c r="LSK363" s="420"/>
      <c r="LSL363" s="266"/>
      <c r="LSM363" s="629"/>
      <c r="LSN363" s="268"/>
      <c r="LSP363" s="262"/>
      <c r="LSQ363" s="628"/>
      <c r="LSR363" s="419"/>
      <c r="LSS363" s="223"/>
      <c r="LST363" s="420"/>
      <c r="LSU363" s="266"/>
      <c r="LSV363" s="629"/>
      <c r="LSW363" s="268"/>
      <c r="LSY363" s="262"/>
      <c r="LSZ363" s="628"/>
      <c r="LTA363" s="419"/>
      <c r="LTB363" s="223"/>
      <c r="LTC363" s="420"/>
      <c r="LTD363" s="266"/>
      <c r="LTE363" s="629"/>
      <c r="LTF363" s="268"/>
      <c r="LTH363" s="262"/>
      <c r="LTI363" s="628"/>
      <c r="LTJ363" s="419"/>
      <c r="LTK363" s="223"/>
      <c r="LTL363" s="420"/>
      <c r="LTM363" s="266"/>
      <c r="LTN363" s="629"/>
      <c r="LTO363" s="268"/>
      <c r="LTQ363" s="262"/>
      <c r="LTR363" s="628"/>
      <c r="LTS363" s="419"/>
      <c r="LTT363" s="223"/>
      <c r="LTU363" s="420"/>
      <c r="LTV363" s="266"/>
      <c r="LTW363" s="629"/>
      <c r="LTX363" s="268"/>
      <c r="LTZ363" s="262"/>
      <c r="LUA363" s="628"/>
      <c r="LUB363" s="419"/>
      <c r="LUC363" s="223"/>
      <c r="LUD363" s="420"/>
      <c r="LUE363" s="266"/>
      <c r="LUF363" s="629"/>
      <c r="LUG363" s="268"/>
      <c r="LUI363" s="262"/>
      <c r="LUJ363" s="628"/>
      <c r="LUK363" s="419"/>
      <c r="LUL363" s="223"/>
      <c r="LUM363" s="420"/>
      <c r="LUN363" s="266"/>
      <c r="LUO363" s="629"/>
      <c r="LUP363" s="268"/>
      <c r="LUR363" s="262"/>
      <c r="LUS363" s="628"/>
      <c r="LUT363" s="419"/>
      <c r="LUU363" s="223"/>
      <c r="LUV363" s="420"/>
      <c r="LUW363" s="266"/>
      <c r="LUX363" s="629"/>
      <c r="LUY363" s="268"/>
      <c r="LVA363" s="262"/>
      <c r="LVB363" s="628"/>
      <c r="LVC363" s="419"/>
      <c r="LVD363" s="223"/>
      <c r="LVE363" s="420"/>
      <c r="LVF363" s="266"/>
      <c r="LVG363" s="629"/>
      <c r="LVH363" s="268"/>
      <c r="LVJ363" s="262"/>
      <c r="LVK363" s="628"/>
      <c r="LVL363" s="419"/>
      <c r="LVM363" s="223"/>
      <c r="LVN363" s="420"/>
      <c r="LVO363" s="266"/>
      <c r="LVP363" s="629"/>
      <c r="LVQ363" s="268"/>
      <c r="LVS363" s="262"/>
      <c r="LVT363" s="628"/>
      <c r="LVU363" s="419"/>
      <c r="LVV363" s="223"/>
      <c r="LVW363" s="420"/>
      <c r="LVX363" s="266"/>
      <c r="LVY363" s="629"/>
      <c r="LVZ363" s="268"/>
      <c r="LWB363" s="262"/>
      <c r="LWC363" s="628"/>
      <c r="LWD363" s="419"/>
      <c r="LWE363" s="223"/>
      <c r="LWF363" s="420"/>
      <c r="LWG363" s="266"/>
      <c r="LWH363" s="629"/>
      <c r="LWI363" s="268"/>
      <c r="LWK363" s="262"/>
      <c r="LWL363" s="628"/>
      <c r="LWM363" s="419"/>
      <c r="LWN363" s="223"/>
      <c r="LWO363" s="420"/>
      <c r="LWP363" s="266"/>
      <c r="LWQ363" s="629"/>
      <c r="LWR363" s="268"/>
      <c r="LWT363" s="262"/>
      <c r="LWU363" s="628"/>
      <c r="LWV363" s="419"/>
      <c r="LWW363" s="223"/>
      <c r="LWX363" s="420"/>
      <c r="LWY363" s="266"/>
      <c r="LWZ363" s="629"/>
      <c r="LXA363" s="268"/>
      <c r="LXC363" s="262"/>
      <c r="LXD363" s="628"/>
      <c r="LXE363" s="419"/>
      <c r="LXF363" s="223"/>
      <c r="LXG363" s="420"/>
      <c r="LXH363" s="266"/>
      <c r="LXI363" s="629"/>
      <c r="LXJ363" s="268"/>
      <c r="LXL363" s="262"/>
      <c r="LXM363" s="628"/>
      <c r="LXN363" s="419"/>
      <c r="LXO363" s="223"/>
      <c r="LXP363" s="420"/>
      <c r="LXQ363" s="266"/>
      <c r="LXR363" s="629"/>
      <c r="LXS363" s="268"/>
      <c r="LXU363" s="262"/>
      <c r="LXV363" s="628"/>
      <c r="LXW363" s="419"/>
      <c r="LXX363" s="223"/>
      <c r="LXY363" s="420"/>
      <c r="LXZ363" s="266"/>
      <c r="LYA363" s="629"/>
      <c r="LYB363" s="268"/>
      <c r="LYD363" s="262"/>
      <c r="LYE363" s="628"/>
      <c r="LYF363" s="419"/>
      <c r="LYG363" s="223"/>
      <c r="LYH363" s="420"/>
      <c r="LYI363" s="266"/>
      <c r="LYJ363" s="629"/>
      <c r="LYK363" s="268"/>
      <c r="LYM363" s="262"/>
      <c r="LYN363" s="628"/>
      <c r="LYO363" s="419"/>
      <c r="LYP363" s="223"/>
      <c r="LYQ363" s="420"/>
      <c r="LYR363" s="266"/>
      <c r="LYS363" s="629"/>
      <c r="LYT363" s="268"/>
      <c r="LYV363" s="262"/>
      <c r="LYW363" s="628"/>
      <c r="LYX363" s="419"/>
      <c r="LYY363" s="223"/>
      <c r="LYZ363" s="420"/>
      <c r="LZA363" s="266"/>
      <c r="LZB363" s="629"/>
      <c r="LZC363" s="268"/>
      <c r="LZE363" s="262"/>
      <c r="LZF363" s="628"/>
      <c r="LZG363" s="419"/>
      <c r="LZH363" s="223"/>
      <c r="LZI363" s="420"/>
      <c r="LZJ363" s="266"/>
      <c r="LZK363" s="629"/>
      <c r="LZL363" s="268"/>
      <c r="LZN363" s="262"/>
      <c r="LZO363" s="628"/>
      <c r="LZP363" s="419"/>
      <c r="LZQ363" s="223"/>
      <c r="LZR363" s="420"/>
      <c r="LZS363" s="266"/>
      <c r="LZT363" s="629"/>
      <c r="LZU363" s="268"/>
      <c r="LZW363" s="262"/>
      <c r="LZX363" s="628"/>
      <c r="LZY363" s="419"/>
      <c r="LZZ363" s="223"/>
      <c r="MAA363" s="420"/>
      <c r="MAB363" s="266"/>
      <c r="MAC363" s="629"/>
      <c r="MAD363" s="268"/>
      <c r="MAF363" s="262"/>
      <c r="MAG363" s="628"/>
      <c r="MAH363" s="419"/>
      <c r="MAI363" s="223"/>
      <c r="MAJ363" s="420"/>
      <c r="MAK363" s="266"/>
      <c r="MAL363" s="629"/>
      <c r="MAM363" s="268"/>
      <c r="MAO363" s="262"/>
      <c r="MAP363" s="628"/>
      <c r="MAQ363" s="419"/>
      <c r="MAR363" s="223"/>
      <c r="MAS363" s="420"/>
      <c r="MAT363" s="266"/>
      <c r="MAU363" s="629"/>
      <c r="MAV363" s="268"/>
      <c r="MAX363" s="262"/>
      <c r="MAY363" s="628"/>
      <c r="MAZ363" s="419"/>
      <c r="MBA363" s="223"/>
      <c r="MBB363" s="420"/>
      <c r="MBC363" s="266"/>
      <c r="MBD363" s="629"/>
      <c r="MBE363" s="268"/>
      <c r="MBG363" s="262"/>
      <c r="MBH363" s="628"/>
      <c r="MBI363" s="419"/>
      <c r="MBJ363" s="223"/>
      <c r="MBK363" s="420"/>
      <c r="MBL363" s="266"/>
      <c r="MBM363" s="629"/>
      <c r="MBN363" s="268"/>
      <c r="MBP363" s="262"/>
      <c r="MBQ363" s="628"/>
      <c r="MBR363" s="419"/>
      <c r="MBS363" s="223"/>
      <c r="MBT363" s="420"/>
      <c r="MBU363" s="266"/>
      <c r="MBV363" s="629"/>
      <c r="MBW363" s="268"/>
      <c r="MBY363" s="262"/>
      <c r="MBZ363" s="628"/>
      <c r="MCA363" s="419"/>
      <c r="MCB363" s="223"/>
      <c r="MCC363" s="420"/>
      <c r="MCD363" s="266"/>
      <c r="MCE363" s="629"/>
      <c r="MCF363" s="268"/>
      <c r="MCH363" s="262"/>
      <c r="MCI363" s="628"/>
      <c r="MCJ363" s="419"/>
      <c r="MCK363" s="223"/>
      <c r="MCL363" s="420"/>
      <c r="MCM363" s="266"/>
      <c r="MCN363" s="629"/>
      <c r="MCO363" s="268"/>
      <c r="MCQ363" s="262"/>
      <c r="MCR363" s="628"/>
      <c r="MCS363" s="419"/>
      <c r="MCT363" s="223"/>
      <c r="MCU363" s="420"/>
      <c r="MCV363" s="266"/>
      <c r="MCW363" s="629"/>
      <c r="MCX363" s="268"/>
      <c r="MCZ363" s="262"/>
      <c r="MDA363" s="628"/>
      <c r="MDB363" s="419"/>
      <c r="MDC363" s="223"/>
      <c r="MDD363" s="420"/>
      <c r="MDE363" s="266"/>
      <c r="MDF363" s="629"/>
      <c r="MDG363" s="268"/>
      <c r="MDI363" s="262"/>
      <c r="MDJ363" s="628"/>
      <c r="MDK363" s="419"/>
      <c r="MDL363" s="223"/>
      <c r="MDM363" s="420"/>
      <c r="MDN363" s="266"/>
      <c r="MDO363" s="629"/>
      <c r="MDP363" s="268"/>
      <c r="MDR363" s="262"/>
      <c r="MDS363" s="628"/>
      <c r="MDT363" s="419"/>
      <c r="MDU363" s="223"/>
      <c r="MDV363" s="420"/>
      <c r="MDW363" s="266"/>
      <c r="MDX363" s="629"/>
      <c r="MDY363" s="268"/>
      <c r="MEA363" s="262"/>
      <c r="MEB363" s="628"/>
      <c r="MEC363" s="419"/>
      <c r="MED363" s="223"/>
      <c r="MEE363" s="420"/>
      <c r="MEF363" s="266"/>
      <c r="MEG363" s="629"/>
      <c r="MEH363" s="268"/>
      <c r="MEJ363" s="262"/>
      <c r="MEK363" s="628"/>
      <c r="MEL363" s="419"/>
      <c r="MEM363" s="223"/>
      <c r="MEN363" s="420"/>
      <c r="MEO363" s="266"/>
      <c r="MEP363" s="629"/>
      <c r="MEQ363" s="268"/>
      <c r="MES363" s="262"/>
      <c r="MET363" s="628"/>
      <c r="MEU363" s="419"/>
      <c r="MEV363" s="223"/>
      <c r="MEW363" s="420"/>
      <c r="MEX363" s="266"/>
      <c r="MEY363" s="629"/>
      <c r="MEZ363" s="268"/>
      <c r="MFB363" s="262"/>
      <c r="MFC363" s="628"/>
      <c r="MFD363" s="419"/>
      <c r="MFE363" s="223"/>
      <c r="MFF363" s="420"/>
      <c r="MFG363" s="266"/>
      <c r="MFH363" s="629"/>
      <c r="MFI363" s="268"/>
      <c r="MFK363" s="262"/>
      <c r="MFL363" s="628"/>
      <c r="MFM363" s="419"/>
      <c r="MFN363" s="223"/>
      <c r="MFO363" s="420"/>
      <c r="MFP363" s="266"/>
      <c r="MFQ363" s="629"/>
      <c r="MFR363" s="268"/>
      <c r="MFT363" s="262"/>
      <c r="MFU363" s="628"/>
      <c r="MFV363" s="419"/>
      <c r="MFW363" s="223"/>
      <c r="MFX363" s="420"/>
      <c r="MFY363" s="266"/>
      <c r="MFZ363" s="629"/>
      <c r="MGA363" s="268"/>
      <c r="MGC363" s="262"/>
      <c r="MGD363" s="628"/>
      <c r="MGE363" s="419"/>
      <c r="MGF363" s="223"/>
      <c r="MGG363" s="420"/>
      <c r="MGH363" s="266"/>
      <c r="MGI363" s="629"/>
      <c r="MGJ363" s="268"/>
      <c r="MGL363" s="262"/>
      <c r="MGM363" s="628"/>
      <c r="MGN363" s="419"/>
      <c r="MGO363" s="223"/>
      <c r="MGP363" s="420"/>
      <c r="MGQ363" s="266"/>
      <c r="MGR363" s="629"/>
      <c r="MGS363" s="268"/>
      <c r="MGU363" s="262"/>
      <c r="MGV363" s="628"/>
      <c r="MGW363" s="419"/>
      <c r="MGX363" s="223"/>
      <c r="MGY363" s="420"/>
      <c r="MGZ363" s="266"/>
      <c r="MHA363" s="629"/>
      <c r="MHB363" s="268"/>
      <c r="MHD363" s="262"/>
      <c r="MHE363" s="628"/>
      <c r="MHF363" s="419"/>
      <c r="MHG363" s="223"/>
      <c r="MHH363" s="420"/>
      <c r="MHI363" s="266"/>
      <c r="MHJ363" s="629"/>
      <c r="MHK363" s="268"/>
      <c r="MHM363" s="262"/>
      <c r="MHN363" s="628"/>
      <c r="MHO363" s="419"/>
      <c r="MHP363" s="223"/>
      <c r="MHQ363" s="420"/>
      <c r="MHR363" s="266"/>
      <c r="MHS363" s="629"/>
      <c r="MHT363" s="268"/>
      <c r="MHV363" s="262"/>
      <c r="MHW363" s="628"/>
      <c r="MHX363" s="419"/>
      <c r="MHY363" s="223"/>
      <c r="MHZ363" s="420"/>
      <c r="MIA363" s="266"/>
      <c r="MIB363" s="629"/>
      <c r="MIC363" s="268"/>
      <c r="MIE363" s="262"/>
      <c r="MIF363" s="628"/>
      <c r="MIG363" s="419"/>
      <c r="MIH363" s="223"/>
      <c r="MII363" s="420"/>
      <c r="MIJ363" s="266"/>
      <c r="MIK363" s="629"/>
      <c r="MIL363" s="268"/>
      <c r="MIN363" s="262"/>
      <c r="MIO363" s="628"/>
      <c r="MIP363" s="419"/>
      <c r="MIQ363" s="223"/>
      <c r="MIR363" s="420"/>
      <c r="MIS363" s="266"/>
      <c r="MIT363" s="629"/>
      <c r="MIU363" s="268"/>
      <c r="MIW363" s="262"/>
      <c r="MIX363" s="628"/>
      <c r="MIY363" s="419"/>
      <c r="MIZ363" s="223"/>
      <c r="MJA363" s="420"/>
      <c r="MJB363" s="266"/>
      <c r="MJC363" s="629"/>
      <c r="MJD363" s="268"/>
      <c r="MJF363" s="262"/>
      <c r="MJG363" s="628"/>
      <c r="MJH363" s="419"/>
      <c r="MJI363" s="223"/>
      <c r="MJJ363" s="420"/>
      <c r="MJK363" s="266"/>
      <c r="MJL363" s="629"/>
      <c r="MJM363" s="268"/>
      <c r="MJO363" s="262"/>
      <c r="MJP363" s="628"/>
      <c r="MJQ363" s="419"/>
      <c r="MJR363" s="223"/>
      <c r="MJS363" s="420"/>
      <c r="MJT363" s="266"/>
      <c r="MJU363" s="629"/>
      <c r="MJV363" s="268"/>
      <c r="MJX363" s="262"/>
      <c r="MJY363" s="628"/>
      <c r="MJZ363" s="419"/>
      <c r="MKA363" s="223"/>
      <c r="MKB363" s="420"/>
      <c r="MKC363" s="266"/>
      <c r="MKD363" s="629"/>
      <c r="MKE363" s="268"/>
      <c r="MKG363" s="262"/>
      <c r="MKH363" s="628"/>
      <c r="MKI363" s="419"/>
      <c r="MKJ363" s="223"/>
      <c r="MKK363" s="420"/>
      <c r="MKL363" s="266"/>
      <c r="MKM363" s="629"/>
      <c r="MKN363" s="268"/>
      <c r="MKP363" s="262"/>
      <c r="MKQ363" s="628"/>
      <c r="MKR363" s="419"/>
      <c r="MKS363" s="223"/>
      <c r="MKT363" s="420"/>
      <c r="MKU363" s="266"/>
      <c r="MKV363" s="629"/>
      <c r="MKW363" s="268"/>
      <c r="MKY363" s="262"/>
      <c r="MKZ363" s="628"/>
      <c r="MLA363" s="419"/>
      <c r="MLB363" s="223"/>
      <c r="MLC363" s="420"/>
      <c r="MLD363" s="266"/>
      <c r="MLE363" s="629"/>
      <c r="MLF363" s="268"/>
      <c r="MLH363" s="262"/>
      <c r="MLI363" s="628"/>
      <c r="MLJ363" s="419"/>
      <c r="MLK363" s="223"/>
      <c r="MLL363" s="420"/>
      <c r="MLM363" s="266"/>
      <c r="MLN363" s="629"/>
      <c r="MLO363" s="268"/>
      <c r="MLQ363" s="262"/>
      <c r="MLR363" s="628"/>
      <c r="MLS363" s="419"/>
      <c r="MLT363" s="223"/>
      <c r="MLU363" s="420"/>
      <c r="MLV363" s="266"/>
      <c r="MLW363" s="629"/>
      <c r="MLX363" s="268"/>
      <c r="MLZ363" s="262"/>
      <c r="MMA363" s="628"/>
      <c r="MMB363" s="419"/>
      <c r="MMC363" s="223"/>
      <c r="MMD363" s="420"/>
      <c r="MME363" s="266"/>
      <c r="MMF363" s="629"/>
      <c r="MMG363" s="268"/>
      <c r="MMI363" s="262"/>
      <c r="MMJ363" s="628"/>
      <c r="MMK363" s="419"/>
      <c r="MML363" s="223"/>
      <c r="MMM363" s="420"/>
      <c r="MMN363" s="266"/>
      <c r="MMO363" s="629"/>
      <c r="MMP363" s="268"/>
      <c r="MMR363" s="262"/>
      <c r="MMS363" s="628"/>
      <c r="MMT363" s="419"/>
      <c r="MMU363" s="223"/>
      <c r="MMV363" s="420"/>
      <c r="MMW363" s="266"/>
      <c r="MMX363" s="629"/>
      <c r="MMY363" s="268"/>
      <c r="MNA363" s="262"/>
      <c r="MNB363" s="628"/>
      <c r="MNC363" s="419"/>
      <c r="MND363" s="223"/>
      <c r="MNE363" s="420"/>
      <c r="MNF363" s="266"/>
      <c r="MNG363" s="629"/>
      <c r="MNH363" s="268"/>
      <c r="MNJ363" s="262"/>
      <c r="MNK363" s="628"/>
      <c r="MNL363" s="419"/>
      <c r="MNM363" s="223"/>
      <c r="MNN363" s="420"/>
      <c r="MNO363" s="266"/>
      <c r="MNP363" s="629"/>
      <c r="MNQ363" s="268"/>
      <c r="MNS363" s="262"/>
      <c r="MNT363" s="628"/>
      <c r="MNU363" s="419"/>
      <c r="MNV363" s="223"/>
      <c r="MNW363" s="420"/>
      <c r="MNX363" s="266"/>
      <c r="MNY363" s="629"/>
      <c r="MNZ363" s="268"/>
      <c r="MOB363" s="262"/>
      <c r="MOC363" s="628"/>
      <c r="MOD363" s="419"/>
      <c r="MOE363" s="223"/>
      <c r="MOF363" s="420"/>
      <c r="MOG363" s="266"/>
      <c r="MOH363" s="629"/>
      <c r="MOI363" s="268"/>
      <c r="MOK363" s="262"/>
      <c r="MOL363" s="628"/>
      <c r="MOM363" s="419"/>
      <c r="MON363" s="223"/>
      <c r="MOO363" s="420"/>
      <c r="MOP363" s="266"/>
      <c r="MOQ363" s="629"/>
      <c r="MOR363" s="268"/>
      <c r="MOT363" s="262"/>
      <c r="MOU363" s="628"/>
      <c r="MOV363" s="419"/>
      <c r="MOW363" s="223"/>
      <c r="MOX363" s="420"/>
      <c r="MOY363" s="266"/>
      <c r="MOZ363" s="629"/>
      <c r="MPA363" s="268"/>
      <c r="MPC363" s="262"/>
      <c r="MPD363" s="628"/>
      <c r="MPE363" s="419"/>
      <c r="MPF363" s="223"/>
      <c r="MPG363" s="420"/>
      <c r="MPH363" s="266"/>
      <c r="MPI363" s="629"/>
      <c r="MPJ363" s="268"/>
      <c r="MPL363" s="262"/>
      <c r="MPM363" s="628"/>
      <c r="MPN363" s="419"/>
      <c r="MPO363" s="223"/>
      <c r="MPP363" s="420"/>
      <c r="MPQ363" s="266"/>
      <c r="MPR363" s="629"/>
      <c r="MPS363" s="268"/>
      <c r="MPU363" s="262"/>
      <c r="MPV363" s="628"/>
      <c r="MPW363" s="419"/>
      <c r="MPX363" s="223"/>
      <c r="MPY363" s="420"/>
      <c r="MPZ363" s="266"/>
      <c r="MQA363" s="629"/>
      <c r="MQB363" s="268"/>
      <c r="MQD363" s="262"/>
      <c r="MQE363" s="628"/>
      <c r="MQF363" s="419"/>
      <c r="MQG363" s="223"/>
      <c r="MQH363" s="420"/>
      <c r="MQI363" s="266"/>
      <c r="MQJ363" s="629"/>
      <c r="MQK363" s="268"/>
      <c r="MQM363" s="262"/>
      <c r="MQN363" s="628"/>
      <c r="MQO363" s="419"/>
      <c r="MQP363" s="223"/>
      <c r="MQQ363" s="420"/>
      <c r="MQR363" s="266"/>
      <c r="MQS363" s="629"/>
      <c r="MQT363" s="268"/>
      <c r="MQV363" s="262"/>
      <c r="MQW363" s="628"/>
      <c r="MQX363" s="419"/>
      <c r="MQY363" s="223"/>
      <c r="MQZ363" s="420"/>
      <c r="MRA363" s="266"/>
      <c r="MRB363" s="629"/>
      <c r="MRC363" s="268"/>
      <c r="MRE363" s="262"/>
      <c r="MRF363" s="628"/>
      <c r="MRG363" s="419"/>
      <c r="MRH363" s="223"/>
      <c r="MRI363" s="420"/>
      <c r="MRJ363" s="266"/>
      <c r="MRK363" s="629"/>
      <c r="MRL363" s="268"/>
      <c r="MRN363" s="262"/>
      <c r="MRO363" s="628"/>
      <c r="MRP363" s="419"/>
      <c r="MRQ363" s="223"/>
      <c r="MRR363" s="420"/>
      <c r="MRS363" s="266"/>
      <c r="MRT363" s="629"/>
      <c r="MRU363" s="268"/>
      <c r="MRW363" s="262"/>
      <c r="MRX363" s="628"/>
      <c r="MRY363" s="419"/>
      <c r="MRZ363" s="223"/>
      <c r="MSA363" s="420"/>
      <c r="MSB363" s="266"/>
      <c r="MSC363" s="629"/>
      <c r="MSD363" s="268"/>
      <c r="MSF363" s="262"/>
      <c r="MSG363" s="628"/>
      <c r="MSH363" s="419"/>
      <c r="MSI363" s="223"/>
      <c r="MSJ363" s="420"/>
      <c r="MSK363" s="266"/>
      <c r="MSL363" s="629"/>
      <c r="MSM363" s="268"/>
      <c r="MSO363" s="262"/>
      <c r="MSP363" s="628"/>
      <c r="MSQ363" s="419"/>
      <c r="MSR363" s="223"/>
      <c r="MSS363" s="420"/>
      <c r="MST363" s="266"/>
      <c r="MSU363" s="629"/>
      <c r="MSV363" s="268"/>
      <c r="MSX363" s="262"/>
      <c r="MSY363" s="628"/>
      <c r="MSZ363" s="419"/>
      <c r="MTA363" s="223"/>
      <c r="MTB363" s="420"/>
      <c r="MTC363" s="266"/>
      <c r="MTD363" s="629"/>
      <c r="MTE363" s="268"/>
      <c r="MTG363" s="262"/>
      <c r="MTH363" s="628"/>
      <c r="MTI363" s="419"/>
      <c r="MTJ363" s="223"/>
      <c r="MTK363" s="420"/>
      <c r="MTL363" s="266"/>
      <c r="MTM363" s="629"/>
      <c r="MTN363" s="268"/>
      <c r="MTP363" s="262"/>
      <c r="MTQ363" s="628"/>
      <c r="MTR363" s="419"/>
      <c r="MTS363" s="223"/>
      <c r="MTT363" s="420"/>
      <c r="MTU363" s="266"/>
      <c r="MTV363" s="629"/>
      <c r="MTW363" s="268"/>
      <c r="MTY363" s="262"/>
      <c r="MTZ363" s="628"/>
      <c r="MUA363" s="419"/>
      <c r="MUB363" s="223"/>
      <c r="MUC363" s="420"/>
      <c r="MUD363" s="266"/>
      <c r="MUE363" s="629"/>
      <c r="MUF363" s="268"/>
      <c r="MUH363" s="262"/>
      <c r="MUI363" s="628"/>
      <c r="MUJ363" s="419"/>
      <c r="MUK363" s="223"/>
      <c r="MUL363" s="420"/>
      <c r="MUM363" s="266"/>
      <c r="MUN363" s="629"/>
      <c r="MUO363" s="268"/>
      <c r="MUQ363" s="262"/>
      <c r="MUR363" s="628"/>
      <c r="MUS363" s="419"/>
      <c r="MUT363" s="223"/>
      <c r="MUU363" s="420"/>
      <c r="MUV363" s="266"/>
      <c r="MUW363" s="629"/>
      <c r="MUX363" s="268"/>
      <c r="MUZ363" s="262"/>
      <c r="MVA363" s="628"/>
      <c r="MVB363" s="419"/>
      <c r="MVC363" s="223"/>
      <c r="MVD363" s="420"/>
      <c r="MVE363" s="266"/>
      <c r="MVF363" s="629"/>
      <c r="MVG363" s="268"/>
      <c r="MVI363" s="262"/>
      <c r="MVJ363" s="628"/>
      <c r="MVK363" s="419"/>
      <c r="MVL363" s="223"/>
      <c r="MVM363" s="420"/>
      <c r="MVN363" s="266"/>
      <c r="MVO363" s="629"/>
      <c r="MVP363" s="268"/>
      <c r="MVR363" s="262"/>
      <c r="MVS363" s="628"/>
      <c r="MVT363" s="419"/>
      <c r="MVU363" s="223"/>
      <c r="MVV363" s="420"/>
      <c r="MVW363" s="266"/>
      <c r="MVX363" s="629"/>
      <c r="MVY363" s="268"/>
      <c r="MWA363" s="262"/>
      <c r="MWB363" s="628"/>
      <c r="MWC363" s="419"/>
      <c r="MWD363" s="223"/>
      <c r="MWE363" s="420"/>
      <c r="MWF363" s="266"/>
      <c r="MWG363" s="629"/>
      <c r="MWH363" s="268"/>
      <c r="MWJ363" s="262"/>
      <c r="MWK363" s="628"/>
      <c r="MWL363" s="419"/>
      <c r="MWM363" s="223"/>
      <c r="MWN363" s="420"/>
      <c r="MWO363" s="266"/>
      <c r="MWP363" s="629"/>
      <c r="MWQ363" s="268"/>
      <c r="MWS363" s="262"/>
      <c r="MWT363" s="628"/>
      <c r="MWU363" s="419"/>
      <c r="MWV363" s="223"/>
      <c r="MWW363" s="420"/>
      <c r="MWX363" s="266"/>
      <c r="MWY363" s="629"/>
      <c r="MWZ363" s="268"/>
      <c r="MXB363" s="262"/>
      <c r="MXC363" s="628"/>
      <c r="MXD363" s="419"/>
      <c r="MXE363" s="223"/>
      <c r="MXF363" s="420"/>
      <c r="MXG363" s="266"/>
      <c r="MXH363" s="629"/>
      <c r="MXI363" s="268"/>
      <c r="MXK363" s="262"/>
      <c r="MXL363" s="628"/>
      <c r="MXM363" s="419"/>
      <c r="MXN363" s="223"/>
      <c r="MXO363" s="420"/>
      <c r="MXP363" s="266"/>
      <c r="MXQ363" s="629"/>
      <c r="MXR363" s="268"/>
      <c r="MXT363" s="262"/>
      <c r="MXU363" s="628"/>
      <c r="MXV363" s="419"/>
      <c r="MXW363" s="223"/>
      <c r="MXX363" s="420"/>
      <c r="MXY363" s="266"/>
      <c r="MXZ363" s="629"/>
      <c r="MYA363" s="268"/>
      <c r="MYC363" s="262"/>
      <c r="MYD363" s="628"/>
      <c r="MYE363" s="419"/>
      <c r="MYF363" s="223"/>
      <c r="MYG363" s="420"/>
      <c r="MYH363" s="266"/>
      <c r="MYI363" s="629"/>
      <c r="MYJ363" s="268"/>
      <c r="MYL363" s="262"/>
      <c r="MYM363" s="628"/>
      <c r="MYN363" s="419"/>
      <c r="MYO363" s="223"/>
      <c r="MYP363" s="420"/>
      <c r="MYQ363" s="266"/>
      <c r="MYR363" s="629"/>
      <c r="MYS363" s="268"/>
      <c r="MYU363" s="262"/>
      <c r="MYV363" s="628"/>
      <c r="MYW363" s="419"/>
      <c r="MYX363" s="223"/>
      <c r="MYY363" s="420"/>
      <c r="MYZ363" s="266"/>
      <c r="MZA363" s="629"/>
      <c r="MZB363" s="268"/>
      <c r="MZD363" s="262"/>
      <c r="MZE363" s="628"/>
      <c r="MZF363" s="419"/>
      <c r="MZG363" s="223"/>
      <c r="MZH363" s="420"/>
      <c r="MZI363" s="266"/>
      <c r="MZJ363" s="629"/>
      <c r="MZK363" s="268"/>
      <c r="MZM363" s="262"/>
      <c r="MZN363" s="628"/>
      <c r="MZO363" s="419"/>
      <c r="MZP363" s="223"/>
      <c r="MZQ363" s="420"/>
      <c r="MZR363" s="266"/>
      <c r="MZS363" s="629"/>
      <c r="MZT363" s="268"/>
      <c r="MZV363" s="262"/>
      <c r="MZW363" s="628"/>
      <c r="MZX363" s="419"/>
      <c r="MZY363" s="223"/>
      <c r="MZZ363" s="420"/>
      <c r="NAA363" s="266"/>
      <c r="NAB363" s="629"/>
      <c r="NAC363" s="268"/>
      <c r="NAE363" s="262"/>
      <c r="NAF363" s="628"/>
      <c r="NAG363" s="419"/>
      <c r="NAH363" s="223"/>
      <c r="NAI363" s="420"/>
      <c r="NAJ363" s="266"/>
      <c r="NAK363" s="629"/>
      <c r="NAL363" s="268"/>
      <c r="NAN363" s="262"/>
      <c r="NAO363" s="628"/>
      <c r="NAP363" s="419"/>
      <c r="NAQ363" s="223"/>
      <c r="NAR363" s="420"/>
      <c r="NAS363" s="266"/>
      <c r="NAT363" s="629"/>
      <c r="NAU363" s="268"/>
      <c r="NAW363" s="262"/>
      <c r="NAX363" s="628"/>
      <c r="NAY363" s="419"/>
      <c r="NAZ363" s="223"/>
      <c r="NBA363" s="420"/>
      <c r="NBB363" s="266"/>
      <c r="NBC363" s="629"/>
      <c r="NBD363" s="268"/>
      <c r="NBF363" s="262"/>
      <c r="NBG363" s="628"/>
      <c r="NBH363" s="419"/>
      <c r="NBI363" s="223"/>
      <c r="NBJ363" s="420"/>
      <c r="NBK363" s="266"/>
      <c r="NBL363" s="629"/>
      <c r="NBM363" s="268"/>
      <c r="NBO363" s="262"/>
      <c r="NBP363" s="628"/>
      <c r="NBQ363" s="419"/>
      <c r="NBR363" s="223"/>
      <c r="NBS363" s="420"/>
      <c r="NBT363" s="266"/>
      <c r="NBU363" s="629"/>
      <c r="NBV363" s="268"/>
      <c r="NBX363" s="262"/>
      <c r="NBY363" s="628"/>
      <c r="NBZ363" s="419"/>
      <c r="NCA363" s="223"/>
      <c r="NCB363" s="420"/>
      <c r="NCC363" s="266"/>
      <c r="NCD363" s="629"/>
      <c r="NCE363" s="268"/>
      <c r="NCG363" s="262"/>
      <c r="NCH363" s="628"/>
      <c r="NCI363" s="419"/>
      <c r="NCJ363" s="223"/>
      <c r="NCK363" s="420"/>
      <c r="NCL363" s="266"/>
      <c r="NCM363" s="629"/>
      <c r="NCN363" s="268"/>
      <c r="NCP363" s="262"/>
      <c r="NCQ363" s="628"/>
      <c r="NCR363" s="419"/>
      <c r="NCS363" s="223"/>
      <c r="NCT363" s="420"/>
      <c r="NCU363" s="266"/>
      <c r="NCV363" s="629"/>
      <c r="NCW363" s="268"/>
      <c r="NCY363" s="262"/>
      <c r="NCZ363" s="628"/>
      <c r="NDA363" s="419"/>
      <c r="NDB363" s="223"/>
      <c r="NDC363" s="420"/>
      <c r="NDD363" s="266"/>
      <c r="NDE363" s="629"/>
      <c r="NDF363" s="268"/>
      <c r="NDH363" s="262"/>
      <c r="NDI363" s="628"/>
      <c r="NDJ363" s="419"/>
      <c r="NDK363" s="223"/>
      <c r="NDL363" s="420"/>
      <c r="NDM363" s="266"/>
      <c r="NDN363" s="629"/>
      <c r="NDO363" s="268"/>
      <c r="NDQ363" s="262"/>
      <c r="NDR363" s="628"/>
      <c r="NDS363" s="419"/>
      <c r="NDT363" s="223"/>
      <c r="NDU363" s="420"/>
      <c r="NDV363" s="266"/>
      <c r="NDW363" s="629"/>
      <c r="NDX363" s="268"/>
      <c r="NDZ363" s="262"/>
      <c r="NEA363" s="628"/>
      <c r="NEB363" s="419"/>
      <c r="NEC363" s="223"/>
      <c r="NED363" s="420"/>
      <c r="NEE363" s="266"/>
      <c r="NEF363" s="629"/>
      <c r="NEG363" s="268"/>
      <c r="NEI363" s="262"/>
      <c r="NEJ363" s="628"/>
      <c r="NEK363" s="419"/>
      <c r="NEL363" s="223"/>
      <c r="NEM363" s="420"/>
      <c r="NEN363" s="266"/>
      <c r="NEO363" s="629"/>
      <c r="NEP363" s="268"/>
      <c r="NER363" s="262"/>
      <c r="NES363" s="628"/>
      <c r="NET363" s="419"/>
      <c r="NEU363" s="223"/>
      <c r="NEV363" s="420"/>
      <c r="NEW363" s="266"/>
      <c r="NEX363" s="629"/>
      <c r="NEY363" s="268"/>
      <c r="NFA363" s="262"/>
      <c r="NFB363" s="628"/>
      <c r="NFC363" s="419"/>
      <c r="NFD363" s="223"/>
      <c r="NFE363" s="420"/>
      <c r="NFF363" s="266"/>
      <c r="NFG363" s="629"/>
      <c r="NFH363" s="268"/>
      <c r="NFJ363" s="262"/>
      <c r="NFK363" s="628"/>
      <c r="NFL363" s="419"/>
      <c r="NFM363" s="223"/>
      <c r="NFN363" s="420"/>
      <c r="NFO363" s="266"/>
      <c r="NFP363" s="629"/>
      <c r="NFQ363" s="268"/>
      <c r="NFS363" s="262"/>
      <c r="NFT363" s="628"/>
      <c r="NFU363" s="419"/>
      <c r="NFV363" s="223"/>
      <c r="NFW363" s="420"/>
      <c r="NFX363" s="266"/>
      <c r="NFY363" s="629"/>
      <c r="NFZ363" s="268"/>
      <c r="NGB363" s="262"/>
      <c r="NGC363" s="628"/>
      <c r="NGD363" s="419"/>
      <c r="NGE363" s="223"/>
      <c r="NGF363" s="420"/>
      <c r="NGG363" s="266"/>
      <c r="NGH363" s="629"/>
      <c r="NGI363" s="268"/>
      <c r="NGK363" s="262"/>
      <c r="NGL363" s="628"/>
      <c r="NGM363" s="419"/>
      <c r="NGN363" s="223"/>
      <c r="NGO363" s="420"/>
      <c r="NGP363" s="266"/>
      <c r="NGQ363" s="629"/>
      <c r="NGR363" s="268"/>
      <c r="NGT363" s="262"/>
      <c r="NGU363" s="628"/>
      <c r="NGV363" s="419"/>
      <c r="NGW363" s="223"/>
      <c r="NGX363" s="420"/>
      <c r="NGY363" s="266"/>
      <c r="NGZ363" s="629"/>
      <c r="NHA363" s="268"/>
      <c r="NHC363" s="262"/>
      <c r="NHD363" s="628"/>
      <c r="NHE363" s="419"/>
      <c r="NHF363" s="223"/>
      <c r="NHG363" s="420"/>
      <c r="NHH363" s="266"/>
      <c r="NHI363" s="629"/>
      <c r="NHJ363" s="268"/>
      <c r="NHL363" s="262"/>
      <c r="NHM363" s="628"/>
      <c r="NHN363" s="419"/>
      <c r="NHO363" s="223"/>
      <c r="NHP363" s="420"/>
      <c r="NHQ363" s="266"/>
      <c r="NHR363" s="629"/>
      <c r="NHS363" s="268"/>
      <c r="NHU363" s="262"/>
      <c r="NHV363" s="628"/>
      <c r="NHW363" s="419"/>
      <c r="NHX363" s="223"/>
      <c r="NHY363" s="420"/>
      <c r="NHZ363" s="266"/>
      <c r="NIA363" s="629"/>
      <c r="NIB363" s="268"/>
      <c r="NID363" s="262"/>
      <c r="NIE363" s="628"/>
      <c r="NIF363" s="419"/>
      <c r="NIG363" s="223"/>
      <c r="NIH363" s="420"/>
      <c r="NII363" s="266"/>
      <c r="NIJ363" s="629"/>
      <c r="NIK363" s="268"/>
      <c r="NIM363" s="262"/>
      <c r="NIN363" s="628"/>
      <c r="NIO363" s="419"/>
      <c r="NIP363" s="223"/>
      <c r="NIQ363" s="420"/>
      <c r="NIR363" s="266"/>
      <c r="NIS363" s="629"/>
      <c r="NIT363" s="268"/>
      <c r="NIV363" s="262"/>
      <c r="NIW363" s="628"/>
      <c r="NIX363" s="419"/>
      <c r="NIY363" s="223"/>
      <c r="NIZ363" s="420"/>
      <c r="NJA363" s="266"/>
      <c r="NJB363" s="629"/>
      <c r="NJC363" s="268"/>
      <c r="NJE363" s="262"/>
      <c r="NJF363" s="628"/>
      <c r="NJG363" s="419"/>
      <c r="NJH363" s="223"/>
      <c r="NJI363" s="420"/>
      <c r="NJJ363" s="266"/>
      <c r="NJK363" s="629"/>
      <c r="NJL363" s="268"/>
      <c r="NJN363" s="262"/>
      <c r="NJO363" s="628"/>
      <c r="NJP363" s="419"/>
      <c r="NJQ363" s="223"/>
      <c r="NJR363" s="420"/>
      <c r="NJS363" s="266"/>
      <c r="NJT363" s="629"/>
      <c r="NJU363" s="268"/>
      <c r="NJW363" s="262"/>
      <c r="NJX363" s="628"/>
      <c r="NJY363" s="419"/>
      <c r="NJZ363" s="223"/>
      <c r="NKA363" s="420"/>
      <c r="NKB363" s="266"/>
      <c r="NKC363" s="629"/>
      <c r="NKD363" s="268"/>
      <c r="NKF363" s="262"/>
      <c r="NKG363" s="628"/>
      <c r="NKH363" s="419"/>
      <c r="NKI363" s="223"/>
      <c r="NKJ363" s="420"/>
      <c r="NKK363" s="266"/>
      <c r="NKL363" s="629"/>
      <c r="NKM363" s="268"/>
      <c r="NKO363" s="262"/>
      <c r="NKP363" s="628"/>
      <c r="NKQ363" s="419"/>
      <c r="NKR363" s="223"/>
      <c r="NKS363" s="420"/>
      <c r="NKT363" s="266"/>
      <c r="NKU363" s="629"/>
      <c r="NKV363" s="268"/>
      <c r="NKX363" s="262"/>
      <c r="NKY363" s="628"/>
      <c r="NKZ363" s="419"/>
      <c r="NLA363" s="223"/>
      <c r="NLB363" s="420"/>
      <c r="NLC363" s="266"/>
      <c r="NLD363" s="629"/>
      <c r="NLE363" s="268"/>
      <c r="NLG363" s="262"/>
      <c r="NLH363" s="628"/>
      <c r="NLI363" s="419"/>
      <c r="NLJ363" s="223"/>
      <c r="NLK363" s="420"/>
      <c r="NLL363" s="266"/>
      <c r="NLM363" s="629"/>
      <c r="NLN363" s="268"/>
      <c r="NLP363" s="262"/>
      <c r="NLQ363" s="628"/>
      <c r="NLR363" s="419"/>
      <c r="NLS363" s="223"/>
      <c r="NLT363" s="420"/>
      <c r="NLU363" s="266"/>
      <c r="NLV363" s="629"/>
      <c r="NLW363" s="268"/>
      <c r="NLY363" s="262"/>
      <c r="NLZ363" s="628"/>
      <c r="NMA363" s="419"/>
      <c r="NMB363" s="223"/>
      <c r="NMC363" s="420"/>
      <c r="NMD363" s="266"/>
      <c r="NME363" s="629"/>
      <c r="NMF363" s="268"/>
      <c r="NMH363" s="262"/>
      <c r="NMI363" s="628"/>
      <c r="NMJ363" s="419"/>
      <c r="NMK363" s="223"/>
      <c r="NML363" s="420"/>
      <c r="NMM363" s="266"/>
      <c r="NMN363" s="629"/>
      <c r="NMO363" s="268"/>
      <c r="NMQ363" s="262"/>
      <c r="NMR363" s="628"/>
      <c r="NMS363" s="419"/>
      <c r="NMT363" s="223"/>
      <c r="NMU363" s="420"/>
      <c r="NMV363" s="266"/>
      <c r="NMW363" s="629"/>
      <c r="NMX363" s="268"/>
      <c r="NMZ363" s="262"/>
      <c r="NNA363" s="628"/>
      <c r="NNB363" s="419"/>
      <c r="NNC363" s="223"/>
      <c r="NND363" s="420"/>
      <c r="NNE363" s="266"/>
      <c r="NNF363" s="629"/>
      <c r="NNG363" s="268"/>
      <c r="NNI363" s="262"/>
      <c r="NNJ363" s="628"/>
      <c r="NNK363" s="419"/>
      <c r="NNL363" s="223"/>
      <c r="NNM363" s="420"/>
      <c r="NNN363" s="266"/>
      <c r="NNO363" s="629"/>
      <c r="NNP363" s="268"/>
      <c r="NNR363" s="262"/>
      <c r="NNS363" s="628"/>
      <c r="NNT363" s="419"/>
      <c r="NNU363" s="223"/>
      <c r="NNV363" s="420"/>
      <c r="NNW363" s="266"/>
      <c r="NNX363" s="629"/>
      <c r="NNY363" s="268"/>
      <c r="NOA363" s="262"/>
      <c r="NOB363" s="628"/>
      <c r="NOC363" s="419"/>
      <c r="NOD363" s="223"/>
      <c r="NOE363" s="420"/>
      <c r="NOF363" s="266"/>
      <c r="NOG363" s="629"/>
      <c r="NOH363" s="268"/>
      <c r="NOJ363" s="262"/>
      <c r="NOK363" s="628"/>
      <c r="NOL363" s="419"/>
      <c r="NOM363" s="223"/>
      <c r="NON363" s="420"/>
      <c r="NOO363" s="266"/>
      <c r="NOP363" s="629"/>
      <c r="NOQ363" s="268"/>
      <c r="NOS363" s="262"/>
      <c r="NOT363" s="628"/>
      <c r="NOU363" s="419"/>
      <c r="NOV363" s="223"/>
      <c r="NOW363" s="420"/>
      <c r="NOX363" s="266"/>
      <c r="NOY363" s="629"/>
      <c r="NOZ363" s="268"/>
      <c r="NPB363" s="262"/>
      <c r="NPC363" s="628"/>
      <c r="NPD363" s="419"/>
      <c r="NPE363" s="223"/>
      <c r="NPF363" s="420"/>
      <c r="NPG363" s="266"/>
      <c r="NPH363" s="629"/>
      <c r="NPI363" s="268"/>
      <c r="NPK363" s="262"/>
      <c r="NPL363" s="628"/>
      <c r="NPM363" s="419"/>
      <c r="NPN363" s="223"/>
      <c r="NPO363" s="420"/>
      <c r="NPP363" s="266"/>
      <c r="NPQ363" s="629"/>
      <c r="NPR363" s="268"/>
      <c r="NPT363" s="262"/>
      <c r="NPU363" s="628"/>
      <c r="NPV363" s="419"/>
      <c r="NPW363" s="223"/>
      <c r="NPX363" s="420"/>
      <c r="NPY363" s="266"/>
      <c r="NPZ363" s="629"/>
      <c r="NQA363" s="268"/>
      <c r="NQC363" s="262"/>
      <c r="NQD363" s="628"/>
      <c r="NQE363" s="419"/>
      <c r="NQF363" s="223"/>
      <c r="NQG363" s="420"/>
      <c r="NQH363" s="266"/>
      <c r="NQI363" s="629"/>
      <c r="NQJ363" s="268"/>
      <c r="NQL363" s="262"/>
      <c r="NQM363" s="628"/>
      <c r="NQN363" s="419"/>
      <c r="NQO363" s="223"/>
      <c r="NQP363" s="420"/>
      <c r="NQQ363" s="266"/>
      <c r="NQR363" s="629"/>
      <c r="NQS363" s="268"/>
      <c r="NQU363" s="262"/>
      <c r="NQV363" s="628"/>
      <c r="NQW363" s="419"/>
      <c r="NQX363" s="223"/>
      <c r="NQY363" s="420"/>
      <c r="NQZ363" s="266"/>
      <c r="NRA363" s="629"/>
      <c r="NRB363" s="268"/>
      <c r="NRD363" s="262"/>
      <c r="NRE363" s="628"/>
      <c r="NRF363" s="419"/>
      <c r="NRG363" s="223"/>
      <c r="NRH363" s="420"/>
      <c r="NRI363" s="266"/>
      <c r="NRJ363" s="629"/>
      <c r="NRK363" s="268"/>
      <c r="NRM363" s="262"/>
      <c r="NRN363" s="628"/>
      <c r="NRO363" s="419"/>
      <c r="NRP363" s="223"/>
      <c r="NRQ363" s="420"/>
      <c r="NRR363" s="266"/>
      <c r="NRS363" s="629"/>
      <c r="NRT363" s="268"/>
      <c r="NRV363" s="262"/>
      <c r="NRW363" s="628"/>
      <c r="NRX363" s="419"/>
      <c r="NRY363" s="223"/>
      <c r="NRZ363" s="420"/>
      <c r="NSA363" s="266"/>
      <c r="NSB363" s="629"/>
      <c r="NSC363" s="268"/>
      <c r="NSE363" s="262"/>
      <c r="NSF363" s="628"/>
      <c r="NSG363" s="419"/>
      <c r="NSH363" s="223"/>
      <c r="NSI363" s="420"/>
      <c r="NSJ363" s="266"/>
      <c r="NSK363" s="629"/>
      <c r="NSL363" s="268"/>
      <c r="NSN363" s="262"/>
      <c r="NSO363" s="628"/>
      <c r="NSP363" s="419"/>
      <c r="NSQ363" s="223"/>
      <c r="NSR363" s="420"/>
      <c r="NSS363" s="266"/>
      <c r="NST363" s="629"/>
      <c r="NSU363" s="268"/>
      <c r="NSW363" s="262"/>
      <c r="NSX363" s="628"/>
      <c r="NSY363" s="419"/>
      <c r="NSZ363" s="223"/>
      <c r="NTA363" s="420"/>
      <c r="NTB363" s="266"/>
      <c r="NTC363" s="629"/>
      <c r="NTD363" s="268"/>
      <c r="NTF363" s="262"/>
      <c r="NTG363" s="628"/>
      <c r="NTH363" s="419"/>
      <c r="NTI363" s="223"/>
      <c r="NTJ363" s="420"/>
      <c r="NTK363" s="266"/>
      <c r="NTL363" s="629"/>
      <c r="NTM363" s="268"/>
      <c r="NTO363" s="262"/>
      <c r="NTP363" s="628"/>
      <c r="NTQ363" s="419"/>
      <c r="NTR363" s="223"/>
      <c r="NTS363" s="420"/>
      <c r="NTT363" s="266"/>
      <c r="NTU363" s="629"/>
      <c r="NTV363" s="268"/>
      <c r="NTX363" s="262"/>
      <c r="NTY363" s="628"/>
      <c r="NTZ363" s="419"/>
      <c r="NUA363" s="223"/>
      <c r="NUB363" s="420"/>
      <c r="NUC363" s="266"/>
      <c r="NUD363" s="629"/>
      <c r="NUE363" s="268"/>
      <c r="NUG363" s="262"/>
      <c r="NUH363" s="628"/>
      <c r="NUI363" s="419"/>
      <c r="NUJ363" s="223"/>
      <c r="NUK363" s="420"/>
      <c r="NUL363" s="266"/>
      <c r="NUM363" s="629"/>
      <c r="NUN363" s="268"/>
      <c r="NUP363" s="262"/>
      <c r="NUQ363" s="628"/>
      <c r="NUR363" s="419"/>
      <c r="NUS363" s="223"/>
      <c r="NUT363" s="420"/>
      <c r="NUU363" s="266"/>
      <c r="NUV363" s="629"/>
      <c r="NUW363" s="268"/>
      <c r="NUY363" s="262"/>
      <c r="NUZ363" s="628"/>
      <c r="NVA363" s="419"/>
      <c r="NVB363" s="223"/>
      <c r="NVC363" s="420"/>
      <c r="NVD363" s="266"/>
      <c r="NVE363" s="629"/>
      <c r="NVF363" s="268"/>
      <c r="NVH363" s="262"/>
      <c r="NVI363" s="628"/>
      <c r="NVJ363" s="419"/>
      <c r="NVK363" s="223"/>
      <c r="NVL363" s="420"/>
      <c r="NVM363" s="266"/>
      <c r="NVN363" s="629"/>
      <c r="NVO363" s="268"/>
      <c r="NVQ363" s="262"/>
      <c r="NVR363" s="628"/>
      <c r="NVS363" s="419"/>
      <c r="NVT363" s="223"/>
      <c r="NVU363" s="420"/>
      <c r="NVV363" s="266"/>
      <c r="NVW363" s="629"/>
      <c r="NVX363" s="268"/>
      <c r="NVZ363" s="262"/>
      <c r="NWA363" s="628"/>
      <c r="NWB363" s="419"/>
      <c r="NWC363" s="223"/>
      <c r="NWD363" s="420"/>
      <c r="NWE363" s="266"/>
      <c r="NWF363" s="629"/>
      <c r="NWG363" s="268"/>
      <c r="NWI363" s="262"/>
      <c r="NWJ363" s="628"/>
      <c r="NWK363" s="419"/>
      <c r="NWL363" s="223"/>
      <c r="NWM363" s="420"/>
      <c r="NWN363" s="266"/>
      <c r="NWO363" s="629"/>
      <c r="NWP363" s="268"/>
      <c r="NWR363" s="262"/>
      <c r="NWS363" s="628"/>
      <c r="NWT363" s="419"/>
      <c r="NWU363" s="223"/>
      <c r="NWV363" s="420"/>
      <c r="NWW363" s="266"/>
      <c r="NWX363" s="629"/>
      <c r="NWY363" s="268"/>
      <c r="NXA363" s="262"/>
      <c r="NXB363" s="628"/>
      <c r="NXC363" s="419"/>
      <c r="NXD363" s="223"/>
      <c r="NXE363" s="420"/>
      <c r="NXF363" s="266"/>
      <c r="NXG363" s="629"/>
      <c r="NXH363" s="268"/>
      <c r="NXJ363" s="262"/>
      <c r="NXK363" s="628"/>
      <c r="NXL363" s="419"/>
      <c r="NXM363" s="223"/>
      <c r="NXN363" s="420"/>
      <c r="NXO363" s="266"/>
      <c r="NXP363" s="629"/>
      <c r="NXQ363" s="268"/>
      <c r="NXS363" s="262"/>
      <c r="NXT363" s="628"/>
      <c r="NXU363" s="419"/>
      <c r="NXV363" s="223"/>
      <c r="NXW363" s="420"/>
      <c r="NXX363" s="266"/>
      <c r="NXY363" s="629"/>
      <c r="NXZ363" s="268"/>
      <c r="NYB363" s="262"/>
      <c r="NYC363" s="628"/>
      <c r="NYD363" s="419"/>
      <c r="NYE363" s="223"/>
      <c r="NYF363" s="420"/>
      <c r="NYG363" s="266"/>
      <c r="NYH363" s="629"/>
      <c r="NYI363" s="268"/>
      <c r="NYK363" s="262"/>
      <c r="NYL363" s="628"/>
      <c r="NYM363" s="419"/>
      <c r="NYN363" s="223"/>
      <c r="NYO363" s="420"/>
      <c r="NYP363" s="266"/>
      <c r="NYQ363" s="629"/>
      <c r="NYR363" s="268"/>
      <c r="NYT363" s="262"/>
      <c r="NYU363" s="628"/>
      <c r="NYV363" s="419"/>
      <c r="NYW363" s="223"/>
      <c r="NYX363" s="420"/>
      <c r="NYY363" s="266"/>
      <c r="NYZ363" s="629"/>
      <c r="NZA363" s="268"/>
      <c r="NZC363" s="262"/>
      <c r="NZD363" s="628"/>
      <c r="NZE363" s="419"/>
      <c r="NZF363" s="223"/>
      <c r="NZG363" s="420"/>
      <c r="NZH363" s="266"/>
      <c r="NZI363" s="629"/>
      <c r="NZJ363" s="268"/>
      <c r="NZL363" s="262"/>
      <c r="NZM363" s="628"/>
      <c r="NZN363" s="419"/>
      <c r="NZO363" s="223"/>
      <c r="NZP363" s="420"/>
      <c r="NZQ363" s="266"/>
      <c r="NZR363" s="629"/>
      <c r="NZS363" s="268"/>
      <c r="NZU363" s="262"/>
      <c r="NZV363" s="628"/>
      <c r="NZW363" s="419"/>
      <c r="NZX363" s="223"/>
      <c r="NZY363" s="420"/>
      <c r="NZZ363" s="266"/>
      <c r="OAA363" s="629"/>
      <c r="OAB363" s="268"/>
      <c r="OAD363" s="262"/>
      <c r="OAE363" s="628"/>
      <c r="OAF363" s="419"/>
      <c r="OAG363" s="223"/>
      <c r="OAH363" s="420"/>
      <c r="OAI363" s="266"/>
      <c r="OAJ363" s="629"/>
      <c r="OAK363" s="268"/>
      <c r="OAM363" s="262"/>
      <c r="OAN363" s="628"/>
      <c r="OAO363" s="419"/>
      <c r="OAP363" s="223"/>
      <c r="OAQ363" s="420"/>
      <c r="OAR363" s="266"/>
      <c r="OAS363" s="629"/>
      <c r="OAT363" s="268"/>
      <c r="OAV363" s="262"/>
      <c r="OAW363" s="628"/>
      <c r="OAX363" s="419"/>
      <c r="OAY363" s="223"/>
      <c r="OAZ363" s="420"/>
      <c r="OBA363" s="266"/>
      <c r="OBB363" s="629"/>
      <c r="OBC363" s="268"/>
      <c r="OBE363" s="262"/>
      <c r="OBF363" s="628"/>
      <c r="OBG363" s="419"/>
      <c r="OBH363" s="223"/>
      <c r="OBI363" s="420"/>
      <c r="OBJ363" s="266"/>
      <c r="OBK363" s="629"/>
      <c r="OBL363" s="268"/>
      <c r="OBN363" s="262"/>
      <c r="OBO363" s="628"/>
      <c r="OBP363" s="419"/>
      <c r="OBQ363" s="223"/>
      <c r="OBR363" s="420"/>
      <c r="OBS363" s="266"/>
      <c r="OBT363" s="629"/>
      <c r="OBU363" s="268"/>
      <c r="OBW363" s="262"/>
      <c r="OBX363" s="628"/>
      <c r="OBY363" s="419"/>
      <c r="OBZ363" s="223"/>
      <c r="OCA363" s="420"/>
      <c r="OCB363" s="266"/>
      <c r="OCC363" s="629"/>
      <c r="OCD363" s="268"/>
      <c r="OCF363" s="262"/>
      <c r="OCG363" s="628"/>
      <c r="OCH363" s="419"/>
      <c r="OCI363" s="223"/>
      <c r="OCJ363" s="420"/>
      <c r="OCK363" s="266"/>
      <c r="OCL363" s="629"/>
      <c r="OCM363" s="268"/>
      <c r="OCO363" s="262"/>
      <c r="OCP363" s="628"/>
      <c r="OCQ363" s="419"/>
      <c r="OCR363" s="223"/>
      <c r="OCS363" s="420"/>
      <c r="OCT363" s="266"/>
      <c r="OCU363" s="629"/>
      <c r="OCV363" s="268"/>
      <c r="OCX363" s="262"/>
      <c r="OCY363" s="628"/>
      <c r="OCZ363" s="419"/>
      <c r="ODA363" s="223"/>
      <c r="ODB363" s="420"/>
      <c r="ODC363" s="266"/>
      <c r="ODD363" s="629"/>
      <c r="ODE363" s="268"/>
      <c r="ODG363" s="262"/>
      <c r="ODH363" s="628"/>
      <c r="ODI363" s="419"/>
      <c r="ODJ363" s="223"/>
      <c r="ODK363" s="420"/>
      <c r="ODL363" s="266"/>
      <c r="ODM363" s="629"/>
      <c r="ODN363" s="268"/>
      <c r="ODP363" s="262"/>
      <c r="ODQ363" s="628"/>
      <c r="ODR363" s="419"/>
      <c r="ODS363" s="223"/>
      <c r="ODT363" s="420"/>
      <c r="ODU363" s="266"/>
      <c r="ODV363" s="629"/>
      <c r="ODW363" s="268"/>
      <c r="ODY363" s="262"/>
      <c r="ODZ363" s="628"/>
      <c r="OEA363" s="419"/>
      <c r="OEB363" s="223"/>
      <c r="OEC363" s="420"/>
      <c r="OED363" s="266"/>
      <c r="OEE363" s="629"/>
      <c r="OEF363" s="268"/>
      <c r="OEH363" s="262"/>
      <c r="OEI363" s="628"/>
      <c r="OEJ363" s="419"/>
      <c r="OEK363" s="223"/>
      <c r="OEL363" s="420"/>
      <c r="OEM363" s="266"/>
      <c r="OEN363" s="629"/>
      <c r="OEO363" s="268"/>
      <c r="OEQ363" s="262"/>
      <c r="OER363" s="628"/>
      <c r="OES363" s="419"/>
      <c r="OET363" s="223"/>
      <c r="OEU363" s="420"/>
      <c r="OEV363" s="266"/>
      <c r="OEW363" s="629"/>
      <c r="OEX363" s="268"/>
      <c r="OEZ363" s="262"/>
      <c r="OFA363" s="628"/>
      <c r="OFB363" s="419"/>
      <c r="OFC363" s="223"/>
      <c r="OFD363" s="420"/>
      <c r="OFE363" s="266"/>
      <c r="OFF363" s="629"/>
      <c r="OFG363" s="268"/>
      <c r="OFI363" s="262"/>
      <c r="OFJ363" s="628"/>
      <c r="OFK363" s="419"/>
      <c r="OFL363" s="223"/>
      <c r="OFM363" s="420"/>
      <c r="OFN363" s="266"/>
      <c r="OFO363" s="629"/>
      <c r="OFP363" s="268"/>
      <c r="OFR363" s="262"/>
      <c r="OFS363" s="628"/>
      <c r="OFT363" s="419"/>
      <c r="OFU363" s="223"/>
      <c r="OFV363" s="420"/>
      <c r="OFW363" s="266"/>
      <c r="OFX363" s="629"/>
      <c r="OFY363" s="268"/>
      <c r="OGA363" s="262"/>
      <c r="OGB363" s="628"/>
      <c r="OGC363" s="419"/>
      <c r="OGD363" s="223"/>
      <c r="OGE363" s="420"/>
      <c r="OGF363" s="266"/>
      <c r="OGG363" s="629"/>
      <c r="OGH363" s="268"/>
      <c r="OGJ363" s="262"/>
      <c r="OGK363" s="628"/>
      <c r="OGL363" s="419"/>
      <c r="OGM363" s="223"/>
      <c r="OGN363" s="420"/>
      <c r="OGO363" s="266"/>
      <c r="OGP363" s="629"/>
      <c r="OGQ363" s="268"/>
      <c r="OGS363" s="262"/>
      <c r="OGT363" s="628"/>
      <c r="OGU363" s="419"/>
      <c r="OGV363" s="223"/>
      <c r="OGW363" s="420"/>
      <c r="OGX363" s="266"/>
      <c r="OGY363" s="629"/>
      <c r="OGZ363" s="268"/>
      <c r="OHB363" s="262"/>
      <c r="OHC363" s="628"/>
      <c r="OHD363" s="419"/>
      <c r="OHE363" s="223"/>
      <c r="OHF363" s="420"/>
      <c r="OHG363" s="266"/>
      <c r="OHH363" s="629"/>
      <c r="OHI363" s="268"/>
      <c r="OHK363" s="262"/>
      <c r="OHL363" s="628"/>
      <c r="OHM363" s="419"/>
      <c r="OHN363" s="223"/>
      <c r="OHO363" s="420"/>
      <c r="OHP363" s="266"/>
      <c r="OHQ363" s="629"/>
      <c r="OHR363" s="268"/>
      <c r="OHT363" s="262"/>
      <c r="OHU363" s="628"/>
      <c r="OHV363" s="419"/>
      <c r="OHW363" s="223"/>
      <c r="OHX363" s="420"/>
      <c r="OHY363" s="266"/>
      <c r="OHZ363" s="629"/>
      <c r="OIA363" s="268"/>
      <c r="OIC363" s="262"/>
      <c r="OID363" s="628"/>
      <c r="OIE363" s="419"/>
      <c r="OIF363" s="223"/>
      <c r="OIG363" s="420"/>
      <c r="OIH363" s="266"/>
      <c r="OII363" s="629"/>
      <c r="OIJ363" s="268"/>
      <c r="OIL363" s="262"/>
      <c r="OIM363" s="628"/>
      <c r="OIN363" s="419"/>
      <c r="OIO363" s="223"/>
      <c r="OIP363" s="420"/>
      <c r="OIQ363" s="266"/>
      <c r="OIR363" s="629"/>
      <c r="OIS363" s="268"/>
      <c r="OIU363" s="262"/>
      <c r="OIV363" s="628"/>
      <c r="OIW363" s="419"/>
      <c r="OIX363" s="223"/>
      <c r="OIY363" s="420"/>
      <c r="OIZ363" s="266"/>
      <c r="OJA363" s="629"/>
      <c r="OJB363" s="268"/>
      <c r="OJD363" s="262"/>
      <c r="OJE363" s="628"/>
      <c r="OJF363" s="419"/>
      <c r="OJG363" s="223"/>
      <c r="OJH363" s="420"/>
      <c r="OJI363" s="266"/>
      <c r="OJJ363" s="629"/>
      <c r="OJK363" s="268"/>
      <c r="OJM363" s="262"/>
      <c r="OJN363" s="628"/>
      <c r="OJO363" s="419"/>
      <c r="OJP363" s="223"/>
      <c r="OJQ363" s="420"/>
      <c r="OJR363" s="266"/>
      <c r="OJS363" s="629"/>
      <c r="OJT363" s="268"/>
      <c r="OJV363" s="262"/>
      <c r="OJW363" s="628"/>
      <c r="OJX363" s="419"/>
      <c r="OJY363" s="223"/>
      <c r="OJZ363" s="420"/>
      <c r="OKA363" s="266"/>
      <c r="OKB363" s="629"/>
      <c r="OKC363" s="268"/>
      <c r="OKE363" s="262"/>
      <c r="OKF363" s="628"/>
      <c r="OKG363" s="419"/>
      <c r="OKH363" s="223"/>
      <c r="OKI363" s="420"/>
      <c r="OKJ363" s="266"/>
      <c r="OKK363" s="629"/>
      <c r="OKL363" s="268"/>
      <c r="OKN363" s="262"/>
      <c r="OKO363" s="628"/>
      <c r="OKP363" s="419"/>
      <c r="OKQ363" s="223"/>
      <c r="OKR363" s="420"/>
      <c r="OKS363" s="266"/>
      <c r="OKT363" s="629"/>
      <c r="OKU363" s="268"/>
      <c r="OKW363" s="262"/>
      <c r="OKX363" s="628"/>
      <c r="OKY363" s="419"/>
      <c r="OKZ363" s="223"/>
      <c r="OLA363" s="420"/>
      <c r="OLB363" s="266"/>
      <c r="OLC363" s="629"/>
      <c r="OLD363" s="268"/>
      <c r="OLF363" s="262"/>
      <c r="OLG363" s="628"/>
      <c r="OLH363" s="419"/>
      <c r="OLI363" s="223"/>
      <c r="OLJ363" s="420"/>
      <c r="OLK363" s="266"/>
      <c r="OLL363" s="629"/>
      <c r="OLM363" s="268"/>
      <c r="OLO363" s="262"/>
      <c r="OLP363" s="628"/>
      <c r="OLQ363" s="419"/>
      <c r="OLR363" s="223"/>
      <c r="OLS363" s="420"/>
      <c r="OLT363" s="266"/>
      <c r="OLU363" s="629"/>
      <c r="OLV363" s="268"/>
      <c r="OLX363" s="262"/>
      <c r="OLY363" s="628"/>
      <c r="OLZ363" s="419"/>
      <c r="OMA363" s="223"/>
      <c r="OMB363" s="420"/>
      <c r="OMC363" s="266"/>
      <c r="OMD363" s="629"/>
      <c r="OME363" s="268"/>
      <c r="OMG363" s="262"/>
      <c r="OMH363" s="628"/>
      <c r="OMI363" s="419"/>
      <c r="OMJ363" s="223"/>
      <c r="OMK363" s="420"/>
      <c r="OML363" s="266"/>
      <c r="OMM363" s="629"/>
      <c r="OMN363" s="268"/>
      <c r="OMP363" s="262"/>
      <c r="OMQ363" s="628"/>
      <c r="OMR363" s="419"/>
      <c r="OMS363" s="223"/>
      <c r="OMT363" s="420"/>
      <c r="OMU363" s="266"/>
      <c r="OMV363" s="629"/>
      <c r="OMW363" s="268"/>
      <c r="OMY363" s="262"/>
      <c r="OMZ363" s="628"/>
      <c r="ONA363" s="419"/>
      <c r="ONB363" s="223"/>
      <c r="ONC363" s="420"/>
      <c r="OND363" s="266"/>
      <c r="ONE363" s="629"/>
      <c r="ONF363" s="268"/>
      <c r="ONH363" s="262"/>
      <c r="ONI363" s="628"/>
      <c r="ONJ363" s="419"/>
      <c r="ONK363" s="223"/>
      <c r="ONL363" s="420"/>
      <c r="ONM363" s="266"/>
      <c r="ONN363" s="629"/>
      <c r="ONO363" s="268"/>
      <c r="ONQ363" s="262"/>
      <c r="ONR363" s="628"/>
      <c r="ONS363" s="419"/>
      <c r="ONT363" s="223"/>
      <c r="ONU363" s="420"/>
      <c r="ONV363" s="266"/>
      <c r="ONW363" s="629"/>
      <c r="ONX363" s="268"/>
      <c r="ONZ363" s="262"/>
      <c r="OOA363" s="628"/>
      <c r="OOB363" s="419"/>
      <c r="OOC363" s="223"/>
      <c r="OOD363" s="420"/>
      <c r="OOE363" s="266"/>
      <c r="OOF363" s="629"/>
      <c r="OOG363" s="268"/>
      <c r="OOI363" s="262"/>
      <c r="OOJ363" s="628"/>
      <c r="OOK363" s="419"/>
      <c r="OOL363" s="223"/>
      <c r="OOM363" s="420"/>
      <c r="OON363" s="266"/>
      <c r="OOO363" s="629"/>
      <c r="OOP363" s="268"/>
      <c r="OOR363" s="262"/>
      <c r="OOS363" s="628"/>
      <c r="OOT363" s="419"/>
      <c r="OOU363" s="223"/>
      <c r="OOV363" s="420"/>
      <c r="OOW363" s="266"/>
      <c r="OOX363" s="629"/>
      <c r="OOY363" s="268"/>
      <c r="OPA363" s="262"/>
      <c r="OPB363" s="628"/>
      <c r="OPC363" s="419"/>
      <c r="OPD363" s="223"/>
      <c r="OPE363" s="420"/>
      <c r="OPF363" s="266"/>
      <c r="OPG363" s="629"/>
      <c r="OPH363" s="268"/>
      <c r="OPJ363" s="262"/>
      <c r="OPK363" s="628"/>
      <c r="OPL363" s="419"/>
      <c r="OPM363" s="223"/>
      <c r="OPN363" s="420"/>
      <c r="OPO363" s="266"/>
      <c r="OPP363" s="629"/>
      <c r="OPQ363" s="268"/>
      <c r="OPS363" s="262"/>
      <c r="OPT363" s="628"/>
      <c r="OPU363" s="419"/>
      <c r="OPV363" s="223"/>
      <c r="OPW363" s="420"/>
      <c r="OPX363" s="266"/>
      <c r="OPY363" s="629"/>
      <c r="OPZ363" s="268"/>
      <c r="OQB363" s="262"/>
      <c r="OQC363" s="628"/>
      <c r="OQD363" s="419"/>
      <c r="OQE363" s="223"/>
      <c r="OQF363" s="420"/>
      <c r="OQG363" s="266"/>
      <c r="OQH363" s="629"/>
      <c r="OQI363" s="268"/>
      <c r="OQK363" s="262"/>
      <c r="OQL363" s="628"/>
      <c r="OQM363" s="419"/>
      <c r="OQN363" s="223"/>
      <c r="OQO363" s="420"/>
      <c r="OQP363" s="266"/>
      <c r="OQQ363" s="629"/>
      <c r="OQR363" s="268"/>
      <c r="OQT363" s="262"/>
      <c r="OQU363" s="628"/>
      <c r="OQV363" s="419"/>
      <c r="OQW363" s="223"/>
      <c r="OQX363" s="420"/>
      <c r="OQY363" s="266"/>
      <c r="OQZ363" s="629"/>
      <c r="ORA363" s="268"/>
      <c r="ORC363" s="262"/>
      <c r="ORD363" s="628"/>
      <c r="ORE363" s="419"/>
      <c r="ORF363" s="223"/>
      <c r="ORG363" s="420"/>
      <c r="ORH363" s="266"/>
      <c r="ORI363" s="629"/>
      <c r="ORJ363" s="268"/>
      <c r="ORL363" s="262"/>
      <c r="ORM363" s="628"/>
      <c r="ORN363" s="419"/>
      <c r="ORO363" s="223"/>
      <c r="ORP363" s="420"/>
      <c r="ORQ363" s="266"/>
      <c r="ORR363" s="629"/>
      <c r="ORS363" s="268"/>
      <c r="ORU363" s="262"/>
      <c r="ORV363" s="628"/>
      <c r="ORW363" s="419"/>
      <c r="ORX363" s="223"/>
      <c r="ORY363" s="420"/>
      <c r="ORZ363" s="266"/>
      <c r="OSA363" s="629"/>
      <c r="OSB363" s="268"/>
      <c r="OSD363" s="262"/>
      <c r="OSE363" s="628"/>
      <c r="OSF363" s="419"/>
      <c r="OSG363" s="223"/>
      <c r="OSH363" s="420"/>
      <c r="OSI363" s="266"/>
      <c r="OSJ363" s="629"/>
      <c r="OSK363" s="268"/>
      <c r="OSM363" s="262"/>
      <c r="OSN363" s="628"/>
      <c r="OSO363" s="419"/>
      <c r="OSP363" s="223"/>
      <c r="OSQ363" s="420"/>
      <c r="OSR363" s="266"/>
      <c r="OSS363" s="629"/>
      <c r="OST363" s="268"/>
      <c r="OSV363" s="262"/>
      <c r="OSW363" s="628"/>
      <c r="OSX363" s="419"/>
      <c r="OSY363" s="223"/>
      <c r="OSZ363" s="420"/>
      <c r="OTA363" s="266"/>
      <c r="OTB363" s="629"/>
      <c r="OTC363" s="268"/>
      <c r="OTE363" s="262"/>
      <c r="OTF363" s="628"/>
      <c r="OTG363" s="419"/>
      <c r="OTH363" s="223"/>
      <c r="OTI363" s="420"/>
      <c r="OTJ363" s="266"/>
      <c r="OTK363" s="629"/>
      <c r="OTL363" s="268"/>
      <c r="OTN363" s="262"/>
      <c r="OTO363" s="628"/>
      <c r="OTP363" s="419"/>
      <c r="OTQ363" s="223"/>
      <c r="OTR363" s="420"/>
      <c r="OTS363" s="266"/>
      <c r="OTT363" s="629"/>
      <c r="OTU363" s="268"/>
      <c r="OTW363" s="262"/>
      <c r="OTX363" s="628"/>
      <c r="OTY363" s="419"/>
      <c r="OTZ363" s="223"/>
      <c r="OUA363" s="420"/>
      <c r="OUB363" s="266"/>
      <c r="OUC363" s="629"/>
      <c r="OUD363" s="268"/>
      <c r="OUF363" s="262"/>
      <c r="OUG363" s="628"/>
      <c r="OUH363" s="419"/>
      <c r="OUI363" s="223"/>
      <c r="OUJ363" s="420"/>
      <c r="OUK363" s="266"/>
      <c r="OUL363" s="629"/>
      <c r="OUM363" s="268"/>
      <c r="OUO363" s="262"/>
      <c r="OUP363" s="628"/>
      <c r="OUQ363" s="419"/>
      <c r="OUR363" s="223"/>
      <c r="OUS363" s="420"/>
      <c r="OUT363" s="266"/>
      <c r="OUU363" s="629"/>
      <c r="OUV363" s="268"/>
      <c r="OUX363" s="262"/>
      <c r="OUY363" s="628"/>
      <c r="OUZ363" s="419"/>
      <c r="OVA363" s="223"/>
      <c r="OVB363" s="420"/>
      <c r="OVC363" s="266"/>
      <c r="OVD363" s="629"/>
      <c r="OVE363" s="268"/>
      <c r="OVG363" s="262"/>
      <c r="OVH363" s="628"/>
      <c r="OVI363" s="419"/>
      <c r="OVJ363" s="223"/>
      <c r="OVK363" s="420"/>
      <c r="OVL363" s="266"/>
      <c r="OVM363" s="629"/>
      <c r="OVN363" s="268"/>
      <c r="OVP363" s="262"/>
      <c r="OVQ363" s="628"/>
      <c r="OVR363" s="419"/>
      <c r="OVS363" s="223"/>
      <c r="OVT363" s="420"/>
      <c r="OVU363" s="266"/>
      <c r="OVV363" s="629"/>
      <c r="OVW363" s="268"/>
      <c r="OVY363" s="262"/>
      <c r="OVZ363" s="628"/>
      <c r="OWA363" s="419"/>
      <c r="OWB363" s="223"/>
      <c r="OWC363" s="420"/>
      <c r="OWD363" s="266"/>
      <c r="OWE363" s="629"/>
      <c r="OWF363" s="268"/>
      <c r="OWH363" s="262"/>
      <c r="OWI363" s="628"/>
      <c r="OWJ363" s="419"/>
      <c r="OWK363" s="223"/>
      <c r="OWL363" s="420"/>
      <c r="OWM363" s="266"/>
      <c r="OWN363" s="629"/>
      <c r="OWO363" s="268"/>
      <c r="OWQ363" s="262"/>
      <c r="OWR363" s="628"/>
      <c r="OWS363" s="419"/>
      <c r="OWT363" s="223"/>
      <c r="OWU363" s="420"/>
      <c r="OWV363" s="266"/>
      <c r="OWW363" s="629"/>
      <c r="OWX363" s="268"/>
      <c r="OWZ363" s="262"/>
      <c r="OXA363" s="628"/>
      <c r="OXB363" s="419"/>
      <c r="OXC363" s="223"/>
      <c r="OXD363" s="420"/>
      <c r="OXE363" s="266"/>
      <c r="OXF363" s="629"/>
      <c r="OXG363" s="268"/>
      <c r="OXI363" s="262"/>
      <c r="OXJ363" s="628"/>
      <c r="OXK363" s="419"/>
      <c r="OXL363" s="223"/>
      <c r="OXM363" s="420"/>
      <c r="OXN363" s="266"/>
      <c r="OXO363" s="629"/>
      <c r="OXP363" s="268"/>
      <c r="OXR363" s="262"/>
      <c r="OXS363" s="628"/>
      <c r="OXT363" s="419"/>
      <c r="OXU363" s="223"/>
      <c r="OXV363" s="420"/>
      <c r="OXW363" s="266"/>
      <c r="OXX363" s="629"/>
      <c r="OXY363" s="268"/>
      <c r="OYA363" s="262"/>
      <c r="OYB363" s="628"/>
      <c r="OYC363" s="419"/>
      <c r="OYD363" s="223"/>
      <c r="OYE363" s="420"/>
      <c r="OYF363" s="266"/>
      <c r="OYG363" s="629"/>
      <c r="OYH363" s="268"/>
      <c r="OYJ363" s="262"/>
      <c r="OYK363" s="628"/>
      <c r="OYL363" s="419"/>
      <c r="OYM363" s="223"/>
      <c r="OYN363" s="420"/>
      <c r="OYO363" s="266"/>
      <c r="OYP363" s="629"/>
      <c r="OYQ363" s="268"/>
      <c r="OYS363" s="262"/>
      <c r="OYT363" s="628"/>
      <c r="OYU363" s="419"/>
      <c r="OYV363" s="223"/>
      <c r="OYW363" s="420"/>
      <c r="OYX363" s="266"/>
      <c r="OYY363" s="629"/>
      <c r="OYZ363" s="268"/>
      <c r="OZB363" s="262"/>
      <c r="OZC363" s="628"/>
      <c r="OZD363" s="419"/>
      <c r="OZE363" s="223"/>
      <c r="OZF363" s="420"/>
      <c r="OZG363" s="266"/>
      <c r="OZH363" s="629"/>
      <c r="OZI363" s="268"/>
      <c r="OZK363" s="262"/>
      <c r="OZL363" s="628"/>
      <c r="OZM363" s="419"/>
      <c r="OZN363" s="223"/>
      <c r="OZO363" s="420"/>
      <c r="OZP363" s="266"/>
      <c r="OZQ363" s="629"/>
      <c r="OZR363" s="268"/>
      <c r="OZT363" s="262"/>
      <c r="OZU363" s="628"/>
      <c r="OZV363" s="419"/>
      <c r="OZW363" s="223"/>
      <c r="OZX363" s="420"/>
      <c r="OZY363" s="266"/>
      <c r="OZZ363" s="629"/>
      <c r="PAA363" s="268"/>
      <c r="PAC363" s="262"/>
      <c r="PAD363" s="628"/>
      <c r="PAE363" s="419"/>
      <c r="PAF363" s="223"/>
      <c r="PAG363" s="420"/>
      <c r="PAH363" s="266"/>
      <c r="PAI363" s="629"/>
      <c r="PAJ363" s="268"/>
      <c r="PAL363" s="262"/>
      <c r="PAM363" s="628"/>
      <c r="PAN363" s="419"/>
      <c r="PAO363" s="223"/>
      <c r="PAP363" s="420"/>
      <c r="PAQ363" s="266"/>
      <c r="PAR363" s="629"/>
      <c r="PAS363" s="268"/>
      <c r="PAU363" s="262"/>
      <c r="PAV363" s="628"/>
      <c r="PAW363" s="419"/>
      <c r="PAX363" s="223"/>
      <c r="PAY363" s="420"/>
      <c r="PAZ363" s="266"/>
      <c r="PBA363" s="629"/>
      <c r="PBB363" s="268"/>
      <c r="PBD363" s="262"/>
      <c r="PBE363" s="628"/>
      <c r="PBF363" s="419"/>
      <c r="PBG363" s="223"/>
      <c r="PBH363" s="420"/>
      <c r="PBI363" s="266"/>
      <c r="PBJ363" s="629"/>
      <c r="PBK363" s="268"/>
      <c r="PBM363" s="262"/>
      <c r="PBN363" s="628"/>
      <c r="PBO363" s="419"/>
      <c r="PBP363" s="223"/>
      <c r="PBQ363" s="420"/>
      <c r="PBR363" s="266"/>
      <c r="PBS363" s="629"/>
      <c r="PBT363" s="268"/>
      <c r="PBV363" s="262"/>
      <c r="PBW363" s="628"/>
      <c r="PBX363" s="419"/>
      <c r="PBY363" s="223"/>
      <c r="PBZ363" s="420"/>
      <c r="PCA363" s="266"/>
      <c r="PCB363" s="629"/>
      <c r="PCC363" s="268"/>
      <c r="PCE363" s="262"/>
      <c r="PCF363" s="628"/>
      <c r="PCG363" s="419"/>
      <c r="PCH363" s="223"/>
      <c r="PCI363" s="420"/>
      <c r="PCJ363" s="266"/>
      <c r="PCK363" s="629"/>
      <c r="PCL363" s="268"/>
      <c r="PCN363" s="262"/>
      <c r="PCO363" s="628"/>
      <c r="PCP363" s="419"/>
      <c r="PCQ363" s="223"/>
      <c r="PCR363" s="420"/>
      <c r="PCS363" s="266"/>
      <c r="PCT363" s="629"/>
      <c r="PCU363" s="268"/>
      <c r="PCW363" s="262"/>
      <c r="PCX363" s="628"/>
      <c r="PCY363" s="419"/>
      <c r="PCZ363" s="223"/>
      <c r="PDA363" s="420"/>
      <c r="PDB363" s="266"/>
      <c r="PDC363" s="629"/>
      <c r="PDD363" s="268"/>
      <c r="PDF363" s="262"/>
      <c r="PDG363" s="628"/>
      <c r="PDH363" s="419"/>
      <c r="PDI363" s="223"/>
      <c r="PDJ363" s="420"/>
      <c r="PDK363" s="266"/>
      <c r="PDL363" s="629"/>
      <c r="PDM363" s="268"/>
      <c r="PDO363" s="262"/>
      <c r="PDP363" s="628"/>
      <c r="PDQ363" s="419"/>
      <c r="PDR363" s="223"/>
      <c r="PDS363" s="420"/>
      <c r="PDT363" s="266"/>
      <c r="PDU363" s="629"/>
      <c r="PDV363" s="268"/>
      <c r="PDX363" s="262"/>
      <c r="PDY363" s="628"/>
      <c r="PDZ363" s="419"/>
      <c r="PEA363" s="223"/>
      <c r="PEB363" s="420"/>
      <c r="PEC363" s="266"/>
      <c r="PED363" s="629"/>
      <c r="PEE363" s="268"/>
      <c r="PEG363" s="262"/>
      <c r="PEH363" s="628"/>
      <c r="PEI363" s="419"/>
      <c r="PEJ363" s="223"/>
      <c r="PEK363" s="420"/>
      <c r="PEL363" s="266"/>
      <c r="PEM363" s="629"/>
      <c r="PEN363" s="268"/>
      <c r="PEP363" s="262"/>
      <c r="PEQ363" s="628"/>
      <c r="PER363" s="419"/>
      <c r="PES363" s="223"/>
      <c r="PET363" s="420"/>
      <c r="PEU363" s="266"/>
      <c r="PEV363" s="629"/>
      <c r="PEW363" s="268"/>
      <c r="PEY363" s="262"/>
      <c r="PEZ363" s="628"/>
      <c r="PFA363" s="419"/>
      <c r="PFB363" s="223"/>
      <c r="PFC363" s="420"/>
      <c r="PFD363" s="266"/>
      <c r="PFE363" s="629"/>
      <c r="PFF363" s="268"/>
      <c r="PFH363" s="262"/>
      <c r="PFI363" s="628"/>
      <c r="PFJ363" s="419"/>
      <c r="PFK363" s="223"/>
      <c r="PFL363" s="420"/>
      <c r="PFM363" s="266"/>
      <c r="PFN363" s="629"/>
      <c r="PFO363" s="268"/>
      <c r="PFQ363" s="262"/>
      <c r="PFR363" s="628"/>
      <c r="PFS363" s="419"/>
      <c r="PFT363" s="223"/>
      <c r="PFU363" s="420"/>
      <c r="PFV363" s="266"/>
      <c r="PFW363" s="629"/>
      <c r="PFX363" s="268"/>
      <c r="PFZ363" s="262"/>
      <c r="PGA363" s="628"/>
      <c r="PGB363" s="419"/>
      <c r="PGC363" s="223"/>
      <c r="PGD363" s="420"/>
      <c r="PGE363" s="266"/>
      <c r="PGF363" s="629"/>
      <c r="PGG363" s="268"/>
      <c r="PGI363" s="262"/>
      <c r="PGJ363" s="628"/>
      <c r="PGK363" s="419"/>
      <c r="PGL363" s="223"/>
      <c r="PGM363" s="420"/>
      <c r="PGN363" s="266"/>
      <c r="PGO363" s="629"/>
      <c r="PGP363" s="268"/>
      <c r="PGR363" s="262"/>
      <c r="PGS363" s="628"/>
      <c r="PGT363" s="419"/>
      <c r="PGU363" s="223"/>
      <c r="PGV363" s="420"/>
      <c r="PGW363" s="266"/>
      <c r="PGX363" s="629"/>
      <c r="PGY363" s="268"/>
      <c r="PHA363" s="262"/>
      <c r="PHB363" s="628"/>
      <c r="PHC363" s="419"/>
      <c r="PHD363" s="223"/>
      <c r="PHE363" s="420"/>
      <c r="PHF363" s="266"/>
      <c r="PHG363" s="629"/>
      <c r="PHH363" s="268"/>
      <c r="PHJ363" s="262"/>
      <c r="PHK363" s="628"/>
      <c r="PHL363" s="419"/>
      <c r="PHM363" s="223"/>
      <c r="PHN363" s="420"/>
      <c r="PHO363" s="266"/>
      <c r="PHP363" s="629"/>
      <c r="PHQ363" s="268"/>
      <c r="PHS363" s="262"/>
      <c r="PHT363" s="628"/>
      <c r="PHU363" s="419"/>
      <c r="PHV363" s="223"/>
      <c r="PHW363" s="420"/>
      <c r="PHX363" s="266"/>
      <c r="PHY363" s="629"/>
      <c r="PHZ363" s="268"/>
      <c r="PIB363" s="262"/>
      <c r="PIC363" s="628"/>
      <c r="PID363" s="419"/>
      <c r="PIE363" s="223"/>
      <c r="PIF363" s="420"/>
      <c r="PIG363" s="266"/>
      <c r="PIH363" s="629"/>
      <c r="PII363" s="268"/>
      <c r="PIK363" s="262"/>
      <c r="PIL363" s="628"/>
      <c r="PIM363" s="419"/>
      <c r="PIN363" s="223"/>
      <c r="PIO363" s="420"/>
      <c r="PIP363" s="266"/>
      <c r="PIQ363" s="629"/>
      <c r="PIR363" s="268"/>
      <c r="PIT363" s="262"/>
      <c r="PIU363" s="628"/>
      <c r="PIV363" s="419"/>
      <c r="PIW363" s="223"/>
      <c r="PIX363" s="420"/>
      <c r="PIY363" s="266"/>
      <c r="PIZ363" s="629"/>
      <c r="PJA363" s="268"/>
      <c r="PJC363" s="262"/>
      <c r="PJD363" s="628"/>
      <c r="PJE363" s="419"/>
      <c r="PJF363" s="223"/>
      <c r="PJG363" s="420"/>
      <c r="PJH363" s="266"/>
      <c r="PJI363" s="629"/>
      <c r="PJJ363" s="268"/>
      <c r="PJL363" s="262"/>
      <c r="PJM363" s="628"/>
      <c r="PJN363" s="419"/>
      <c r="PJO363" s="223"/>
      <c r="PJP363" s="420"/>
      <c r="PJQ363" s="266"/>
      <c r="PJR363" s="629"/>
      <c r="PJS363" s="268"/>
      <c r="PJU363" s="262"/>
      <c r="PJV363" s="628"/>
      <c r="PJW363" s="419"/>
      <c r="PJX363" s="223"/>
      <c r="PJY363" s="420"/>
      <c r="PJZ363" s="266"/>
      <c r="PKA363" s="629"/>
      <c r="PKB363" s="268"/>
      <c r="PKD363" s="262"/>
      <c r="PKE363" s="628"/>
      <c r="PKF363" s="419"/>
      <c r="PKG363" s="223"/>
      <c r="PKH363" s="420"/>
      <c r="PKI363" s="266"/>
      <c r="PKJ363" s="629"/>
      <c r="PKK363" s="268"/>
      <c r="PKM363" s="262"/>
      <c r="PKN363" s="628"/>
      <c r="PKO363" s="419"/>
      <c r="PKP363" s="223"/>
      <c r="PKQ363" s="420"/>
      <c r="PKR363" s="266"/>
      <c r="PKS363" s="629"/>
      <c r="PKT363" s="268"/>
      <c r="PKV363" s="262"/>
      <c r="PKW363" s="628"/>
      <c r="PKX363" s="419"/>
      <c r="PKY363" s="223"/>
      <c r="PKZ363" s="420"/>
      <c r="PLA363" s="266"/>
      <c r="PLB363" s="629"/>
      <c r="PLC363" s="268"/>
      <c r="PLE363" s="262"/>
      <c r="PLF363" s="628"/>
      <c r="PLG363" s="419"/>
      <c r="PLH363" s="223"/>
      <c r="PLI363" s="420"/>
      <c r="PLJ363" s="266"/>
      <c r="PLK363" s="629"/>
      <c r="PLL363" s="268"/>
      <c r="PLN363" s="262"/>
      <c r="PLO363" s="628"/>
      <c r="PLP363" s="419"/>
      <c r="PLQ363" s="223"/>
      <c r="PLR363" s="420"/>
      <c r="PLS363" s="266"/>
      <c r="PLT363" s="629"/>
      <c r="PLU363" s="268"/>
      <c r="PLW363" s="262"/>
      <c r="PLX363" s="628"/>
      <c r="PLY363" s="419"/>
      <c r="PLZ363" s="223"/>
      <c r="PMA363" s="420"/>
      <c r="PMB363" s="266"/>
      <c r="PMC363" s="629"/>
      <c r="PMD363" s="268"/>
      <c r="PMF363" s="262"/>
      <c r="PMG363" s="628"/>
      <c r="PMH363" s="419"/>
      <c r="PMI363" s="223"/>
      <c r="PMJ363" s="420"/>
      <c r="PMK363" s="266"/>
      <c r="PML363" s="629"/>
      <c r="PMM363" s="268"/>
      <c r="PMO363" s="262"/>
      <c r="PMP363" s="628"/>
      <c r="PMQ363" s="419"/>
      <c r="PMR363" s="223"/>
      <c r="PMS363" s="420"/>
      <c r="PMT363" s="266"/>
      <c r="PMU363" s="629"/>
      <c r="PMV363" s="268"/>
      <c r="PMX363" s="262"/>
      <c r="PMY363" s="628"/>
      <c r="PMZ363" s="419"/>
      <c r="PNA363" s="223"/>
      <c r="PNB363" s="420"/>
      <c r="PNC363" s="266"/>
      <c r="PND363" s="629"/>
      <c r="PNE363" s="268"/>
      <c r="PNG363" s="262"/>
      <c r="PNH363" s="628"/>
      <c r="PNI363" s="419"/>
      <c r="PNJ363" s="223"/>
      <c r="PNK363" s="420"/>
      <c r="PNL363" s="266"/>
      <c r="PNM363" s="629"/>
      <c r="PNN363" s="268"/>
      <c r="PNP363" s="262"/>
      <c r="PNQ363" s="628"/>
      <c r="PNR363" s="419"/>
      <c r="PNS363" s="223"/>
      <c r="PNT363" s="420"/>
      <c r="PNU363" s="266"/>
      <c r="PNV363" s="629"/>
      <c r="PNW363" s="268"/>
      <c r="PNY363" s="262"/>
      <c r="PNZ363" s="628"/>
      <c r="POA363" s="419"/>
      <c r="POB363" s="223"/>
      <c r="POC363" s="420"/>
      <c r="POD363" s="266"/>
      <c r="POE363" s="629"/>
      <c r="POF363" s="268"/>
      <c r="POH363" s="262"/>
      <c r="POI363" s="628"/>
      <c r="POJ363" s="419"/>
      <c r="POK363" s="223"/>
      <c r="POL363" s="420"/>
      <c r="POM363" s="266"/>
      <c r="PON363" s="629"/>
      <c r="POO363" s="268"/>
      <c r="POQ363" s="262"/>
      <c r="POR363" s="628"/>
      <c r="POS363" s="419"/>
      <c r="POT363" s="223"/>
      <c r="POU363" s="420"/>
      <c r="POV363" s="266"/>
      <c r="POW363" s="629"/>
      <c r="POX363" s="268"/>
      <c r="POZ363" s="262"/>
      <c r="PPA363" s="628"/>
      <c r="PPB363" s="419"/>
      <c r="PPC363" s="223"/>
      <c r="PPD363" s="420"/>
      <c r="PPE363" s="266"/>
      <c r="PPF363" s="629"/>
      <c r="PPG363" s="268"/>
      <c r="PPI363" s="262"/>
      <c r="PPJ363" s="628"/>
      <c r="PPK363" s="419"/>
      <c r="PPL363" s="223"/>
      <c r="PPM363" s="420"/>
      <c r="PPN363" s="266"/>
      <c r="PPO363" s="629"/>
      <c r="PPP363" s="268"/>
      <c r="PPR363" s="262"/>
      <c r="PPS363" s="628"/>
      <c r="PPT363" s="419"/>
      <c r="PPU363" s="223"/>
      <c r="PPV363" s="420"/>
      <c r="PPW363" s="266"/>
      <c r="PPX363" s="629"/>
      <c r="PPY363" s="268"/>
      <c r="PQA363" s="262"/>
      <c r="PQB363" s="628"/>
      <c r="PQC363" s="419"/>
      <c r="PQD363" s="223"/>
      <c r="PQE363" s="420"/>
      <c r="PQF363" s="266"/>
      <c r="PQG363" s="629"/>
      <c r="PQH363" s="268"/>
      <c r="PQJ363" s="262"/>
      <c r="PQK363" s="628"/>
      <c r="PQL363" s="419"/>
      <c r="PQM363" s="223"/>
      <c r="PQN363" s="420"/>
      <c r="PQO363" s="266"/>
      <c r="PQP363" s="629"/>
      <c r="PQQ363" s="268"/>
      <c r="PQS363" s="262"/>
      <c r="PQT363" s="628"/>
      <c r="PQU363" s="419"/>
      <c r="PQV363" s="223"/>
      <c r="PQW363" s="420"/>
      <c r="PQX363" s="266"/>
      <c r="PQY363" s="629"/>
      <c r="PQZ363" s="268"/>
      <c r="PRB363" s="262"/>
      <c r="PRC363" s="628"/>
      <c r="PRD363" s="419"/>
      <c r="PRE363" s="223"/>
      <c r="PRF363" s="420"/>
      <c r="PRG363" s="266"/>
      <c r="PRH363" s="629"/>
      <c r="PRI363" s="268"/>
      <c r="PRK363" s="262"/>
      <c r="PRL363" s="628"/>
      <c r="PRM363" s="419"/>
      <c r="PRN363" s="223"/>
      <c r="PRO363" s="420"/>
      <c r="PRP363" s="266"/>
      <c r="PRQ363" s="629"/>
      <c r="PRR363" s="268"/>
      <c r="PRT363" s="262"/>
      <c r="PRU363" s="628"/>
      <c r="PRV363" s="419"/>
      <c r="PRW363" s="223"/>
      <c r="PRX363" s="420"/>
      <c r="PRY363" s="266"/>
      <c r="PRZ363" s="629"/>
      <c r="PSA363" s="268"/>
      <c r="PSC363" s="262"/>
      <c r="PSD363" s="628"/>
      <c r="PSE363" s="419"/>
      <c r="PSF363" s="223"/>
      <c r="PSG363" s="420"/>
      <c r="PSH363" s="266"/>
      <c r="PSI363" s="629"/>
      <c r="PSJ363" s="268"/>
      <c r="PSL363" s="262"/>
      <c r="PSM363" s="628"/>
      <c r="PSN363" s="419"/>
      <c r="PSO363" s="223"/>
      <c r="PSP363" s="420"/>
      <c r="PSQ363" s="266"/>
      <c r="PSR363" s="629"/>
      <c r="PSS363" s="268"/>
      <c r="PSU363" s="262"/>
      <c r="PSV363" s="628"/>
      <c r="PSW363" s="419"/>
      <c r="PSX363" s="223"/>
      <c r="PSY363" s="420"/>
      <c r="PSZ363" s="266"/>
      <c r="PTA363" s="629"/>
      <c r="PTB363" s="268"/>
      <c r="PTD363" s="262"/>
      <c r="PTE363" s="628"/>
      <c r="PTF363" s="419"/>
      <c r="PTG363" s="223"/>
      <c r="PTH363" s="420"/>
      <c r="PTI363" s="266"/>
      <c r="PTJ363" s="629"/>
      <c r="PTK363" s="268"/>
      <c r="PTM363" s="262"/>
      <c r="PTN363" s="628"/>
      <c r="PTO363" s="419"/>
      <c r="PTP363" s="223"/>
      <c r="PTQ363" s="420"/>
      <c r="PTR363" s="266"/>
      <c r="PTS363" s="629"/>
      <c r="PTT363" s="268"/>
      <c r="PTV363" s="262"/>
      <c r="PTW363" s="628"/>
      <c r="PTX363" s="419"/>
      <c r="PTY363" s="223"/>
      <c r="PTZ363" s="420"/>
      <c r="PUA363" s="266"/>
      <c r="PUB363" s="629"/>
      <c r="PUC363" s="268"/>
      <c r="PUE363" s="262"/>
      <c r="PUF363" s="628"/>
      <c r="PUG363" s="419"/>
      <c r="PUH363" s="223"/>
      <c r="PUI363" s="420"/>
      <c r="PUJ363" s="266"/>
      <c r="PUK363" s="629"/>
      <c r="PUL363" s="268"/>
      <c r="PUN363" s="262"/>
      <c r="PUO363" s="628"/>
      <c r="PUP363" s="419"/>
      <c r="PUQ363" s="223"/>
      <c r="PUR363" s="420"/>
      <c r="PUS363" s="266"/>
      <c r="PUT363" s="629"/>
      <c r="PUU363" s="268"/>
      <c r="PUW363" s="262"/>
      <c r="PUX363" s="628"/>
      <c r="PUY363" s="419"/>
      <c r="PUZ363" s="223"/>
      <c r="PVA363" s="420"/>
      <c r="PVB363" s="266"/>
      <c r="PVC363" s="629"/>
      <c r="PVD363" s="268"/>
      <c r="PVF363" s="262"/>
      <c r="PVG363" s="628"/>
      <c r="PVH363" s="419"/>
      <c r="PVI363" s="223"/>
      <c r="PVJ363" s="420"/>
      <c r="PVK363" s="266"/>
      <c r="PVL363" s="629"/>
      <c r="PVM363" s="268"/>
      <c r="PVO363" s="262"/>
      <c r="PVP363" s="628"/>
      <c r="PVQ363" s="419"/>
      <c r="PVR363" s="223"/>
      <c r="PVS363" s="420"/>
      <c r="PVT363" s="266"/>
      <c r="PVU363" s="629"/>
      <c r="PVV363" s="268"/>
      <c r="PVX363" s="262"/>
      <c r="PVY363" s="628"/>
      <c r="PVZ363" s="419"/>
      <c r="PWA363" s="223"/>
      <c r="PWB363" s="420"/>
      <c r="PWC363" s="266"/>
      <c r="PWD363" s="629"/>
      <c r="PWE363" s="268"/>
      <c r="PWG363" s="262"/>
      <c r="PWH363" s="628"/>
      <c r="PWI363" s="419"/>
      <c r="PWJ363" s="223"/>
      <c r="PWK363" s="420"/>
      <c r="PWL363" s="266"/>
      <c r="PWM363" s="629"/>
      <c r="PWN363" s="268"/>
      <c r="PWP363" s="262"/>
      <c r="PWQ363" s="628"/>
      <c r="PWR363" s="419"/>
      <c r="PWS363" s="223"/>
      <c r="PWT363" s="420"/>
      <c r="PWU363" s="266"/>
      <c r="PWV363" s="629"/>
      <c r="PWW363" s="268"/>
      <c r="PWY363" s="262"/>
      <c r="PWZ363" s="628"/>
      <c r="PXA363" s="419"/>
      <c r="PXB363" s="223"/>
      <c r="PXC363" s="420"/>
      <c r="PXD363" s="266"/>
      <c r="PXE363" s="629"/>
      <c r="PXF363" s="268"/>
      <c r="PXH363" s="262"/>
      <c r="PXI363" s="628"/>
      <c r="PXJ363" s="419"/>
      <c r="PXK363" s="223"/>
      <c r="PXL363" s="420"/>
      <c r="PXM363" s="266"/>
      <c r="PXN363" s="629"/>
      <c r="PXO363" s="268"/>
      <c r="PXQ363" s="262"/>
      <c r="PXR363" s="628"/>
      <c r="PXS363" s="419"/>
      <c r="PXT363" s="223"/>
      <c r="PXU363" s="420"/>
      <c r="PXV363" s="266"/>
      <c r="PXW363" s="629"/>
      <c r="PXX363" s="268"/>
      <c r="PXZ363" s="262"/>
      <c r="PYA363" s="628"/>
      <c r="PYB363" s="419"/>
      <c r="PYC363" s="223"/>
      <c r="PYD363" s="420"/>
      <c r="PYE363" s="266"/>
      <c r="PYF363" s="629"/>
      <c r="PYG363" s="268"/>
      <c r="PYI363" s="262"/>
      <c r="PYJ363" s="628"/>
      <c r="PYK363" s="419"/>
      <c r="PYL363" s="223"/>
      <c r="PYM363" s="420"/>
      <c r="PYN363" s="266"/>
      <c r="PYO363" s="629"/>
      <c r="PYP363" s="268"/>
      <c r="PYR363" s="262"/>
      <c r="PYS363" s="628"/>
      <c r="PYT363" s="419"/>
      <c r="PYU363" s="223"/>
      <c r="PYV363" s="420"/>
      <c r="PYW363" s="266"/>
      <c r="PYX363" s="629"/>
      <c r="PYY363" s="268"/>
      <c r="PZA363" s="262"/>
      <c r="PZB363" s="628"/>
      <c r="PZC363" s="419"/>
      <c r="PZD363" s="223"/>
      <c r="PZE363" s="420"/>
      <c r="PZF363" s="266"/>
      <c r="PZG363" s="629"/>
      <c r="PZH363" s="268"/>
      <c r="PZJ363" s="262"/>
      <c r="PZK363" s="628"/>
      <c r="PZL363" s="419"/>
      <c r="PZM363" s="223"/>
      <c r="PZN363" s="420"/>
      <c r="PZO363" s="266"/>
      <c r="PZP363" s="629"/>
      <c r="PZQ363" s="268"/>
      <c r="PZS363" s="262"/>
      <c r="PZT363" s="628"/>
      <c r="PZU363" s="419"/>
      <c r="PZV363" s="223"/>
      <c r="PZW363" s="420"/>
      <c r="PZX363" s="266"/>
      <c r="PZY363" s="629"/>
      <c r="PZZ363" s="268"/>
      <c r="QAB363" s="262"/>
      <c r="QAC363" s="628"/>
      <c r="QAD363" s="419"/>
      <c r="QAE363" s="223"/>
      <c r="QAF363" s="420"/>
      <c r="QAG363" s="266"/>
      <c r="QAH363" s="629"/>
      <c r="QAI363" s="268"/>
      <c r="QAK363" s="262"/>
      <c r="QAL363" s="628"/>
      <c r="QAM363" s="419"/>
      <c r="QAN363" s="223"/>
      <c r="QAO363" s="420"/>
      <c r="QAP363" s="266"/>
      <c r="QAQ363" s="629"/>
      <c r="QAR363" s="268"/>
      <c r="QAT363" s="262"/>
      <c r="QAU363" s="628"/>
      <c r="QAV363" s="419"/>
      <c r="QAW363" s="223"/>
      <c r="QAX363" s="420"/>
      <c r="QAY363" s="266"/>
      <c r="QAZ363" s="629"/>
      <c r="QBA363" s="268"/>
      <c r="QBC363" s="262"/>
      <c r="QBD363" s="628"/>
      <c r="QBE363" s="419"/>
      <c r="QBF363" s="223"/>
      <c r="QBG363" s="420"/>
      <c r="QBH363" s="266"/>
      <c r="QBI363" s="629"/>
      <c r="QBJ363" s="268"/>
      <c r="QBL363" s="262"/>
      <c r="QBM363" s="628"/>
      <c r="QBN363" s="419"/>
      <c r="QBO363" s="223"/>
      <c r="QBP363" s="420"/>
      <c r="QBQ363" s="266"/>
      <c r="QBR363" s="629"/>
      <c r="QBS363" s="268"/>
      <c r="QBU363" s="262"/>
      <c r="QBV363" s="628"/>
      <c r="QBW363" s="419"/>
      <c r="QBX363" s="223"/>
      <c r="QBY363" s="420"/>
      <c r="QBZ363" s="266"/>
      <c r="QCA363" s="629"/>
      <c r="QCB363" s="268"/>
      <c r="QCD363" s="262"/>
      <c r="QCE363" s="628"/>
      <c r="QCF363" s="419"/>
      <c r="QCG363" s="223"/>
      <c r="QCH363" s="420"/>
      <c r="QCI363" s="266"/>
      <c r="QCJ363" s="629"/>
      <c r="QCK363" s="268"/>
      <c r="QCM363" s="262"/>
      <c r="QCN363" s="628"/>
      <c r="QCO363" s="419"/>
      <c r="QCP363" s="223"/>
      <c r="QCQ363" s="420"/>
      <c r="QCR363" s="266"/>
      <c r="QCS363" s="629"/>
      <c r="QCT363" s="268"/>
      <c r="QCV363" s="262"/>
      <c r="QCW363" s="628"/>
      <c r="QCX363" s="419"/>
      <c r="QCY363" s="223"/>
      <c r="QCZ363" s="420"/>
      <c r="QDA363" s="266"/>
      <c r="QDB363" s="629"/>
      <c r="QDC363" s="268"/>
      <c r="QDE363" s="262"/>
      <c r="QDF363" s="628"/>
      <c r="QDG363" s="419"/>
      <c r="QDH363" s="223"/>
      <c r="QDI363" s="420"/>
      <c r="QDJ363" s="266"/>
      <c r="QDK363" s="629"/>
      <c r="QDL363" s="268"/>
      <c r="QDN363" s="262"/>
      <c r="QDO363" s="628"/>
      <c r="QDP363" s="419"/>
      <c r="QDQ363" s="223"/>
      <c r="QDR363" s="420"/>
      <c r="QDS363" s="266"/>
      <c r="QDT363" s="629"/>
      <c r="QDU363" s="268"/>
      <c r="QDW363" s="262"/>
      <c r="QDX363" s="628"/>
      <c r="QDY363" s="419"/>
      <c r="QDZ363" s="223"/>
      <c r="QEA363" s="420"/>
      <c r="QEB363" s="266"/>
      <c r="QEC363" s="629"/>
      <c r="QED363" s="268"/>
      <c r="QEF363" s="262"/>
      <c r="QEG363" s="628"/>
      <c r="QEH363" s="419"/>
      <c r="QEI363" s="223"/>
      <c r="QEJ363" s="420"/>
      <c r="QEK363" s="266"/>
      <c r="QEL363" s="629"/>
      <c r="QEM363" s="268"/>
      <c r="QEO363" s="262"/>
      <c r="QEP363" s="628"/>
      <c r="QEQ363" s="419"/>
      <c r="QER363" s="223"/>
      <c r="QES363" s="420"/>
      <c r="QET363" s="266"/>
      <c r="QEU363" s="629"/>
      <c r="QEV363" s="268"/>
      <c r="QEX363" s="262"/>
      <c r="QEY363" s="628"/>
      <c r="QEZ363" s="419"/>
      <c r="QFA363" s="223"/>
      <c r="QFB363" s="420"/>
      <c r="QFC363" s="266"/>
      <c r="QFD363" s="629"/>
      <c r="QFE363" s="268"/>
      <c r="QFG363" s="262"/>
      <c r="QFH363" s="628"/>
      <c r="QFI363" s="419"/>
      <c r="QFJ363" s="223"/>
      <c r="QFK363" s="420"/>
      <c r="QFL363" s="266"/>
      <c r="QFM363" s="629"/>
      <c r="QFN363" s="268"/>
      <c r="QFP363" s="262"/>
      <c r="QFQ363" s="628"/>
      <c r="QFR363" s="419"/>
      <c r="QFS363" s="223"/>
      <c r="QFT363" s="420"/>
      <c r="QFU363" s="266"/>
      <c r="QFV363" s="629"/>
      <c r="QFW363" s="268"/>
      <c r="QFY363" s="262"/>
      <c r="QFZ363" s="628"/>
      <c r="QGA363" s="419"/>
      <c r="QGB363" s="223"/>
      <c r="QGC363" s="420"/>
      <c r="QGD363" s="266"/>
      <c r="QGE363" s="629"/>
      <c r="QGF363" s="268"/>
      <c r="QGH363" s="262"/>
      <c r="QGI363" s="628"/>
      <c r="QGJ363" s="419"/>
      <c r="QGK363" s="223"/>
      <c r="QGL363" s="420"/>
      <c r="QGM363" s="266"/>
      <c r="QGN363" s="629"/>
      <c r="QGO363" s="268"/>
      <c r="QGQ363" s="262"/>
      <c r="QGR363" s="628"/>
      <c r="QGS363" s="419"/>
      <c r="QGT363" s="223"/>
      <c r="QGU363" s="420"/>
      <c r="QGV363" s="266"/>
      <c r="QGW363" s="629"/>
      <c r="QGX363" s="268"/>
      <c r="QGZ363" s="262"/>
      <c r="QHA363" s="628"/>
      <c r="QHB363" s="419"/>
      <c r="QHC363" s="223"/>
      <c r="QHD363" s="420"/>
      <c r="QHE363" s="266"/>
      <c r="QHF363" s="629"/>
      <c r="QHG363" s="268"/>
      <c r="QHI363" s="262"/>
      <c r="QHJ363" s="628"/>
      <c r="QHK363" s="419"/>
      <c r="QHL363" s="223"/>
      <c r="QHM363" s="420"/>
      <c r="QHN363" s="266"/>
      <c r="QHO363" s="629"/>
      <c r="QHP363" s="268"/>
      <c r="QHR363" s="262"/>
      <c r="QHS363" s="628"/>
      <c r="QHT363" s="419"/>
      <c r="QHU363" s="223"/>
      <c r="QHV363" s="420"/>
      <c r="QHW363" s="266"/>
      <c r="QHX363" s="629"/>
      <c r="QHY363" s="268"/>
      <c r="QIA363" s="262"/>
      <c r="QIB363" s="628"/>
      <c r="QIC363" s="419"/>
      <c r="QID363" s="223"/>
      <c r="QIE363" s="420"/>
      <c r="QIF363" s="266"/>
      <c r="QIG363" s="629"/>
      <c r="QIH363" s="268"/>
      <c r="QIJ363" s="262"/>
      <c r="QIK363" s="628"/>
      <c r="QIL363" s="419"/>
      <c r="QIM363" s="223"/>
      <c r="QIN363" s="420"/>
      <c r="QIO363" s="266"/>
      <c r="QIP363" s="629"/>
      <c r="QIQ363" s="268"/>
      <c r="QIS363" s="262"/>
      <c r="QIT363" s="628"/>
      <c r="QIU363" s="419"/>
      <c r="QIV363" s="223"/>
      <c r="QIW363" s="420"/>
      <c r="QIX363" s="266"/>
      <c r="QIY363" s="629"/>
      <c r="QIZ363" s="268"/>
      <c r="QJB363" s="262"/>
      <c r="QJC363" s="628"/>
      <c r="QJD363" s="419"/>
      <c r="QJE363" s="223"/>
      <c r="QJF363" s="420"/>
      <c r="QJG363" s="266"/>
      <c r="QJH363" s="629"/>
      <c r="QJI363" s="268"/>
      <c r="QJK363" s="262"/>
      <c r="QJL363" s="628"/>
      <c r="QJM363" s="419"/>
      <c r="QJN363" s="223"/>
      <c r="QJO363" s="420"/>
      <c r="QJP363" s="266"/>
      <c r="QJQ363" s="629"/>
      <c r="QJR363" s="268"/>
      <c r="QJT363" s="262"/>
      <c r="QJU363" s="628"/>
      <c r="QJV363" s="419"/>
      <c r="QJW363" s="223"/>
      <c r="QJX363" s="420"/>
      <c r="QJY363" s="266"/>
      <c r="QJZ363" s="629"/>
      <c r="QKA363" s="268"/>
      <c r="QKC363" s="262"/>
      <c r="QKD363" s="628"/>
      <c r="QKE363" s="419"/>
      <c r="QKF363" s="223"/>
      <c r="QKG363" s="420"/>
      <c r="QKH363" s="266"/>
      <c r="QKI363" s="629"/>
      <c r="QKJ363" s="268"/>
      <c r="QKL363" s="262"/>
      <c r="QKM363" s="628"/>
      <c r="QKN363" s="419"/>
      <c r="QKO363" s="223"/>
      <c r="QKP363" s="420"/>
      <c r="QKQ363" s="266"/>
      <c r="QKR363" s="629"/>
      <c r="QKS363" s="268"/>
      <c r="QKU363" s="262"/>
      <c r="QKV363" s="628"/>
      <c r="QKW363" s="419"/>
      <c r="QKX363" s="223"/>
      <c r="QKY363" s="420"/>
      <c r="QKZ363" s="266"/>
      <c r="QLA363" s="629"/>
      <c r="QLB363" s="268"/>
      <c r="QLD363" s="262"/>
      <c r="QLE363" s="628"/>
      <c r="QLF363" s="419"/>
      <c r="QLG363" s="223"/>
      <c r="QLH363" s="420"/>
      <c r="QLI363" s="266"/>
      <c r="QLJ363" s="629"/>
      <c r="QLK363" s="268"/>
      <c r="QLM363" s="262"/>
      <c r="QLN363" s="628"/>
      <c r="QLO363" s="419"/>
      <c r="QLP363" s="223"/>
      <c r="QLQ363" s="420"/>
      <c r="QLR363" s="266"/>
      <c r="QLS363" s="629"/>
      <c r="QLT363" s="268"/>
      <c r="QLV363" s="262"/>
      <c r="QLW363" s="628"/>
      <c r="QLX363" s="419"/>
      <c r="QLY363" s="223"/>
      <c r="QLZ363" s="420"/>
      <c r="QMA363" s="266"/>
      <c r="QMB363" s="629"/>
      <c r="QMC363" s="268"/>
      <c r="QME363" s="262"/>
      <c r="QMF363" s="628"/>
      <c r="QMG363" s="419"/>
      <c r="QMH363" s="223"/>
      <c r="QMI363" s="420"/>
      <c r="QMJ363" s="266"/>
      <c r="QMK363" s="629"/>
      <c r="QML363" s="268"/>
      <c r="QMN363" s="262"/>
      <c r="QMO363" s="628"/>
      <c r="QMP363" s="419"/>
      <c r="QMQ363" s="223"/>
      <c r="QMR363" s="420"/>
      <c r="QMS363" s="266"/>
      <c r="QMT363" s="629"/>
      <c r="QMU363" s="268"/>
      <c r="QMW363" s="262"/>
      <c r="QMX363" s="628"/>
      <c r="QMY363" s="419"/>
      <c r="QMZ363" s="223"/>
      <c r="QNA363" s="420"/>
      <c r="QNB363" s="266"/>
      <c r="QNC363" s="629"/>
      <c r="QND363" s="268"/>
      <c r="QNF363" s="262"/>
      <c r="QNG363" s="628"/>
      <c r="QNH363" s="419"/>
      <c r="QNI363" s="223"/>
      <c r="QNJ363" s="420"/>
      <c r="QNK363" s="266"/>
      <c r="QNL363" s="629"/>
      <c r="QNM363" s="268"/>
      <c r="QNO363" s="262"/>
      <c r="QNP363" s="628"/>
      <c r="QNQ363" s="419"/>
      <c r="QNR363" s="223"/>
      <c r="QNS363" s="420"/>
      <c r="QNT363" s="266"/>
      <c r="QNU363" s="629"/>
      <c r="QNV363" s="268"/>
      <c r="QNX363" s="262"/>
      <c r="QNY363" s="628"/>
      <c r="QNZ363" s="419"/>
      <c r="QOA363" s="223"/>
      <c r="QOB363" s="420"/>
      <c r="QOC363" s="266"/>
      <c r="QOD363" s="629"/>
      <c r="QOE363" s="268"/>
      <c r="QOG363" s="262"/>
      <c r="QOH363" s="628"/>
      <c r="QOI363" s="419"/>
      <c r="QOJ363" s="223"/>
      <c r="QOK363" s="420"/>
      <c r="QOL363" s="266"/>
      <c r="QOM363" s="629"/>
      <c r="QON363" s="268"/>
      <c r="QOP363" s="262"/>
      <c r="QOQ363" s="628"/>
      <c r="QOR363" s="419"/>
      <c r="QOS363" s="223"/>
      <c r="QOT363" s="420"/>
      <c r="QOU363" s="266"/>
      <c r="QOV363" s="629"/>
      <c r="QOW363" s="268"/>
      <c r="QOY363" s="262"/>
      <c r="QOZ363" s="628"/>
      <c r="QPA363" s="419"/>
      <c r="QPB363" s="223"/>
      <c r="QPC363" s="420"/>
      <c r="QPD363" s="266"/>
      <c r="QPE363" s="629"/>
      <c r="QPF363" s="268"/>
      <c r="QPH363" s="262"/>
      <c r="QPI363" s="628"/>
      <c r="QPJ363" s="419"/>
      <c r="QPK363" s="223"/>
      <c r="QPL363" s="420"/>
      <c r="QPM363" s="266"/>
      <c r="QPN363" s="629"/>
      <c r="QPO363" s="268"/>
      <c r="QPQ363" s="262"/>
      <c r="QPR363" s="628"/>
      <c r="QPS363" s="419"/>
      <c r="QPT363" s="223"/>
      <c r="QPU363" s="420"/>
      <c r="QPV363" s="266"/>
      <c r="QPW363" s="629"/>
      <c r="QPX363" s="268"/>
      <c r="QPZ363" s="262"/>
      <c r="QQA363" s="628"/>
      <c r="QQB363" s="419"/>
      <c r="QQC363" s="223"/>
      <c r="QQD363" s="420"/>
      <c r="QQE363" s="266"/>
      <c r="QQF363" s="629"/>
      <c r="QQG363" s="268"/>
      <c r="QQI363" s="262"/>
      <c r="QQJ363" s="628"/>
      <c r="QQK363" s="419"/>
      <c r="QQL363" s="223"/>
      <c r="QQM363" s="420"/>
      <c r="QQN363" s="266"/>
      <c r="QQO363" s="629"/>
      <c r="QQP363" s="268"/>
      <c r="QQR363" s="262"/>
      <c r="QQS363" s="628"/>
      <c r="QQT363" s="419"/>
      <c r="QQU363" s="223"/>
      <c r="QQV363" s="420"/>
      <c r="QQW363" s="266"/>
      <c r="QQX363" s="629"/>
      <c r="QQY363" s="268"/>
      <c r="QRA363" s="262"/>
      <c r="QRB363" s="628"/>
      <c r="QRC363" s="419"/>
      <c r="QRD363" s="223"/>
      <c r="QRE363" s="420"/>
      <c r="QRF363" s="266"/>
      <c r="QRG363" s="629"/>
      <c r="QRH363" s="268"/>
      <c r="QRJ363" s="262"/>
      <c r="QRK363" s="628"/>
      <c r="QRL363" s="419"/>
      <c r="QRM363" s="223"/>
      <c r="QRN363" s="420"/>
      <c r="QRO363" s="266"/>
      <c r="QRP363" s="629"/>
      <c r="QRQ363" s="268"/>
      <c r="QRS363" s="262"/>
      <c r="QRT363" s="628"/>
      <c r="QRU363" s="419"/>
      <c r="QRV363" s="223"/>
      <c r="QRW363" s="420"/>
      <c r="QRX363" s="266"/>
      <c r="QRY363" s="629"/>
      <c r="QRZ363" s="268"/>
      <c r="QSB363" s="262"/>
      <c r="QSC363" s="628"/>
      <c r="QSD363" s="419"/>
      <c r="QSE363" s="223"/>
      <c r="QSF363" s="420"/>
      <c r="QSG363" s="266"/>
      <c r="QSH363" s="629"/>
      <c r="QSI363" s="268"/>
      <c r="QSK363" s="262"/>
      <c r="QSL363" s="628"/>
      <c r="QSM363" s="419"/>
      <c r="QSN363" s="223"/>
      <c r="QSO363" s="420"/>
      <c r="QSP363" s="266"/>
      <c r="QSQ363" s="629"/>
      <c r="QSR363" s="268"/>
      <c r="QST363" s="262"/>
      <c r="QSU363" s="628"/>
      <c r="QSV363" s="419"/>
      <c r="QSW363" s="223"/>
      <c r="QSX363" s="420"/>
      <c r="QSY363" s="266"/>
      <c r="QSZ363" s="629"/>
      <c r="QTA363" s="268"/>
      <c r="QTC363" s="262"/>
      <c r="QTD363" s="628"/>
      <c r="QTE363" s="419"/>
      <c r="QTF363" s="223"/>
      <c r="QTG363" s="420"/>
      <c r="QTH363" s="266"/>
      <c r="QTI363" s="629"/>
      <c r="QTJ363" s="268"/>
      <c r="QTL363" s="262"/>
      <c r="QTM363" s="628"/>
      <c r="QTN363" s="419"/>
      <c r="QTO363" s="223"/>
      <c r="QTP363" s="420"/>
      <c r="QTQ363" s="266"/>
      <c r="QTR363" s="629"/>
      <c r="QTS363" s="268"/>
      <c r="QTU363" s="262"/>
      <c r="QTV363" s="628"/>
      <c r="QTW363" s="419"/>
      <c r="QTX363" s="223"/>
      <c r="QTY363" s="420"/>
      <c r="QTZ363" s="266"/>
      <c r="QUA363" s="629"/>
      <c r="QUB363" s="268"/>
      <c r="QUD363" s="262"/>
      <c r="QUE363" s="628"/>
      <c r="QUF363" s="419"/>
      <c r="QUG363" s="223"/>
      <c r="QUH363" s="420"/>
      <c r="QUI363" s="266"/>
      <c r="QUJ363" s="629"/>
      <c r="QUK363" s="268"/>
      <c r="QUM363" s="262"/>
      <c r="QUN363" s="628"/>
      <c r="QUO363" s="419"/>
      <c r="QUP363" s="223"/>
      <c r="QUQ363" s="420"/>
      <c r="QUR363" s="266"/>
      <c r="QUS363" s="629"/>
      <c r="QUT363" s="268"/>
      <c r="QUV363" s="262"/>
      <c r="QUW363" s="628"/>
      <c r="QUX363" s="419"/>
      <c r="QUY363" s="223"/>
      <c r="QUZ363" s="420"/>
      <c r="QVA363" s="266"/>
      <c r="QVB363" s="629"/>
      <c r="QVC363" s="268"/>
      <c r="QVE363" s="262"/>
      <c r="QVF363" s="628"/>
      <c r="QVG363" s="419"/>
      <c r="QVH363" s="223"/>
      <c r="QVI363" s="420"/>
      <c r="QVJ363" s="266"/>
      <c r="QVK363" s="629"/>
      <c r="QVL363" s="268"/>
      <c r="QVN363" s="262"/>
      <c r="QVO363" s="628"/>
      <c r="QVP363" s="419"/>
      <c r="QVQ363" s="223"/>
      <c r="QVR363" s="420"/>
      <c r="QVS363" s="266"/>
      <c r="QVT363" s="629"/>
      <c r="QVU363" s="268"/>
      <c r="QVW363" s="262"/>
      <c r="QVX363" s="628"/>
      <c r="QVY363" s="419"/>
      <c r="QVZ363" s="223"/>
      <c r="QWA363" s="420"/>
      <c r="QWB363" s="266"/>
      <c r="QWC363" s="629"/>
      <c r="QWD363" s="268"/>
      <c r="QWF363" s="262"/>
      <c r="QWG363" s="628"/>
      <c r="QWH363" s="419"/>
      <c r="QWI363" s="223"/>
      <c r="QWJ363" s="420"/>
      <c r="QWK363" s="266"/>
      <c r="QWL363" s="629"/>
      <c r="QWM363" s="268"/>
      <c r="QWO363" s="262"/>
      <c r="QWP363" s="628"/>
      <c r="QWQ363" s="419"/>
      <c r="QWR363" s="223"/>
      <c r="QWS363" s="420"/>
      <c r="QWT363" s="266"/>
      <c r="QWU363" s="629"/>
      <c r="QWV363" s="268"/>
      <c r="QWX363" s="262"/>
      <c r="QWY363" s="628"/>
      <c r="QWZ363" s="419"/>
      <c r="QXA363" s="223"/>
      <c r="QXB363" s="420"/>
      <c r="QXC363" s="266"/>
      <c r="QXD363" s="629"/>
      <c r="QXE363" s="268"/>
      <c r="QXG363" s="262"/>
      <c r="QXH363" s="628"/>
      <c r="QXI363" s="419"/>
      <c r="QXJ363" s="223"/>
      <c r="QXK363" s="420"/>
      <c r="QXL363" s="266"/>
      <c r="QXM363" s="629"/>
      <c r="QXN363" s="268"/>
      <c r="QXP363" s="262"/>
      <c r="QXQ363" s="628"/>
      <c r="QXR363" s="419"/>
      <c r="QXS363" s="223"/>
      <c r="QXT363" s="420"/>
      <c r="QXU363" s="266"/>
      <c r="QXV363" s="629"/>
      <c r="QXW363" s="268"/>
      <c r="QXY363" s="262"/>
      <c r="QXZ363" s="628"/>
      <c r="QYA363" s="419"/>
      <c r="QYB363" s="223"/>
      <c r="QYC363" s="420"/>
      <c r="QYD363" s="266"/>
      <c r="QYE363" s="629"/>
      <c r="QYF363" s="268"/>
      <c r="QYH363" s="262"/>
      <c r="QYI363" s="628"/>
      <c r="QYJ363" s="419"/>
      <c r="QYK363" s="223"/>
      <c r="QYL363" s="420"/>
      <c r="QYM363" s="266"/>
      <c r="QYN363" s="629"/>
      <c r="QYO363" s="268"/>
      <c r="QYQ363" s="262"/>
      <c r="QYR363" s="628"/>
      <c r="QYS363" s="419"/>
      <c r="QYT363" s="223"/>
      <c r="QYU363" s="420"/>
      <c r="QYV363" s="266"/>
      <c r="QYW363" s="629"/>
      <c r="QYX363" s="268"/>
      <c r="QYZ363" s="262"/>
      <c r="QZA363" s="628"/>
      <c r="QZB363" s="419"/>
      <c r="QZC363" s="223"/>
      <c r="QZD363" s="420"/>
      <c r="QZE363" s="266"/>
      <c r="QZF363" s="629"/>
      <c r="QZG363" s="268"/>
      <c r="QZI363" s="262"/>
      <c r="QZJ363" s="628"/>
      <c r="QZK363" s="419"/>
      <c r="QZL363" s="223"/>
      <c r="QZM363" s="420"/>
      <c r="QZN363" s="266"/>
      <c r="QZO363" s="629"/>
      <c r="QZP363" s="268"/>
      <c r="QZR363" s="262"/>
      <c r="QZS363" s="628"/>
      <c r="QZT363" s="419"/>
      <c r="QZU363" s="223"/>
      <c r="QZV363" s="420"/>
      <c r="QZW363" s="266"/>
      <c r="QZX363" s="629"/>
      <c r="QZY363" s="268"/>
      <c r="RAA363" s="262"/>
      <c r="RAB363" s="628"/>
      <c r="RAC363" s="419"/>
      <c r="RAD363" s="223"/>
      <c r="RAE363" s="420"/>
      <c r="RAF363" s="266"/>
      <c r="RAG363" s="629"/>
      <c r="RAH363" s="268"/>
      <c r="RAJ363" s="262"/>
      <c r="RAK363" s="628"/>
      <c r="RAL363" s="419"/>
      <c r="RAM363" s="223"/>
      <c r="RAN363" s="420"/>
      <c r="RAO363" s="266"/>
      <c r="RAP363" s="629"/>
      <c r="RAQ363" s="268"/>
      <c r="RAS363" s="262"/>
      <c r="RAT363" s="628"/>
      <c r="RAU363" s="419"/>
      <c r="RAV363" s="223"/>
      <c r="RAW363" s="420"/>
      <c r="RAX363" s="266"/>
      <c r="RAY363" s="629"/>
      <c r="RAZ363" s="268"/>
      <c r="RBB363" s="262"/>
      <c r="RBC363" s="628"/>
      <c r="RBD363" s="419"/>
      <c r="RBE363" s="223"/>
      <c r="RBF363" s="420"/>
      <c r="RBG363" s="266"/>
      <c r="RBH363" s="629"/>
      <c r="RBI363" s="268"/>
      <c r="RBK363" s="262"/>
      <c r="RBL363" s="628"/>
      <c r="RBM363" s="419"/>
      <c r="RBN363" s="223"/>
      <c r="RBO363" s="420"/>
      <c r="RBP363" s="266"/>
      <c r="RBQ363" s="629"/>
      <c r="RBR363" s="268"/>
      <c r="RBT363" s="262"/>
      <c r="RBU363" s="628"/>
      <c r="RBV363" s="419"/>
      <c r="RBW363" s="223"/>
      <c r="RBX363" s="420"/>
      <c r="RBY363" s="266"/>
      <c r="RBZ363" s="629"/>
      <c r="RCA363" s="268"/>
      <c r="RCC363" s="262"/>
      <c r="RCD363" s="628"/>
      <c r="RCE363" s="419"/>
      <c r="RCF363" s="223"/>
      <c r="RCG363" s="420"/>
      <c r="RCH363" s="266"/>
      <c r="RCI363" s="629"/>
      <c r="RCJ363" s="268"/>
      <c r="RCL363" s="262"/>
      <c r="RCM363" s="628"/>
      <c r="RCN363" s="419"/>
      <c r="RCO363" s="223"/>
      <c r="RCP363" s="420"/>
      <c r="RCQ363" s="266"/>
      <c r="RCR363" s="629"/>
      <c r="RCS363" s="268"/>
      <c r="RCU363" s="262"/>
      <c r="RCV363" s="628"/>
      <c r="RCW363" s="419"/>
      <c r="RCX363" s="223"/>
      <c r="RCY363" s="420"/>
      <c r="RCZ363" s="266"/>
      <c r="RDA363" s="629"/>
      <c r="RDB363" s="268"/>
      <c r="RDD363" s="262"/>
      <c r="RDE363" s="628"/>
      <c r="RDF363" s="419"/>
      <c r="RDG363" s="223"/>
      <c r="RDH363" s="420"/>
      <c r="RDI363" s="266"/>
      <c r="RDJ363" s="629"/>
      <c r="RDK363" s="268"/>
      <c r="RDM363" s="262"/>
      <c r="RDN363" s="628"/>
      <c r="RDO363" s="419"/>
      <c r="RDP363" s="223"/>
      <c r="RDQ363" s="420"/>
      <c r="RDR363" s="266"/>
      <c r="RDS363" s="629"/>
      <c r="RDT363" s="268"/>
      <c r="RDV363" s="262"/>
      <c r="RDW363" s="628"/>
      <c r="RDX363" s="419"/>
      <c r="RDY363" s="223"/>
      <c r="RDZ363" s="420"/>
      <c r="REA363" s="266"/>
      <c r="REB363" s="629"/>
      <c r="REC363" s="268"/>
      <c r="REE363" s="262"/>
      <c r="REF363" s="628"/>
      <c r="REG363" s="419"/>
      <c r="REH363" s="223"/>
      <c r="REI363" s="420"/>
      <c r="REJ363" s="266"/>
      <c r="REK363" s="629"/>
      <c r="REL363" s="268"/>
      <c r="REN363" s="262"/>
      <c r="REO363" s="628"/>
      <c r="REP363" s="419"/>
      <c r="REQ363" s="223"/>
      <c r="RER363" s="420"/>
      <c r="RES363" s="266"/>
      <c r="RET363" s="629"/>
      <c r="REU363" s="268"/>
      <c r="REW363" s="262"/>
      <c r="REX363" s="628"/>
      <c r="REY363" s="419"/>
      <c r="REZ363" s="223"/>
      <c r="RFA363" s="420"/>
      <c r="RFB363" s="266"/>
      <c r="RFC363" s="629"/>
      <c r="RFD363" s="268"/>
      <c r="RFF363" s="262"/>
      <c r="RFG363" s="628"/>
      <c r="RFH363" s="419"/>
      <c r="RFI363" s="223"/>
      <c r="RFJ363" s="420"/>
      <c r="RFK363" s="266"/>
      <c r="RFL363" s="629"/>
      <c r="RFM363" s="268"/>
      <c r="RFO363" s="262"/>
      <c r="RFP363" s="628"/>
      <c r="RFQ363" s="419"/>
      <c r="RFR363" s="223"/>
      <c r="RFS363" s="420"/>
      <c r="RFT363" s="266"/>
      <c r="RFU363" s="629"/>
      <c r="RFV363" s="268"/>
      <c r="RFX363" s="262"/>
      <c r="RFY363" s="628"/>
      <c r="RFZ363" s="419"/>
      <c r="RGA363" s="223"/>
      <c r="RGB363" s="420"/>
      <c r="RGC363" s="266"/>
      <c r="RGD363" s="629"/>
      <c r="RGE363" s="268"/>
      <c r="RGG363" s="262"/>
      <c r="RGH363" s="628"/>
      <c r="RGI363" s="419"/>
      <c r="RGJ363" s="223"/>
      <c r="RGK363" s="420"/>
      <c r="RGL363" s="266"/>
      <c r="RGM363" s="629"/>
      <c r="RGN363" s="268"/>
      <c r="RGP363" s="262"/>
      <c r="RGQ363" s="628"/>
      <c r="RGR363" s="419"/>
      <c r="RGS363" s="223"/>
      <c r="RGT363" s="420"/>
      <c r="RGU363" s="266"/>
      <c r="RGV363" s="629"/>
      <c r="RGW363" s="268"/>
      <c r="RGY363" s="262"/>
      <c r="RGZ363" s="628"/>
      <c r="RHA363" s="419"/>
      <c r="RHB363" s="223"/>
      <c r="RHC363" s="420"/>
      <c r="RHD363" s="266"/>
      <c r="RHE363" s="629"/>
      <c r="RHF363" s="268"/>
      <c r="RHH363" s="262"/>
      <c r="RHI363" s="628"/>
      <c r="RHJ363" s="419"/>
      <c r="RHK363" s="223"/>
      <c r="RHL363" s="420"/>
      <c r="RHM363" s="266"/>
      <c r="RHN363" s="629"/>
      <c r="RHO363" s="268"/>
      <c r="RHQ363" s="262"/>
      <c r="RHR363" s="628"/>
      <c r="RHS363" s="419"/>
      <c r="RHT363" s="223"/>
      <c r="RHU363" s="420"/>
      <c r="RHV363" s="266"/>
      <c r="RHW363" s="629"/>
      <c r="RHX363" s="268"/>
      <c r="RHZ363" s="262"/>
      <c r="RIA363" s="628"/>
      <c r="RIB363" s="419"/>
      <c r="RIC363" s="223"/>
      <c r="RID363" s="420"/>
      <c r="RIE363" s="266"/>
      <c r="RIF363" s="629"/>
      <c r="RIG363" s="268"/>
      <c r="RII363" s="262"/>
      <c r="RIJ363" s="628"/>
      <c r="RIK363" s="419"/>
      <c r="RIL363" s="223"/>
      <c r="RIM363" s="420"/>
      <c r="RIN363" s="266"/>
      <c r="RIO363" s="629"/>
      <c r="RIP363" s="268"/>
      <c r="RIR363" s="262"/>
      <c r="RIS363" s="628"/>
      <c r="RIT363" s="419"/>
      <c r="RIU363" s="223"/>
      <c r="RIV363" s="420"/>
      <c r="RIW363" s="266"/>
      <c r="RIX363" s="629"/>
      <c r="RIY363" s="268"/>
      <c r="RJA363" s="262"/>
      <c r="RJB363" s="628"/>
      <c r="RJC363" s="419"/>
      <c r="RJD363" s="223"/>
      <c r="RJE363" s="420"/>
      <c r="RJF363" s="266"/>
      <c r="RJG363" s="629"/>
      <c r="RJH363" s="268"/>
      <c r="RJJ363" s="262"/>
      <c r="RJK363" s="628"/>
      <c r="RJL363" s="419"/>
      <c r="RJM363" s="223"/>
      <c r="RJN363" s="420"/>
      <c r="RJO363" s="266"/>
      <c r="RJP363" s="629"/>
      <c r="RJQ363" s="268"/>
      <c r="RJS363" s="262"/>
      <c r="RJT363" s="628"/>
      <c r="RJU363" s="419"/>
      <c r="RJV363" s="223"/>
      <c r="RJW363" s="420"/>
      <c r="RJX363" s="266"/>
      <c r="RJY363" s="629"/>
      <c r="RJZ363" s="268"/>
      <c r="RKB363" s="262"/>
      <c r="RKC363" s="628"/>
      <c r="RKD363" s="419"/>
      <c r="RKE363" s="223"/>
      <c r="RKF363" s="420"/>
      <c r="RKG363" s="266"/>
      <c r="RKH363" s="629"/>
      <c r="RKI363" s="268"/>
      <c r="RKK363" s="262"/>
      <c r="RKL363" s="628"/>
      <c r="RKM363" s="419"/>
      <c r="RKN363" s="223"/>
      <c r="RKO363" s="420"/>
      <c r="RKP363" s="266"/>
      <c r="RKQ363" s="629"/>
      <c r="RKR363" s="268"/>
      <c r="RKT363" s="262"/>
      <c r="RKU363" s="628"/>
      <c r="RKV363" s="419"/>
      <c r="RKW363" s="223"/>
      <c r="RKX363" s="420"/>
      <c r="RKY363" s="266"/>
      <c r="RKZ363" s="629"/>
      <c r="RLA363" s="268"/>
      <c r="RLC363" s="262"/>
      <c r="RLD363" s="628"/>
      <c r="RLE363" s="419"/>
      <c r="RLF363" s="223"/>
      <c r="RLG363" s="420"/>
      <c r="RLH363" s="266"/>
      <c r="RLI363" s="629"/>
      <c r="RLJ363" s="268"/>
      <c r="RLL363" s="262"/>
      <c r="RLM363" s="628"/>
      <c r="RLN363" s="419"/>
      <c r="RLO363" s="223"/>
      <c r="RLP363" s="420"/>
      <c r="RLQ363" s="266"/>
      <c r="RLR363" s="629"/>
      <c r="RLS363" s="268"/>
      <c r="RLU363" s="262"/>
      <c r="RLV363" s="628"/>
      <c r="RLW363" s="419"/>
      <c r="RLX363" s="223"/>
      <c r="RLY363" s="420"/>
      <c r="RLZ363" s="266"/>
      <c r="RMA363" s="629"/>
      <c r="RMB363" s="268"/>
      <c r="RMD363" s="262"/>
      <c r="RME363" s="628"/>
      <c r="RMF363" s="419"/>
      <c r="RMG363" s="223"/>
      <c r="RMH363" s="420"/>
      <c r="RMI363" s="266"/>
      <c r="RMJ363" s="629"/>
      <c r="RMK363" s="268"/>
      <c r="RMM363" s="262"/>
      <c r="RMN363" s="628"/>
      <c r="RMO363" s="419"/>
      <c r="RMP363" s="223"/>
      <c r="RMQ363" s="420"/>
      <c r="RMR363" s="266"/>
      <c r="RMS363" s="629"/>
      <c r="RMT363" s="268"/>
      <c r="RMV363" s="262"/>
      <c r="RMW363" s="628"/>
      <c r="RMX363" s="419"/>
      <c r="RMY363" s="223"/>
      <c r="RMZ363" s="420"/>
      <c r="RNA363" s="266"/>
      <c r="RNB363" s="629"/>
      <c r="RNC363" s="268"/>
      <c r="RNE363" s="262"/>
      <c r="RNF363" s="628"/>
      <c r="RNG363" s="419"/>
      <c r="RNH363" s="223"/>
      <c r="RNI363" s="420"/>
      <c r="RNJ363" s="266"/>
      <c r="RNK363" s="629"/>
      <c r="RNL363" s="268"/>
      <c r="RNN363" s="262"/>
      <c r="RNO363" s="628"/>
      <c r="RNP363" s="419"/>
      <c r="RNQ363" s="223"/>
      <c r="RNR363" s="420"/>
      <c r="RNS363" s="266"/>
      <c r="RNT363" s="629"/>
      <c r="RNU363" s="268"/>
      <c r="RNW363" s="262"/>
      <c r="RNX363" s="628"/>
      <c r="RNY363" s="419"/>
      <c r="RNZ363" s="223"/>
      <c r="ROA363" s="420"/>
      <c r="ROB363" s="266"/>
      <c r="ROC363" s="629"/>
      <c r="ROD363" s="268"/>
      <c r="ROF363" s="262"/>
      <c r="ROG363" s="628"/>
      <c r="ROH363" s="419"/>
      <c r="ROI363" s="223"/>
      <c r="ROJ363" s="420"/>
      <c r="ROK363" s="266"/>
      <c r="ROL363" s="629"/>
      <c r="ROM363" s="268"/>
      <c r="ROO363" s="262"/>
      <c r="ROP363" s="628"/>
      <c r="ROQ363" s="419"/>
      <c r="ROR363" s="223"/>
      <c r="ROS363" s="420"/>
      <c r="ROT363" s="266"/>
      <c r="ROU363" s="629"/>
      <c r="ROV363" s="268"/>
      <c r="ROX363" s="262"/>
      <c r="ROY363" s="628"/>
      <c r="ROZ363" s="419"/>
      <c r="RPA363" s="223"/>
      <c r="RPB363" s="420"/>
      <c r="RPC363" s="266"/>
      <c r="RPD363" s="629"/>
      <c r="RPE363" s="268"/>
      <c r="RPG363" s="262"/>
      <c r="RPH363" s="628"/>
      <c r="RPI363" s="419"/>
      <c r="RPJ363" s="223"/>
      <c r="RPK363" s="420"/>
      <c r="RPL363" s="266"/>
      <c r="RPM363" s="629"/>
      <c r="RPN363" s="268"/>
      <c r="RPP363" s="262"/>
      <c r="RPQ363" s="628"/>
      <c r="RPR363" s="419"/>
      <c r="RPS363" s="223"/>
      <c r="RPT363" s="420"/>
      <c r="RPU363" s="266"/>
      <c r="RPV363" s="629"/>
      <c r="RPW363" s="268"/>
      <c r="RPY363" s="262"/>
      <c r="RPZ363" s="628"/>
      <c r="RQA363" s="419"/>
      <c r="RQB363" s="223"/>
      <c r="RQC363" s="420"/>
      <c r="RQD363" s="266"/>
      <c r="RQE363" s="629"/>
      <c r="RQF363" s="268"/>
      <c r="RQH363" s="262"/>
      <c r="RQI363" s="628"/>
      <c r="RQJ363" s="419"/>
      <c r="RQK363" s="223"/>
      <c r="RQL363" s="420"/>
      <c r="RQM363" s="266"/>
      <c r="RQN363" s="629"/>
      <c r="RQO363" s="268"/>
      <c r="RQQ363" s="262"/>
      <c r="RQR363" s="628"/>
      <c r="RQS363" s="419"/>
      <c r="RQT363" s="223"/>
      <c r="RQU363" s="420"/>
      <c r="RQV363" s="266"/>
      <c r="RQW363" s="629"/>
      <c r="RQX363" s="268"/>
      <c r="RQZ363" s="262"/>
      <c r="RRA363" s="628"/>
      <c r="RRB363" s="419"/>
      <c r="RRC363" s="223"/>
      <c r="RRD363" s="420"/>
      <c r="RRE363" s="266"/>
      <c r="RRF363" s="629"/>
      <c r="RRG363" s="268"/>
      <c r="RRI363" s="262"/>
      <c r="RRJ363" s="628"/>
      <c r="RRK363" s="419"/>
      <c r="RRL363" s="223"/>
      <c r="RRM363" s="420"/>
      <c r="RRN363" s="266"/>
      <c r="RRO363" s="629"/>
      <c r="RRP363" s="268"/>
      <c r="RRR363" s="262"/>
      <c r="RRS363" s="628"/>
      <c r="RRT363" s="419"/>
      <c r="RRU363" s="223"/>
      <c r="RRV363" s="420"/>
      <c r="RRW363" s="266"/>
      <c r="RRX363" s="629"/>
      <c r="RRY363" s="268"/>
      <c r="RSA363" s="262"/>
      <c r="RSB363" s="628"/>
      <c r="RSC363" s="419"/>
      <c r="RSD363" s="223"/>
      <c r="RSE363" s="420"/>
      <c r="RSF363" s="266"/>
      <c r="RSG363" s="629"/>
      <c r="RSH363" s="268"/>
      <c r="RSJ363" s="262"/>
      <c r="RSK363" s="628"/>
      <c r="RSL363" s="419"/>
      <c r="RSM363" s="223"/>
      <c r="RSN363" s="420"/>
      <c r="RSO363" s="266"/>
      <c r="RSP363" s="629"/>
      <c r="RSQ363" s="268"/>
      <c r="RSS363" s="262"/>
      <c r="RST363" s="628"/>
      <c r="RSU363" s="419"/>
      <c r="RSV363" s="223"/>
      <c r="RSW363" s="420"/>
      <c r="RSX363" s="266"/>
      <c r="RSY363" s="629"/>
      <c r="RSZ363" s="268"/>
      <c r="RTB363" s="262"/>
      <c r="RTC363" s="628"/>
      <c r="RTD363" s="419"/>
      <c r="RTE363" s="223"/>
      <c r="RTF363" s="420"/>
      <c r="RTG363" s="266"/>
      <c r="RTH363" s="629"/>
      <c r="RTI363" s="268"/>
      <c r="RTK363" s="262"/>
      <c r="RTL363" s="628"/>
      <c r="RTM363" s="419"/>
      <c r="RTN363" s="223"/>
      <c r="RTO363" s="420"/>
      <c r="RTP363" s="266"/>
      <c r="RTQ363" s="629"/>
      <c r="RTR363" s="268"/>
      <c r="RTT363" s="262"/>
      <c r="RTU363" s="628"/>
      <c r="RTV363" s="419"/>
      <c r="RTW363" s="223"/>
      <c r="RTX363" s="420"/>
      <c r="RTY363" s="266"/>
      <c r="RTZ363" s="629"/>
      <c r="RUA363" s="268"/>
      <c r="RUC363" s="262"/>
      <c r="RUD363" s="628"/>
      <c r="RUE363" s="419"/>
      <c r="RUF363" s="223"/>
      <c r="RUG363" s="420"/>
      <c r="RUH363" s="266"/>
      <c r="RUI363" s="629"/>
      <c r="RUJ363" s="268"/>
      <c r="RUL363" s="262"/>
      <c r="RUM363" s="628"/>
      <c r="RUN363" s="419"/>
      <c r="RUO363" s="223"/>
      <c r="RUP363" s="420"/>
      <c r="RUQ363" s="266"/>
      <c r="RUR363" s="629"/>
      <c r="RUS363" s="268"/>
      <c r="RUU363" s="262"/>
      <c r="RUV363" s="628"/>
      <c r="RUW363" s="419"/>
      <c r="RUX363" s="223"/>
      <c r="RUY363" s="420"/>
      <c r="RUZ363" s="266"/>
      <c r="RVA363" s="629"/>
      <c r="RVB363" s="268"/>
      <c r="RVD363" s="262"/>
      <c r="RVE363" s="628"/>
      <c r="RVF363" s="419"/>
      <c r="RVG363" s="223"/>
      <c r="RVH363" s="420"/>
      <c r="RVI363" s="266"/>
      <c r="RVJ363" s="629"/>
      <c r="RVK363" s="268"/>
      <c r="RVM363" s="262"/>
      <c r="RVN363" s="628"/>
      <c r="RVO363" s="419"/>
      <c r="RVP363" s="223"/>
      <c r="RVQ363" s="420"/>
      <c r="RVR363" s="266"/>
      <c r="RVS363" s="629"/>
      <c r="RVT363" s="268"/>
      <c r="RVV363" s="262"/>
      <c r="RVW363" s="628"/>
      <c r="RVX363" s="419"/>
      <c r="RVY363" s="223"/>
      <c r="RVZ363" s="420"/>
      <c r="RWA363" s="266"/>
      <c r="RWB363" s="629"/>
      <c r="RWC363" s="268"/>
      <c r="RWE363" s="262"/>
      <c r="RWF363" s="628"/>
      <c r="RWG363" s="419"/>
      <c r="RWH363" s="223"/>
      <c r="RWI363" s="420"/>
      <c r="RWJ363" s="266"/>
      <c r="RWK363" s="629"/>
      <c r="RWL363" s="268"/>
      <c r="RWN363" s="262"/>
      <c r="RWO363" s="628"/>
      <c r="RWP363" s="419"/>
      <c r="RWQ363" s="223"/>
      <c r="RWR363" s="420"/>
      <c r="RWS363" s="266"/>
      <c r="RWT363" s="629"/>
      <c r="RWU363" s="268"/>
      <c r="RWW363" s="262"/>
      <c r="RWX363" s="628"/>
      <c r="RWY363" s="419"/>
      <c r="RWZ363" s="223"/>
      <c r="RXA363" s="420"/>
      <c r="RXB363" s="266"/>
      <c r="RXC363" s="629"/>
      <c r="RXD363" s="268"/>
      <c r="RXF363" s="262"/>
      <c r="RXG363" s="628"/>
      <c r="RXH363" s="419"/>
      <c r="RXI363" s="223"/>
      <c r="RXJ363" s="420"/>
      <c r="RXK363" s="266"/>
      <c r="RXL363" s="629"/>
      <c r="RXM363" s="268"/>
      <c r="RXO363" s="262"/>
      <c r="RXP363" s="628"/>
      <c r="RXQ363" s="419"/>
      <c r="RXR363" s="223"/>
      <c r="RXS363" s="420"/>
      <c r="RXT363" s="266"/>
      <c r="RXU363" s="629"/>
      <c r="RXV363" s="268"/>
      <c r="RXX363" s="262"/>
      <c r="RXY363" s="628"/>
      <c r="RXZ363" s="419"/>
      <c r="RYA363" s="223"/>
      <c r="RYB363" s="420"/>
      <c r="RYC363" s="266"/>
      <c r="RYD363" s="629"/>
      <c r="RYE363" s="268"/>
      <c r="RYG363" s="262"/>
      <c r="RYH363" s="628"/>
      <c r="RYI363" s="419"/>
      <c r="RYJ363" s="223"/>
      <c r="RYK363" s="420"/>
      <c r="RYL363" s="266"/>
      <c r="RYM363" s="629"/>
      <c r="RYN363" s="268"/>
      <c r="RYP363" s="262"/>
      <c r="RYQ363" s="628"/>
      <c r="RYR363" s="419"/>
      <c r="RYS363" s="223"/>
      <c r="RYT363" s="420"/>
      <c r="RYU363" s="266"/>
      <c r="RYV363" s="629"/>
      <c r="RYW363" s="268"/>
      <c r="RYY363" s="262"/>
      <c r="RYZ363" s="628"/>
      <c r="RZA363" s="419"/>
      <c r="RZB363" s="223"/>
      <c r="RZC363" s="420"/>
      <c r="RZD363" s="266"/>
      <c r="RZE363" s="629"/>
      <c r="RZF363" s="268"/>
      <c r="RZH363" s="262"/>
      <c r="RZI363" s="628"/>
      <c r="RZJ363" s="419"/>
      <c r="RZK363" s="223"/>
      <c r="RZL363" s="420"/>
      <c r="RZM363" s="266"/>
      <c r="RZN363" s="629"/>
      <c r="RZO363" s="268"/>
      <c r="RZQ363" s="262"/>
      <c r="RZR363" s="628"/>
      <c r="RZS363" s="419"/>
      <c r="RZT363" s="223"/>
      <c r="RZU363" s="420"/>
      <c r="RZV363" s="266"/>
      <c r="RZW363" s="629"/>
      <c r="RZX363" s="268"/>
      <c r="RZZ363" s="262"/>
      <c r="SAA363" s="628"/>
      <c r="SAB363" s="419"/>
      <c r="SAC363" s="223"/>
      <c r="SAD363" s="420"/>
      <c r="SAE363" s="266"/>
      <c r="SAF363" s="629"/>
      <c r="SAG363" s="268"/>
      <c r="SAI363" s="262"/>
      <c r="SAJ363" s="628"/>
      <c r="SAK363" s="419"/>
      <c r="SAL363" s="223"/>
      <c r="SAM363" s="420"/>
      <c r="SAN363" s="266"/>
      <c r="SAO363" s="629"/>
      <c r="SAP363" s="268"/>
      <c r="SAR363" s="262"/>
      <c r="SAS363" s="628"/>
      <c r="SAT363" s="419"/>
      <c r="SAU363" s="223"/>
      <c r="SAV363" s="420"/>
      <c r="SAW363" s="266"/>
      <c r="SAX363" s="629"/>
      <c r="SAY363" s="268"/>
      <c r="SBA363" s="262"/>
      <c r="SBB363" s="628"/>
      <c r="SBC363" s="419"/>
      <c r="SBD363" s="223"/>
      <c r="SBE363" s="420"/>
      <c r="SBF363" s="266"/>
      <c r="SBG363" s="629"/>
      <c r="SBH363" s="268"/>
      <c r="SBJ363" s="262"/>
      <c r="SBK363" s="628"/>
      <c r="SBL363" s="419"/>
      <c r="SBM363" s="223"/>
      <c r="SBN363" s="420"/>
      <c r="SBO363" s="266"/>
      <c r="SBP363" s="629"/>
      <c r="SBQ363" s="268"/>
      <c r="SBS363" s="262"/>
      <c r="SBT363" s="628"/>
      <c r="SBU363" s="419"/>
      <c r="SBV363" s="223"/>
      <c r="SBW363" s="420"/>
      <c r="SBX363" s="266"/>
      <c r="SBY363" s="629"/>
      <c r="SBZ363" s="268"/>
      <c r="SCB363" s="262"/>
      <c r="SCC363" s="628"/>
      <c r="SCD363" s="419"/>
      <c r="SCE363" s="223"/>
      <c r="SCF363" s="420"/>
      <c r="SCG363" s="266"/>
      <c r="SCH363" s="629"/>
      <c r="SCI363" s="268"/>
      <c r="SCK363" s="262"/>
      <c r="SCL363" s="628"/>
      <c r="SCM363" s="419"/>
      <c r="SCN363" s="223"/>
      <c r="SCO363" s="420"/>
      <c r="SCP363" s="266"/>
      <c r="SCQ363" s="629"/>
      <c r="SCR363" s="268"/>
      <c r="SCT363" s="262"/>
      <c r="SCU363" s="628"/>
      <c r="SCV363" s="419"/>
      <c r="SCW363" s="223"/>
      <c r="SCX363" s="420"/>
      <c r="SCY363" s="266"/>
      <c r="SCZ363" s="629"/>
      <c r="SDA363" s="268"/>
      <c r="SDC363" s="262"/>
      <c r="SDD363" s="628"/>
      <c r="SDE363" s="419"/>
      <c r="SDF363" s="223"/>
      <c r="SDG363" s="420"/>
      <c r="SDH363" s="266"/>
      <c r="SDI363" s="629"/>
      <c r="SDJ363" s="268"/>
      <c r="SDL363" s="262"/>
      <c r="SDM363" s="628"/>
      <c r="SDN363" s="419"/>
      <c r="SDO363" s="223"/>
      <c r="SDP363" s="420"/>
      <c r="SDQ363" s="266"/>
      <c r="SDR363" s="629"/>
      <c r="SDS363" s="268"/>
      <c r="SDU363" s="262"/>
      <c r="SDV363" s="628"/>
      <c r="SDW363" s="419"/>
      <c r="SDX363" s="223"/>
      <c r="SDY363" s="420"/>
      <c r="SDZ363" s="266"/>
      <c r="SEA363" s="629"/>
      <c r="SEB363" s="268"/>
      <c r="SED363" s="262"/>
      <c r="SEE363" s="628"/>
      <c r="SEF363" s="419"/>
      <c r="SEG363" s="223"/>
      <c r="SEH363" s="420"/>
      <c r="SEI363" s="266"/>
      <c r="SEJ363" s="629"/>
      <c r="SEK363" s="268"/>
      <c r="SEM363" s="262"/>
      <c r="SEN363" s="628"/>
      <c r="SEO363" s="419"/>
      <c r="SEP363" s="223"/>
      <c r="SEQ363" s="420"/>
      <c r="SER363" s="266"/>
      <c r="SES363" s="629"/>
      <c r="SET363" s="268"/>
      <c r="SEV363" s="262"/>
      <c r="SEW363" s="628"/>
      <c r="SEX363" s="419"/>
      <c r="SEY363" s="223"/>
      <c r="SEZ363" s="420"/>
      <c r="SFA363" s="266"/>
      <c r="SFB363" s="629"/>
      <c r="SFC363" s="268"/>
      <c r="SFE363" s="262"/>
      <c r="SFF363" s="628"/>
      <c r="SFG363" s="419"/>
      <c r="SFH363" s="223"/>
      <c r="SFI363" s="420"/>
      <c r="SFJ363" s="266"/>
      <c r="SFK363" s="629"/>
      <c r="SFL363" s="268"/>
      <c r="SFN363" s="262"/>
      <c r="SFO363" s="628"/>
      <c r="SFP363" s="419"/>
      <c r="SFQ363" s="223"/>
      <c r="SFR363" s="420"/>
      <c r="SFS363" s="266"/>
      <c r="SFT363" s="629"/>
      <c r="SFU363" s="268"/>
      <c r="SFW363" s="262"/>
      <c r="SFX363" s="628"/>
      <c r="SFY363" s="419"/>
      <c r="SFZ363" s="223"/>
      <c r="SGA363" s="420"/>
      <c r="SGB363" s="266"/>
      <c r="SGC363" s="629"/>
      <c r="SGD363" s="268"/>
      <c r="SGF363" s="262"/>
      <c r="SGG363" s="628"/>
      <c r="SGH363" s="419"/>
      <c r="SGI363" s="223"/>
      <c r="SGJ363" s="420"/>
      <c r="SGK363" s="266"/>
      <c r="SGL363" s="629"/>
      <c r="SGM363" s="268"/>
      <c r="SGO363" s="262"/>
      <c r="SGP363" s="628"/>
      <c r="SGQ363" s="419"/>
      <c r="SGR363" s="223"/>
      <c r="SGS363" s="420"/>
      <c r="SGT363" s="266"/>
      <c r="SGU363" s="629"/>
      <c r="SGV363" s="268"/>
      <c r="SGX363" s="262"/>
      <c r="SGY363" s="628"/>
      <c r="SGZ363" s="419"/>
      <c r="SHA363" s="223"/>
      <c r="SHB363" s="420"/>
      <c r="SHC363" s="266"/>
      <c r="SHD363" s="629"/>
      <c r="SHE363" s="268"/>
      <c r="SHG363" s="262"/>
      <c r="SHH363" s="628"/>
      <c r="SHI363" s="419"/>
      <c r="SHJ363" s="223"/>
      <c r="SHK363" s="420"/>
      <c r="SHL363" s="266"/>
      <c r="SHM363" s="629"/>
      <c r="SHN363" s="268"/>
      <c r="SHP363" s="262"/>
      <c r="SHQ363" s="628"/>
      <c r="SHR363" s="419"/>
      <c r="SHS363" s="223"/>
      <c r="SHT363" s="420"/>
      <c r="SHU363" s="266"/>
      <c r="SHV363" s="629"/>
      <c r="SHW363" s="268"/>
      <c r="SHY363" s="262"/>
      <c r="SHZ363" s="628"/>
      <c r="SIA363" s="419"/>
      <c r="SIB363" s="223"/>
      <c r="SIC363" s="420"/>
      <c r="SID363" s="266"/>
      <c r="SIE363" s="629"/>
      <c r="SIF363" s="268"/>
      <c r="SIH363" s="262"/>
      <c r="SII363" s="628"/>
      <c r="SIJ363" s="419"/>
      <c r="SIK363" s="223"/>
      <c r="SIL363" s="420"/>
      <c r="SIM363" s="266"/>
      <c r="SIN363" s="629"/>
      <c r="SIO363" s="268"/>
      <c r="SIQ363" s="262"/>
      <c r="SIR363" s="628"/>
      <c r="SIS363" s="419"/>
      <c r="SIT363" s="223"/>
      <c r="SIU363" s="420"/>
      <c r="SIV363" s="266"/>
      <c r="SIW363" s="629"/>
      <c r="SIX363" s="268"/>
      <c r="SIZ363" s="262"/>
      <c r="SJA363" s="628"/>
      <c r="SJB363" s="419"/>
      <c r="SJC363" s="223"/>
      <c r="SJD363" s="420"/>
      <c r="SJE363" s="266"/>
      <c r="SJF363" s="629"/>
      <c r="SJG363" s="268"/>
      <c r="SJI363" s="262"/>
      <c r="SJJ363" s="628"/>
      <c r="SJK363" s="419"/>
      <c r="SJL363" s="223"/>
      <c r="SJM363" s="420"/>
      <c r="SJN363" s="266"/>
      <c r="SJO363" s="629"/>
      <c r="SJP363" s="268"/>
      <c r="SJR363" s="262"/>
      <c r="SJS363" s="628"/>
      <c r="SJT363" s="419"/>
      <c r="SJU363" s="223"/>
      <c r="SJV363" s="420"/>
      <c r="SJW363" s="266"/>
      <c r="SJX363" s="629"/>
      <c r="SJY363" s="268"/>
      <c r="SKA363" s="262"/>
      <c r="SKB363" s="628"/>
      <c r="SKC363" s="419"/>
      <c r="SKD363" s="223"/>
      <c r="SKE363" s="420"/>
      <c r="SKF363" s="266"/>
      <c r="SKG363" s="629"/>
      <c r="SKH363" s="268"/>
      <c r="SKJ363" s="262"/>
      <c r="SKK363" s="628"/>
      <c r="SKL363" s="419"/>
      <c r="SKM363" s="223"/>
      <c r="SKN363" s="420"/>
      <c r="SKO363" s="266"/>
      <c r="SKP363" s="629"/>
      <c r="SKQ363" s="268"/>
      <c r="SKS363" s="262"/>
      <c r="SKT363" s="628"/>
      <c r="SKU363" s="419"/>
      <c r="SKV363" s="223"/>
      <c r="SKW363" s="420"/>
      <c r="SKX363" s="266"/>
      <c r="SKY363" s="629"/>
      <c r="SKZ363" s="268"/>
      <c r="SLB363" s="262"/>
      <c r="SLC363" s="628"/>
      <c r="SLD363" s="419"/>
      <c r="SLE363" s="223"/>
      <c r="SLF363" s="420"/>
      <c r="SLG363" s="266"/>
      <c r="SLH363" s="629"/>
      <c r="SLI363" s="268"/>
      <c r="SLK363" s="262"/>
      <c r="SLL363" s="628"/>
      <c r="SLM363" s="419"/>
      <c r="SLN363" s="223"/>
      <c r="SLO363" s="420"/>
      <c r="SLP363" s="266"/>
      <c r="SLQ363" s="629"/>
      <c r="SLR363" s="268"/>
      <c r="SLT363" s="262"/>
      <c r="SLU363" s="628"/>
      <c r="SLV363" s="419"/>
      <c r="SLW363" s="223"/>
      <c r="SLX363" s="420"/>
      <c r="SLY363" s="266"/>
      <c r="SLZ363" s="629"/>
      <c r="SMA363" s="268"/>
      <c r="SMC363" s="262"/>
      <c r="SMD363" s="628"/>
      <c r="SME363" s="419"/>
      <c r="SMF363" s="223"/>
      <c r="SMG363" s="420"/>
      <c r="SMH363" s="266"/>
      <c r="SMI363" s="629"/>
      <c r="SMJ363" s="268"/>
      <c r="SML363" s="262"/>
      <c r="SMM363" s="628"/>
      <c r="SMN363" s="419"/>
      <c r="SMO363" s="223"/>
      <c r="SMP363" s="420"/>
      <c r="SMQ363" s="266"/>
      <c r="SMR363" s="629"/>
      <c r="SMS363" s="268"/>
      <c r="SMU363" s="262"/>
      <c r="SMV363" s="628"/>
      <c r="SMW363" s="419"/>
      <c r="SMX363" s="223"/>
      <c r="SMY363" s="420"/>
      <c r="SMZ363" s="266"/>
      <c r="SNA363" s="629"/>
      <c r="SNB363" s="268"/>
      <c r="SND363" s="262"/>
      <c r="SNE363" s="628"/>
      <c r="SNF363" s="419"/>
      <c r="SNG363" s="223"/>
      <c r="SNH363" s="420"/>
      <c r="SNI363" s="266"/>
      <c r="SNJ363" s="629"/>
      <c r="SNK363" s="268"/>
      <c r="SNM363" s="262"/>
      <c r="SNN363" s="628"/>
      <c r="SNO363" s="419"/>
      <c r="SNP363" s="223"/>
      <c r="SNQ363" s="420"/>
      <c r="SNR363" s="266"/>
      <c r="SNS363" s="629"/>
      <c r="SNT363" s="268"/>
      <c r="SNV363" s="262"/>
      <c r="SNW363" s="628"/>
      <c r="SNX363" s="419"/>
      <c r="SNY363" s="223"/>
      <c r="SNZ363" s="420"/>
      <c r="SOA363" s="266"/>
      <c r="SOB363" s="629"/>
      <c r="SOC363" s="268"/>
      <c r="SOE363" s="262"/>
      <c r="SOF363" s="628"/>
      <c r="SOG363" s="419"/>
      <c r="SOH363" s="223"/>
      <c r="SOI363" s="420"/>
      <c r="SOJ363" s="266"/>
      <c r="SOK363" s="629"/>
      <c r="SOL363" s="268"/>
      <c r="SON363" s="262"/>
      <c r="SOO363" s="628"/>
      <c r="SOP363" s="419"/>
      <c r="SOQ363" s="223"/>
      <c r="SOR363" s="420"/>
      <c r="SOS363" s="266"/>
      <c r="SOT363" s="629"/>
      <c r="SOU363" s="268"/>
      <c r="SOW363" s="262"/>
      <c r="SOX363" s="628"/>
      <c r="SOY363" s="419"/>
      <c r="SOZ363" s="223"/>
      <c r="SPA363" s="420"/>
      <c r="SPB363" s="266"/>
      <c r="SPC363" s="629"/>
      <c r="SPD363" s="268"/>
      <c r="SPF363" s="262"/>
      <c r="SPG363" s="628"/>
      <c r="SPH363" s="419"/>
      <c r="SPI363" s="223"/>
      <c r="SPJ363" s="420"/>
      <c r="SPK363" s="266"/>
      <c r="SPL363" s="629"/>
      <c r="SPM363" s="268"/>
      <c r="SPO363" s="262"/>
      <c r="SPP363" s="628"/>
      <c r="SPQ363" s="419"/>
      <c r="SPR363" s="223"/>
      <c r="SPS363" s="420"/>
      <c r="SPT363" s="266"/>
      <c r="SPU363" s="629"/>
      <c r="SPV363" s="268"/>
      <c r="SPX363" s="262"/>
      <c r="SPY363" s="628"/>
      <c r="SPZ363" s="419"/>
      <c r="SQA363" s="223"/>
      <c r="SQB363" s="420"/>
      <c r="SQC363" s="266"/>
      <c r="SQD363" s="629"/>
      <c r="SQE363" s="268"/>
      <c r="SQG363" s="262"/>
      <c r="SQH363" s="628"/>
      <c r="SQI363" s="419"/>
      <c r="SQJ363" s="223"/>
      <c r="SQK363" s="420"/>
      <c r="SQL363" s="266"/>
      <c r="SQM363" s="629"/>
      <c r="SQN363" s="268"/>
      <c r="SQP363" s="262"/>
      <c r="SQQ363" s="628"/>
      <c r="SQR363" s="419"/>
      <c r="SQS363" s="223"/>
      <c r="SQT363" s="420"/>
      <c r="SQU363" s="266"/>
      <c r="SQV363" s="629"/>
      <c r="SQW363" s="268"/>
      <c r="SQY363" s="262"/>
      <c r="SQZ363" s="628"/>
      <c r="SRA363" s="419"/>
      <c r="SRB363" s="223"/>
      <c r="SRC363" s="420"/>
      <c r="SRD363" s="266"/>
      <c r="SRE363" s="629"/>
      <c r="SRF363" s="268"/>
      <c r="SRH363" s="262"/>
      <c r="SRI363" s="628"/>
      <c r="SRJ363" s="419"/>
      <c r="SRK363" s="223"/>
      <c r="SRL363" s="420"/>
      <c r="SRM363" s="266"/>
      <c r="SRN363" s="629"/>
      <c r="SRO363" s="268"/>
      <c r="SRQ363" s="262"/>
      <c r="SRR363" s="628"/>
      <c r="SRS363" s="419"/>
      <c r="SRT363" s="223"/>
      <c r="SRU363" s="420"/>
      <c r="SRV363" s="266"/>
      <c r="SRW363" s="629"/>
      <c r="SRX363" s="268"/>
      <c r="SRZ363" s="262"/>
      <c r="SSA363" s="628"/>
      <c r="SSB363" s="419"/>
      <c r="SSC363" s="223"/>
      <c r="SSD363" s="420"/>
      <c r="SSE363" s="266"/>
      <c r="SSF363" s="629"/>
      <c r="SSG363" s="268"/>
      <c r="SSI363" s="262"/>
      <c r="SSJ363" s="628"/>
      <c r="SSK363" s="419"/>
      <c r="SSL363" s="223"/>
      <c r="SSM363" s="420"/>
      <c r="SSN363" s="266"/>
      <c r="SSO363" s="629"/>
      <c r="SSP363" s="268"/>
      <c r="SSR363" s="262"/>
      <c r="SSS363" s="628"/>
      <c r="SST363" s="419"/>
      <c r="SSU363" s="223"/>
      <c r="SSV363" s="420"/>
      <c r="SSW363" s="266"/>
      <c r="SSX363" s="629"/>
      <c r="SSY363" s="268"/>
      <c r="STA363" s="262"/>
      <c r="STB363" s="628"/>
      <c r="STC363" s="419"/>
      <c r="STD363" s="223"/>
      <c r="STE363" s="420"/>
      <c r="STF363" s="266"/>
      <c r="STG363" s="629"/>
      <c r="STH363" s="268"/>
      <c r="STJ363" s="262"/>
      <c r="STK363" s="628"/>
      <c r="STL363" s="419"/>
      <c r="STM363" s="223"/>
      <c r="STN363" s="420"/>
      <c r="STO363" s="266"/>
      <c r="STP363" s="629"/>
      <c r="STQ363" s="268"/>
      <c r="STS363" s="262"/>
      <c r="STT363" s="628"/>
      <c r="STU363" s="419"/>
      <c r="STV363" s="223"/>
      <c r="STW363" s="420"/>
      <c r="STX363" s="266"/>
      <c r="STY363" s="629"/>
      <c r="STZ363" s="268"/>
      <c r="SUB363" s="262"/>
      <c r="SUC363" s="628"/>
      <c r="SUD363" s="419"/>
      <c r="SUE363" s="223"/>
      <c r="SUF363" s="420"/>
      <c r="SUG363" s="266"/>
      <c r="SUH363" s="629"/>
      <c r="SUI363" s="268"/>
      <c r="SUK363" s="262"/>
      <c r="SUL363" s="628"/>
      <c r="SUM363" s="419"/>
      <c r="SUN363" s="223"/>
      <c r="SUO363" s="420"/>
      <c r="SUP363" s="266"/>
      <c r="SUQ363" s="629"/>
      <c r="SUR363" s="268"/>
      <c r="SUT363" s="262"/>
      <c r="SUU363" s="628"/>
      <c r="SUV363" s="419"/>
      <c r="SUW363" s="223"/>
      <c r="SUX363" s="420"/>
      <c r="SUY363" s="266"/>
      <c r="SUZ363" s="629"/>
      <c r="SVA363" s="268"/>
      <c r="SVC363" s="262"/>
      <c r="SVD363" s="628"/>
      <c r="SVE363" s="419"/>
      <c r="SVF363" s="223"/>
      <c r="SVG363" s="420"/>
      <c r="SVH363" s="266"/>
      <c r="SVI363" s="629"/>
      <c r="SVJ363" s="268"/>
      <c r="SVL363" s="262"/>
      <c r="SVM363" s="628"/>
      <c r="SVN363" s="419"/>
      <c r="SVO363" s="223"/>
      <c r="SVP363" s="420"/>
      <c r="SVQ363" s="266"/>
      <c r="SVR363" s="629"/>
      <c r="SVS363" s="268"/>
      <c r="SVU363" s="262"/>
      <c r="SVV363" s="628"/>
      <c r="SVW363" s="419"/>
      <c r="SVX363" s="223"/>
      <c r="SVY363" s="420"/>
      <c r="SVZ363" s="266"/>
      <c r="SWA363" s="629"/>
      <c r="SWB363" s="268"/>
      <c r="SWD363" s="262"/>
      <c r="SWE363" s="628"/>
      <c r="SWF363" s="419"/>
      <c r="SWG363" s="223"/>
      <c r="SWH363" s="420"/>
      <c r="SWI363" s="266"/>
      <c r="SWJ363" s="629"/>
      <c r="SWK363" s="268"/>
      <c r="SWM363" s="262"/>
      <c r="SWN363" s="628"/>
      <c r="SWO363" s="419"/>
      <c r="SWP363" s="223"/>
      <c r="SWQ363" s="420"/>
      <c r="SWR363" s="266"/>
      <c r="SWS363" s="629"/>
      <c r="SWT363" s="268"/>
      <c r="SWV363" s="262"/>
      <c r="SWW363" s="628"/>
      <c r="SWX363" s="419"/>
      <c r="SWY363" s="223"/>
      <c r="SWZ363" s="420"/>
      <c r="SXA363" s="266"/>
      <c r="SXB363" s="629"/>
      <c r="SXC363" s="268"/>
      <c r="SXE363" s="262"/>
      <c r="SXF363" s="628"/>
      <c r="SXG363" s="419"/>
      <c r="SXH363" s="223"/>
      <c r="SXI363" s="420"/>
      <c r="SXJ363" s="266"/>
      <c r="SXK363" s="629"/>
      <c r="SXL363" s="268"/>
      <c r="SXN363" s="262"/>
      <c r="SXO363" s="628"/>
      <c r="SXP363" s="419"/>
      <c r="SXQ363" s="223"/>
      <c r="SXR363" s="420"/>
      <c r="SXS363" s="266"/>
      <c r="SXT363" s="629"/>
      <c r="SXU363" s="268"/>
      <c r="SXW363" s="262"/>
      <c r="SXX363" s="628"/>
      <c r="SXY363" s="419"/>
      <c r="SXZ363" s="223"/>
      <c r="SYA363" s="420"/>
      <c r="SYB363" s="266"/>
      <c r="SYC363" s="629"/>
      <c r="SYD363" s="268"/>
      <c r="SYF363" s="262"/>
      <c r="SYG363" s="628"/>
      <c r="SYH363" s="419"/>
      <c r="SYI363" s="223"/>
      <c r="SYJ363" s="420"/>
      <c r="SYK363" s="266"/>
      <c r="SYL363" s="629"/>
      <c r="SYM363" s="268"/>
      <c r="SYO363" s="262"/>
      <c r="SYP363" s="628"/>
      <c r="SYQ363" s="419"/>
      <c r="SYR363" s="223"/>
      <c r="SYS363" s="420"/>
      <c r="SYT363" s="266"/>
      <c r="SYU363" s="629"/>
      <c r="SYV363" s="268"/>
      <c r="SYX363" s="262"/>
      <c r="SYY363" s="628"/>
      <c r="SYZ363" s="419"/>
      <c r="SZA363" s="223"/>
      <c r="SZB363" s="420"/>
      <c r="SZC363" s="266"/>
      <c r="SZD363" s="629"/>
      <c r="SZE363" s="268"/>
      <c r="SZG363" s="262"/>
      <c r="SZH363" s="628"/>
      <c r="SZI363" s="419"/>
      <c r="SZJ363" s="223"/>
      <c r="SZK363" s="420"/>
      <c r="SZL363" s="266"/>
      <c r="SZM363" s="629"/>
      <c r="SZN363" s="268"/>
      <c r="SZP363" s="262"/>
      <c r="SZQ363" s="628"/>
      <c r="SZR363" s="419"/>
      <c r="SZS363" s="223"/>
      <c r="SZT363" s="420"/>
      <c r="SZU363" s="266"/>
      <c r="SZV363" s="629"/>
      <c r="SZW363" s="268"/>
      <c r="SZY363" s="262"/>
      <c r="SZZ363" s="628"/>
      <c r="TAA363" s="419"/>
      <c r="TAB363" s="223"/>
      <c r="TAC363" s="420"/>
      <c r="TAD363" s="266"/>
      <c r="TAE363" s="629"/>
      <c r="TAF363" s="268"/>
      <c r="TAH363" s="262"/>
      <c r="TAI363" s="628"/>
      <c r="TAJ363" s="419"/>
      <c r="TAK363" s="223"/>
      <c r="TAL363" s="420"/>
      <c r="TAM363" s="266"/>
      <c r="TAN363" s="629"/>
      <c r="TAO363" s="268"/>
      <c r="TAQ363" s="262"/>
      <c r="TAR363" s="628"/>
      <c r="TAS363" s="419"/>
      <c r="TAT363" s="223"/>
      <c r="TAU363" s="420"/>
      <c r="TAV363" s="266"/>
      <c r="TAW363" s="629"/>
      <c r="TAX363" s="268"/>
      <c r="TAZ363" s="262"/>
      <c r="TBA363" s="628"/>
      <c r="TBB363" s="419"/>
      <c r="TBC363" s="223"/>
      <c r="TBD363" s="420"/>
      <c r="TBE363" s="266"/>
      <c r="TBF363" s="629"/>
      <c r="TBG363" s="268"/>
      <c r="TBI363" s="262"/>
      <c r="TBJ363" s="628"/>
      <c r="TBK363" s="419"/>
      <c r="TBL363" s="223"/>
      <c r="TBM363" s="420"/>
      <c r="TBN363" s="266"/>
      <c r="TBO363" s="629"/>
      <c r="TBP363" s="268"/>
      <c r="TBR363" s="262"/>
      <c r="TBS363" s="628"/>
      <c r="TBT363" s="419"/>
      <c r="TBU363" s="223"/>
      <c r="TBV363" s="420"/>
      <c r="TBW363" s="266"/>
      <c r="TBX363" s="629"/>
      <c r="TBY363" s="268"/>
      <c r="TCA363" s="262"/>
      <c r="TCB363" s="628"/>
      <c r="TCC363" s="419"/>
      <c r="TCD363" s="223"/>
      <c r="TCE363" s="420"/>
      <c r="TCF363" s="266"/>
      <c r="TCG363" s="629"/>
      <c r="TCH363" s="268"/>
      <c r="TCJ363" s="262"/>
      <c r="TCK363" s="628"/>
      <c r="TCL363" s="419"/>
      <c r="TCM363" s="223"/>
      <c r="TCN363" s="420"/>
      <c r="TCO363" s="266"/>
      <c r="TCP363" s="629"/>
      <c r="TCQ363" s="268"/>
      <c r="TCS363" s="262"/>
      <c r="TCT363" s="628"/>
      <c r="TCU363" s="419"/>
      <c r="TCV363" s="223"/>
      <c r="TCW363" s="420"/>
      <c r="TCX363" s="266"/>
      <c r="TCY363" s="629"/>
      <c r="TCZ363" s="268"/>
      <c r="TDB363" s="262"/>
      <c r="TDC363" s="628"/>
      <c r="TDD363" s="419"/>
      <c r="TDE363" s="223"/>
      <c r="TDF363" s="420"/>
      <c r="TDG363" s="266"/>
      <c r="TDH363" s="629"/>
      <c r="TDI363" s="268"/>
      <c r="TDK363" s="262"/>
      <c r="TDL363" s="628"/>
      <c r="TDM363" s="419"/>
      <c r="TDN363" s="223"/>
      <c r="TDO363" s="420"/>
      <c r="TDP363" s="266"/>
      <c r="TDQ363" s="629"/>
      <c r="TDR363" s="268"/>
      <c r="TDT363" s="262"/>
      <c r="TDU363" s="628"/>
      <c r="TDV363" s="419"/>
      <c r="TDW363" s="223"/>
      <c r="TDX363" s="420"/>
      <c r="TDY363" s="266"/>
      <c r="TDZ363" s="629"/>
      <c r="TEA363" s="268"/>
      <c r="TEC363" s="262"/>
      <c r="TED363" s="628"/>
      <c r="TEE363" s="419"/>
      <c r="TEF363" s="223"/>
      <c r="TEG363" s="420"/>
      <c r="TEH363" s="266"/>
      <c r="TEI363" s="629"/>
      <c r="TEJ363" s="268"/>
      <c r="TEL363" s="262"/>
      <c r="TEM363" s="628"/>
      <c r="TEN363" s="419"/>
      <c r="TEO363" s="223"/>
      <c r="TEP363" s="420"/>
      <c r="TEQ363" s="266"/>
      <c r="TER363" s="629"/>
      <c r="TES363" s="268"/>
      <c r="TEU363" s="262"/>
      <c r="TEV363" s="628"/>
      <c r="TEW363" s="419"/>
      <c r="TEX363" s="223"/>
      <c r="TEY363" s="420"/>
      <c r="TEZ363" s="266"/>
      <c r="TFA363" s="629"/>
      <c r="TFB363" s="268"/>
      <c r="TFD363" s="262"/>
      <c r="TFE363" s="628"/>
      <c r="TFF363" s="419"/>
      <c r="TFG363" s="223"/>
      <c r="TFH363" s="420"/>
      <c r="TFI363" s="266"/>
      <c r="TFJ363" s="629"/>
      <c r="TFK363" s="268"/>
      <c r="TFM363" s="262"/>
      <c r="TFN363" s="628"/>
      <c r="TFO363" s="419"/>
      <c r="TFP363" s="223"/>
      <c r="TFQ363" s="420"/>
      <c r="TFR363" s="266"/>
      <c r="TFS363" s="629"/>
      <c r="TFT363" s="268"/>
      <c r="TFV363" s="262"/>
      <c r="TFW363" s="628"/>
      <c r="TFX363" s="419"/>
      <c r="TFY363" s="223"/>
      <c r="TFZ363" s="420"/>
      <c r="TGA363" s="266"/>
      <c r="TGB363" s="629"/>
      <c r="TGC363" s="268"/>
      <c r="TGE363" s="262"/>
      <c r="TGF363" s="628"/>
      <c r="TGG363" s="419"/>
      <c r="TGH363" s="223"/>
      <c r="TGI363" s="420"/>
      <c r="TGJ363" s="266"/>
      <c r="TGK363" s="629"/>
      <c r="TGL363" s="268"/>
      <c r="TGN363" s="262"/>
      <c r="TGO363" s="628"/>
      <c r="TGP363" s="419"/>
      <c r="TGQ363" s="223"/>
      <c r="TGR363" s="420"/>
      <c r="TGS363" s="266"/>
      <c r="TGT363" s="629"/>
      <c r="TGU363" s="268"/>
      <c r="TGW363" s="262"/>
      <c r="TGX363" s="628"/>
      <c r="TGY363" s="419"/>
      <c r="TGZ363" s="223"/>
      <c r="THA363" s="420"/>
      <c r="THB363" s="266"/>
      <c r="THC363" s="629"/>
      <c r="THD363" s="268"/>
      <c r="THF363" s="262"/>
      <c r="THG363" s="628"/>
      <c r="THH363" s="419"/>
      <c r="THI363" s="223"/>
      <c r="THJ363" s="420"/>
      <c r="THK363" s="266"/>
      <c r="THL363" s="629"/>
      <c r="THM363" s="268"/>
      <c r="THO363" s="262"/>
      <c r="THP363" s="628"/>
      <c r="THQ363" s="419"/>
      <c r="THR363" s="223"/>
      <c r="THS363" s="420"/>
      <c r="THT363" s="266"/>
      <c r="THU363" s="629"/>
      <c r="THV363" s="268"/>
      <c r="THX363" s="262"/>
      <c r="THY363" s="628"/>
      <c r="THZ363" s="419"/>
      <c r="TIA363" s="223"/>
      <c r="TIB363" s="420"/>
      <c r="TIC363" s="266"/>
      <c r="TID363" s="629"/>
      <c r="TIE363" s="268"/>
      <c r="TIG363" s="262"/>
      <c r="TIH363" s="628"/>
      <c r="TII363" s="419"/>
      <c r="TIJ363" s="223"/>
      <c r="TIK363" s="420"/>
      <c r="TIL363" s="266"/>
      <c r="TIM363" s="629"/>
      <c r="TIN363" s="268"/>
      <c r="TIP363" s="262"/>
      <c r="TIQ363" s="628"/>
      <c r="TIR363" s="419"/>
      <c r="TIS363" s="223"/>
      <c r="TIT363" s="420"/>
      <c r="TIU363" s="266"/>
      <c r="TIV363" s="629"/>
      <c r="TIW363" s="268"/>
      <c r="TIY363" s="262"/>
      <c r="TIZ363" s="628"/>
      <c r="TJA363" s="419"/>
      <c r="TJB363" s="223"/>
      <c r="TJC363" s="420"/>
      <c r="TJD363" s="266"/>
      <c r="TJE363" s="629"/>
      <c r="TJF363" s="268"/>
      <c r="TJH363" s="262"/>
      <c r="TJI363" s="628"/>
      <c r="TJJ363" s="419"/>
      <c r="TJK363" s="223"/>
      <c r="TJL363" s="420"/>
      <c r="TJM363" s="266"/>
      <c r="TJN363" s="629"/>
      <c r="TJO363" s="268"/>
      <c r="TJQ363" s="262"/>
      <c r="TJR363" s="628"/>
      <c r="TJS363" s="419"/>
      <c r="TJT363" s="223"/>
      <c r="TJU363" s="420"/>
      <c r="TJV363" s="266"/>
      <c r="TJW363" s="629"/>
      <c r="TJX363" s="268"/>
      <c r="TJZ363" s="262"/>
      <c r="TKA363" s="628"/>
      <c r="TKB363" s="419"/>
      <c r="TKC363" s="223"/>
      <c r="TKD363" s="420"/>
      <c r="TKE363" s="266"/>
      <c r="TKF363" s="629"/>
      <c r="TKG363" s="268"/>
      <c r="TKI363" s="262"/>
      <c r="TKJ363" s="628"/>
      <c r="TKK363" s="419"/>
      <c r="TKL363" s="223"/>
      <c r="TKM363" s="420"/>
      <c r="TKN363" s="266"/>
      <c r="TKO363" s="629"/>
      <c r="TKP363" s="268"/>
      <c r="TKR363" s="262"/>
      <c r="TKS363" s="628"/>
      <c r="TKT363" s="419"/>
      <c r="TKU363" s="223"/>
      <c r="TKV363" s="420"/>
      <c r="TKW363" s="266"/>
      <c r="TKX363" s="629"/>
      <c r="TKY363" s="268"/>
      <c r="TLA363" s="262"/>
      <c r="TLB363" s="628"/>
      <c r="TLC363" s="419"/>
      <c r="TLD363" s="223"/>
      <c r="TLE363" s="420"/>
      <c r="TLF363" s="266"/>
      <c r="TLG363" s="629"/>
      <c r="TLH363" s="268"/>
      <c r="TLJ363" s="262"/>
      <c r="TLK363" s="628"/>
      <c r="TLL363" s="419"/>
      <c r="TLM363" s="223"/>
      <c r="TLN363" s="420"/>
      <c r="TLO363" s="266"/>
      <c r="TLP363" s="629"/>
      <c r="TLQ363" s="268"/>
      <c r="TLS363" s="262"/>
      <c r="TLT363" s="628"/>
      <c r="TLU363" s="419"/>
      <c r="TLV363" s="223"/>
      <c r="TLW363" s="420"/>
      <c r="TLX363" s="266"/>
      <c r="TLY363" s="629"/>
      <c r="TLZ363" s="268"/>
      <c r="TMB363" s="262"/>
      <c r="TMC363" s="628"/>
      <c r="TMD363" s="419"/>
      <c r="TME363" s="223"/>
      <c r="TMF363" s="420"/>
      <c r="TMG363" s="266"/>
      <c r="TMH363" s="629"/>
      <c r="TMI363" s="268"/>
      <c r="TMK363" s="262"/>
      <c r="TML363" s="628"/>
      <c r="TMM363" s="419"/>
      <c r="TMN363" s="223"/>
      <c r="TMO363" s="420"/>
      <c r="TMP363" s="266"/>
      <c r="TMQ363" s="629"/>
      <c r="TMR363" s="268"/>
      <c r="TMT363" s="262"/>
      <c r="TMU363" s="628"/>
      <c r="TMV363" s="419"/>
      <c r="TMW363" s="223"/>
      <c r="TMX363" s="420"/>
      <c r="TMY363" s="266"/>
      <c r="TMZ363" s="629"/>
      <c r="TNA363" s="268"/>
      <c r="TNC363" s="262"/>
      <c r="TND363" s="628"/>
      <c r="TNE363" s="419"/>
      <c r="TNF363" s="223"/>
      <c r="TNG363" s="420"/>
      <c r="TNH363" s="266"/>
      <c r="TNI363" s="629"/>
      <c r="TNJ363" s="268"/>
      <c r="TNL363" s="262"/>
      <c r="TNM363" s="628"/>
      <c r="TNN363" s="419"/>
      <c r="TNO363" s="223"/>
      <c r="TNP363" s="420"/>
      <c r="TNQ363" s="266"/>
      <c r="TNR363" s="629"/>
      <c r="TNS363" s="268"/>
      <c r="TNU363" s="262"/>
      <c r="TNV363" s="628"/>
      <c r="TNW363" s="419"/>
      <c r="TNX363" s="223"/>
      <c r="TNY363" s="420"/>
      <c r="TNZ363" s="266"/>
      <c r="TOA363" s="629"/>
      <c r="TOB363" s="268"/>
      <c r="TOD363" s="262"/>
      <c r="TOE363" s="628"/>
      <c r="TOF363" s="419"/>
      <c r="TOG363" s="223"/>
      <c r="TOH363" s="420"/>
      <c r="TOI363" s="266"/>
      <c r="TOJ363" s="629"/>
      <c r="TOK363" s="268"/>
      <c r="TOM363" s="262"/>
      <c r="TON363" s="628"/>
      <c r="TOO363" s="419"/>
      <c r="TOP363" s="223"/>
      <c r="TOQ363" s="420"/>
      <c r="TOR363" s="266"/>
      <c r="TOS363" s="629"/>
      <c r="TOT363" s="268"/>
      <c r="TOV363" s="262"/>
      <c r="TOW363" s="628"/>
      <c r="TOX363" s="419"/>
      <c r="TOY363" s="223"/>
      <c r="TOZ363" s="420"/>
      <c r="TPA363" s="266"/>
      <c r="TPB363" s="629"/>
      <c r="TPC363" s="268"/>
      <c r="TPE363" s="262"/>
      <c r="TPF363" s="628"/>
      <c r="TPG363" s="419"/>
      <c r="TPH363" s="223"/>
      <c r="TPI363" s="420"/>
      <c r="TPJ363" s="266"/>
      <c r="TPK363" s="629"/>
      <c r="TPL363" s="268"/>
      <c r="TPN363" s="262"/>
      <c r="TPO363" s="628"/>
      <c r="TPP363" s="419"/>
      <c r="TPQ363" s="223"/>
      <c r="TPR363" s="420"/>
      <c r="TPS363" s="266"/>
      <c r="TPT363" s="629"/>
      <c r="TPU363" s="268"/>
      <c r="TPW363" s="262"/>
      <c r="TPX363" s="628"/>
      <c r="TPY363" s="419"/>
      <c r="TPZ363" s="223"/>
      <c r="TQA363" s="420"/>
      <c r="TQB363" s="266"/>
      <c r="TQC363" s="629"/>
      <c r="TQD363" s="268"/>
      <c r="TQF363" s="262"/>
      <c r="TQG363" s="628"/>
      <c r="TQH363" s="419"/>
      <c r="TQI363" s="223"/>
      <c r="TQJ363" s="420"/>
      <c r="TQK363" s="266"/>
      <c r="TQL363" s="629"/>
      <c r="TQM363" s="268"/>
      <c r="TQO363" s="262"/>
      <c r="TQP363" s="628"/>
      <c r="TQQ363" s="419"/>
      <c r="TQR363" s="223"/>
      <c r="TQS363" s="420"/>
      <c r="TQT363" s="266"/>
      <c r="TQU363" s="629"/>
      <c r="TQV363" s="268"/>
      <c r="TQX363" s="262"/>
      <c r="TQY363" s="628"/>
      <c r="TQZ363" s="419"/>
      <c r="TRA363" s="223"/>
      <c r="TRB363" s="420"/>
      <c r="TRC363" s="266"/>
      <c r="TRD363" s="629"/>
      <c r="TRE363" s="268"/>
      <c r="TRG363" s="262"/>
      <c r="TRH363" s="628"/>
      <c r="TRI363" s="419"/>
      <c r="TRJ363" s="223"/>
      <c r="TRK363" s="420"/>
      <c r="TRL363" s="266"/>
      <c r="TRM363" s="629"/>
      <c r="TRN363" s="268"/>
      <c r="TRP363" s="262"/>
      <c r="TRQ363" s="628"/>
      <c r="TRR363" s="419"/>
      <c r="TRS363" s="223"/>
      <c r="TRT363" s="420"/>
      <c r="TRU363" s="266"/>
      <c r="TRV363" s="629"/>
      <c r="TRW363" s="268"/>
      <c r="TRY363" s="262"/>
      <c r="TRZ363" s="628"/>
      <c r="TSA363" s="419"/>
      <c r="TSB363" s="223"/>
      <c r="TSC363" s="420"/>
      <c r="TSD363" s="266"/>
      <c r="TSE363" s="629"/>
      <c r="TSF363" s="268"/>
      <c r="TSH363" s="262"/>
      <c r="TSI363" s="628"/>
      <c r="TSJ363" s="419"/>
      <c r="TSK363" s="223"/>
      <c r="TSL363" s="420"/>
      <c r="TSM363" s="266"/>
      <c r="TSN363" s="629"/>
      <c r="TSO363" s="268"/>
      <c r="TSQ363" s="262"/>
      <c r="TSR363" s="628"/>
      <c r="TSS363" s="419"/>
      <c r="TST363" s="223"/>
      <c r="TSU363" s="420"/>
      <c r="TSV363" s="266"/>
      <c r="TSW363" s="629"/>
      <c r="TSX363" s="268"/>
      <c r="TSZ363" s="262"/>
      <c r="TTA363" s="628"/>
      <c r="TTB363" s="419"/>
      <c r="TTC363" s="223"/>
      <c r="TTD363" s="420"/>
      <c r="TTE363" s="266"/>
      <c r="TTF363" s="629"/>
      <c r="TTG363" s="268"/>
      <c r="TTI363" s="262"/>
      <c r="TTJ363" s="628"/>
      <c r="TTK363" s="419"/>
      <c r="TTL363" s="223"/>
      <c r="TTM363" s="420"/>
      <c r="TTN363" s="266"/>
      <c r="TTO363" s="629"/>
      <c r="TTP363" s="268"/>
      <c r="TTR363" s="262"/>
      <c r="TTS363" s="628"/>
      <c r="TTT363" s="419"/>
      <c r="TTU363" s="223"/>
      <c r="TTV363" s="420"/>
      <c r="TTW363" s="266"/>
      <c r="TTX363" s="629"/>
      <c r="TTY363" s="268"/>
      <c r="TUA363" s="262"/>
      <c r="TUB363" s="628"/>
      <c r="TUC363" s="419"/>
      <c r="TUD363" s="223"/>
      <c r="TUE363" s="420"/>
      <c r="TUF363" s="266"/>
      <c r="TUG363" s="629"/>
      <c r="TUH363" s="268"/>
      <c r="TUJ363" s="262"/>
      <c r="TUK363" s="628"/>
      <c r="TUL363" s="419"/>
      <c r="TUM363" s="223"/>
      <c r="TUN363" s="420"/>
      <c r="TUO363" s="266"/>
      <c r="TUP363" s="629"/>
      <c r="TUQ363" s="268"/>
      <c r="TUS363" s="262"/>
      <c r="TUT363" s="628"/>
      <c r="TUU363" s="419"/>
      <c r="TUV363" s="223"/>
      <c r="TUW363" s="420"/>
      <c r="TUX363" s="266"/>
      <c r="TUY363" s="629"/>
      <c r="TUZ363" s="268"/>
      <c r="TVB363" s="262"/>
      <c r="TVC363" s="628"/>
      <c r="TVD363" s="419"/>
      <c r="TVE363" s="223"/>
      <c r="TVF363" s="420"/>
      <c r="TVG363" s="266"/>
      <c r="TVH363" s="629"/>
      <c r="TVI363" s="268"/>
      <c r="TVK363" s="262"/>
      <c r="TVL363" s="628"/>
      <c r="TVM363" s="419"/>
      <c r="TVN363" s="223"/>
      <c r="TVO363" s="420"/>
      <c r="TVP363" s="266"/>
      <c r="TVQ363" s="629"/>
      <c r="TVR363" s="268"/>
      <c r="TVT363" s="262"/>
      <c r="TVU363" s="628"/>
      <c r="TVV363" s="419"/>
      <c r="TVW363" s="223"/>
      <c r="TVX363" s="420"/>
      <c r="TVY363" s="266"/>
      <c r="TVZ363" s="629"/>
      <c r="TWA363" s="268"/>
      <c r="TWC363" s="262"/>
      <c r="TWD363" s="628"/>
      <c r="TWE363" s="419"/>
      <c r="TWF363" s="223"/>
      <c r="TWG363" s="420"/>
      <c r="TWH363" s="266"/>
      <c r="TWI363" s="629"/>
      <c r="TWJ363" s="268"/>
      <c r="TWL363" s="262"/>
      <c r="TWM363" s="628"/>
      <c r="TWN363" s="419"/>
      <c r="TWO363" s="223"/>
      <c r="TWP363" s="420"/>
      <c r="TWQ363" s="266"/>
      <c r="TWR363" s="629"/>
      <c r="TWS363" s="268"/>
      <c r="TWU363" s="262"/>
      <c r="TWV363" s="628"/>
      <c r="TWW363" s="419"/>
      <c r="TWX363" s="223"/>
      <c r="TWY363" s="420"/>
      <c r="TWZ363" s="266"/>
      <c r="TXA363" s="629"/>
      <c r="TXB363" s="268"/>
      <c r="TXD363" s="262"/>
      <c r="TXE363" s="628"/>
      <c r="TXF363" s="419"/>
      <c r="TXG363" s="223"/>
      <c r="TXH363" s="420"/>
      <c r="TXI363" s="266"/>
      <c r="TXJ363" s="629"/>
      <c r="TXK363" s="268"/>
      <c r="TXM363" s="262"/>
      <c r="TXN363" s="628"/>
      <c r="TXO363" s="419"/>
      <c r="TXP363" s="223"/>
      <c r="TXQ363" s="420"/>
      <c r="TXR363" s="266"/>
      <c r="TXS363" s="629"/>
      <c r="TXT363" s="268"/>
      <c r="TXV363" s="262"/>
      <c r="TXW363" s="628"/>
      <c r="TXX363" s="419"/>
      <c r="TXY363" s="223"/>
      <c r="TXZ363" s="420"/>
      <c r="TYA363" s="266"/>
      <c r="TYB363" s="629"/>
      <c r="TYC363" s="268"/>
      <c r="TYE363" s="262"/>
      <c r="TYF363" s="628"/>
      <c r="TYG363" s="419"/>
      <c r="TYH363" s="223"/>
      <c r="TYI363" s="420"/>
      <c r="TYJ363" s="266"/>
      <c r="TYK363" s="629"/>
      <c r="TYL363" s="268"/>
      <c r="TYN363" s="262"/>
      <c r="TYO363" s="628"/>
      <c r="TYP363" s="419"/>
      <c r="TYQ363" s="223"/>
      <c r="TYR363" s="420"/>
      <c r="TYS363" s="266"/>
      <c r="TYT363" s="629"/>
      <c r="TYU363" s="268"/>
      <c r="TYW363" s="262"/>
      <c r="TYX363" s="628"/>
      <c r="TYY363" s="419"/>
      <c r="TYZ363" s="223"/>
      <c r="TZA363" s="420"/>
      <c r="TZB363" s="266"/>
      <c r="TZC363" s="629"/>
      <c r="TZD363" s="268"/>
      <c r="TZF363" s="262"/>
      <c r="TZG363" s="628"/>
      <c r="TZH363" s="419"/>
      <c r="TZI363" s="223"/>
      <c r="TZJ363" s="420"/>
      <c r="TZK363" s="266"/>
      <c r="TZL363" s="629"/>
      <c r="TZM363" s="268"/>
      <c r="TZO363" s="262"/>
      <c r="TZP363" s="628"/>
      <c r="TZQ363" s="419"/>
      <c r="TZR363" s="223"/>
      <c r="TZS363" s="420"/>
      <c r="TZT363" s="266"/>
      <c r="TZU363" s="629"/>
      <c r="TZV363" s="268"/>
      <c r="TZX363" s="262"/>
      <c r="TZY363" s="628"/>
      <c r="TZZ363" s="419"/>
      <c r="UAA363" s="223"/>
      <c r="UAB363" s="420"/>
      <c r="UAC363" s="266"/>
      <c r="UAD363" s="629"/>
      <c r="UAE363" s="268"/>
      <c r="UAG363" s="262"/>
      <c r="UAH363" s="628"/>
      <c r="UAI363" s="419"/>
      <c r="UAJ363" s="223"/>
      <c r="UAK363" s="420"/>
      <c r="UAL363" s="266"/>
      <c r="UAM363" s="629"/>
      <c r="UAN363" s="268"/>
      <c r="UAP363" s="262"/>
      <c r="UAQ363" s="628"/>
      <c r="UAR363" s="419"/>
      <c r="UAS363" s="223"/>
      <c r="UAT363" s="420"/>
      <c r="UAU363" s="266"/>
      <c r="UAV363" s="629"/>
      <c r="UAW363" s="268"/>
      <c r="UAY363" s="262"/>
      <c r="UAZ363" s="628"/>
      <c r="UBA363" s="419"/>
      <c r="UBB363" s="223"/>
      <c r="UBC363" s="420"/>
      <c r="UBD363" s="266"/>
      <c r="UBE363" s="629"/>
      <c r="UBF363" s="268"/>
      <c r="UBH363" s="262"/>
      <c r="UBI363" s="628"/>
      <c r="UBJ363" s="419"/>
      <c r="UBK363" s="223"/>
      <c r="UBL363" s="420"/>
      <c r="UBM363" s="266"/>
      <c r="UBN363" s="629"/>
      <c r="UBO363" s="268"/>
      <c r="UBQ363" s="262"/>
      <c r="UBR363" s="628"/>
      <c r="UBS363" s="419"/>
      <c r="UBT363" s="223"/>
      <c r="UBU363" s="420"/>
      <c r="UBV363" s="266"/>
      <c r="UBW363" s="629"/>
      <c r="UBX363" s="268"/>
      <c r="UBZ363" s="262"/>
      <c r="UCA363" s="628"/>
      <c r="UCB363" s="419"/>
      <c r="UCC363" s="223"/>
      <c r="UCD363" s="420"/>
      <c r="UCE363" s="266"/>
      <c r="UCF363" s="629"/>
      <c r="UCG363" s="268"/>
      <c r="UCI363" s="262"/>
      <c r="UCJ363" s="628"/>
      <c r="UCK363" s="419"/>
      <c r="UCL363" s="223"/>
      <c r="UCM363" s="420"/>
      <c r="UCN363" s="266"/>
      <c r="UCO363" s="629"/>
      <c r="UCP363" s="268"/>
      <c r="UCR363" s="262"/>
      <c r="UCS363" s="628"/>
      <c r="UCT363" s="419"/>
      <c r="UCU363" s="223"/>
      <c r="UCV363" s="420"/>
      <c r="UCW363" s="266"/>
      <c r="UCX363" s="629"/>
      <c r="UCY363" s="268"/>
      <c r="UDA363" s="262"/>
      <c r="UDB363" s="628"/>
      <c r="UDC363" s="419"/>
      <c r="UDD363" s="223"/>
      <c r="UDE363" s="420"/>
      <c r="UDF363" s="266"/>
      <c r="UDG363" s="629"/>
      <c r="UDH363" s="268"/>
      <c r="UDJ363" s="262"/>
      <c r="UDK363" s="628"/>
      <c r="UDL363" s="419"/>
      <c r="UDM363" s="223"/>
      <c r="UDN363" s="420"/>
      <c r="UDO363" s="266"/>
      <c r="UDP363" s="629"/>
      <c r="UDQ363" s="268"/>
      <c r="UDS363" s="262"/>
      <c r="UDT363" s="628"/>
      <c r="UDU363" s="419"/>
      <c r="UDV363" s="223"/>
      <c r="UDW363" s="420"/>
      <c r="UDX363" s="266"/>
      <c r="UDY363" s="629"/>
      <c r="UDZ363" s="268"/>
      <c r="UEB363" s="262"/>
      <c r="UEC363" s="628"/>
      <c r="UED363" s="419"/>
      <c r="UEE363" s="223"/>
      <c r="UEF363" s="420"/>
      <c r="UEG363" s="266"/>
      <c r="UEH363" s="629"/>
      <c r="UEI363" s="268"/>
      <c r="UEK363" s="262"/>
      <c r="UEL363" s="628"/>
      <c r="UEM363" s="419"/>
      <c r="UEN363" s="223"/>
      <c r="UEO363" s="420"/>
      <c r="UEP363" s="266"/>
      <c r="UEQ363" s="629"/>
      <c r="UER363" s="268"/>
      <c r="UET363" s="262"/>
      <c r="UEU363" s="628"/>
      <c r="UEV363" s="419"/>
      <c r="UEW363" s="223"/>
      <c r="UEX363" s="420"/>
      <c r="UEY363" s="266"/>
      <c r="UEZ363" s="629"/>
      <c r="UFA363" s="268"/>
      <c r="UFC363" s="262"/>
      <c r="UFD363" s="628"/>
      <c r="UFE363" s="419"/>
      <c r="UFF363" s="223"/>
      <c r="UFG363" s="420"/>
      <c r="UFH363" s="266"/>
      <c r="UFI363" s="629"/>
      <c r="UFJ363" s="268"/>
      <c r="UFL363" s="262"/>
      <c r="UFM363" s="628"/>
      <c r="UFN363" s="419"/>
      <c r="UFO363" s="223"/>
      <c r="UFP363" s="420"/>
      <c r="UFQ363" s="266"/>
      <c r="UFR363" s="629"/>
      <c r="UFS363" s="268"/>
      <c r="UFU363" s="262"/>
      <c r="UFV363" s="628"/>
      <c r="UFW363" s="419"/>
      <c r="UFX363" s="223"/>
      <c r="UFY363" s="420"/>
      <c r="UFZ363" s="266"/>
      <c r="UGA363" s="629"/>
      <c r="UGB363" s="268"/>
      <c r="UGD363" s="262"/>
      <c r="UGE363" s="628"/>
      <c r="UGF363" s="419"/>
      <c r="UGG363" s="223"/>
      <c r="UGH363" s="420"/>
      <c r="UGI363" s="266"/>
      <c r="UGJ363" s="629"/>
      <c r="UGK363" s="268"/>
      <c r="UGM363" s="262"/>
      <c r="UGN363" s="628"/>
      <c r="UGO363" s="419"/>
      <c r="UGP363" s="223"/>
      <c r="UGQ363" s="420"/>
      <c r="UGR363" s="266"/>
      <c r="UGS363" s="629"/>
      <c r="UGT363" s="268"/>
      <c r="UGV363" s="262"/>
      <c r="UGW363" s="628"/>
      <c r="UGX363" s="419"/>
      <c r="UGY363" s="223"/>
      <c r="UGZ363" s="420"/>
      <c r="UHA363" s="266"/>
      <c r="UHB363" s="629"/>
      <c r="UHC363" s="268"/>
      <c r="UHE363" s="262"/>
      <c r="UHF363" s="628"/>
      <c r="UHG363" s="419"/>
      <c r="UHH363" s="223"/>
      <c r="UHI363" s="420"/>
      <c r="UHJ363" s="266"/>
      <c r="UHK363" s="629"/>
      <c r="UHL363" s="268"/>
      <c r="UHN363" s="262"/>
      <c r="UHO363" s="628"/>
      <c r="UHP363" s="419"/>
      <c r="UHQ363" s="223"/>
      <c r="UHR363" s="420"/>
      <c r="UHS363" s="266"/>
      <c r="UHT363" s="629"/>
      <c r="UHU363" s="268"/>
      <c r="UHW363" s="262"/>
      <c r="UHX363" s="628"/>
      <c r="UHY363" s="419"/>
      <c r="UHZ363" s="223"/>
      <c r="UIA363" s="420"/>
      <c r="UIB363" s="266"/>
      <c r="UIC363" s="629"/>
      <c r="UID363" s="268"/>
      <c r="UIF363" s="262"/>
      <c r="UIG363" s="628"/>
      <c r="UIH363" s="419"/>
      <c r="UII363" s="223"/>
      <c r="UIJ363" s="420"/>
      <c r="UIK363" s="266"/>
      <c r="UIL363" s="629"/>
      <c r="UIM363" s="268"/>
      <c r="UIO363" s="262"/>
      <c r="UIP363" s="628"/>
      <c r="UIQ363" s="419"/>
      <c r="UIR363" s="223"/>
      <c r="UIS363" s="420"/>
      <c r="UIT363" s="266"/>
      <c r="UIU363" s="629"/>
      <c r="UIV363" s="268"/>
      <c r="UIX363" s="262"/>
      <c r="UIY363" s="628"/>
      <c r="UIZ363" s="419"/>
      <c r="UJA363" s="223"/>
      <c r="UJB363" s="420"/>
      <c r="UJC363" s="266"/>
      <c r="UJD363" s="629"/>
      <c r="UJE363" s="268"/>
      <c r="UJG363" s="262"/>
      <c r="UJH363" s="628"/>
      <c r="UJI363" s="419"/>
      <c r="UJJ363" s="223"/>
      <c r="UJK363" s="420"/>
      <c r="UJL363" s="266"/>
      <c r="UJM363" s="629"/>
      <c r="UJN363" s="268"/>
      <c r="UJP363" s="262"/>
      <c r="UJQ363" s="628"/>
      <c r="UJR363" s="419"/>
      <c r="UJS363" s="223"/>
      <c r="UJT363" s="420"/>
      <c r="UJU363" s="266"/>
      <c r="UJV363" s="629"/>
      <c r="UJW363" s="268"/>
      <c r="UJY363" s="262"/>
      <c r="UJZ363" s="628"/>
      <c r="UKA363" s="419"/>
      <c r="UKB363" s="223"/>
      <c r="UKC363" s="420"/>
      <c r="UKD363" s="266"/>
      <c r="UKE363" s="629"/>
      <c r="UKF363" s="268"/>
      <c r="UKH363" s="262"/>
      <c r="UKI363" s="628"/>
      <c r="UKJ363" s="419"/>
      <c r="UKK363" s="223"/>
      <c r="UKL363" s="420"/>
      <c r="UKM363" s="266"/>
      <c r="UKN363" s="629"/>
      <c r="UKO363" s="268"/>
      <c r="UKQ363" s="262"/>
      <c r="UKR363" s="628"/>
      <c r="UKS363" s="419"/>
      <c r="UKT363" s="223"/>
      <c r="UKU363" s="420"/>
      <c r="UKV363" s="266"/>
      <c r="UKW363" s="629"/>
      <c r="UKX363" s="268"/>
      <c r="UKZ363" s="262"/>
      <c r="ULA363" s="628"/>
      <c r="ULB363" s="419"/>
      <c r="ULC363" s="223"/>
      <c r="ULD363" s="420"/>
      <c r="ULE363" s="266"/>
      <c r="ULF363" s="629"/>
      <c r="ULG363" s="268"/>
      <c r="ULI363" s="262"/>
      <c r="ULJ363" s="628"/>
      <c r="ULK363" s="419"/>
      <c r="ULL363" s="223"/>
      <c r="ULM363" s="420"/>
      <c r="ULN363" s="266"/>
      <c r="ULO363" s="629"/>
      <c r="ULP363" s="268"/>
      <c r="ULR363" s="262"/>
      <c r="ULS363" s="628"/>
      <c r="ULT363" s="419"/>
      <c r="ULU363" s="223"/>
      <c r="ULV363" s="420"/>
      <c r="ULW363" s="266"/>
      <c r="ULX363" s="629"/>
      <c r="ULY363" s="268"/>
      <c r="UMA363" s="262"/>
      <c r="UMB363" s="628"/>
      <c r="UMC363" s="419"/>
      <c r="UMD363" s="223"/>
      <c r="UME363" s="420"/>
      <c r="UMF363" s="266"/>
      <c r="UMG363" s="629"/>
      <c r="UMH363" s="268"/>
      <c r="UMJ363" s="262"/>
      <c r="UMK363" s="628"/>
      <c r="UML363" s="419"/>
      <c r="UMM363" s="223"/>
      <c r="UMN363" s="420"/>
      <c r="UMO363" s="266"/>
      <c r="UMP363" s="629"/>
      <c r="UMQ363" s="268"/>
      <c r="UMS363" s="262"/>
      <c r="UMT363" s="628"/>
      <c r="UMU363" s="419"/>
      <c r="UMV363" s="223"/>
      <c r="UMW363" s="420"/>
      <c r="UMX363" s="266"/>
      <c r="UMY363" s="629"/>
      <c r="UMZ363" s="268"/>
      <c r="UNB363" s="262"/>
      <c r="UNC363" s="628"/>
      <c r="UND363" s="419"/>
      <c r="UNE363" s="223"/>
      <c r="UNF363" s="420"/>
      <c r="UNG363" s="266"/>
      <c r="UNH363" s="629"/>
      <c r="UNI363" s="268"/>
      <c r="UNK363" s="262"/>
      <c r="UNL363" s="628"/>
      <c r="UNM363" s="419"/>
      <c r="UNN363" s="223"/>
      <c r="UNO363" s="420"/>
      <c r="UNP363" s="266"/>
      <c r="UNQ363" s="629"/>
      <c r="UNR363" s="268"/>
      <c r="UNT363" s="262"/>
      <c r="UNU363" s="628"/>
      <c r="UNV363" s="419"/>
      <c r="UNW363" s="223"/>
      <c r="UNX363" s="420"/>
      <c r="UNY363" s="266"/>
      <c r="UNZ363" s="629"/>
      <c r="UOA363" s="268"/>
      <c r="UOC363" s="262"/>
      <c r="UOD363" s="628"/>
      <c r="UOE363" s="419"/>
      <c r="UOF363" s="223"/>
      <c r="UOG363" s="420"/>
      <c r="UOH363" s="266"/>
      <c r="UOI363" s="629"/>
      <c r="UOJ363" s="268"/>
      <c r="UOL363" s="262"/>
      <c r="UOM363" s="628"/>
      <c r="UON363" s="419"/>
      <c r="UOO363" s="223"/>
      <c r="UOP363" s="420"/>
      <c r="UOQ363" s="266"/>
      <c r="UOR363" s="629"/>
      <c r="UOS363" s="268"/>
      <c r="UOU363" s="262"/>
      <c r="UOV363" s="628"/>
      <c r="UOW363" s="419"/>
      <c r="UOX363" s="223"/>
      <c r="UOY363" s="420"/>
      <c r="UOZ363" s="266"/>
      <c r="UPA363" s="629"/>
      <c r="UPB363" s="268"/>
      <c r="UPD363" s="262"/>
      <c r="UPE363" s="628"/>
      <c r="UPF363" s="419"/>
      <c r="UPG363" s="223"/>
      <c r="UPH363" s="420"/>
      <c r="UPI363" s="266"/>
      <c r="UPJ363" s="629"/>
      <c r="UPK363" s="268"/>
      <c r="UPM363" s="262"/>
      <c r="UPN363" s="628"/>
      <c r="UPO363" s="419"/>
      <c r="UPP363" s="223"/>
      <c r="UPQ363" s="420"/>
      <c r="UPR363" s="266"/>
      <c r="UPS363" s="629"/>
      <c r="UPT363" s="268"/>
      <c r="UPV363" s="262"/>
      <c r="UPW363" s="628"/>
      <c r="UPX363" s="419"/>
      <c r="UPY363" s="223"/>
      <c r="UPZ363" s="420"/>
      <c r="UQA363" s="266"/>
      <c r="UQB363" s="629"/>
      <c r="UQC363" s="268"/>
      <c r="UQE363" s="262"/>
      <c r="UQF363" s="628"/>
      <c r="UQG363" s="419"/>
      <c r="UQH363" s="223"/>
      <c r="UQI363" s="420"/>
      <c r="UQJ363" s="266"/>
      <c r="UQK363" s="629"/>
      <c r="UQL363" s="268"/>
      <c r="UQN363" s="262"/>
      <c r="UQO363" s="628"/>
      <c r="UQP363" s="419"/>
      <c r="UQQ363" s="223"/>
      <c r="UQR363" s="420"/>
      <c r="UQS363" s="266"/>
      <c r="UQT363" s="629"/>
      <c r="UQU363" s="268"/>
      <c r="UQW363" s="262"/>
      <c r="UQX363" s="628"/>
      <c r="UQY363" s="419"/>
      <c r="UQZ363" s="223"/>
      <c r="URA363" s="420"/>
      <c r="URB363" s="266"/>
      <c r="URC363" s="629"/>
      <c r="URD363" s="268"/>
      <c r="URF363" s="262"/>
      <c r="URG363" s="628"/>
      <c r="URH363" s="419"/>
      <c r="URI363" s="223"/>
      <c r="URJ363" s="420"/>
      <c r="URK363" s="266"/>
      <c r="URL363" s="629"/>
      <c r="URM363" s="268"/>
      <c r="URO363" s="262"/>
      <c r="URP363" s="628"/>
      <c r="URQ363" s="419"/>
      <c r="URR363" s="223"/>
      <c r="URS363" s="420"/>
      <c r="URT363" s="266"/>
      <c r="URU363" s="629"/>
      <c r="URV363" s="268"/>
      <c r="URX363" s="262"/>
      <c r="URY363" s="628"/>
      <c r="URZ363" s="419"/>
      <c r="USA363" s="223"/>
      <c r="USB363" s="420"/>
      <c r="USC363" s="266"/>
      <c r="USD363" s="629"/>
      <c r="USE363" s="268"/>
      <c r="USG363" s="262"/>
      <c r="USH363" s="628"/>
      <c r="USI363" s="419"/>
      <c r="USJ363" s="223"/>
      <c r="USK363" s="420"/>
      <c r="USL363" s="266"/>
      <c r="USM363" s="629"/>
      <c r="USN363" s="268"/>
      <c r="USP363" s="262"/>
      <c r="USQ363" s="628"/>
      <c r="USR363" s="419"/>
      <c r="USS363" s="223"/>
      <c r="UST363" s="420"/>
      <c r="USU363" s="266"/>
      <c r="USV363" s="629"/>
      <c r="USW363" s="268"/>
      <c r="USY363" s="262"/>
      <c r="USZ363" s="628"/>
      <c r="UTA363" s="419"/>
      <c r="UTB363" s="223"/>
      <c r="UTC363" s="420"/>
      <c r="UTD363" s="266"/>
      <c r="UTE363" s="629"/>
      <c r="UTF363" s="268"/>
      <c r="UTH363" s="262"/>
      <c r="UTI363" s="628"/>
      <c r="UTJ363" s="419"/>
      <c r="UTK363" s="223"/>
      <c r="UTL363" s="420"/>
      <c r="UTM363" s="266"/>
      <c r="UTN363" s="629"/>
      <c r="UTO363" s="268"/>
      <c r="UTQ363" s="262"/>
      <c r="UTR363" s="628"/>
      <c r="UTS363" s="419"/>
      <c r="UTT363" s="223"/>
      <c r="UTU363" s="420"/>
      <c r="UTV363" s="266"/>
      <c r="UTW363" s="629"/>
      <c r="UTX363" s="268"/>
      <c r="UTZ363" s="262"/>
      <c r="UUA363" s="628"/>
      <c r="UUB363" s="419"/>
      <c r="UUC363" s="223"/>
      <c r="UUD363" s="420"/>
      <c r="UUE363" s="266"/>
      <c r="UUF363" s="629"/>
      <c r="UUG363" s="268"/>
      <c r="UUI363" s="262"/>
      <c r="UUJ363" s="628"/>
      <c r="UUK363" s="419"/>
      <c r="UUL363" s="223"/>
      <c r="UUM363" s="420"/>
      <c r="UUN363" s="266"/>
      <c r="UUO363" s="629"/>
      <c r="UUP363" s="268"/>
      <c r="UUR363" s="262"/>
      <c r="UUS363" s="628"/>
      <c r="UUT363" s="419"/>
      <c r="UUU363" s="223"/>
      <c r="UUV363" s="420"/>
      <c r="UUW363" s="266"/>
      <c r="UUX363" s="629"/>
      <c r="UUY363" s="268"/>
      <c r="UVA363" s="262"/>
      <c r="UVB363" s="628"/>
      <c r="UVC363" s="419"/>
      <c r="UVD363" s="223"/>
      <c r="UVE363" s="420"/>
      <c r="UVF363" s="266"/>
      <c r="UVG363" s="629"/>
      <c r="UVH363" s="268"/>
      <c r="UVJ363" s="262"/>
      <c r="UVK363" s="628"/>
      <c r="UVL363" s="419"/>
      <c r="UVM363" s="223"/>
      <c r="UVN363" s="420"/>
      <c r="UVO363" s="266"/>
      <c r="UVP363" s="629"/>
      <c r="UVQ363" s="268"/>
      <c r="UVS363" s="262"/>
      <c r="UVT363" s="628"/>
      <c r="UVU363" s="419"/>
      <c r="UVV363" s="223"/>
      <c r="UVW363" s="420"/>
      <c r="UVX363" s="266"/>
      <c r="UVY363" s="629"/>
      <c r="UVZ363" s="268"/>
      <c r="UWB363" s="262"/>
      <c r="UWC363" s="628"/>
      <c r="UWD363" s="419"/>
      <c r="UWE363" s="223"/>
      <c r="UWF363" s="420"/>
      <c r="UWG363" s="266"/>
      <c r="UWH363" s="629"/>
      <c r="UWI363" s="268"/>
      <c r="UWK363" s="262"/>
      <c r="UWL363" s="628"/>
      <c r="UWM363" s="419"/>
      <c r="UWN363" s="223"/>
      <c r="UWO363" s="420"/>
      <c r="UWP363" s="266"/>
      <c r="UWQ363" s="629"/>
      <c r="UWR363" s="268"/>
      <c r="UWT363" s="262"/>
      <c r="UWU363" s="628"/>
      <c r="UWV363" s="419"/>
      <c r="UWW363" s="223"/>
      <c r="UWX363" s="420"/>
      <c r="UWY363" s="266"/>
      <c r="UWZ363" s="629"/>
      <c r="UXA363" s="268"/>
      <c r="UXC363" s="262"/>
      <c r="UXD363" s="628"/>
      <c r="UXE363" s="419"/>
      <c r="UXF363" s="223"/>
      <c r="UXG363" s="420"/>
      <c r="UXH363" s="266"/>
      <c r="UXI363" s="629"/>
      <c r="UXJ363" s="268"/>
      <c r="UXL363" s="262"/>
      <c r="UXM363" s="628"/>
      <c r="UXN363" s="419"/>
      <c r="UXO363" s="223"/>
      <c r="UXP363" s="420"/>
      <c r="UXQ363" s="266"/>
      <c r="UXR363" s="629"/>
      <c r="UXS363" s="268"/>
      <c r="UXU363" s="262"/>
      <c r="UXV363" s="628"/>
      <c r="UXW363" s="419"/>
      <c r="UXX363" s="223"/>
      <c r="UXY363" s="420"/>
      <c r="UXZ363" s="266"/>
      <c r="UYA363" s="629"/>
      <c r="UYB363" s="268"/>
      <c r="UYD363" s="262"/>
      <c r="UYE363" s="628"/>
      <c r="UYF363" s="419"/>
      <c r="UYG363" s="223"/>
      <c r="UYH363" s="420"/>
      <c r="UYI363" s="266"/>
      <c r="UYJ363" s="629"/>
      <c r="UYK363" s="268"/>
      <c r="UYM363" s="262"/>
      <c r="UYN363" s="628"/>
      <c r="UYO363" s="419"/>
      <c r="UYP363" s="223"/>
      <c r="UYQ363" s="420"/>
      <c r="UYR363" s="266"/>
      <c r="UYS363" s="629"/>
      <c r="UYT363" s="268"/>
      <c r="UYV363" s="262"/>
      <c r="UYW363" s="628"/>
      <c r="UYX363" s="419"/>
      <c r="UYY363" s="223"/>
      <c r="UYZ363" s="420"/>
      <c r="UZA363" s="266"/>
      <c r="UZB363" s="629"/>
      <c r="UZC363" s="268"/>
      <c r="UZE363" s="262"/>
      <c r="UZF363" s="628"/>
      <c r="UZG363" s="419"/>
      <c r="UZH363" s="223"/>
      <c r="UZI363" s="420"/>
      <c r="UZJ363" s="266"/>
      <c r="UZK363" s="629"/>
      <c r="UZL363" s="268"/>
      <c r="UZN363" s="262"/>
      <c r="UZO363" s="628"/>
      <c r="UZP363" s="419"/>
      <c r="UZQ363" s="223"/>
      <c r="UZR363" s="420"/>
      <c r="UZS363" s="266"/>
      <c r="UZT363" s="629"/>
      <c r="UZU363" s="268"/>
      <c r="UZW363" s="262"/>
      <c r="UZX363" s="628"/>
      <c r="UZY363" s="419"/>
      <c r="UZZ363" s="223"/>
      <c r="VAA363" s="420"/>
      <c r="VAB363" s="266"/>
      <c r="VAC363" s="629"/>
      <c r="VAD363" s="268"/>
      <c r="VAF363" s="262"/>
      <c r="VAG363" s="628"/>
      <c r="VAH363" s="419"/>
      <c r="VAI363" s="223"/>
      <c r="VAJ363" s="420"/>
      <c r="VAK363" s="266"/>
      <c r="VAL363" s="629"/>
      <c r="VAM363" s="268"/>
      <c r="VAO363" s="262"/>
      <c r="VAP363" s="628"/>
      <c r="VAQ363" s="419"/>
      <c r="VAR363" s="223"/>
      <c r="VAS363" s="420"/>
      <c r="VAT363" s="266"/>
      <c r="VAU363" s="629"/>
      <c r="VAV363" s="268"/>
      <c r="VAX363" s="262"/>
      <c r="VAY363" s="628"/>
      <c r="VAZ363" s="419"/>
      <c r="VBA363" s="223"/>
      <c r="VBB363" s="420"/>
      <c r="VBC363" s="266"/>
      <c r="VBD363" s="629"/>
      <c r="VBE363" s="268"/>
      <c r="VBG363" s="262"/>
      <c r="VBH363" s="628"/>
      <c r="VBI363" s="419"/>
      <c r="VBJ363" s="223"/>
      <c r="VBK363" s="420"/>
      <c r="VBL363" s="266"/>
      <c r="VBM363" s="629"/>
      <c r="VBN363" s="268"/>
      <c r="VBP363" s="262"/>
      <c r="VBQ363" s="628"/>
      <c r="VBR363" s="419"/>
      <c r="VBS363" s="223"/>
      <c r="VBT363" s="420"/>
      <c r="VBU363" s="266"/>
      <c r="VBV363" s="629"/>
      <c r="VBW363" s="268"/>
      <c r="VBY363" s="262"/>
      <c r="VBZ363" s="628"/>
      <c r="VCA363" s="419"/>
      <c r="VCB363" s="223"/>
      <c r="VCC363" s="420"/>
      <c r="VCD363" s="266"/>
      <c r="VCE363" s="629"/>
      <c r="VCF363" s="268"/>
      <c r="VCH363" s="262"/>
      <c r="VCI363" s="628"/>
      <c r="VCJ363" s="419"/>
      <c r="VCK363" s="223"/>
      <c r="VCL363" s="420"/>
      <c r="VCM363" s="266"/>
      <c r="VCN363" s="629"/>
      <c r="VCO363" s="268"/>
      <c r="VCQ363" s="262"/>
      <c r="VCR363" s="628"/>
      <c r="VCS363" s="419"/>
      <c r="VCT363" s="223"/>
      <c r="VCU363" s="420"/>
      <c r="VCV363" s="266"/>
      <c r="VCW363" s="629"/>
      <c r="VCX363" s="268"/>
      <c r="VCZ363" s="262"/>
      <c r="VDA363" s="628"/>
      <c r="VDB363" s="419"/>
      <c r="VDC363" s="223"/>
      <c r="VDD363" s="420"/>
      <c r="VDE363" s="266"/>
      <c r="VDF363" s="629"/>
      <c r="VDG363" s="268"/>
      <c r="VDI363" s="262"/>
      <c r="VDJ363" s="628"/>
      <c r="VDK363" s="419"/>
      <c r="VDL363" s="223"/>
      <c r="VDM363" s="420"/>
      <c r="VDN363" s="266"/>
      <c r="VDO363" s="629"/>
      <c r="VDP363" s="268"/>
      <c r="VDR363" s="262"/>
      <c r="VDS363" s="628"/>
      <c r="VDT363" s="419"/>
      <c r="VDU363" s="223"/>
      <c r="VDV363" s="420"/>
      <c r="VDW363" s="266"/>
      <c r="VDX363" s="629"/>
      <c r="VDY363" s="268"/>
      <c r="VEA363" s="262"/>
      <c r="VEB363" s="628"/>
      <c r="VEC363" s="419"/>
      <c r="VED363" s="223"/>
      <c r="VEE363" s="420"/>
      <c r="VEF363" s="266"/>
      <c r="VEG363" s="629"/>
      <c r="VEH363" s="268"/>
      <c r="VEJ363" s="262"/>
      <c r="VEK363" s="628"/>
      <c r="VEL363" s="419"/>
      <c r="VEM363" s="223"/>
      <c r="VEN363" s="420"/>
      <c r="VEO363" s="266"/>
      <c r="VEP363" s="629"/>
      <c r="VEQ363" s="268"/>
      <c r="VES363" s="262"/>
      <c r="VET363" s="628"/>
      <c r="VEU363" s="419"/>
      <c r="VEV363" s="223"/>
      <c r="VEW363" s="420"/>
      <c r="VEX363" s="266"/>
      <c r="VEY363" s="629"/>
      <c r="VEZ363" s="268"/>
      <c r="VFB363" s="262"/>
      <c r="VFC363" s="628"/>
      <c r="VFD363" s="419"/>
      <c r="VFE363" s="223"/>
      <c r="VFF363" s="420"/>
      <c r="VFG363" s="266"/>
      <c r="VFH363" s="629"/>
      <c r="VFI363" s="268"/>
      <c r="VFK363" s="262"/>
      <c r="VFL363" s="628"/>
      <c r="VFM363" s="419"/>
      <c r="VFN363" s="223"/>
      <c r="VFO363" s="420"/>
      <c r="VFP363" s="266"/>
      <c r="VFQ363" s="629"/>
      <c r="VFR363" s="268"/>
      <c r="VFT363" s="262"/>
      <c r="VFU363" s="628"/>
      <c r="VFV363" s="419"/>
      <c r="VFW363" s="223"/>
      <c r="VFX363" s="420"/>
      <c r="VFY363" s="266"/>
      <c r="VFZ363" s="629"/>
      <c r="VGA363" s="268"/>
      <c r="VGC363" s="262"/>
      <c r="VGD363" s="628"/>
      <c r="VGE363" s="419"/>
      <c r="VGF363" s="223"/>
      <c r="VGG363" s="420"/>
      <c r="VGH363" s="266"/>
      <c r="VGI363" s="629"/>
      <c r="VGJ363" s="268"/>
      <c r="VGL363" s="262"/>
      <c r="VGM363" s="628"/>
      <c r="VGN363" s="419"/>
      <c r="VGO363" s="223"/>
      <c r="VGP363" s="420"/>
      <c r="VGQ363" s="266"/>
      <c r="VGR363" s="629"/>
      <c r="VGS363" s="268"/>
      <c r="VGU363" s="262"/>
      <c r="VGV363" s="628"/>
      <c r="VGW363" s="419"/>
      <c r="VGX363" s="223"/>
      <c r="VGY363" s="420"/>
      <c r="VGZ363" s="266"/>
      <c r="VHA363" s="629"/>
      <c r="VHB363" s="268"/>
      <c r="VHD363" s="262"/>
      <c r="VHE363" s="628"/>
      <c r="VHF363" s="419"/>
      <c r="VHG363" s="223"/>
      <c r="VHH363" s="420"/>
      <c r="VHI363" s="266"/>
      <c r="VHJ363" s="629"/>
      <c r="VHK363" s="268"/>
      <c r="VHM363" s="262"/>
      <c r="VHN363" s="628"/>
      <c r="VHO363" s="419"/>
      <c r="VHP363" s="223"/>
      <c r="VHQ363" s="420"/>
      <c r="VHR363" s="266"/>
      <c r="VHS363" s="629"/>
      <c r="VHT363" s="268"/>
      <c r="VHV363" s="262"/>
      <c r="VHW363" s="628"/>
      <c r="VHX363" s="419"/>
      <c r="VHY363" s="223"/>
      <c r="VHZ363" s="420"/>
      <c r="VIA363" s="266"/>
      <c r="VIB363" s="629"/>
      <c r="VIC363" s="268"/>
      <c r="VIE363" s="262"/>
      <c r="VIF363" s="628"/>
      <c r="VIG363" s="419"/>
      <c r="VIH363" s="223"/>
      <c r="VII363" s="420"/>
      <c r="VIJ363" s="266"/>
      <c r="VIK363" s="629"/>
      <c r="VIL363" s="268"/>
      <c r="VIN363" s="262"/>
      <c r="VIO363" s="628"/>
      <c r="VIP363" s="419"/>
      <c r="VIQ363" s="223"/>
      <c r="VIR363" s="420"/>
      <c r="VIS363" s="266"/>
      <c r="VIT363" s="629"/>
      <c r="VIU363" s="268"/>
      <c r="VIW363" s="262"/>
      <c r="VIX363" s="628"/>
      <c r="VIY363" s="419"/>
      <c r="VIZ363" s="223"/>
      <c r="VJA363" s="420"/>
      <c r="VJB363" s="266"/>
      <c r="VJC363" s="629"/>
      <c r="VJD363" s="268"/>
      <c r="VJF363" s="262"/>
      <c r="VJG363" s="628"/>
      <c r="VJH363" s="419"/>
      <c r="VJI363" s="223"/>
      <c r="VJJ363" s="420"/>
      <c r="VJK363" s="266"/>
      <c r="VJL363" s="629"/>
      <c r="VJM363" s="268"/>
      <c r="VJO363" s="262"/>
      <c r="VJP363" s="628"/>
      <c r="VJQ363" s="419"/>
      <c r="VJR363" s="223"/>
      <c r="VJS363" s="420"/>
      <c r="VJT363" s="266"/>
      <c r="VJU363" s="629"/>
      <c r="VJV363" s="268"/>
      <c r="VJX363" s="262"/>
      <c r="VJY363" s="628"/>
      <c r="VJZ363" s="419"/>
      <c r="VKA363" s="223"/>
      <c r="VKB363" s="420"/>
      <c r="VKC363" s="266"/>
      <c r="VKD363" s="629"/>
      <c r="VKE363" s="268"/>
      <c r="VKG363" s="262"/>
      <c r="VKH363" s="628"/>
      <c r="VKI363" s="419"/>
      <c r="VKJ363" s="223"/>
      <c r="VKK363" s="420"/>
      <c r="VKL363" s="266"/>
      <c r="VKM363" s="629"/>
      <c r="VKN363" s="268"/>
      <c r="VKP363" s="262"/>
      <c r="VKQ363" s="628"/>
      <c r="VKR363" s="419"/>
      <c r="VKS363" s="223"/>
      <c r="VKT363" s="420"/>
      <c r="VKU363" s="266"/>
      <c r="VKV363" s="629"/>
      <c r="VKW363" s="268"/>
      <c r="VKY363" s="262"/>
      <c r="VKZ363" s="628"/>
      <c r="VLA363" s="419"/>
      <c r="VLB363" s="223"/>
      <c r="VLC363" s="420"/>
      <c r="VLD363" s="266"/>
      <c r="VLE363" s="629"/>
      <c r="VLF363" s="268"/>
      <c r="VLH363" s="262"/>
      <c r="VLI363" s="628"/>
      <c r="VLJ363" s="419"/>
      <c r="VLK363" s="223"/>
      <c r="VLL363" s="420"/>
      <c r="VLM363" s="266"/>
      <c r="VLN363" s="629"/>
      <c r="VLO363" s="268"/>
      <c r="VLQ363" s="262"/>
      <c r="VLR363" s="628"/>
      <c r="VLS363" s="419"/>
      <c r="VLT363" s="223"/>
      <c r="VLU363" s="420"/>
      <c r="VLV363" s="266"/>
      <c r="VLW363" s="629"/>
      <c r="VLX363" s="268"/>
      <c r="VLZ363" s="262"/>
      <c r="VMA363" s="628"/>
      <c r="VMB363" s="419"/>
      <c r="VMC363" s="223"/>
      <c r="VMD363" s="420"/>
      <c r="VME363" s="266"/>
      <c r="VMF363" s="629"/>
      <c r="VMG363" s="268"/>
      <c r="VMI363" s="262"/>
      <c r="VMJ363" s="628"/>
      <c r="VMK363" s="419"/>
      <c r="VML363" s="223"/>
      <c r="VMM363" s="420"/>
      <c r="VMN363" s="266"/>
      <c r="VMO363" s="629"/>
      <c r="VMP363" s="268"/>
      <c r="VMR363" s="262"/>
      <c r="VMS363" s="628"/>
      <c r="VMT363" s="419"/>
      <c r="VMU363" s="223"/>
      <c r="VMV363" s="420"/>
      <c r="VMW363" s="266"/>
      <c r="VMX363" s="629"/>
      <c r="VMY363" s="268"/>
      <c r="VNA363" s="262"/>
      <c r="VNB363" s="628"/>
      <c r="VNC363" s="419"/>
      <c r="VND363" s="223"/>
      <c r="VNE363" s="420"/>
      <c r="VNF363" s="266"/>
      <c r="VNG363" s="629"/>
      <c r="VNH363" s="268"/>
      <c r="VNJ363" s="262"/>
      <c r="VNK363" s="628"/>
      <c r="VNL363" s="419"/>
      <c r="VNM363" s="223"/>
      <c r="VNN363" s="420"/>
      <c r="VNO363" s="266"/>
      <c r="VNP363" s="629"/>
      <c r="VNQ363" s="268"/>
      <c r="VNS363" s="262"/>
      <c r="VNT363" s="628"/>
      <c r="VNU363" s="419"/>
      <c r="VNV363" s="223"/>
      <c r="VNW363" s="420"/>
      <c r="VNX363" s="266"/>
      <c r="VNY363" s="629"/>
      <c r="VNZ363" s="268"/>
      <c r="VOB363" s="262"/>
      <c r="VOC363" s="628"/>
      <c r="VOD363" s="419"/>
      <c r="VOE363" s="223"/>
      <c r="VOF363" s="420"/>
      <c r="VOG363" s="266"/>
      <c r="VOH363" s="629"/>
      <c r="VOI363" s="268"/>
      <c r="VOK363" s="262"/>
      <c r="VOL363" s="628"/>
      <c r="VOM363" s="419"/>
      <c r="VON363" s="223"/>
      <c r="VOO363" s="420"/>
      <c r="VOP363" s="266"/>
      <c r="VOQ363" s="629"/>
      <c r="VOR363" s="268"/>
      <c r="VOT363" s="262"/>
      <c r="VOU363" s="628"/>
      <c r="VOV363" s="419"/>
      <c r="VOW363" s="223"/>
      <c r="VOX363" s="420"/>
      <c r="VOY363" s="266"/>
      <c r="VOZ363" s="629"/>
      <c r="VPA363" s="268"/>
      <c r="VPC363" s="262"/>
      <c r="VPD363" s="628"/>
      <c r="VPE363" s="419"/>
      <c r="VPF363" s="223"/>
      <c r="VPG363" s="420"/>
      <c r="VPH363" s="266"/>
      <c r="VPI363" s="629"/>
      <c r="VPJ363" s="268"/>
      <c r="VPL363" s="262"/>
      <c r="VPM363" s="628"/>
      <c r="VPN363" s="419"/>
      <c r="VPO363" s="223"/>
      <c r="VPP363" s="420"/>
      <c r="VPQ363" s="266"/>
      <c r="VPR363" s="629"/>
      <c r="VPS363" s="268"/>
      <c r="VPU363" s="262"/>
      <c r="VPV363" s="628"/>
      <c r="VPW363" s="419"/>
      <c r="VPX363" s="223"/>
      <c r="VPY363" s="420"/>
      <c r="VPZ363" s="266"/>
      <c r="VQA363" s="629"/>
      <c r="VQB363" s="268"/>
      <c r="VQD363" s="262"/>
      <c r="VQE363" s="628"/>
      <c r="VQF363" s="419"/>
      <c r="VQG363" s="223"/>
      <c r="VQH363" s="420"/>
      <c r="VQI363" s="266"/>
      <c r="VQJ363" s="629"/>
      <c r="VQK363" s="268"/>
      <c r="VQM363" s="262"/>
      <c r="VQN363" s="628"/>
      <c r="VQO363" s="419"/>
      <c r="VQP363" s="223"/>
      <c r="VQQ363" s="420"/>
      <c r="VQR363" s="266"/>
      <c r="VQS363" s="629"/>
      <c r="VQT363" s="268"/>
      <c r="VQV363" s="262"/>
      <c r="VQW363" s="628"/>
      <c r="VQX363" s="419"/>
      <c r="VQY363" s="223"/>
      <c r="VQZ363" s="420"/>
      <c r="VRA363" s="266"/>
      <c r="VRB363" s="629"/>
      <c r="VRC363" s="268"/>
      <c r="VRE363" s="262"/>
      <c r="VRF363" s="628"/>
      <c r="VRG363" s="419"/>
      <c r="VRH363" s="223"/>
      <c r="VRI363" s="420"/>
      <c r="VRJ363" s="266"/>
      <c r="VRK363" s="629"/>
      <c r="VRL363" s="268"/>
      <c r="VRN363" s="262"/>
      <c r="VRO363" s="628"/>
      <c r="VRP363" s="419"/>
      <c r="VRQ363" s="223"/>
      <c r="VRR363" s="420"/>
      <c r="VRS363" s="266"/>
      <c r="VRT363" s="629"/>
      <c r="VRU363" s="268"/>
      <c r="VRW363" s="262"/>
      <c r="VRX363" s="628"/>
      <c r="VRY363" s="419"/>
      <c r="VRZ363" s="223"/>
      <c r="VSA363" s="420"/>
      <c r="VSB363" s="266"/>
      <c r="VSC363" s="629"/>
      <c r="VSD363" s="268"/>
      <c r="VSF363" s="262"/>
      <c r="VSG363" s="628"/>
      <c r="VSH363" s="419"/>
      <c r="VSI363" s="223"/>
      <c r="VSJ363" s="420"/>
      <c r="VSK363" s="266"/>
      <c r="VSL363" s="629"/>
      <c r="VSM363" s="268"/>
      <c r="VSO363" s="262"/>
      <c r="VSP363" s="628"/>
      <c r="VSQ363" s="419"/>
      <c r="VSR363" s="223"/>
      <c r="VSS363" s="420"/>
      <c r="VST363" s="266"/>
      <c r="VSU363" s="629"/>
      <c r="VSV363" s="268"/>
      <c r="VSX363" s="262"/>
      <c r="VSY363" s="628"/>
      <c r="VSZ363" s="419"/>
      <c r="VTA363" s="223"/>
      <c r="VTB363" s="420"/>
      <c r="VTC363" s="266"/>
      <c r="VTD363" s="629"/>
      <c r="VTE363" s="268"/>
      <c r="VTG363" s="262"/>
      <c r="VTH363" s="628"/>
      <c r="VTI363" s="419"/>
      <c r="VTJ363" s="223"/>
      <c r="VTK363" s="420"/>
      <c r="VTL363" s="266"/>
      <c r="VTM363" s="629"/>
      <c r="VTN363" s="268"/>
      <c r="VTP363" s="262"/>
      <c r="VTQ363" s="628"/>
      <c r="VTR363" s="419"/>
      <c r="VTS363" s="223"/>
      <c r="VTT363" s="420"/>
      <c r="VTU363" s="266"/>
      <c r="VTV363" s="629"/>
      <c r="VTW363" s="268"/>
      <c r="VTY363" s="262"/>
      <c r="VTZ363" s="628"/>
      <c r="VUA363" s="419"/>
      <c r="VUB363" s="223"/>
      <c r="VUC363" s="420"/>
      <c r="VUD363" s="266"/>
      <c r="VUE363" s="629"/>
      <c r="VUF363" s="268"/>
      <c r="VUH363" s="262"/>
      <c r="VUI363" s="628"/>
      <c r="VUJ363" s="419"/>
      <c r="VUK363" s="223"/>
      <c r="VUL363" s="420"/>
      <c r="VUM363" s="266"/>
      <c r="VUN363" s="629"/>
      <c r="VUO363" s="268"/>
      <c r="VUQ363" s="262"/>
      <c r="VUR363" s="628"/>
      <c r="VUS363" s="419"/>
      <c r="VUT363" s="223"/>
      <c r="VUU363" s="420"/>
      <c r="VUV363" s="266"/>
      <c r="VUW363" s="629"/>
      <c r="VUX363" s="268"/>
      <c r="VUZ363" s="262"/>
      <c r="VVA363" s="628"/>
      <c r="VVB363" s="419"/>
      <c r="VVC363" s="223"/>
      <c r="VVD363" s="420"/>
      <c r="VVE363" s="266"/>
      <c r="VVF363" s="629"/>
      <c r="VVG363" s="268"/>
      <c r="VVI363" s="262"/>
      <c r="VVJ363" s="628"/>
      <c r="VVK363" s="419"/>
      <c r="VVL363" s="223"/>
      <c r="VVM363" s="420"/>
      <c r="VVN363" s="266"/>
      <c r="VVO363" s="629"/>
      <c r="VVP363" s="268"/>
      <c r="VVR363" s="262"/>
      <c r="VVS363" s="628"/>
      <c r="VVT363" s="419"/>
      <c r="VVU363" s="223"/>
      <c r="VVV363" s="420"/>
      <c r="VVW363" s="266"/>
      <c r="VVX363" s="629"/>
      <c r="VVY363" s="268"/>
      <c r="VWA363" s="262"/>
      <c r="VWB363" s="628"/>
      <c r="VWC363" s="419"/>
      <c r="VWD363" s="223"/>
      <c r="VWE363" s="420"/>
      <c r="VWF363" s="266"/>
      <c r="VWG363" s="629"/>
      <c r="VWH363" s="268"/>
      <c r="VWJ363" s="262"/>
      <c r="VWK363" s="628"/>
      <c r="VWL363" s="419"/>
      <c r="VWM363" s="223"/>
      <c r="VWN363" s="420"/>
      <c r="VWO363" s="266"/>
      <c r="VWP363" s="629"/>
      <c r="VWQ363" s="268"/>
      <c r="VWS363" s="262"/>
      <c r="VWT363" s="628"/>
      <c r="VWU363" s="419"/>
      <c r="VWV363" s="223"/>
      <c r="VWW363" s="420"/>
      <c r="VWX363" s="266"/>
      <c r="VWY363" s="629"/>
      <c r="VWZ363" s="268"/>
      <c r="VXB363" s="262"/>
      <c r="VXC363" s="628"/>
      <c r="VXD363" s="419"/>
      <c r="VXE363" s="223"/>
      <c r="VXF363" s="420"/>
      <c r="VXG363" s="266"/>
      <c r="VXH363" s="629"/>
      <c r="VXI363" s="268"/>
      <c r="VXK363" s="262"/>
      <c r="VXL363" s="628"/>
      <c r="VXM363" s="419"/>
      <c r="VXN363" s="223"/>
      <c r="VXO363" s="420"/>
      <c r="VXP363" s="266"/>
      <c r="VXQ363" s="629"/>
      <c r="VXR363" s="268"/>
      <c r="VXT363" s="262"/>
      <c r="VXU363" s="628"/>
      <c r="VXV363" s="419"/>
      <c r="VXW363" s="223"/>
      <c r="VXX363" s="420"/>
      <c r="VXY363" s="266"/>
      <c r="VXZ363" s="629"/>
      <c r="VYA363" s="268"/>
      <c r="VYC363" s="262"/>
      <c r="VYD363" s="628"/>
      <c r="VYE363" s="419"/>
      <c r="VYF363" s="223"/>
      <c r="VYG363" s="420"/>
      <c r="VYH363" s="266"/>
      <c r="VYI363" s="629"/>
      <c r="VYJ363" s="268"/>
      <c r="VYL363" s="262"/>
      <c r="VYM363" s="628"/>
      <c r="VYN363" s="419"/>
      <c r="VYO363" s="223"/>
      <c r="VYP363" s="420"/>
      <c r="VYQ363" s="266"/>
      <c r="VYR363" s="629"/>
      <c r="VYS363" s="268"/>
      <c r="VYU363" s="262"/>
      <c r="VYV363" s="628"/>
      <c r="VYW363" s="419"/>
      <c r="VYX363" s="223"/>
      <c r="VYY363" s="420"/>
      <c r="VYZ363" s="266"/>
      <c r="VZA363" s="629"/>
      <c r="VZB363" s="268"/>
      <c r="VZD363" s="262"/>
      <c r="VZE363" s="628"/>
      <c r="VZF363" s="419"/>
      <c r="VZG363" s="223"/>
      <c r="VZH363" s="420"/>
      <c r="VZI363" s="266"/>
      <c r="VZJ363" s="629"/>
      <c r="VZK363" s="268"/>
      <c r="VZM363" s="262"/>
      <c r="VZN363" s="628"/>
      <c r="VZO363" s="419"/>
      <c r="VZP363" s="223"/>
      <c r="VZQ363" s="420"/>
      <c r="VZR363" s="266"/>
      <c r="VZS363" s="629"/>
      <c r="VZT363" s="268"/>
      <c r="VZV363" s="262"/>
      <c r="VZW363" s="628"/>
      <c r="VZX363" s="419"/>
      <c r="VZY363" s="223"/>
      <c r="VZZ363" s="420"/>
      <c r="WAA363" s="266"/>
      <c r="WAB363" s="629"/>
      <c r="WAC363" s="268"/>
      <c r="WAE363" s="262"/>
      <c r="WAF363" s="628"/>
      <c r="WAG363" s="419"/>
      <c r="WAH363" s="223"/>
      <c r="WAI363" s="420"/>
      <c r="WAJ363" s="266"/>
      <c r="WAK363" s="629"/>
      <c r="WAL363" s="268"/>
      <c r="WAN363" s="262"/>
      <c r="WAO363" s="628"/>
      <c r="WAP363" s="419"/>
      <c r="WAQ363" s="223"/>
      <c r="WAR363" s="420"/>
      <c r="WAS363" s="266"/>
      <c r="WAT363" s="629"/>
      <c r="WAU363" s="268"/>
      <c r="WAW363" s="262"/>
      <c r="WAX363" s="628"/>
      <c r="WAY363" s="419"/>
      <c r="WAZ363" s="223"/>
      <c r="WBA363" s="420"/>
      <c r="WBB363" s="266"/>
      <c r="WBC363" s="629"/>
      <c r="WBD363" s="268"/>
      <c r="WBF363" s="262"/>
      <c r="WBG363" s="628"/>
      <c r="WBH363" s="419"/>
      <c r="WBI363" s="223"/>
      <c r="WBJ363" s="420"/>
      <c r="WBK363" s="266"/>
      <c r="WBL363" s="629"/>
      <c r="WBM363" s="268"/>
      <c r="WBO363" s="262"/>
      <c r="WBP363" s="628"/>
      <c r="WBQ363" s="419"/>
      <c r="WBR363" s="223"/>
      <c r="WBS363" s="420"/>
      <c r="WBT363" s="266"/>
      <c r="WBU363" s="629"/>
      <c r="WBV363" s="268"/>
      <c r="WBX363" s="262"/>
      <c r="WBY363" s="628"/>
      <c r="WBZ363" s="419"/>
      <c r="WCA363" s="223"/>
      <c r="WCB363" s="420"/>
      <c r="WCC363" s="266"/>
      <c r="WCD363" s="629"/>
      <c r="WCE363" s="268"/>
      <c r="WCG363" s="262"/>
      <c r="WCH363" s="628"/>
      <c r="WCI363" s="419"/>
      <c r="WCJ363" s="223"/>
      <c r="WCK363" s="420"/>
      <c r="WCL363" s="266"/>
      <c r="WCM363" s="629"/>
      <c r="WCN363" s="268"/>
      <c r="WCP363" s="262"/>
      <c r="WCQ363" s="628"/>
      <c r="WCR363" s="419"/>
      <c r="WCS363" s="223"/>
      <c r="WCT363" s="420"/>
      <c r="WCU363" s="266"/>
      <c r="WCV363" s="629"/>
      <c r="WCW363" s="268"/>
      <c r="WCY363" s="262"/>
      <c r="WCZ363" s="628"/>
      <c r="WDA363" s="419"/>
      <c r="WDB363" s="223"/>
      <c r="WDC363" s="420"/>
      <c r="WDD363" s="266"/>
      <c r="WDE363" s="629"/>
      <c r="WDF363" s="268"/>
      <c r="WDH363" s="262"/>
      <c r="WDI363" s="628"/>
      <c r="WDJ363" s="419"/>
      <c r="WDK363" s="223"/>
      <c r="WDL363" s="420"/>
      <c r="WDM363" s="266"/>
      <c r="WDN363" s="629"/>
      <c r="WDO363" s="268"/>
      <c r="WDQ363" s="262"/>
      <c r="WDR363" s="628"/>
      <c r="WDS363" s="419"/>
      <c r="WDT363" s="223"/>
      <c r="WDU363" s="420"/>
      <c r="WDV363" s="266"/>
      <c r="WDW363" s="629"/>
      <c r="WDX363" s="268"/>
      <c r="WDZ363" s="262"/>
      <c r="WEA363" s="628"/>
      <c r="WEB363" s="419"/>
      <c r="WEC363" s="223"/>
      <c r="WED363" s="420"/>
      <c r="WEE363" s="266"/>
      <c r="WEF363" s="629"/>
      <c r="WEG363" s="268"/>
      <c r="WEI363" s="262"/>
      <c r="WEJ363" s="628"/>
      <c r="WEK363" s="419"/>
      <c r="WEL363" s="223"/>
      <c r="WEM363" s="420"/>
      <c r="WEN363" s="266"/>
      <c r="WEO363" s="629"/>
      <c r="WEP363" s="268"/>
      <c r="WER363" s="262"/>
      <c r="WES363" s="628"/>
      <c r="WET363" s="419"/>
      <c r="WEU363" s="223"/>
      <c r="WEV363" s="420"/>
      <c r="WEW363" s="266"/>
      <c r="WEX363" s="629"/>
      <c r="WEY363" s="268"/>
      <c r="WFA363" s="262"/>
      <c r="WFB363" s="628"/>
      <c r="WFC363" s="419"/>
      <c r="WFD363" s="223"/>
      <c r="WFE363" s="420"/>
      <c r="WFF363" s="266"/>
      <c r="WFG363" s="629"/>
      <c r="WFH363" s="268"/>
      <c r="WFJ363" s="262"/>
      <c r="WFK363" s="628"/>
      <c r="WFL363" s="419"/>
      <c r="WFM363" s="223"/>
      <c r="WFN363" s="420"/>
      <c r="WFO363" s="266"/>
      <c r="WFP363" s="629"/>
      <c r="WFQ363" s="268"/>
      <c r="WFS363" s="262"/>
      <c r="WFT363" s="628"/>
      <c r="WFU363" s="419"/>
      <c r="WFV363" s="223"/>
      <c r="WFW363" s="420"/>
      <c r="WFX363" s="266"/>
      <c r="WFY363" s="629"/>
      <c r="WFZ363" s="268"/>
      <c r="WGB363" s="262"/>
      <c r="WGC363" s="628"/>
      <c r="WGD363" s="419"/>
      <c r="WGE363" s="223"/>
      <c r="WGF363" s="420"/>
      <c r="WGG363" s="266"/>
      <c r="WGH363" s="629"/>
      <c r="WGI363" s="268"/>
      <c r="WGK363" s="262"/>
      <c r="WGL363" s="628"/>
      <c r="WGM363" s="419"/>
      <c r="WGN363" s="223"/>
      <c r="WGO363" s="420"/>
      <c r="WGP363" s="266"/>
      <c r="WGQ363" s="629"/>
      <c r="WGR363" s="268"/>
      <c r="WGT363" s="262"/>
      <c r="WGU363" s="628"/>
      <c r="WGV363" s="419"/>
      <c r="WGW363" s="223"/>
      <c r="WGX363" s="420"/>
      <c r="WGY363" s="266"/>
      <c r="WGZ363" s="629"/>
      <c r="WHA363" s="268"/>
      <c r="WHC363" s="262"/>
      <c r="WHD363" s="628"/>
      <c r="WHE363" s="419"/>
      <c r="WHF363" s="223"/>
      <c r="WHG363" s="420"/>
      <c r="WHH363" s="266"/>
      <c r="WHI363" s="629"/>
      <c r="WHJ363" s="268"/>
      <c r="WHL363" s="262"/>
      <c r="WHM363" s="628"/>
      <c r="WHN363" s="419"/>
      <c r="WHO363" s="223"/>
      <c r="WHP363" s="420"/>
      <c r="WHQ363" s="266"/>
      <c r="WHR363" s="629"/>
      <c r="WHS363" s="268"/>
      <c r="WHU363" s="262"/>
      <c r="WHV363" s="628"/>
      <c r="WHW363" s="419"/>
      <c r="WHX363" s="223"/>
      <c r="WHY363" s="420"/>
      <c r="WHZ363" s="266"/>
      <c r="WIA363" s="629"/>
      <c r="WIB363" s="268"/>
      <c r="WID363" s="262"/>
      <c r="WIE363" s="628"/>
      <c r="WIF363" s="419"/>
      <c r="WIG363" s="223"/>
      <c r="WIH363" s="420"/>
      <c r="WII363" s="266"/>
      <c r="WIJ363" s="629"/>
      <c r="WIK363" s="268"/>
      <c r="WIM363" s="262"/>
      <c r="WIN363" s="628"/>
      <c r="WIO363" s="419"/>
      <c r="WIP363" s="223"/>
      <c r="WIQ363" s="420"/>
      <c r="WIR363" s="266"/>
      <c r="WIS363" s="629"/>
      <c r="WIT363" s="268"/>
      <c r="WIV363" s="262"/>
      <c r="WIW363" s="628"/>
      <c r="WIX363" s="419"/>
      <c r="WIY363" s="223"/>
      <c r="WIZ363" s="420"/>
      <c r="WJA363" s="266"/>
      <c r="WJB363" s="629"/>
      <c r="WJC363" s="268"/>
      <c r="WJE363" s="262"/>
      <c r="WJF363" s="628"/>
      <c r="WJG363" s="419"/>
      <c r="WJH363" s="223"/>
      <c r="WJI363" s="420"/>
      <c r="WJJ363" s="266"/>
      <c r="WJK363" s="629"/>
      <c r="WJL363" s="268"/>
      <c r="WJN363" s="262"/>
      <c r="WJO363" s="628"/>
      <c r="WJP363" s="419"/>
      <c r="WJQ363" s="223"/>
      <c r="WJR363" s="420"/>
      <c r="WJS363" s="266"/>
      <c r="WJT363" s="629"/>
      <c r="WJU363" s="268"/>
      <c r="WJW363" s="262"/>
      <c r="WJX363" s="628"/>
      <c r="WJY363" s="419"/>
      <c r="WJZ363" s="223"/>
      <c r="WKA363" s="420"/>
      <c r="WKB363" s="266"/>
      <c r="WKC363" s="629"/>
      <c r="WKD363" s="268"/>
      <c r="WKF363" s="262"/>
      <c r="WKG363" s="628"/>
      <c r="WKH363" s="419"/>
      <c r="WKI363" s="223"/>
      <c r="WKJ363" s="420"/>
      <c r="WKK363" s="266"/>
      <c r="WKL363" s="629"/>
      <c r="WKM363" s="268"/>
      <c r="WKO363" s="262"/>
      <c r="WKP363" s="628"/>
      <c r="WKQ363" s="419"/>
      <c r="WKR363" s="223"/>
      <c r="WKS363" s="420"/>
      <c r="WKT363" s="266"/>
      <c r="WKU363" s="629"/>
      <c r="WKV363" s="268"/>
      <c r="WKX363" s="262"/>
      <c r="WKY363" s="628"/>
      <c r="WKZ363" s="419"/>
      <c r="WLA363" s="223"/>
      <c r="WLB363" s="420"/>
      <c r="WLC363" s="266"/>
      <c r="WLD363" s="629"/>
      <c r="WLE363" s="268"/>
      <c r="WLG363" s="262"/>
      <c r="WLH363" s="628"/>
      <c r="WLI363" s="419"/>
      <c r="WLJ363" s="223"/>
      <c r="WLK363" s="420"/>
      <c r="WLL363" s="266"/>
      <c r="WLM363" s="629"/>
      <c r="WLN363" s="268"/>
      <c r="WLP363" s="262"/>
      <c r="WLQ363" s="628"/>
      <c r="WLR363" s="419"/>
      <c r="WLS363" s="223"/>
      <c r="WLT363" s="420"/>
      <c r="WLU363" s="266"/>
      <c r="WLV363" s="629"/>
      <c r="WLW363" s="268"/>
      <c r="WLY363" s="262"/>
      <c r="WLZ363" s="628"/>
      <c r="WMA363" s="419"/>
      <c r="WMB363" s="223"/>
      <c r="WMC363" s="420"/>
      <c r="WMD363" s="266"/>
      <c r="WME363" s="629"/>
      <c r="WMF363" s="268"/>
      <c r="WMH363" s="262"/>
      <c r="WMI363" s="628"/>
      <c r="WMJ363" s="419"/>
      <c r="WMK363" s="223"/>
      <c r="WML363" s="420"/>
      <c r="WMM363" s="266"/>
      <c r="WMN363" s="629"/>
      <c r="WMO363" s="268"/>
      <c r="WMQ363" s="262"/>
      <c r="WMR363" s="628"/>
      <c r="WMS363" s="419"/>
      <c r="WMT363" s="223"/>
      <c r="WMU363" s="420"/>
      <c r="WMV363" s="266"/>
      <c r="WMW363" s="629"/>
      <c r="WMX363" s="268"/>
      <c r="WMZ363" s="262"/>
      <c r="WNA363" s="628"/>
      <c r="WNB363" s="419"/>
      <c r="WNC363" s="223"/>
      <c r="WND363" s="420"/>
      <c r="WNE363" s="266"/>
      <c r="WNF363" s="629"/>
      <c r="WNG363" s="268"/>
      <c r="WNI363" s="262"/>
      <c r="WNJ363" s="628"/>
      <c r="WNK363" s="419"/>
      <c r="WNL363" s="223"/>
      <c r="WNM363" s="420"/>
      <c r="WNN363" s="266"/>
      <c r="WNO363" s="629"/>
      <c r="WNP363" s="268"/>
      <c r="WNR363" s="262"/>
      <c r="WNS363" s="628"/>
      <c r="WNT363" s="419"/>
      <c r="WNU363" s="223"/>
      <c r="WNV363" s="420"/>
      <c r="WNW363" s="266"/>
      <c r="WNX363" s="629"/>
      <c r="WNY363" s="268"/>
      <c r="WOA363" s="262"/>
      <c r="WOB363" s="628"/>
      <c r="WOC363" s="419"/>
      <c r="WOD363" s="223"/>
      <c r="WOE363" s="420"/>
      <c r="WOF363" s="266"/>
      <c r="WOG363" s="629"/>
      <c r="WOH363" s="268"/>
      <c r="WOJ363" s="262"/>
      <c r="WOK363" s="628"/>
      <c r="WOL363" s="419"/>
      <c r="WOM363" s="223"/>
      <c r="WON363" s="420"/>
      <c r="WOO363" s="266"/>
      <c r="WOP363" s="629"/>
      <c r="WOQ363" s="268"/>
      <c r="WOS363" s="262"/>
      <c r="WOT363" s="628"/>
      <c r="WOU363" s="419"/>
      <c r="WOV363" s="223"/>
      <c r="WOW363" s="420"/>
      <c r="WOX363" s="266"/>
      <c r="WOY363" s="629"/>
      <c r="WOZ363" s="268"/>
      <c r="WPB363" s="262"/>
      <c r="WPC363" s="628"/>
      <c r="WPD363" s="419"/>
      <c r="WPE363" s="223"/>
      <c r="WPF363" s="420"/>
      <c r="WPG363" s="266"/>
      <c r="WPH363" s="629"/>
      <c r="WPI363" s="268"/>
      <c r="WPK363" s="262"/>
      <c r="WPL363" s="628"/>
      <c r="WPM363" s="419"/>
      <c r="WPN363" s="223"/>
      <c r="WPO363" s="420"/>
      <c r="WPP363" s="266"/>
      <c r="WPQ363" s="629"/>
      <c r="WPR363" s="268"/>
      <c r="WPT363" s="262"/>
      <c r="WPU363" s="628"/>
      <c r="WPV363" s="419"/>
      <c r="WPW363" s="223"/>
      <c r="WPX363" s="420"/>
      <c r="WPY363" s="266"/>
      <c r="WPZ363" s="629"/>
      <c r="WQA363" s="268"/>
      <c r="WQC363" s="262"/>
      <c r="WQD363" s="628"/>
      <c r="WQE363" s="419"/>
      <c r="WQF363" s="223"/>
      <c r="WQG363" s="420"/>
      <c r="WQH363" s="266"/>
      <c r="WQI363" s="629"/>
      <c r="WQJ363" s="268"/>
      <c r="WQL363" s="262"/>
      <c r="WQM363" s="628"/>
      <c r="WQN363" s="419"/>
      <c r="WQO363" s="223"/>
      <c r="WQP363" s="420"/>
      <c r="WQQ363" s="266"/>
      <c r="WQR363" s="629"/>
      <c r="WQS363" s="268"/>
      <c r="WQU363" s="262"/>
      <c r="WQV363" s="628"/>
      <c r="WQW363" s="419"/>
      <c r="WQX363" s="223"/>
      <c r="WQY363" s="420"/>
      <c r="WQZ363" s="266"/>
      <c r="WRA363" s="629"/>
      <c r="WRB363" s="268"/>
      <c r="WRD363" s="262"/>
      <c r="WRE363" s="628"/>
      <c r="WRF363" s="419"/>
      <c r="WRG363" s="223"/>
      <c r="WRH363" s="420"/>
      <c r="WRI363" s="266"/>
      <c r="WRJ363" s="629"/>
      <c r="WRK363" s="268"/>
      <c r="WRM363" s="262"/>
      <c r="WRN363" s="628"/>
      <c r="WRO363" s="419"/>
      <c r="WRP363" s="223"/>
      <c r="WRQ363" s="420"/>
      <c r="WRR363" s="266"/>
      <c r="WRS363" s="629"/>
      <c r="WRT363" s="268"/>
      <c r="WRV363" s="262"/>
      <c r="WRW363" s="628"/>
      <c r="WRX363" s="419"/>
      <c r="WRY363" s="223"/>
      <c r="WRZ363" s="420"/>
      <c r="WSA363" s="266"/>
      <c r="WSB363" s="629"/>
      <c r="WSC363" s="268"/>
      <c r="WSE363" s="262"/>
      <c r="WSF363" s="628"/>
      <c r="WSG363" s="419"/>
      <c r="WSH363" s="223"/>
      <c r="WSI363" s="420"/>
      <c r="WSJ363" s="266"/>
      <c r="WSK363" s="629"/>
      <c r="WSL363" s="268"/>
      <c r="WSN363" s="262"/>
      <c r="WSO363" s="628"/>
      <c r="WSP363" s="419"/>
      <c r="WSQ363" s="223"/>
      <c r="WSR363" s="420"/>
      <c r="WSS363" s="266"/>
      <c r="WST363" s="629"/>
      <c r="WSU363" s="268"/>
      <c r="WSW363" s="262"/>
      <c r="WSX363" s="628"/>
      <c r="WSY363" s="419"/>
      <c r="WSZ363" s="223"/>
      <c r="WTA363" s="420"/>
      <c r="WTB363" s="266"/>
      <c r="WTC363" s="629"/>
      <c r="WTD363" s="268"/>
      <c r="WTF363" s="262"/>
      <c r="WTG363" s="628"/>
      <c r="WTH363" s="419"/>
      <c r="WTI363" s="223"/>
      <c r="WTJ363" s="420"/>
      <c r="WTK363" s="266"/>
      <c r="WTL363" s="629"/>
      <c r="WTM363" s="268"/>
      <c r="WTO363" s="262"/>
      <c r="WTP363" s="628"/>
      <c r="WTQ363" s="419"/>
      <c r="WTR363" s="223"/>
      <c r="WTS363" s="420"/>
      <c r="WTT363" s="266"/>
      <c r="WTU363" s="629"/>
      <c r="WTV363" s="268"/>
      <c r="WTX363" s="262"/>
      <c r="WTY363" s="628"/>
      <c r="WTZ363" s="419"/>
      <c r="WUA363" s="223"/>
      <c r="WUB363" s="420"/>
      <c r="WUC363" s="266"/>
      <c r="WUD363" s="629"/>
      <c r="WUE363" s="268"/>
      <c r="WUG363" s="262"/>
      <c r="WUH363" s="628"/>
      <c r="WUI363" s="419"/>
      <c r="WUJ363" s="223"/>
      <c r="WUK363" s="420"/>
      <c r="WUL363" s="266"/>
      <c r="WUM363" s="629"/>
      <c r="WUN363" s="268"/>
      <c r="WUP363" s="262"/>
      <c r="WUQ363" s="628"/>
      <c r="WUR363" s="419"/>
      <c r="WUS363" s="223"/>
      <c r="WUT363" s="420"/>
      <c r="WUU363" s="266"/>
      <c r="WUV363" s="629"/>
      <c r="WUW363" s="268"/>
      <c r="WUY363" s="262"/>
      <c r="WUZ363" s="628"/>
      <c r="WVA363" s="419"/>
      <c r="WVB363" s="223"/>
      <c r="WVC363" s="420"/>
      <c r="WVD363" s="266"/>
      <c r="WVE363" s="629"/>
      <c r="WVF363" s="268"/>
      <c r="WVH363" s="262"/>
      <c r="WVI363" s="628"/>
      <c r="WVJ363" s="419"/>
      <c r="WVK363" s="223"/>
      <c r="WVL363" s="420"/>
      <c r="WVM363" s="266"/>
      <c r="WVN363" s="629"/>
      <c r="WVO363" s="268"/>
      <c r="WVQ363" s="262"/>
      <c r="WVR363" s="628"/>
      <c r="WVS363" s="419"/>
      <c r="WVT363" s="223"/>
      <c r="WVU363" s="420"/>
      <c r="WVV363" s="266"/>
      <c r="WVW363" s="629"/>
      <c r="WVX363" s="268"/>
      <c r="WVZ363" s="262"/>
      <c r="WWA363" s="628"/>
      <c r="WWB363" s="419"/>
      <c r="WWC363" s="223"/>
      <c r="WWD363" s="420"/>
      <c r="WWE363" s="266"/>
      <c r="WWF363" s="629"/>
      <c r="WWG363" s="268"/>
      <c r="WWI363" s="262"/>
      <c r="WWJ363" s="628"/>
      <c r="WWK363" s="419"/>
      <c r="WWL363" s="223"/>
      <c r="WWM363" s="420"/>
      <c r="WWN363" s="266"/>
      <c r="WWO363" s="629"/>
      <c r="WWP363" s="268"/>
      <c r="WWR363" s="262"/>
      <c r="WWS363" s="628"/>
      <c r="WWT363" s="419"/>
      <c r="WWU363" s="223"/>
      <c r="WWV363" s="420"/>
      <c r="WWW363" s="266"/>
      <c r="WWX363" s="629"/>
      <c r="WWY363" s="268"/>
      <c r="WXA363" s="262"/>
      <c r="WXB363" s="628"/>
      <c r="WXC363" s="419"/>
      <c r="WXD363" s="223"/>
      <c r="WXE363" s="420"/>
      <c r="WXF363" s="266"/>
      <c r="WXG363" s="629"/>
      <c r="WXH363" s="268"/>
      <c r="WXJ363" s="262"/>
      <c r="WXK363" s="628"/>
      <c r="WXL363" s="419"/>
      <c r="WXM363" s="223"/>
      <c r="WXN363" s="420"/>
      <c r="WXO363" s="266"/>
      <c r="WXP363" s="629"/>
      <c r="WXQ363" s="268"/>
      <c r="WXS363" s="262"/>
      <c r="WXT363" s="628"/>
      <c r="WXU363" s="419"/>
      <c r="WXV363" s="223"/>
      <c r="WXW363" s="420"/>
      <c r="WXX363" s="266"/>
      <c r="WXY363" s="629"/>
      <c r="WXZ363" s="268"/>
      <c r="WYB363" s="262"/>
      <c r="WYC363" s="628"/>
      <c r="WYD363" s="419"/>
      <c r="WYE363" s="223"/>
      <c r="WYF363" s="420"/>
      <c r="WYG363" s="266"/>
      <c r="WYH363" s="629"/>
      <c r="WYI363" s="268"/>
      <c r="WYK363" s="262"/>
      <c r="WYL363" s="628"/>
      <c r="WYM363" s="419"/>
      <c r="WYN363" s="223"/>
      <c r="WYO363" s="420"/>
      <c r="WYP363" s="266"/>
      <c r="WYQ363" s="629"/>
      <c r="WYR363" s="268"/>
      <c r="WYT363" s="262"/>
      <c r="WYU363" s="628"/>
      <c r="WYV363" s="419"/>
      <c r="WYW363" s="223"/>
      <c r="WYX363" s="420"/>
      <c r="WYY363" s="266"/>
      <c r="WYZ363" s="629"/>
      <c r="WZA363" s="268"/>
      <c r="WZC363" s="262"/>
      <c r="WZD363" s="628"/>
      <c r="WZE363" s="419"/>
      <c r="WZF363" s="223"/>
      <c r="WZG363" s="420"/>
      <c r="WZH363" s="266"/>
      <c r="WZI363" s="629"/>
      <c r="WZJ363" s="268"/>
      <c r="WZL363" s="262"/>
      <c r="WZM363" s="628"/>
      <c r="WZN363" s="419"/>
      <c r="WZO363" s="223"/>
      <c r="WZP363" s="420"/>
      <c r="WZQ363" s="266"/>
      <c r="WZR363" s="629"/>
      <c r="WZS363" s="268"/>
      <c r="WZU363" s="262"/>
      <c r="WZV363" s="628"/>
      <c r="WZW363" s="419"/>
      <c r="WZX363" s="223"/>
      <c r="WZY363" s="420"/>
      <c r="WZZ363" s="266"/>
      <c r="XAA363" s="629"/>
      <c r="XAB363" s="268"/>
      <c r="XAD363" s="262"/>
      <c r="XAE363" s="628"/>
      <c r="XAF363" s="419"/>
      <c r="XAG363" s="223"/>
      <c r="XAH363" s="420"/>
      <c r="XAI363" s="266"/>
      <c r="XAJ363" s="629"/>
      <c r="XAK363" s="268"/>
      <c r="XAM363" s="262"/>
      <c r="XAN363" s="628"/>
      <c r="XAO363" s="419"/>
      <c r="XAP363" s="223"/>
      <c r="XAQ363" s="420"/>
      <c r="XAR363" s="266"/>
      <c r="XAS363" s="629"/>
      <c r="XAT363" s="268"/>
      <c r="XAV363" s="262"/>
      <c r="XAW363" s="628"/>
      <c r="XAX363" s="419"/>
      <c r="XAY363" s="223"/>
      <c r="XAZ363" s="420"/>
      <c r="XBA363" s="266"/>
      <c r="XBB363" s="629"/>
      <c r="XBC363" s="268"/>
      <c r="XBE363" s="262"/>
      <c r="XBF363" s="628"/>
      <c r="XBG363" s="419"/>
      <c r="XBH363" s="223"/>
      <c r="XBI363" s="420"/>
      <c r="XBJ363" s="266"/>
      <c r="XBK363" s="629"/>
      <c r="XBL363" s="268"/>
      <c r="XBN363" s="262"/>
      <c r="XBO363" s="628"/>
      <c r="XBP363" s="419"/>
      <c r="XBQ363" s="223"/>
      <c r="XBR363" s="420"/>
      <c r="XBS363" s="266"/>
      <c r="XBT363" s="629"/>
      <c r="XBU363" s="268"/>
      <c r="XBW363" s="262"/>
      <c r="XBX363" s="628"/>
      <c r="XBY363" s="419"/>
      <c r="XBZ363" s="223"/>
      <c r="XCA363" s="420"/>
      <c r="XCB363" s="266"/>
      <c r="XCC363" s="629"/>
      <c r="XCD363" s="268"/>
      <c r="XCF363" s="262"/>
      <c r="XCG363" s="628"/>
      <c r="XCH363" s="419"/>
      <c r="XCI363" s="223"/>
      <c r="XCJ363" s="420"/>
      <c r="XCK363" s="266"/>
      <c r="XCL363" s="629"/>
      <c r="XCM363" s="268"/>
      <c r="XCO363" s="262"/>
      <c r="XCP363" s="628"/>
      <c r="XCQ363" s="419"/>
      <c r="XCR363" s="223"/>
      <c r="XCS363" s="420"/>
      <c r="XCT363" s="266"/>
      <c r="XCU363" s="629"/>
      <c r="XCV363" s="268"/>
      <c r="XCX363" s="262"/>
      <c r="XCY363" s="628"/>
      <c r="XCZ363" s="419"/>
      <c r="XDA363" s="223"/>
      <c r="XDB363" s="420"/>
      <c r="XDC363" s="266"/>
      <c r="XDD363" s="629"/>
      <c r="XDE363" s="268"/>
      <c r="XDG363" s="262"/>
      <c r="XDH363" s="628"/>
      <c r="XDI363" s="419"/>
      <c r="XDJ363" s="223"/>
      <c r="XDK363" s="420"/>
      <c r="XDL363" s="266"/>
      <c r="XDM363" s="629"/>
      <c r="XDN363" s="268"/>
      <c r="XDP363" s="262"/>
      <c r="XDQ363" s="628"/>
      <c r="XDR363" s="419"/>
      <c r="XDS363" s="223"/>
      <c r="XDT363" s="420"/>
      <c r="XDU363" s="266"/>
      <c r="XDV363" s="629"/>
      <c r="XDW363" s="268"/>
      <c r="XDY363" s="262"/>
      <c r="XDZ363" s="628"/>
      <c r="XEA363" s="419"/>
      <c r="XEB363" s="223"/>
      <c r="XEC363" s="420"/>
      <c r="XED363" s="266"/>
      <c r="XEE363" s="629"/>
      <c r="XEF363" s="268"/>
      <c r="XEH363" s="262"/>
      <c r="XEI363" s="628"/>
      <c r="XEJ363" s="419"/>
      <c r="XEK363" s="223"/>
      <c r="XEL363" s="420"/>
      <c r="XEM363" s="266"/>
      <c r="XEN363" s="629"/>
      <c r="XEO363" s="268"/>
      <c r="XEQ363" s="262"/>
      <c r="XER363" s="628"/>
      <c r="XES363" s="419"/>
      <c r="XET363" s="223"/>
      <c r="XEU363" s="420"/>
      <c r="XEV363" s="266"/>
      <c r="XEW363" s="629"/>
      <c r="XEX363" s="268"/>
      <c r="XEZ363" s="262"/>
      <c r="XFA363" s="628"/>
      <c r="XFB363" s="419"/>
      <c r="XFC363" s="223"/>
    </row>
    <row r="364" spans="1:16383" hidden="1" outlineLevel="2" x14ac:dyDescent="0.35">
      <c r="A364" s="269" t="s">
        <v>135</v>
      </c>
      <c r="B364" s="270">
        <v>260</v>
      </c>
      <c r="C364" s="271">
        <v>176.83</v>
      </c>
      <c r="D364" s="272">
        <f t="shared" ref="D364:D369" si="26">C364*B364</f>
        <v>45975.8</v>
      </c>
      <c r="E364" s="273">
        <f>(C364-C352)/C364</f>
        <v>2.1715772210597766E-2</v>
      </c>
      <c r="F364" s="630">
        <f>D364/D372</f>
        <v>0.17867384744655926</v>
      </c>
      <c r="G364" s="631">
        <v>18</v>
      </c>
      <c r="H364" s="517">
        <v>0.51</v>
      </c>
      <c r="I364" s="398">
        <f>D364-D352</f>
        <v>998.40000000000146</v>
      </c>
      <c r="J364" s="632"/>
      <c r="K364" s="595"/>
      <c r="L364" s="633"/>
      <c r="M364" s="634"/>
      <c r="N364" s="635"/>
      <c r="O364" s="622"/>
      <c r="P364" s="636"/>
      <c r="Q364" s="637"/>
      <c r="R364" s="638"/>
      <c r="S364" s="632"/>
      <c r="T364" s="595"/>
      <c r="U364" s="633"/>
      <c r="V364" s="634"/>
      <c r="W364" s="635"/>
      <c r="X364" s="622"/>
      <c r="Y364" s="636"/>
      <c r="Z364" s="637"/>
      <c r="AA364" s="632"/>
      <c r="AB364" s="595"/>
      <c r="AC364" s="633"/>
      <c r="AD364" s="634"/>
      <c r="AE364" s="635"/>
      <c r="AF364" s="622"/>
      <c r="AG364" s="636"/>
      <c r="AH364" s="637"/>
      <c r="AI364" s="638"/>
      <c r="AJ364" s="632"/>
      <c r="AK364" s="595"/>
      <c r="AL364" s="633"/>
      <c r="AM364" s="634"/>
      <c r="AN364" s="635"/>
      <c r="AO364" s="622"/>
      <c r="AP364" s="636"/>
      <c r="AQ364" s="637"/>
      <c r="AR364" s="638"/>
      <c r="AS364" s="632"/>
      <c r="AT364" s="595"/>
      <c r="AU364" s="633"/>
      <c r="AV364" s="634"/>
      <c r="AW364" s="635"/>
      <c r="AX364" s="622"/>
      <c r="AY364" s="636"/>
      <c r="AZ364" s="637"/>
      <c r="BA364" s="638"/>
      <c r="BB364" s="632"/>
      <c r="BC364" s="595"/>
      <c r="BD364" s="633"/>
      <c r="BE364" s="634"/>
      <c r="BF364" s="635"/>
      <c r="BG364" s="622"/>
      <c r="BH364" s="636"/>
      <c r="BI364" s="637"/>
      <c r="BJ364" s="638"/>
      <c r="BK364" s="632"/>
      <c r="BL364" s="595"/>
      <c r="BM364" s="633"/>
      <c r="BN364" s="634"/>
      <c r="BO364" s="635"/>
      <c r="BP364" s="622"/>
      <c r="BQ364" s="636"/>
      <c r="BR364" s="637"/>
      <c r="BS364" s="638"/>
      <c r="BT364" s="632"/>
      <c r="BU364" s="595"/>
      <c r="BV364" s="633"/>
      <c r="BW364" s="634"/>
      <c r="BX364" s="635"/>
      <c r="BY364" s="622"/>
      <c r="BZ364" s="636"/>
      <c r="CA364" s="637"/>
      <c r="CB364" s="638"/>
      <c r="CC364" s="632"/>
      <c r="CD364" s="595"/>
      <c r="CE364" s="633"/>
      <c r="CF364" s="634"/>
      <c r="CG364" s="635"/>
      <c r="CH364" s="622"/>
      <c r="CI364" s="636"/>
      <c r="CJ364" s="637"/>
      <c r="CK364" s="638"/>
      <c r="CL364" s="632"/>
      <c r="CM364" s="595"/>
      <c r="CN364" s="633"/>
      <c r="CO364" s="634"/>
      <c r="CP364" s="635"/>
      <c r="CQ364" s="622"/>
      <c r="CR364" s="636"/>
      <c r="CS364" s="637"/>
      <c r="CT364" s="638"/>
      <c r="CU364" s="632"/>
      <c r="CV364" s="595"/>
      <c r="CW364" s="633"/>
      <c r="CX364" s="634"/>
      <c r="CY364" s="635"/>
      <c r="CZ364" s="622"/>
      <c r="DA364" s="636"/>
      <c r="DB364" s="637"/>
      <c r="DC364" s="638"/>
      <c r="DD364" s="632"/>
      <c r="DE364" s="595"/>
      <c r="DF364" s="633"/>
      <c r="DG364" s="634"/>
      <c r="DH364" s="635"/>
      <c r="DI364" s="622"/>
      <c r="DJ364" s="636"/>
      <c r="DK364" s="637"/>
      <c r="DL364" s="638"/>
      <c r="DM364" s="632"/>
      <c r="DN364" s="595"/>
      <c r="DO364" s="633"/>
      <c r="DP364" s="634"/>
      <c r="DQ364" s="635"/>
      <c r="DR364" s="622"/>
      <c r="DS364" s="636"/>
      <c r="DT364" s="637"/>
      <c r="DU364" s="638"/>
      <c r="DV364" s="632"/>
      <c r="DW364" s="595"/>
      <c r="DX364" s="633"/>
      <c r="DY364" s="634"/>
      <c r="DZ364" s="635"/>
      <c r="EA364" s="622"/>
      <c r="EB364" s="636"/>
      <c r="EC364" s="637"/>
      <c r="ED364" s="638"/>
      <c r="EE364" s="632"/>
      <c r="EF364" s="595"/>
      <c r="EG364" s="633"/>
      <c r="EH364" s="634"/>
      <c r="EI364" s="635"/>
      <c r="EJ364" s="622"/>
      <c r="EK364" s="636"/>
      <c r="EL364" s="637"/>
      <c r="EM364" s="638"/>
      <c r="EN364" s="632"/>
      <c r="EO364" s="595"/>
      <c r="EP364" s="633"/>
      <c r="EQ364" s="634"/>
      <c r="ER364" s="635"/>
      <c r="ES364" s="622"/>
      <c r="ET364" s="636"/>
      <c r="EU364" s="637"/>
      <c r="EV364" s="638"/>
      <c r="EW364" s="632"/>
      <c r="EX364" s="595"/>
      <c r="EY364" s="633"/>
      <c r="EZ364" s="634"/>
      <c r="FA364" s="635"/>
      <c r="FB364" s="622"/>
      <c r="FC364" s="636"/>
      <c r="FD364" s="637"/>
      <c r="FE364" s="638"/>
      <c r="FF364" s="632"/>
      <c r="FG364" s="595"/>
      <c r="FH364" s="633"/>
      <c r="FI364" s="634"/>
      <c r="FJ364" s="635"/>
      <c r="FK364" s="622"/>
      <c r="FL364" s="636"/>
      <c r="FM364" s="637"/>
      <c r="FN364" s="638"/>
      <c r="FO364" s="632"/>
      <c r="FP364" s="595"/>
      <c r="FQ364" s="633"/>
      <c r="FR364" s="634"/>
      <c r="FS364" s="639"/>
      <c r="FT364" s="626"/>
      <c r="FU364" s="640"/>
      <c r="FV364" s="641"/>
      <c r="FW364" s="277"/>
      <c r="FX364" s="261"/>
      <c r="FY364" s="118"/>
      <c r="FZ364" s="219"/>
      <c r="GA364" s="247"/>
      <c r="GB364" s="639"/>
      <c r="GC364" s="626"/>
      <c r="GD364" s="640"/>
      <c r="GE364" s="641"/>
      <c r="GF364" s="277"/>
      <c r="GG364" s="261"/>
      <c r="GH364" s="118"/>
      <c r="GI364" s="219"/>
      <c r="GJ364" s="247"/>
      <c r="GK364" s="639"/>
      <c r="GL364" s="626"/>
      <c r="GM364" s="640"/>
      <c r="GN364" s="641"/>
      <c r="GO364" s="277"/>
      <c r="GP364" s="261"/>
      <c r="GQ364" s="118"/>
      <c r="GR364" s="219"/>
      <c r="GS364" s="247"/>
      <c r="GT364" s="639"/>
      <c r="GU364" s="626"/>
      <c r="GV364" s="640"/>
      <c r="GW364" s="641"/>
      <c r="GX364" s="277"/>
      <c r="GY364" s="261"/>
      <c r="GZ364" s="118"/>
      <c r="HA364" s="219"/>
      <c r="HB364" s="247"/>
      <c r="HC364" s="639"/>
      <c r="HD364" s="626"/>
      <c r="HE364" s="640"/>
      <c r="HF364" s="641"/>
      <c r="HG364" s="277"/>
      <c r="HH364" s="261"/>
      <c r="HI364" s="118"/>
      <c r="HJ364" s="219"/>
      <c r="HK364" s="247"/>
      <c r="HL364" s="639"/>
      <c r="HM364" s="626"/>
      <c r="HN364" s="640"/>
      <c r="HO364" s="641"/>
      <c r="HP364" s="277"/>
      <c r="HQ364" s="261"/>
      <c r="HR364" s="118"/>
      <c r="HS364" s="219"/>
      <c r="HT364" s="247"/>
      <c r="HU364" s="639"/>
      <c r="HV364" s="626"/>
      <c r="HW364" s="640"/>
      <c r="HX364" s="641"/>
      <c r="HY364" s="277"/>
      <c r="HZ364" s="261"/>
      <c r="IA364" s="118"/>
      <c r="IB364" s="219"/>
      <c r="IC364" s="247"/>
      <c r="ID364" s="639"/>
      <c r="IE364" s="626"/>
      <c r="IF364" s="640"/>
      <c r="IG364" s="641"/>
      <c r="IH364" s="277"/>
      <c r="II364" s="261"/>
      <c r="IJ364" s="118"/>
      <c r="IK364" s="219"/>
      <c r="IL364" s="247"/>
      <c r="IM364" s="639"/>
      <c r="IN364" s="626"/>
      <c r="IO364" s="640"/>
      <c r="IP364" s="641"/>
      <c r="IQ364" s="277"/>
      <c r="IR364" s="261"/>
      <c r="IS364" s="118"/>
      <c r="IT364" s="219"/>
      <c r="IU364" s="247"/>
      <c r="IV364" s="639"/>
      <c r="IW364" s="626"/>
      <c r="IX364" s="640"/>
      <c r="IY364" s="641"/>
      <c r="IZ364" s="277"/>
      <c r="JA364" s="261"/>
      <c r="JB364" s="118"/>
      <c r="JC364" s="219"/>
      <c r="JD364" s="247"/>
      <c r="JE364" s="639"/>
      <c r="JF364" s="626"/>
      <c r="JG364" s="640"/>
      <c r="JH364" s="641"/>
      <c r="JI364" s="277"/>
      <c r="JJ364" s="261"/>
      <c r="JK364" s="118"/>
      <c r="JL364" s="219"/>
      <c r="JM364" s="247"/>
      <c r="JN364" s="639"/>
      <c r="JO364" s="626"/>
      <c r="JP364" s="640"/>
      <c r="JQ364" s="641"/>
      <c r="JR364" s="277"/>
      <c r="JS364" s="261"/>
      <c r="JT364" s="118"/>
      <c r="JU364" s="219"/>
      <c r="JV364" s="247"/>
      <c r="JW364" s="639"/>
      <c r="JX364" s="626"/>
      <c r="JY364" s="640"/>
      <c r="JZ364" s="641"/>
      <c r="KA364" s="277"/>
      <c r="KB364" s="261"/>
      <c r="KC364" s="118"/>
      <c r="KD364" s="219"/>
      <c r="KE364" s="247"/>
      <c r="KF364" s="639"/>
      <c r="KG364" s="626"/>
      <c r="KH364" s="640"/>
      <c r="KI364" s="641"/>
      <c r="KJ364" s="277"/>
      <c r="KK364" s="261"/>
      <c r="KL364" s="118"/>
      <c r="KM364" s="219"/>
      <c r="KN364" s="247"/>
      <c r="KO364" s="639"/>
      <c r="KP364" s="626"/>
      <c r="KQ364" s="640"/>
      <c r="KR364" s="641"/>
      <c r="KS364" s="277"/>
      <c r="KT364" s="261"/>
      <c r="KU364" s="118"/>
      <c r="KV364" s="219"/>
      <c r="KW364" s="247"/>
      <c r="KX364" s="639"/>
      <c r="KY364" s="626"/>
      <c r="KZ364" s="640"/>
      <c r="LA364" s="641"/>
      <c r="LB364" s="277"/>
      <c r="LC364" s="261"/>
      <c r="LD364" s="118"/>
      <c r="LE364" s="219"/>
      <c r="LF364" s="247"/>
      <c r="LG364" s="639"/>
      <c r="LH364" s="626"/>
      <c r="LI364" s="640"/>
      <c r="LJ364" s="641"/>
      <c r="LK364" s="277"/>
      <c r="LL364" s="261"/>
      <c r="LM364" s="118"/>
      <c r="LN364" s="219"/>
      <c r="LO364" s="247"/>
      <c r="LP364" s="639"/>
      <c r="LQ364" s="626"/>
      <c r="LR364" s="640"/>
      <c r="LS364" s="641"/>
      <c r="LT364" s="277"/>
      <c r="LU364" s="261"/>
      <c r="LV364" s="118"/>
      <c r="LW364" s="219"/>
      <c r="LX364" s="247"/>
      <c r="LY364" s="639"/>
      <c r="LZ364" s="626"/>
      <c r="MA364" s="640"/>
      <c r="MB364" s="641"/>
      <c r="MC364" s="277"/>
      <c r="MD364" s="261"/>
      <c r="ME364" s="118"/>
      <c r="MF364" s="219"/>
      <c r="MG364" s="247"/>
      <c r="MH364" s="639"/>
      <c r="MI364" s="626"/>
      <c r="MJ364" s="640"/>
      <c r="MK364" s="641"/>
      <c r="ML364" s="277"/>
      <c r="MM364" s="261"/>
      <c r="MN364" s="118"/>
      <c r="MO364" s="219"/>
      <c r="MP364" s="247"/>
      <c r="MQ364" s="639"/>
      <c r="MR364" s="626"/>
      <c r="MS364" s="640"/>
      <c r="MT364" s="641"/>
      <c r="MU364" s="277"/>
      <c r="MV364" s="261"/>
      <c r="MW364" s="118"/>
      <c r="MX364" s="219"/>
      <c r="MY364" s="247"/>
      <c r="MZ364" s="639"/>
      <c r="NA364" s="626"/>
      <c r="NB364" s="640"/>
      <c r="NC364" s="641"/>
      <c r="ND364" s="277"/>
      <c r="NE364" s="261"/>
      <c r="NF364" s="118"/>
      <c r="NG364" s="219"/>
      <c r="NH364" s="247"/>
      <c r="NI364" s="639"/>
      <c r="NJ364" s="626"/>
      <c r="NK364" s="640"/>
      <c r="NL364" s="641"/>
      <c r="NM364" s="277"/>
      <c r="NN364" s="261"/>
      <c r="NO364" s="118"/>
      <c r="NP364" s="219"/>
      <c r="NQ364" s="247"/>
      <c r="NR364" s="639"/>
      <c r="NS364" s="626"/>
      <c r="NT364" s="640"/>
      <c r="NU364" s="641"/>
      <c r="NV364" s="277"/>
      <c r="NW364" s="261"/>
      <c r="NX364" s="118"/>
      <c r="NY364" s="219"/>
      <c r="NZ364" s="247"/>
      <c r="OA364" s="639"/>
      <c r="OB364" s="626"/>
      <c r="OC364" s="640"/>
      <c r="OD364" s="641"/>
      <c r="OE364" s="277"/>
      <c r="OF364" s="261"/>
      <c r="OG364" s="118"/>
      <c r="OH364" s="219"/>
      <c r="OI364" s="247"/>
      <c r="OJ364" s="639"/>
      <c r="OK364" s="626"/>
      <c r="OL364" s="640"/>
      <c r="OM364" s="641"/>
      <c r="ON364" s="277"/>
      <c r="OO364" s="261"/>
      <c r="OP364" s="118"/>
      <c r="OQ364" s="219"/>
      <c r="OR364" s="247"/>
      <c r="OS364" s="639"/>
      <c r="OT364" s="626"/>
      <c r="OU364" s="640"/>
      <c r="OV364" s="641"/>
      <c r="OW364" s="277"/>
      <c r="OX364" s="261"/>
      <c r="OY364" s="118"/>
      <c r="OZ364" s="219"/>
      <c r="PA364" s="247"/>
      <c r="PB364" s="639"/>
      <c r="PC364" s="626"/>
      <c r="PD364" s="640"/>
      <c r="PE364" s="641"/>
      <c r="PF364" s="277"/>
      <c r="PG364" s="261"/>
      <c r="PH364" s="118"/>
      <c r="PI364" s="219"/>
      <c r="PJ364" s="247"/>
      <c r="PK364" s="639"/>
      <c r="PL364" s="626"/>
      <c r="PM364" s="640"/>
      <c r="PN364" s="641"/>
      <c r="PO364" s="277"/>
      <c r="PP364" s="261"/>
      <c r="PQ364" s="118"/>
      <c r="PR364" s="219"/>
      <c r="PS364" s="247"/>
      <c r="PT364" s="639"/>
      <c r="PU364" s="626"/>
      <c r="PV364" s="640"/>
      <c r="PW364" s="641"/>
      <c r="PX364" s="277"/>
      <c r="PY364" s="261"/>
      <c r="PZ364" s="118"/>
      <c r="QA364" s="219"/>
      <c r="QB364" s="247"/>
      <c r="QC364" s="639"/>
      <c r="QD364" s="626"/>
      <c r="QE364" s="640"/>
      <c r="QF364" s="641"/>
      <c r="QG364" s="277"/>
      <c r="QH364" s="261"/>
      <c r="QI364" s="118"/>
      <c r="QJ364" s="219"/>
      <c r="QK364" s="247"/>
      <c r="QL364" s="639"/>
      <c r="QM364" s="626"/>
      <c r="QN364" s="640"/>
      <c r="QO364" s="641"/>
      <c r="QP364" s="277"/>
      <c r="QQ364" s="261"/>
      <c r="QR364" s="118"/>
      <c r="QS364" s="219"/>
      <c r="QT364" s="247"/>
      <c r="QU364" s="639"/>
      <c r="QV364" s="626"/>
      <c r="QW364" s="640"/>
      <c r="QX364" s="641"/>
      <c r="QY364" s="277"/>
      <c r="QZ364" s="261"/>
      <c r="RA364" s="118"/>
      <c r="RB364" s="219"/>
      <c r="RC364" s="247"/>
      <c r="RD364" s="639"/>
      <c r="RE364" s="626"/>
      <c r="RF364" s="640"/>
      <c r="RG364" s="641"/>
      <c r="RH364" s="277"/>
      <c r="RI364" s="261"/>
      <c r="RJ364" s="118"/>
      <c r="RK364" s="219"/>
      <c r="RL364" s="247"/>
      <c r="RM364" s="639"/>
      <c r="RN364" s="626"/>
      <c r="RO364" s="640"/>
      <c r="RP364" s="641"/>
      <c r="RQ364" s="277"/>
      <c r="RR364" s="261"/>
      <c r="RS364" s="118"/>
      <c r="RT364" s="219"/>
      <c r="RU364" s="247"/>
      <c r="RV364" s="639"/>
      <c r="RW364" s="626"/>
      <c r="RX364" s="640"/>
      <c r="RY364" s="641"/>
      <c r="RZ364" s="277"/>
      <c r="SA364" s="261"/>
      <c r="SB364" s="118"/>
      <c r="SC364" s="219"/>
      <c r="SD364" s="247"/>
      <c r="SE364" s="639"/>
      <c r="SF364" s="626"/>
      <c r="SG364" s="640"/>
      <c r="SH364" s="641"/>
      <c r="SI364" s="277"/>
      <c r="SJ364" s="261"/>
      <c r="SK364" s="118"/>
      <c r="SL364" s="219"/>
      <c r="SM364" s="247"/>
      <c r="SN364" s="639"/>
      <c r="SO364" s="626"/>
      <c r="SP364" s="640"/>
      <c r="SQ364" s="641"/>
      <c r="SR364" s="277"/>
      <c r="SS364" s="261"/>
      <c r="ST364" s="118"/>
      <c r="SU364" s="219"/>
      <c r="SV364" s="247"/>
      <c r="SW364" s="639"/>
      <c r="SX364" s="626"/>
      <c r="SY364" s="640"/>
      <c r="SZ364" s="641"/>
      <c r="TA364" s="277"/>
      <c r="TB364" s="261"/>
      <c r="TC364" s="118"/>
      <c r="TD364" s="219"/>
      <c r="TE364" s="247"/>
      <c r="TF364" s="639"/>
      <c r="TG364" s="626"/>
      <c r="TH364" s="640"/>
      <c r="TI364" s="641"/>
      <c r="TJ364" s="277"/>
      <c r="TK364" s="261"/>
      <c r="TL364" s="118"/>
      <c r="TM364" s="219"/>
      <c r="TN364" s="247"/>
      <c r="TO364" s="639"/>
      <c r="TP364" s="626"/>
      <c r="TQ364" s="640"/>
      <c r="TR364" s="641"/>
      <c r="TS364" s="277"/>
      <c r="TT364" s="261"/>
      <c r="TU364" s="118"/>
      <c r="TV364" s="219"/>
      <c r="TW364" s="247"/>
      <c r="TX364" s="639"/>
      <c r="TY364" s="626"/>
      <c r="TZ364" s="640"/>
      <c r="UA364" s="641"/>
      <c r="UB364" s="277"/>
      <c r="UC364" s="261"/>
      <c r="UD364" s="118"/>
      <c r="UE364" s="219"/>
      <c r="UF364" s="247"/>
      <c r="UG364" s="639"/>
      <c r="UH364" s="626"/>
      <c r="UI364" s="640"/>
      <c r="UJ364" s="641"/>
      <c r="UK364" s="277"/>
      <c r="UL364" s="261"/>
      <c r="UM364" s="118"/>
      <c r="UN364" s="219"/>
      <c r="UO364" s="247"/>
      <c r="UP364" s="639"/>
      <c r="UQ364" s="626"/>
      <c r="UR364" s="640"/>
      <c r="US364" s="641"/>
      <c r="UT364" s="277"/>
      <c r="UU364" s="261"/>
      <c r="UV364" s="118"/>
      <c r="UW364" s="219"/>
      <c r="UX364" s="247"/>
      <c r="UY364" s="639"/>
      <c r="UZ364" s="626"/>
      <c r="VA364" s="640"/>
      <c r="VB364" s="641"/>
      <c r="VC364" s="277"/>
      <c r="VD364" s="261"/>
      <c r="VE364" s="118"/>
      <c r="VF364" s="219"/>
      <c r="VG364" s="247"/>
      <c r="VH364" s="639"/>
      <c r="VI364" s="626"/>
      <c r="VJ364" s="640"/>
      <c r="VK364" s="641"/>
      <c r="VL364" s="277"/>
      <c r="VM364" s="261"/>
      <c r="VN364" s="118"/>
      <c r="VO364" s="219"/>
      <c r="VP364" s="247"/>
      <c r="VQ364" s="639"/>
      <c r="VR364" s="626"/>
      <c r="VS364" s="640"/>
      <c r="VT364" s="641"/>
      <c r="VU364" s="277"/>
      <c r="VV364" s="261"/>
      <c r="VW364" s="118"/>
      <c r="VX364" s="219"/>
      <c r="VY364" s="247"/>
      <c r="VZ364" s="639"/>
      <c r="WA364" s="626"/>
      <c r="WB364" s="640"/>
      <c r="WC364" s="641"/>
      <c r="WD364" s="277"/>
      <c r="WE364" s="261"/>
      <c r="WF364" s="118"/>
      <c r="WG364" s="219"/>
      <c r="WH364" s="247"/>
      <c r="WI364" s="639"/>
      <c r="WJ364" s="626"/>
      <c r="WK364" s="640"/>
      <c r="WL364" s="641"/>
      <c r="WM364" s="277"/>
      <c r="WN364" s="261"/>
      <c r="WO364" s="118"/>
      <c r="WP364" s="219"/>
      <c r="WQ364" s="247"/>
      <c r="WR364" s="639"/>
      <c r="WS364" s="626"/>
      <c r="WT364" s="640"/>
      <c r="WU364" s="641"/>
      <c r="WV364" s="277"/>
      <c r="WW364" s="261"/>
      <c r="WX364" s="118"/>
      <c r="WY364" s="219"/>
      <c r="WZ364" s="247"/>
      <c r="XA364" s="639"/>
      <c r="XB364" s="626"/>
      <c r="XC364" s="640"/>
      <c r="XD364" s="641"/>
      <c r="XE364" s="277"/>
      <c r="XF364" s="261"/>
      <c r="XG364" s="118"/>
      <c r="XH364" s="219"/>
      <c r="XI364" s="247"/>
      <c r="XJ364" s="639"/>
      <c r="XK364" s="626"/>
      <c r="XL364" s="640"/>
      <c r="XM364" s="641"/>
      <c r="XN364" s="277"/>
      <c r="XO364" s="261"/>
      <c r="XP364" s="118"/>
      <c r="XQ364" s="219"/>
      <c r="XR364" s="247"/>
      <c r="XS364" s="639"/>
      <c r="XT364" s="626"/>
      <c r="XU364" s="640"/>
      <c r="XV364" s="641"/>
      <c r="XW364" s="277"/>
      <c r="XX364" s="261"/>
      <c r="XY364" s="118"/>
      <c r="XZ364" s="219"/>
      <c r="YA364" s="247"/>
      <c r="YB364" s="639"/>
      <c r="YC364" s="626"/>
      <c r="YD364" s="640"/>
      <c r="YE364" s="641"/>
      <c r="YF364" s="277"/>
      <c r="YG364" s="261"/>
      <c r="YH364" s="118"/>
      <c r="YI364" s="219"/>
      <c r="YJ364" s="247"/>
      <c r="YK364" s="639"/>
      <c r="YL364" s="626"/>
      <c r="YM364" s="640"/>
      <c r="YN364" s="641"/>
      <c r="YO364" s="277"/>
      <c r="YP364" s="261"/>
      <c r="YQ364" s="118"/>
      <c r="YR364" s="219"/>
      <c r="YS364" s="247"/>
      <c r="YT364" s="639"/>
      <c r="YU364" s="626"/>
      <c r="YV364" s="640"/>
      <c r="YW364" s="641"/>
      <c r="YX364" s="277"/>
      <c r="YY364" s="261"/>
      <c r="YZ364" s="118"/>
      <c r="ZA364" s="219"/>
      <c r="ZB364" s="247"/>
      <c r="ZC364" s="639"/>
      <c r="ZD364" s="626"/>
      <c r="ZE364" s="640"/>
      <c r="ZF364" s="641"/>
      <c r="ZG364" s="277"/>
      <c r="ZH364" s="261"/>
      <c r="ZI364" s="118"/>
      <c r="ZJ364" s="219"/>
      <c r="ZK364" s="247"/>
      <c r="ZL364" s="639"/>
      <c r="ZM364" s="626"/>
      <c r="ZN364" s="640"/>
      <c r="ZO364" s="641"/>
      <c r="ZP364" s="277"/>
      <c r="ZQ364" s="261"/>
      <c r="ZR364" s="118"/>
      <c r="ZS364" s="219"/>
      <c r="ZT364" s="247"/>
      <c r="ZU364" s="639"/>
      <c r="ZV364" s="626"/>
      <c r="ZW364" s="640"/>
      <c r="ZX364" s="641"/>
      <c r="ZY364" s="277"/>
      <c r="ZZ364" s="261"/>
      <c r="AAA364" s="118"/>
      <c r="AAB364" s="219"/>
      <c r="AAC364" s="247"/>
      <c r="AAD364" s="639"/>
      <c r="AAE364" s="626"/>
      <c r="AAF364" s="640"/>
      <c r="AAG364" s="641"/>
      <c r="AAH364" s="277"/>
      <c r="AAI364" s="261"/>
      <c r="AAJ364" s="118"/>
      <c r="AAK364" s="219"/>
      <c r="AAL364" s="247"/>
      <c r="AAM364" s="639"/>
      <c r="AAN364" s="626"/>
      <c r="AAO364" s="640"/>
      <c r="AAP364" s="641"/>
      <c r="AAQ364" s="277"/>
      <c r="AAR364" s="261"/>
      <c r="AAS364" s="118"/>
      <c r="AAT364" s="219"/>
      <c r="AAU364" s="247"/>
      <c r="AAV364" s="639"/>
      <c r="AAW364" s="626"/>
      <c r="AAX364" s="640"/>
      <c r="AAY364" s="641"/>
      <c r="AAZ364" s="277"/>
      <c r="ABA364" s="261"/>
      <c r="ABB364" s="118"/>
      <c r="ABC364" s="219"/>
      <c r="ABD364" s="247"/>
      <c r="ABE364" s="639"/>
      <c r="ABF364" s="626"/>
      <c r="ABG364" s="640"/>
      <c r="ABH364" s="641"/>
      <c r="ABI364" s="277"/>
      <c r="ABJ364" s="261"/>
      <c r="ABK364" s="118"/>
      <c r="ABL364" s="219"/>
      <c r="ABM364" s="247"/>
      <c r="ABN364" s="639"/>
      <c r="ABO364" s="626"/>
      <c r="ABP364" s="640"/>
      <c r="ABQ364" s="641"/>
      <c r="ABR364" s="277"/>
      <c r="ABS364" s="261"/>
      <c r="ABT364" s="118"/>
      <c r="ABU364" s="219"/>
      <c r="ABV364" s="247"/>
      <c r="ABW364" s="639"/>
      <c r="ABX364" s="626"/>
      <c r="ABY364" s="640"/>
      <c r="ABZ364" s="641"/>
      <c r="ACA364" s="277"/>
      <c r="ACB364" s="261"/>
      <c r="ACC364" s="118"/>
      <c r="ACD364" s="219"/>
      <c r="ACE364" s="247"/>
      <c r="ACF364" s="639"/>
      <c r="ACG364" s="626"/>
      <c r="ACH364" s="640"/>
      <c r="ACI364" s="641"/>
      <c r="ACJ364" s="277"/>
      <c r="ACK364" s="261"/>
      <c r="ACL364" s="118"/>
      <c r="ACM364" s="219"/>
      <c r="ACN364" s="247"/>
      <c r="ACO364" s="639"/>
      <c r="ACP364" s="626"/>
      <c r="ACQ364" s="640"/>
      <c r="ACR364" s="641"/>
      <c r="ACS364" s="277"/>
      <c r="ACT364" s="261"/>
      <c r="ACU364" s="118"/>
      <c r="ACV364" s="219"/>
      <c r="ACW364" s="247"/>
      <c r="ACX364" s="639"/>
      <c r="ACY364" s="626"/>
      <c r="ACZ364" s="640"/>
      <c r="ADA364" s="641"/>
      <c r="ADB364" s="277"/>
      <c r="ADC364" s="261"/>
      <c r="ADD364" s="118"/>
      <c r="ADE364" s="219"/>
      <c r="ADF364" s="247"/>
      <c r="ADG364" s="639"/>
      <c r="ADH364" s="626"/>
      <c r="ADI364" s="640"/>
      <c r="ADJ364" s="641"/>
      <c r="ADK364" s="277"/>
      <c r="ADL364" s="261"/>
      <c r="ADM364" s="118"/>
      <c r="ADN364" s="219"/>
      <c r="ADO364" s="247"/>
      <c r="ADP364" s="639"/>
      <c r="ADQ364" s="626"/>
      <c r="ADR364" s="640"/>
      <c r="ADS364" s="641"/>
      <c r="ADT364" s="277"/>
      <c r="ADU364" s="261"/>
      <c r="ADV364" s="118"/>
      <c r="ADW364" s="219"/>
      <c r="ADX364" s="247"/>
      <c r="ADY364" s="639"/>
      <c r="ADZ364" s="626"/>
      <c r="AEA364" s="640"/>
      <c r="AEB364" s="641"/>
      <c r="AEC364" s="277"/>
      <c r="AED364" s="261"/>
      <c r="AEE364" s="118"/>
      <c r="AEF364" s="219"/>
      <c r="AEG364" s="247"/>
      <c r="AEH364" s="639"/>
      <c r="AEI364" s="626"/>
      <c r="AEJ364" s="640"/>
      <c r="AEK364" s="641"/>
      <c r="AEL364" s="277"/>
      <c r="AEM364" s="261"/>
      <c r="AEN364" s="118"/>
      <c r="AEO364" s="219"/>
      <c r="AEP364" s="247"/>
      <c r="AEQ364" s="639"/>
      <c r="AER364" s="626"/>
      <c r="AES364" s="640"/>
      <c r="AET364" s="641"/>
      <c r="AEU364" s="277"/>
      <c r="AEV364" s="261"/>
      <c r="AEW364" s="118"/>
      <c r="AEX364" s="219"/>
      <c r="AEY364" s="247"/>
      <c r="AEZ364" s="639"/>
      <c r="AFA364" s="626"/>
      <c r="AFB364" s="640"/>
      <c r="AFC364" s="641"/>
      <c r="AFD364" s="277"/>
      <c r="AFE364" s="261"/>
      <c r="AFF364" s="118"/>
      <c r="AFG364" s="219"/>
      <c r="AFH364" s="247"/>
      <c r="AFI364" s="639"/>
      <c r="AFJ364" s="626"/>
      <c r="AFK364" s="640"/>
      <c r="AFL364" s="641"/>
      <c r="AFM364" s="277"/>
      <c r="AFN364" s="261"/>
      <c r="AFO364" s="118"/>
      <c r="AFP364" s="219"/>
      <c r="AFQ364" s="247"/>
      <c r="AFR364" s="639"/>
      <c r="AFS364" s="626"/>
      <c r="AFT364" s="640"/>
      <c r="AFU364" s="641"/>
      <c r="AFV364" s="277"/>
      <c r="AFW364" s="261"/>
      <c r="AFX364" s="118"/>
      <c r="AFY364" s="219"/>
      <c r="AFZ364" s="247"/>
      <c r="AGA364" s="639"/>
      <c r="AGB364" s="626"/>
      <c r="AGC364" s="640"/>
      <c r="AGD364" s="641"/>
      <c r="AGE364" s="277"/>
      <c r="AGF364" s="261"/>
      <c r="AGG364" s="118"/>
      <c r="AGH364" s="219"/>
      <c r="AGI364" s="247"/>
      <c r="AGJ364" s="639"/>
      <c r="AGK364" s="626"/>
      <c r="AGL364" s="640"/>
      <c r="AGM364" s="641"/>
      <c r="AGN364" s="277"/>
      <c r="AGO364" s="261"/>
      <c r="AGP364" s="118"/>
      <c r="AGQ364" s="219"/>
      <c r="AGR364" s="247"/>
      <c r="AGS364" s="639"/>
      <c r="AGT364" s="626"/>
      <c r="AGU364" s="640"/>
      <c r="AGV364" s="641"/>
      <c r="AGW364" s="277"/>
      <c r="AGX364" s="261"/>
      <c r="AGY364" s="118"/>
      <c r="AGZ364" s="219"/>
      <c r="AHA364" s="247"/>
      <c r="AHB364" s="639"/>
      <c r="AHC364" s="626"/>
      <c r="AHD364" s="640"/>
      <c r="AHE364" s="641"/>
      <c r="AHF364" s="277"/>
      <c r="AHG364" s="261"/>
      <c r="AHH364" s="118"/>
      <c r="AHI364" s="219"/>
      <c r="AHJ364" s="247"/>
      <c r="AHK364" s="639"/>
      <c r="AHL364" s="626"/>
      <c r="AHM364" s="640"/>
      <c r="AHN364" s="641"/>
      <c r="AHO364" s="277"/>
      <c r="AHP364" s="261"/>
      <c r="AHQ364" s="118"/>
      <c r="AHR364" s="219"/>
      <c r="AHS364" s="247"/>
      <c r="AHT364" s="639"/>
      <c r="AHU364" s="626"/>
      <c r="AHV364" s="640"/>
      <c r="AHW364" s="641"/>
      <c r="AHX364" s="277"/>
      <c r="AHY364" s="261"/>
      <c r="AHZ364" s="118"/>
      <c r="AIA364" s="219"/>
      <c r="AIB364" s="247"/>
      <c r="AIC364" s="639"/>
      <c r="AID364" s="626"/>
      <c r="AIE364" s="640"/>
      <c r="AIF364" s="641"/>
      <c r="AIG364" s="277"/>
      <c r="AIH364" s="261"/>
      <c r="AII364" s="118"/>
      <c r="AIJ364" s="219"/>
      <c r="AIK364" s="247"/>
      <c r="AIL364" s="639"/>
      <c r="AIM364" s="626"/>
      <c r="AIN364" s="640"/>
      <c r="AIO364" s="641"/>
      <c r="AIP364" s="277"/>
      <c r="AIQ364" s="261"/>
      <c r="AIR364" s="118"/>
      <c r="AIS364" s="219"/>
      <c r="AIT364" s="247"/>
      <c r="AIU364" s="639"/>
      <c r="AIV364" s="626"/>
      <c r="AIW364" s="640"/>
      <c r="AIX364" s="641"/>
      <c r="AIY364" s="277"/>
      <c r="AIZ364" s="261"/>
      <c r="AJA364" s="118"/>
      <c r="AJB364" s="219"/>
      <c r="AJC364" s="247"/>
      <c r="AJD364" s="639"/>
      <c r="AJE364" s="626"/>
      <c r="AJF364" s="640"/>
      <c r="AJG364" s="641"/>
      <c r="AJH364" s="277"/>
      <c r="AJI364" s="261"/>
      <c r="AJJ364" s="118"/>
      <c r="AJK364" s="219"/>
      <c r="AJL364" s="247"/>
      <c r="AJM364" s="639"/>
      <c r="AJN364" s="626"/>
      <c r="AJO364" s="640"/>
      <c r="AJP364" s="641"/>
      <c r="AJQ364" s="277"/>
      <c r="AJR364" s="261"/>
      <c r="AJS364" s="118"/>
      <c r="AJT364" s="219"/>
      <c r="AJU364" s="247"/>
      <c r="AJV364" s="639"/>
      <c r="AJW364" s="626"/>
      <c r="AJX364" s="640"/>
      <c r="AJY364" s="641"/>
      <c r="AJZ364" s="277"/>
      <c r="AKA364" s="261"/>
      <c r="AKB364" s="118"/>
      <c r="AKC364" s="219"/>
      <c r="AKD364" s="247"/>
      <c r="AKE364" s="639"/>
      <c r="AKF364" s="626"/>
      <c r="AKG364" s="640"/>
      <c r="AKH364" s="641"/>
      <c r="AKI364" s="277"/>
      <c r="AKJ364" s="261"/>
      <c r="AKK364" s="118"/>
      <c r="AKL364" s="219"/>
      <c r="AKM364" s="247"/>
      <c r="AKN364" s="639"/>
      <c r="AKO364" s="626"/>
      <c r="AKP364" s="640"/>
      <c r="AKQ364" s="641"/>
      <c r="AKR364" s="277"/>
      <c r="AKS364" s="261"/>
      <c r="AKT364" s="118"/>
      <c r="AKU364" s="219"/>
      <c r="AKV364" s="247"/>
      <c r="AKW364" s="639"/>
      <c r="AKX364" s="626"/>
      <c r="AKY364" s="640"/>
      <c r="AKZ364" s="641"/>
      <c r="ALA364" s="277"/>
      <c r="ALB364" s="261"/>
      <c r="ALC364" s="118"/>
      <c r="ALD364" s="219"/>
      <c r="ALE364" s="247"/>
      <c r="ALF364" s="639"/>
      <c r="ALG364" s="626"/>
      <c r="ALH364" s="640"/>
      <c r="ALI364" s="641"/>
      <c r="ALJ364" s="277"/>
      <c r="ALK364" s="261"/>
      <c r="ALL364" s="118"/>
      <c r="ALM364" s="219"/>
      <c r="ALN364" s="247"/>
      <c r="ALO364" s="639"/>
      <c r="ALP364" s="626"/>
      <c r="ALQ364" s="640"/>
      <c r="ALR364" s="641"/>
      <c r="ALS364" s="277"/>
      <c r="ALT364" s="261"/>
      <c r="ALU364" s="118"/>
      <c r="ALV364" s="219"/>
      <c r="ALW364" s="247"/>
      <c r="ALX364" s="639"/>
      <c r="ALY364" s="626"/>
      <c r="ALZ364" s="640"/>
      <c r="AMA364" s="641"/>
      <c r="AMB364" s="277"/>
      <c r="AMC364" s="261"/>
      <c r="AMD364" s="118"/>
      <c r="AME364" s="219"/>
      <c r="AMF364" s="247"/>
      <c r="AMG364" s="639"/>
      <c r="AMH364" s="626"/>
      <c r="AMI364" s="640"/>
      <c r="AMJ364" s="641"/>
      <c r="AMK364" s="277"/>
      <c r="AML364" s="261"/>
      <c r="AMM364" s="118"/>
      <c r="AMN364" s="219"/>
      <c r="AMO364" s="247"/>
      <c r="AMP364" s="639"/>
      <c r="AMQ364" s="626"/>
      <c r="AMR364" s="640"/>
      <c r="AMS364" s="641"/>
      <c r="AMT364" s="277"/>
      <c r="AMU364" s="261"/>
      <c r="AMV364" s="118"/>
      <c r="AMW364" s="219"/>
      <c r="AMX364" s="247"/>
      <c r="AMY364" s="639"/>
      <c r="AMZ364" s="626"/>
      <c r="ANA364" s="640"/>
      <c r="ANB364" s="641"/>
      <c r="ANC364" s="277"/>
      <c r="AND364" s="261"/>
      <c r="ANE364" s="118"/>
      <c r="ANF364" s="219"/>
      <c r="ANG364" s="247"/>
      <c r="ANH364" s="639"/>
      <c r="ANI364" s="626"/>
      <c r="ANJ364" s="640"/>
      <c r="ANK364" s="641"/>
      <c r="ANL364" s="277"/>
      <c r="ANM364" s="261"/>
      <c r="ANN364" s="118"/>
      <c r="ANO364" s="219"/>
      <c r="ANP364" s="247"/>
      <c r="ANQ364" s="639"/>
      <c r="ANR364" s="626"/>
      <c r="ANS364" s="640"/>
      <c r="ANT364" s="641"/>
      <c r="ANU364" s="277"/>
      <c r="ANV364" s="261"/>
      <c r="ANW364" s="118"/>
      <c r="ANX364" s="219"/>
      <c r="ANY364" s="247"/>
      <c r="ANZ364" s="639"/>
      <c r="AOA364" s="626"/>
      <c r="AOB364" s="640"/>
      <c r="AOC364" s="641"/>
      <c r="AOD364" s="277"/>
      <c r="AOE364" s="261"/>
      <c r="AOF364" s="118"/>
      <c r="AOG364" s="219"/>
      <c r="AOH364" s="247"/>
      <c r="AOI364" s="639"/>
      <c r="AOJ364" s="626"/>
      <c r="AOK364" s="640"/>
      <c r="AOL364" s="641"/>
      <c r="AOM364" s="277"/>
      <c r="AON364" s="261"/>
      <c r="AOO364" s="118"/>
      <c r="AOP364" s="219"/>
      <c r="AOQ364" s="247"/>
      <c r="AOR364" s="639"/>
      <c r="AOS364" s="626"/>
      <c r="AOT364" s="640"/>
      <c r="AOU364" s="641"/>
      <c r="AOV364" s="277"/>
      <c r="AOW364" s="261"/>
      <c r="AOX364" s="118"/>
      <c r="AOY364" s="219"/>
      <c r="AOZ364" s="247"/>
      <c r="APA364" s="639"/>
      <c r="APB364" s="626"/>
      <c r="APC364" s="640"/>
      <c r="APD364" s="641"/>
      <c r="APE364" s="277"/>
      <c r="APF364" s="261"/>
      <c r="APG364" s="118"/>
      <c r="APH364" s="219"/>
      <c r="API364" s="247"/>
      <c r="APJ364" s="639"/>
      <c r="APK364" s="626"/>
      <c r="APL364" s="640"/>
      <c r="APM364" s="641"/>
      <c r="APN364" s="277"/>
      <c r="APO364" s="261"/>
      <c r="APP364" s="118"/>
      <c r="APQ364" s="219"/>
      <c r="APR364" s="247"/>
      <c r="APS364" s="639"/>
      <c r="APT364" s="626"/>
      <c r="APU364" s="640"/>
      <c r="APV364" s="641"/>
      <c r="APW364" s="277"/>
      <c r="APX364" s="261"/>
      <c r="APY364" s="118"/>
      <c r="APZ364" s="219"/>
      <c r="AQA364" s="247"/>
      <c r="AQB364" s="639"/>
      <c r="AQC364" s="626"/>
      <c r="AQD364" s="640"/>
      <c r="AQE364" s="641"/>
      <c r="AQF364" s="277"/>
      <c r="AQG364" s="261"/>
      <c r="AQH364" s="118"/>
      <c r="AQI364" s="219"/>
      <c r="AQJ364" s="247"/>
      <c r="AQK364" s="639"/>
      <c r="AQL364" s="626"/>
      <c r="AQM364" s="640"/>
      <c r="AQN364" s="641"/>
      <c r="AQO364" s="277"/>
      <c r="AQP364" s="261"/>
      <c r="AQQ364" s="118"/>
      <c r="AQR364" s="219"/>
      <c r="AQS364" s="247"/>
      <c r="AQT364" s="639"/>
      <c r="AQU364" s="626"/>
      <c r="AQV364" s="640"/>
      <c r="AQW364" s="641"/>
      <c r="AQX364" s="277"/>
      <c r="AQY364" s="261"/>
      <c r="AQZ364" s="118"/>
      <c r="ARA364" s="219"/>
      <c r="ARB364" s="247"/>
      <c r="ARC364" s="639"/>
      <c r="ARD364" s="626"/>
      <c r="ARE364" s="640"/>
      <c r="ARF364" s="641"/>
      <c r="ARG364" s="277"/>
      <c r="ARH364" s="261"/>
      <c r="ARI364" s="118"/>
      <c r="ARJ364" s="219"/>
      <c r="ARK364" s="247"/>
      <c r="ARL364" s="639"/>
      <c r="ARM364" s="626"/>
      <c r="ARN364" s="640"/>
      <c r="ARO364" s="641"/>
      <c r="ARP364" s="277"/>
      <c r="ARQ364" s="261"/>
      <c r="ARR364" s="118"/>
      <c r="ARS364" s="219"/>
      <c r="ART364" s="247"/>
      <c r="ARU364" s="639"/>
      <c r="ARV364" s="626"/>
      <c r="ARW364" s="640"/>
      <c r="ARX364" s="641"/>
      <c r="ARY364" s="277"/>
      <c r="ARZ364" s="261"/>
      <c r="ASA364" s="118"/>
      <c r="ASB364" s="219"/>
      <c r="ASC364" s="247"/>
      <c r="ASD364" s="639"/>
      <c r="ASE364" s="626"/>
      <c r="ASF364" s="640"/>
      <c r="ASG364" s="641"/>
      <c r="ASH364" s="277"/>
      <c r="ASI364" s="261"/>
      <c r="ASJ364" s="118"/>
      <c r="ASK364" s="219"/>
      <c r="ASL364" s="247"/>
      <c r="ASM364" s="639"/>
      <c r="ASN364" s="626"/>
      <c r="ASO364" s="640"/>
      <c r="ASP364" s="641"/>
      <c r="ASQ364" s="277"/>
      <c r="ASR364" s="261"/>
      <c r="ASS364" s="118"/>
      <c r="AST364" s="219"/>
      <c r="ASU364" s="247"/>
      <c r="ASV364" s="639"/>
      <c r="ASW364" s="626"/>
      <c r="ASX364" s="640"/>
      <c r="ASY364" s="641"/>
      <c r="ASZ364" s="277"/>
      <c r="ATA364" s="261"/>
      <c r="ATB364" s="118"/>
      <c r="ATC364" s="219"/>
      <c r="ATD364" s="247"/>
      <c r="ATE364" s="639"/>
      <c r="ATF364" s="626"/>
      <c r="ATG364" s="640"/>
      <c r="ATH364" s="641"/>
      <c r="ATI364" s="277"/>
      <c r="ATJ364" s="261"/>
      <c r="ATK364" s="118"/>
      <c r="ATL364" s="219"/>
      <c r="ATM364" s="247"/>
      <c r="ATN364" s="639"/>
      <c r="ATO364" s="626"/>
      <c r="ATP364" s="640"/>
      <c r="ATQ364" s="641"/>
      <c r="ATR364" s="277"/>
      <c r="ATS364" s="261"/>
      <c r="ATT364" s="118"/>
      <c r="ATU364" s="219"/>
      <c r="ATV364" s="247"/>
      <c r="ATW364" s="639"/>
      <c r="ATX364" s="626"/>
      <c r="ATY364" s="640"/>
      <c r="ATZ364" s="641"/>
      <c r="AUA364" s="277"/>
      <c r="AUB364" s="261"/>
      <c r="AUC364" s="118"/>
      <c r="AUD364" s="219"/>
      <c r="AUE364" s="247"/>
      <c r="AUF364" s="639"/>
      <c r="AUG364" s="626"/>
      <c r="AUH364" s="640"/>
      <c r="AUI364" s="641"/>
      <c r="AUJ364" s="277"/>
      <c r="AUK364" s="261"/>
      <c r="AUL364" s="118"/>
      <c r="AUM364" s="219"/>
      <c r="AUN364" s="247"/>
      <c r="AUO364" s="639"/>
      <c r="AUP364" s="626"/>
      <c r="AUQ364" s="640"/>
      <c r="AUR364" s="641"/>
      <c r="AUS364" s="277"/>
      <c r="AUT364" s="261"/>
      <c r="AUU364" s="118"/>
      <c r="AUV364" s="219"/>
      <c r="AUW364" s="247"/>
      <c r="AUX364" s="639"/>
      <c r="AUY364" s="626"/>
      <c r="AUZ364" s="640"/>
      <c r="AVA364" s="641"/>
      <c r="AVB364" s="277"/>
      <c r="AVC364" s="261"/>
      <c r="AVD364" s="118"/>
      <c r="AVE364" s="219"/>
      <c r="AVF364" s="247"/>
      <c r="AVG364" s="639"/>
      <c r="AVH364" s="626"/>
      <c r="AVI364" s="640"/>
      <c r="AVJ364" s="641"/>
      <c r="AVK364" s="277"/>
      <c r="AVL364" s="261"/>
      <c r="AVM364" s="118"/>
      <c r="AVN364" s="219"/>
      <c r="AVO364" s="247"/>
      <c r="AVP364" s="639"/>
      <c r="AVQ364" s="626"/>
      <c r="AVR364" s="640"/>
      <c r="AVS364" s="641"/>
      <c r="AVT364" s="277"/>
      <c r="AVU364" s="261"/>
      <c r="AVV364" s="118"/>
      <c r="AVW364" s="219"/>
      <c r="AVX364" s="247"/>
      <c r="AVY364" s="639"/>
      <c r="AVZ364" s="626"/>
      <c r="AWA364" s="640"/>
      <c r="AWB364" s="641"/>
      <c r="AWC364" s="277"/>
      <c r="AWD364" s="261"/>
      <c r="AWE364" s="118"/>
      <c r="AWF364" s="219"/>
      <c r="AWG364" s="247"/>
      <c r="AWH364" s="639"/>
      <c r="AWI364" s="626"/>
      <c r="AWJ364" s="640"/>
      <c r="AWK364" s="641"/>
      <c r="AWL364" s="277"/>
      <c r="AWM364" s="261"/>
      <c r="AWN364" s="118"/>
      <c r="AWO364" s="219"/>
      <c r="AWP364" s="247"/>
      <c r="AWQ364" s="639"/>
      <c r="AWR364" s="626"/>
      <c r="AWS364" s="640"/>
      <c r="AWT364" s="641"/>
      <c r="AWU364" s="277"/>
      <c r="AWV364" s="261"/>
      <c r="AWW364" s="118"/>
      <c r="AWX364" s="219"/>
      <c r="AWY364" s="247"/>
      <c r="AWZ364" s="639"/>
      <c r="AXA364" s="626"/>
      <c r="AXB364" s="640"/>
      <c r="AXC364" s="641"/>
      <c r="AXD364" s="277"/>
      <c r="AXE364" s="261"/>
      <c r="AXF364" s="118"/>
      <c r="AXG364" s="219"/>
      <c r="AXH364" s="247"/>
      <c r="AXI364" s="639"/>
      <c r="AXJ364" s="626"/>
      <c r="AXK364" s="640"/>
      <c r="AXL364" s="641"/>
      <c r="AXM364" s="277"/>
      <c r="AXN364" s="261"/>
      <c r="AXO364" s="118"/>
      <c r="AXP364" s="219"/>
      <c r="AXQ364" s="247"/>
      <c r="AXR364" s="639"/>
      <c r="AXS364" s="626"/>
      <c r="AXT364" s="640"/>
      <c r="AXU364" s="641"/>
      <c r="AXV364" s="277"/>
      <c r="AXW364" s="261"/>
      <c r="AXX364" s="118"/>
      <c r="AXY364" s="219"/>
      <c r="AXZ364" s="247"/>
      <c r="AYA364" s="639"/>
      <c r="AYB364" s="626"/>
      <c r="AYC364" s="640"/>
      <c r="AYD364" s="641"/>
      <c r="AYE364" s="277"/>
      <c r="AYF364" s="261"/>
      <c r="AYG364" s="118"/>
      <c r="AYH364" s="219"/>
      <c r="AYI364" s="247"/>
      <c r="AYJ364" s="639"/>
      <c r="AYK364" s="626"/>
      <c r="AYL364" s="640"/>
      <c r="AYM364" s="641"/>
      <c r="AYN364" s="277"/>
      <c r="AYO364" s="261"/>
      <c r="AYP364" s="118"/>
      <c r="AYQ364" s="219"/>
      <c r="AYR364" s="247"/>
      <c r="AYS364" s="639"/>
      <c r="AYT364" s="626"/>
      <c r="AYU364" s="640"/>
      <c r="AYV364" s="641"/>
      <c r="AYW364" s="277"/>
      <c r="AYX364" s="261"/>
      <c r="AYY364" s="118"/>
      <c r="AYZ364" s="219"/>
      <c r="AZA364" s="247"/>
      <c r="AZB364" s="639"/>
      <c r="AZC364" s="626"/>
      <c r="AZD364" s="640"/>
      <c r="AZE364" s="641"/>
      <c r="AZF364" s="277"/>
      <c r="AZG364" s="261"/>
      <c r="AZH364" s="118"/>
      <c r="AZI364" s="219"/>
      <c r="AZJ364" s="247"/>
      <c r="AZK364" s="639"/>
      <c r="AZL364" s="626"/>
      <c r="AZM364" s="640"/>
      <c r="AZN364" s="641"/>
      <c r="AZO364" s="277"/>
      <c r="AZP364" s="261"/>
      <c r="AZQ364" s="118"/>
      <c r="AZR364" s="219"/>
      <c r="AZS364" s="247"/>
      <c r="AZT364" s="639"/>
      <c r="AZU364" s="626"/>
      <c r="AZV364" s="640"/>
      <c r="AZW364" s="641"/>
      <c r="AZX364" s="277"/>
      <c r="AZY364" s="261"/>
      <c r="AZZ364" s="118"/>
      <c r="BAA364" s="219"/>
      <c r="BAB364" s="247"/>
      <c r="BAC364" s="639"/>
      <c r="BAD364" s="626"/>
      <c r="BAE364" s="640"/>
      <c r="BAF364" s="641"/>
      <c r="BAG364" s="277"/>
      <c r="BAH364" s="261"/>
      <c r="BAI364" s="118"/>
      <c r="BAJ364" s="219"/>
      <c r="BAK364" s="247"/>
      <c r="BAL364" s="639"/>
      <c r="BAM364" s="626"/>
      <c r="BAN364" s="640"/>
      <c r="BAO364" s="641"/>
      <c r="BAP364" s="277"/>
      <c r="BAQ364" s="261"/>
      <c r="BAR364" s="118"/>
      <c r="BAS364" s="219"/>
      <c r="BAT364" s="247"/>
      <c r="BAU364" s="639"/>
      <c r="BAV364" s="626"/>
      <c r="BAW364" s="640"/>
      <c r="BAX364" s="641"/>
      <c r="BAY364" s="277"/>
      <c r="BAZ364" s="261"/>
      <c r="BBA364" s="118"/>
      <c r="BBB364" s="219"/>
      <c r="BBC364" s="247"/>
      <c r="BBD364" s="639"/>
      <c r="BBE364" s="626"/>
      <c r="BBF364" s="640"/>
      <c r="BBG364" s="641"/>
      <c r="BBH364" s="277"/>
      <c r="BBI364" s="261"/>
      <c r="BBJ364" s="118"/>
      <c r="BBK364" s="219"/>
      <c r="BBL364" s="247"/>
      <c r="BBM364" s="639"/>
      <c r="BBN364" s="626"/>
      <c r="BBO364" s="640"/>
      <c r="BBP364" s="641"/>
      <c r="BBQ364" s="277"/>
      <c r="BBR364" s="261"/>
      <c r="BBS364" s="118"/>
      <c r="BBT364" s="219"/>
      <c r="BBU364" s="247"/>
      <c r="BBV364" s="639"/>
      <c r="BBW364" s="626"/>
      <c r="BBX364" s="640"/>
      <c r="BBY364" s="641"/>
      <c r="BBZ364" s="277"/>
      <c r="BCA364" s="261"/>
      <c r="BCB364" s="118"/>
      <c r="BCC364" s="219"/>
      <c r="BCD364" s="247"/>
      <c r="BCE364" s="639"/>
      <c r="BCF364" s="626"/>
      <c r="BCG364" s="640"/>
      <c r="BCH364" s="641"/>
      <c r="BCI364" s="277"/>
      <c r="BCJ364" s="261"/>
      <c r="BCK364" s="118"/>
      <c r="BCL364" s="219"/>
      <c r="BCM364" s="247"/>
      <c r="BCN364" s="639"/>
      <c r="BCO364" s="626"/>
      <c r="BCP364" s="640"/>
      <c r="BCQ364" s="641"/>
      <c r="BCR364" s="277"/>
      <c r="BCS364" s="261"/>
      <c r="BCT364" s="118"/>
      <c r="BCU364" s="219"/>
      <c r="BCV364" s="247"/>
      <c r="BCW364" s="639"/>
      <c r="BCX364" s="626"/>
      <c r="BCY364" s="640"/>
      <c r="BCZ364" s="641"/>
      <c r="BDA364" s="277"/>
      <c r="BDB364" s="261"/>
      <c r="BDC364" s="118"/>
      <c r="BDD364" s="219"/>
      <c r="BDE364" s="247"/>
      <c r="BDF364" s="639"/>
      <c r="BDG364" s="626"/>
      <c r="BDH364" s="640"/>
      <c r="BDI364" s="641"/>
      <c r="BDJ364" s="277"/>
      <c r="BDK364" s="261"/>
      <c r="BDL364" s="118"/>
      <c r="BDM364" s="219"/>
      <c r="BDN364" s="247"/>
      <c r="BDO364" s="639"/>
      <c r="BDP364" s="626"/>
      <c r="BDQ364" s="640"/>
      <c r="BDR364" s="641"/>
      <c r="BDS364" s="277"/>
      <c r="BDT364" s="261"/>
      <c r="BDU364" s="118"/>
      <c r="BDV364" s="219"/>
      <c r="BDW364" s="247"/>
      <c r="BDX364" s="639"/>
      <c r="BDY364" s="626"/>
      <c r="BDZ364" s="640"/>
      <c r="BEA364" s="641"/>
      <c r="BEB364" s="277"/>
      <c r="BEC364" s="261"/>
      <c r="BED364" s="118"/>
      <c r="BEE364" s="219"/>
      <c r="BEF364" s="247"/>
      <c r="BEG364" s="639"/>
      <c r="BEH364" s="626"/>
      <c r="BEI364" s="640"/>
      <c r="BEJ364" s="641"/>
      <c r="BEK364" s="277"/>
      <c r="BEL364" s="261"/>
      <c r="BEM364" s="118"/>
      <c r="BEN364" s="219"/>
      <c r="BEO364" s="247"/>
      <c r="BEP364" s="639"/>
      <c r="BEQ364" s="626"/>
      <c r="BER364" s="640"/>
      <c r="BES364" s="641"/>
      <c r="BET364" s="277"/>
      <c r="BEU364" s="261"/>
      <c r="BEV364" s="118"/>
      <c r="BEW364" s="219"/>
      <c r="BEX364" s="247"/>
      <c r="BEY364" s="639"/>
      <c r="BEZ364" s="626"/>
      <c r="BFA364" s="640"/>
      <c r="BFB364" s="641"/>
      <c r="BFC364" s="277"/>
      <c r="BFD364" s="261"/>
      <c r="BFE364" s="118"/>
      <c r="BFF364" s="219"/>
      <c r="BFG364" s="247"/>
      <c r="BFH364" s="639"/>
      <c r="BFI364" s="626"/>
      <c r="BFJ364" s="640"/>
      <c r="BFK364" s="641"/>
      <c r="BFL364" s="277"/>
      <c r="BFM364" s="261"/>
      <c r="BFN364" s="118"/>
      <c r="BFO364" s="219"/>
      <c r="BFP364" s="247"/>
      <c r="BFQ364" s="639"/>
      <c r="BFR364" s="626"/>
      <c r="BFS364" s="640"/>
      <c r="BFT364" s="641"/>
      <c r="BFU364" s="277"/>
      <c r="BFV364" s="261"/>
      <c r="BFW364" s="118"/>
      <c r="BFX364" s="219"/>
      <c r="BFY364" s="247"/>
      <c r="BFZ364" s="639"/>
      <c r="BGA364" s="626"/>
      <c r="BGB364" s="640"/>
      <c r="BGC364" s="641"/>
      <c r="BGD364" s="277"/>
      <c r="BGE364" s="261"/>
      <c r="BGF364" s="118"/>
      <c r="BGG364" s="219"/>
      <c r="BGH364" s="247"/>
      <c r="BGI364" s="639"/>
      <c r="BGJ364" s="626"/>
      <c r="BGK364" s="640"/>
      <c r="BGL364" s="641"/>
      <c r="BGM364" s="277"/>
      <c r="BGN364" s="261"/>
      <c r="BGO364" s="118"/>
      <c r="BGP364" s="219"/>
      <c r="BGQ364" s="247"/>
      <c r="BGR364" s="639"/>
      <c r="BGS364" s="626"/>
      <c r="BGT364" s="640"/>
      <c r="BGU364" s="641"/>
      <c r="BGV364" s="277"/>
      <c r="BGW364" s="261"/>
      <c r="BGX364" s="118"/>
      <c r="BGY364" s="219"/>
      <c r="BGZ364" s="247"/>
      <c r="BHA364" s="639"/>
      <c r="BHB364" s="626"/>
      <c r="BHC364" s="640"/>
      <c r="BHD364" s="641"/>
      <c r="BHE364" s="277"/>
      <c r="BHF364" s="261"/>
      <c r="BHG364" s="118"/>
      <c r="BHH364" s="219"/>
      <c r="BHI364" s="247"/>
      <c r="BHJ364" s="639"/>
      <c r="BHK364" s="626"/>
      <c r="BHL364" s="640"/>
      <c r="BHM364" s="641"/>
      <c r="BHN364" s="277"/>
      <c r="BHO364" s="261"/>
      <c r="BHP364" s="118"/>
      <c r="BHQ364" s="219"/>
      <c r="BHR364" s="247"/>
      <c r="BHS364" s="639"/>
      <c r="BHT364" s="626"/>
      <c r="BHU364" s="640"/>
      <c r="BHV364" s="641"/>
      <c r="BHW364" s="277"/>
      <c r="BHX364" s="261"/>
      <c r="BHY364" s="118"/>
      <c r="BHZ364" s="219"/>
      <c r="BIA364" s="247"/>
      <c r="BIB364" s="639"/>
      <c r="BIC364" s="626"/>
      <c r="BID364" s="640"/>
      <c r="BIE364" s="641"/>
      <c r="BIF364" s="277"/>
      <c r="BIG364" s="261"/>
      <c r="BIH364" s="118"/>
      <c r="BII364" s="219"/>
      <c r="BIJ364" s="247"/>
      <c r="BIK364" s="639"/>
      <c r="BIL364" s="626"/>
      <c r="BIM364" s="640"/>
      <c r="BIN364" s="641"/>
      <c r="BIO364" s="277"/>
      <c r="BIP364" s="261"/>
      <c r="BIQ364" s="118"/>
      <c r="BIR364" s="219"/>
      <c r="BIS364" s="247"/>
      <c r="BIT364" s="639"/>
      <c r="BIU364" s="626"/>
      <c r="BIV364" s="640"/>
      <c r="BIW364" s="641"/>
      <c r="BIX364" s="277"/>
      <c r="BIY364" s="261"/>
      <c r="BIZ364" s="118"/>
      <c r="BJA364" s="219"/>
      <c r="BJB364" s="247"/>
      <c r="BJC364" s="639"/>
      <c r="BJD364" s="626"/>
      <c r="BJE364" s="640"/>
      <c r="BJF364" s="641"/>
      <c r="BJG364" s="277"/>
      <c r="BJH364" s="261"/>
      <c r="BJI364" s="118"/>
      <c r="BJJ364" s="219"/>
      <c r="BJK364" s="247"/>
      <c r="BJL364" s="639"/>
      <c r="BJM364" s="626"/>
      <c r="BJN364" s="640"/>
      <c r="BJO364" s="641"/>
      <c r="BJP364" s="277"/>
      <c r="BJQ364" s="261"/>
      <c r="BJR364" s="118"/>
      <c r="BJS364" s="219"/>
      <c r="BJT364" s="247"/>
      <c r="BJU364" s="639"/>
      <c r="BJV364" s="626"/>
      <c r="BJW364" s="640"/>
      <c r="BJX364" s="641"/>
      <c r="BJY364" s="277"/>
      <c r="BJZ364" s="261"/>
      <c r="BKA364" s="118"/>
      <c r="BKB364" s="219"/>
      <c r="BKC364" s="247"/>
      <c r="BKD364" s="639"/>
      <c r="BKE364" s="626"/>
      <c r="BKF364" s="640"/>
      <c r="BKG364" s="641"/>
      <c r="BKH364" s="277"/>
      <c r="BKI364" s="261"/>
      <c r="BKJ364" s="118"/>
      <c r="BKK364" s="219"/>
      <c r="BKL364" s="247"/>
      <c r="BKM364" s="639"/>
      <c r="BKN364" s="626"/>
      <c r="BKO364" s="640"/>
      <c r="BKP364" s="641"/>
      <c r="BKQ364" s="277"/>
      <c r="BKR364" s="261"/>
      <c r="BKS364" s="118"/>
      <c r="BKT364" s="219"/>
      <c r="BKU364" s="247"/>
      <c r="BKV364" s="639"/>
      <c r="BKW364" s="626"/>
      <c r="BKX364" s="640"/>
      <c r="BKY364" s="641"/>
      <c r="BKZ364" s="277"/>
      <c r="BLA364" s="261"/>
      <c r="BLB364" s="118"/>
      <c r="BLC364" s="219"/>
      <c r="BLD364" s="247"/>
      <c r="BLE364" s="639"/>
      <c r="BLF364" s="626"/>
      <c r="BLG364" s="640"/>
      <c r="BLH364" s="641"/>
      <c r="BLI364" s="277"/>
      <c r="BLJ364" s="261"/>
      <c r="BLK364" s="118"/>
      <c r="BLL364" s="219"/>
      <c r="BLM364" s="247"/>
      <c r="BLN364" s="639"/>
      <c r="BLO364" s="626"/>
      <c r="BLP364" s="640"/>
      <c r="BLQ364" s="641"/>
      <c r="BLR364" s="277"/>
      <c r="BLS364" s="261"/>
      <c r="BLT364" s="118"/>
      <c r="BLU364" s="219"/>
      <c r="BLV364" s="247"/>
      <c r="BLW364" s="639"/>
      <c r="BLX364" s="626"/>
      <c r="BLY364" s="640"/>
      <c r="BLZ364" s="641"/>
      <c r="BMA364" s="277"/>
      <c r="BMB364" s="261"/>
      <c r="BMC364" s="118"/>
      <c r="BMD364" s="219"/>
      <c r="BME364" s="247"/>
      <c r="BMF364" s="639"/>
      <c r="BMG364" s="626"/>
      <c r="BMH364" s="640"/>
      <c r="BMI364" s="641"/>
      <c r="BMJ364" s="277"/>
      <c r="BMK364" s="261"/>
      <c r="BML364" s="118"/>
      <c r="BMM364" s="219"/>
      <c r="BMN364" s="247"/>
      <c r="BMO364" s="639"/>
      <c r="BMP364" s="626"/>
      <c r="BMQ364" s="640"/>
      <c r="BMR364" s="641"/>
      <c r="BMS364" s="277"/>
      <c r="BMT364" s="261"/>
      <c r="BMU364" s="118"/>
      <c r="BMV364" s="219"/>
      <c r="BMW364" s="247"/>
      <c r="BMX364" s="639"/>
      <c r="BMY364" s="626"/>
      <c r="BMZ364" s="640"/>
      <c r="BNA364" s="641"/>
      <c r="BNB364" s="277"/>
      <c r="BNC364" s="261"/>
      <c r="BND364" s="118"/>
      <c r="BNE364" s="219"/>
      <c r="BNF364" s="247"/>
      <c r="BNG364" s="639"/>
      <c r="BNH364" s="626"/>
      <c r="BNI364" s="640"/>
      <c r="BNJ364" s="641"/>
      <c r="BNK364" s="277"/>
      <c r="BNL364" s="261"/>
      <c r="BNM364" s="118"/>
      <c r="BNN364" s="219"/>
      <c r="BNO364" s="247"/>
      <c r="BNP364" s="639"/>
      <c r="BNQ364" s="626"/>
      <c r="BNR364" s="640"/>
      <c r="BNS364" s="641"/>
      <c r="BNT364" s="277"/>
      <c r="BNU364" s="261"/>
      <c r="BNV364" s="118"/>
      <c r="BNW364" s="219"/>
      <c r="BNX364" s="247"/>
      <c r="BNY364" s="639"/>
      <c r="BNZ364" s="626"/>
      <c r="BOA364" s="640"/>
      <c r="BOB364" s="641"/>
      <c r="BOC364" s="277"/>
      <c r="BOD364" s="261"/>
      <c r="BOE364" s="118"/>
      <c r="BOF364" s="219"/>
      <c r="BOG364" s="247"/>
      <c r="BOH364" s="639"/>
      <c r="BOI364" s="626"/>
      <c r="BOJ364" s="640"/>
      <c r="BOK364" s="641"/>
      <c r="BOL364" s="277"/>
      <c r="BOM364" s="261"/>
      <c r="BON364" s="118"/>
      <c r="BOO364" s="219"/>
      <c r="BOP364" s="247"/>
      <c r="BOQ364" s="639"/>
      <c r="BOR364" s="626"/>
      <c r="BOS364" s="640"/>
      <c r="BOT364" s="641"/>
      <c r="BOU364" s="277"/>
      <c r="BOV364" s="261"/>
      <c r="BOW364" s="118"/>
      <c r="BOX364" s="219"/>
      <c r="BOY364" s="247"/>
      <c r="BOZ364" s="639"/>
      <c r="BPA364" s="626"/>
      <c r="BPB364" s="640"/>
      <c r="BPC364" s="641"/>
      <c r="BPD364" s="277"/>
      <c r="BPE364" s="261"/>
      <c r="BPF364" s="118"/>
      <c r="BPG364" s="219"/>
      <c r="BPH364" s="247"/>
      <c r="BPI364" s="639"/>
      <c r="BPJ364" s="626"/>
      <c r="BPK364" s="640"/>
      <c r="BPL364" s="641"/>
      <c r="BPM364" s="277"/>
      <c r="BPN364" s="261"/>
      <c r="BPO364" s="118"/>
      <c r="BPP364" s="219"/>
      <c r="BPQ364" s="247"/>
      <c r="BPR364" s="639"/>
      <c r="BPS364" s="626"/>
      <c r="BPT364" s="640"/>
      <c r="BPU364" s="641"/>
      <c r="BPV364" s="277"/>
      <c r="BPW364" s="261"/>
      <c r="BPX364" s="118"/>
      <c r="BPY364" s="219"/>
      <c r="BPZ364" s="247"/>
      <c r="BQA364" s="639"/>
      <c r="BQB364" s="626"/>
      <c r="BQC364" s="640"/>
      <c r="BQD364" s="641"/>
      <c r="BQE364" s="277"/>
      <c r="BQF364" s="261"/>
      <c r="BQG364" s="118"/>
      <c r="BQH364" s="219"/>
      <c r="BQI364" s="247"/>
      <c r="BQJ364" s="639"/>
      <c r="BQK364" s="626"/>
      <c r="BQL364" s="640"/>
      <c r="BQM364" s="641"/>
      <c r="BQN364" s="277"/>
      <c r="BQO364" s="261"/>
      <c r="BQP364" s="118"/>
      <c r="BQQ364" s="219"/>
      <c r="BQR364" s="247"/>
      <c r="BQS364" s="639"/>
      <c r="BQT364" s="626"/>
      <c r="BQU364" s="640"/>
      <c r="BQV364" s="641"/>
      <c r="BQW364" s="277"/>
      <c r="BQX364" s="261"/>
      <c r="BQY364" s="118"/>
      <c r="BQZ364" s="219"/>
      <c r="BRA364" s="247"/>
      <c r="BRB364" s="639"/>
      <c r="BRC364" s="626"/>
      <c r="BRD364" s="640"/>
      <c r="BRE364" s="641"/>
      <c r="BRF364" s="277"/>
      <c r="BRG364" s="261"/>
      <c r="BRH364" s="118"/>
      <c r="BRI364" s="219"/>
      <c r="BRJ364" s="247"/>
      <c r="BRK364" s="639"/>
      <c r="BRL364" s="626"/>
      <c r="BRM364" s="640"/>
      <c r="BRN364" s="641"/>
      <c r="BRO364" s="277"/>
      <c r="BRP364" s="261"/>
      <c r="BRQ364" s="118"/>
      <c r="BRR364" s="219"/>
      <c r="BRS364" s="247"/>
      <c r="BRT364" s="639"/>
      <c r="BRU364" s="626"/>
      <c r="BRV364" s="640"/>
      <c r="BRW364" s="641"/>
      <c r="BRX364" s="277"/>
      <c r="BRY364" s="261"/>
      <c r="BRZ364" s="118"/>
      <c r="BSA364" s="219"/>
      <c r="BSB364" s="247"/>
      <c r="BSC364" s="639"/>
      <c r="BSD364" s="626"/>
      <c r="BSE364" s="640"/>
      <c r="BSF364" s="641"/>
      <c r="BSG364" s="277"/>
      <c r="BSH364" s="261"/>
      <c r="BSI364" s="118"/>
      <c r="BSJ364" s="219"/>
      <c r="BSK364" s="247"/>
      <c r="BSL364" s="639"/>
      <c r="BSM364" s="626"/>
      <c r="BSN364" s="640"/>
      <c r="BSO364" s="641"/>
      <c r="BSP364" s="277"/>
      <c r="BSQ364" s="261"/>
      <c r="BSR364" s="118"/>
      <c r="BSS364" s="219"/>
      <c r="BST364" s="247"/>
      <c r="BSU364" s="639"/>
      <c r="BSV364" s="626"/>
      <c r="BSW364" s="640"/>
      <c r="BSX364" s="641"/>
      <c r="BSY364" s="277"/>
      <c r="BSZ364" s="261"/>
      <c r="BTA364" s="118"/>
      <c r="BTB364" s="219"/>
      <c r="BTC364" s="247"/>
      <c r="BTD364" s="639"/>
      <c r="BTE364" s="626"/>
      <c r="BTF364" s="640"/>
      <c r="BTG364" s="641"/>
      <c r="BTH364" s="277"/>
      <c r="BTI364" s="261"/>
      <c r="BTJ364" s="118"/>
      <c r="BTK364" s="219"/>
      <c r="BTL364" s="247"/>
      <c r="BTM364" s="639"/>
      <c r="BTN364" s="626"/>
      <c r="BTO364" s="640"/>
      <c r="BTP364" s="641"/>
      <c r="BTQ364" s="277"/>
      <c r="BTR364" s="261"/>
      <c r="BTS364" s="118"/>
      <c r="BTT364" s="219"/>
      <c r="BTU364" s="247"/>
      <c r="BTV364" s="639"/>
      <c r="BTW364" s="626"/>
      <c r="BTX364" s="640"/>
      <c r="BTY364" s="641"/>
      <c r="BTZ364" s="277"/>
      <c r="BUA364" s="261"/>
      <c r="BUB364" s="118"/>
      <c r="BUC364" s="219"/>
      <c r="BUD364" s="247"/>
      <c r="BUE364" s="639"/>
      <c r="BUF364" s="626"/>
      <c r="BUG364" s="640"/>
      <c r="BUH364" s="641"/>
      <c r="BUI364" s="277"/>
      <c r="BUJ364" s="261"/>
      <c r="BUK364" s="118"/>
      <c r="BUL364" s="219"/>
      <c r="BUM364" s="247"/>
      <c r="BUN364" s="639"/>
      <c r="BUO364" s="626"/>
      <c r="BUP364" s="640"/>
      <c r="BUQ364" s="641"/>
      <c r="BUR364" s="277"/>
      <c r="BUS364" s="261"/>
      <c r="BUT364" s="118"/>
      <c r="BUU364" s="219"/>
      <c r="BUV364" s="247"/>
      <c r="BUW364" s="639"/>
      <c r="BUX364" s="626"/>
      <c r="BUY364" s="640"/>
      <c r="BUZ364" s="641"/>
      <c r="BVA364" s="277"/>
      <c r="BVB364" s="261"/>
      <c r="BVC364" s="118"/>
      <c r="BVD364" s="219"/>
      <c r="BVE364" s="247"/>
      <c r="BVF364" s="639"/>
      <c r="BVG364" s="626"/>
      <c r="BVH364" s="640"/>
      <c r="BVI364" s="641"/>
      <c r="BVJ364" s="277"/>
      <c r="BVK364" s="261"/>
      <c r="BVL364" s="118"/>
      <c r="BVM364" s="219"/>
      <c r="BVN364" s="247"/>
      <c r="BVO364" s="639"/>
      <c r="BVP364" s="626"/>
      <c r="BVQ364" s="640"/>
      <c r="BVR364" s="641"/>
      <c r="BVS364" s="277"/>
      <c r="BVT364" s="261"/>
      <c r="BVU364" s="118"/>
      <c r="BVV364" s="219"/>
      <c r="BVW364" s="247"/>
      <c r="BVX364" s="639"/>
      <c r="BVY364" s="626"/>
      <c r="BVZ364" s="640"/>
      <c r="BWA364" s="641"/>
      <c r="BWB364" s="277"/>
      <c r="BWC364" s="261"/>
      <c r="BWD364" s="118"/>
      <c r="BWE364" s="219"/>
      <c r="BWF364" s="247"/>
      <c r="BWG364" s="639"/>
      <c r="BWH364" s="626"/>
      <c r="BWI364" s="640"/>
      <c r="BWJ364" s="641"/>
      <c r="BWK364" s="277"/>
      <c r="BWL364" s="261"/>
      <c r="BWM364" s="118"/>
      <c r="BWN364" s="219"/>
      <c r="BWO364" s="247"/>
      <c r="BWP364" s="639"/>
      <c r="BWQ364" s="626"/>
      <c r="BWR364" s="640"/>
      <c r="BWS364" s="641"/>
      <c r="BWT364" s="277"/>
      <c r="BWU364" s="261"/>
      <c r="BWV364" s="118"/>
      <c r="BWW364" s="219"/>
      <c r="BWX364" s="247"/>
      <c r="BWY364" s="639"/>
      <c r="BWZ364" s="626"/>
      <c r="BXA364" s="640"/>
      <c r="BXB364" s="641"/>
      <c r="BXC364" s="277"/>
      <c r="BXD364" s="261"/>
      <c r="BXE364" s="118"/>
      <c r="BXF364" s="219"/>
      <c r="BXG364" s="247"/>
      <c r="BXH364" s="639"/>
      <c r="BXI364" s="626"/>
      <c r="BXJ364" s="640"/>
      <c r="BXK364" s="641"/>
      <c r="BXL364" s="277"/>
      <c r="BXM364" s="261"/>
      <c r="BXN364" s="118"/>
      <c r="BXO364" s="219"/>
      <c r="BXP364" s="247"/>
      <c r="BXQ364" s="639"/>
      <c r="BXR364" s="626"/>
      <c r="BXS364" s="640"/>
      <c r="BXT364" s="641"/>
      <c r="BXU364" s="277"/>
      <c r="BXV364" s="261"/>
      <c r="BXW364" s="118"/>
      <c r="BXX364" s="219"/>
      <c r="BXY364" s="247"/>
      <c r="BXZ364" s="639"/>
      <c r="BYA364" s="626"/>
      <c r="BYB364" s="640"/>
      <c r="BYC364" s="641"/>
      <c r="BYD364" s="277"/>
      <c r="BYE364" s="261"/>
      <c r="BYF364" s="118"/>
      <c r="BYG364" s="219"/>
      <c r="BYH364" s="247"/>
      <c r="BYI364" s="639"/>
      <c r="BYJ364" s="626"/>
      <c r="BYK364" s="640"/>
      <c r="BYL364" s="641"/>
      <c r="BYM364" s="277"/>
      <c r="BYN364" s="261"/>
      <c r="BYO364" s="118"/>
      <c r="BYP364" s="219"/>
      <c r="BYQ364" s="247"/>
      <c r="BYR364" s="639"/>
      <c r="BYS364" s="626"/>
      <c r="BYT364" s="640"/>
      <c r="BYU364" s="641"/>
      <c r="BYV364" s="277"/>
      <c r="BYW364" s="261"/>
      <c r="BYX364" s="118"/>
      <c r="BYY364" s="219"/>
      <c r="BYZ364" s="247"/>
      <c r="BZA364" s="639"/>
      <c r="BZB364" s="626"/>
      <c r="BZC364" s="640"/>
      <c r="BZD364" s="641"/>
      <c r="BZE364" s="277"/>
      <c r="BZF364" s="261"/>
      <c r="BZG364" s="118"/>
      <c r="BZH364" s="219"/>
      <c r="BZI364" s="247"/>
      <c r="BZJ364" s="639"/>
      <c r="BZK364" s="626"/>
      <c r="BZL364" s="640"/>
      <c r="BZM364" s="641"/>
      <c r="BZN364" s="277"/>
      <c r="BZO364" s="261"/>
      <c r="BZP364" s="118"/>
      <c r="BZQ364" s="219"/>
      <c r="BZR364" s="247"/>
      <c r="BZS364" s="639"/>
      <c r="BZT364" s="626"/>
      <c r="BZU364" s="640"/>
      <c r="BZV364" s="641"/>
      <c r="BZW364" s="277"/>
      <c r="BZX364" s="261"/>
      <c r="BZY364" s="118"/>
      <c r="BZZ364" s="219"/>
      <c r="CAA364" s="247"/>
      <c r="CAB364" s="639"/>
      <c r="CAC364" s="626"/>
      <c r="CAD364" s="640"/>
      <c r="CAE364" s="641"/>
      <c r="CAF364" s="277"/>
      <c r="CAG364" s="261"/>
      <c r="CAH364" s="118"/>
      <c r="CAI364" s="219"/>
      <c r="CAJ364" s="247"/>
      <c r="CAK364" s="639"/>
      <c r="CAL364" s="626"/>
      <c r="CAM364" s="640"/>
      <c r="CAN364" s="641"/>
      <c r="CAO364" s="277"/>
      <c r="CAP364" s="261"/>
      <c r="CAQ364" s="118"/>
      <c r="CAR364" s="219"/>
      <c r="CAS364" s="247"/>
      <c r="CAT364" s="639"/>
      <c r="CAU364" s="626"/>
      <c r="CAV364" s="640"/>
      <c r="CAW364" s="641"/>
      <c r="CAX364" s="277"/>
      <c r="CAY364" s="261"/>
      <c r="CAZ364" s="118"/>
      <c r="CBA364" s="219"/>
      <c r="CBB364" s="247"/>
      <c r="CBC364" s="639"/>
      <c r="CBD364" s="626"/>
      <c r="CBE364" s="640"/>
      <c r="CBF364" s="641"/>
      <c r="CBG364" s="277"/>
      <c r="CBH364" s="261"/>
      <c r="CBI364" s="118"/>
      <c r="CBJ364" s="219"/>
      <c r="CBK364" s="247"/>
      <c r="CBL364" s="639"/>
      <c r="CBM364" s="626"/>
      <c r="CBN364" s="640"/>
      <c r="CBO364" s="641"/>
      <c r="CBP364" s="277"/>
      <c r="CBQ364" s="261"/>
      <c r="CBR364" s="118"/>
      <c r="CBS364" s="219"/>
      <c r="CBT364" s="247"/>
      <c r="CBU364" s="639"/>
      <c r="CBV364" s="626"/>
      <c r="CBW364" s="640"/>
      <c r="CBX364" s="641"/>
      <c r="CBY364" s="277"/>
      <c r="CBZ364" s="261"/>
      <c r="CCA364" s="118"/>
      <c r="CCB364" s="219"/>
      <c r="CCC364" s="247"/>
      <c r="CCD364" s="639"/>
      <c r="CCE364" s="626"/>
      <c r="CCF364" s="640"/>
      <c r="CCG364" s="641"/>
      <c r="CCH364" s="277"/>
      <c r="CCI364" s="261"/>
      <c r="CCJ364" s="118"/>
      <c r="CCK364" s="219"/>
      <c r="CCL364" s="247"/>
      <c r="CCM364" s="639"/>
      <c r="CCN364" s="626"/>
      <c r="CCO364" s="640"/>
      <c r="CCP364" s="641"/>
      <c r="CCQ364" s="277"/>
      <c r="CCR364" s="261"/>
      <c r="CCS364" s="118"/>
      <c r="CCT364" s="219"/>
      <c r="CCU364" s="247"/>
      <c r="CCV364" s="639"/>
      <c r="CCW364" s="626"/>
      <c r="CCX364" s="640"/>
      <c r="CCY364" s="641"/>
      <c r="CCZ364" s="277"/>
      <c r="CDA364" s="261"/>
      <c r="CDB364" s="118"/>
      <c r="CDC364" s="219"/>
      <c r="CDD364" s="247"/>
      <c r="CDE364" s="639"/>
      <c r="CDF364" s="626"/>
      <c r="CDG364" s="640"/>
      <c r="CDH364" s="641"/>
      <c r="CDI364" s="277"/>
      <c r="CDJ364" s="261"/>
      <c r="CDK364" s="118"/>
      <c r="CDL364" s="219"/>
      <c r="CDM364" s="247"/>
      <c r="CDN364" s="639"/>
      <c r="CDO364" s="626"/>
      <c r="CDP364" s="640"/>
      <c r="CDQ364" s="641"/>
      <c r="CDR364" s="277"/>
      <c r="CDS364" s="261"/>
      <c r="CDT364" s="118"/>
      <c r="CDU364" s="219"/>
      <c r="CDV364" s="247"/>
      <c r="CDW364" s="639"/>
      <c r="CDX364" s="626"/>
      <c r="CDY364" s="640"/>
      <c r="CDZ364" s="641"/>
      <c r="CEA364" s="277"/>
      <c r="CEB364" s="261"/>
      <c r="CEC364" s="118"/>
      <c r="CED364" s="219"/>
      <c r="CEE364" s="247"/>
      <c r="CEF364" s="639"/>
      <c r="CEG364" s="626"/>
      <c r="CEH364" s="640"/>
      <c r="CEI364" s="641"/>
      <c r="CEJ364" s="277"/>
      <c r="CEK364" s="261"/>
      <c r="CEL364" s="118"/>
      <c r="CEM364" s="219"/>
      <c r="CEN364" s="247"/>
      <c r="CEO364" s="639"/>
      <c r="CEP364" s="626"/>
      <c r="CEQ364" s="640"/>
      <c r="CER364" s="641"/>
      <c r="CES364" s="277"/>
      <c r="CET364" s="261"/>
      <c r="CEU364" s="118"/>
      <c r="CEV364" s="219"/>
      <c r="CEW364" s="247"/>
      <c r="CEX364" s="639"/>
      <c r="CEY364" s="626"/>
      <c r="CEZ364" s="640"/>
      <c r="CFA364" s="641"/>
      <c r="CFB364" s="277"/>
      <c r="CFC364" s="261"/>
      <c r="CFD364" s="118"/>
      <c r="CFE364" s="219"/>
      <c r="CFF364" s="247"/>
      <c r="CFG364" s="639"/>
      <c r="CFH364" s="626"/>
      <c r="CFI364" s="640"/>
      <c r="CFJ364" s="641"/>
      <c r="CFK364" s="277"/>
      <c r="CFL364" s="261"/>
      <c r="CFM364" s="118"/>
      <c r="CFN364" s="219"/>
      <c r="CFO364" s="247"/>
      <c r="CFP364" s="639"/>
      <c r="CFQ364" s="626"/>
      <c r="CFR364" s="640"/>
      <c r="CFS364" s="641"/>
      <c r="CFT364" s="277"/>
      <c r="CFU364" s="261"/>
      <c r="CFV364" s="118"/>
      <c r="CFW364" s="219"/>
      <c r="CFX364" s="247"/>
      <c r="CFY364" s="639"/>
      <c r="CFZ364" s="626"/>
      <c r="CGA364" s="640"/>
      <c r="CGB364" s="641"/>
      <c r="CGC364" s="277"/>
      <c r="CGD364" s="261"/>
      <c r="CGE364" s="118"/>
      <c r="CGF364" s="219"/>
      <c r="CGG364" s="247"/>
      <c r="CGH364" s="639"/>
      <c r="CGI364" s="626"/>
      <c r="CGJ364" s="640"/>
      <c r="CGK364" s="641"/>
      <c r="CGL364" s="277"/>
      <c r="CGM364" s="261"/>
      <c r="CGN364" s="118"/>
      <c r="CGO364" s="219"/>
      <c r="CGP364" s="247"/>
      <c r="CGQ364" s="639"/>
      <c r="CGR364" s="626"/>
      <c r="CGS364" s="640"/>
      <c r="CGT364" s="641"/>
      <c r="CGU364" s="277"/>
      <c r="CGV364" s="261"/>
      <c r="CGW364" s="118"/>
      <c r="CGX364" s="219"/>
      <c r="CGY364" s="247"/>
      <c r="CGZ364" s="639"/>
      <c r="CHA364" s="626"/>
      <c r="CHB364" s="640"/>
      <c r="CHC364" s="641"/>
      <c r="CHD364" s="277"/>
      <c r="CHE364" s="261"/>
      <c r="CHF364" s="118"/>
      <c r="CHG364" s="219"/>
      <c r="CHH364" s="247"/>
      <c r="CHI364" s="639"/>
      <c r="CHJ364" s="626"/>
      <c r="CHK364" s="640"/>
      <c r="CHL364" s="641"/>
      <c r="CHM364" s="277"/>
      <c r="CHN364" s="261"/>
      <c r="CHO364" s="118"/>
      <c r="CHP364" s="219"/>
      <c r="CHQ364" s="247"/>
      <c r="CHR364" s="639"/>
      <c r="CHS364" s="626"/>
      <c r="CHT364" s="640"/>
      <c r="CHU364" s="641"/>
      <c r="CHV364" s="277"/>
      <c r="CHW364" s="261"/>
      <c r="CHX364" s="118"/>
      <c r="CHY364" s="219"/>
      <c r="CHZ364" s="247"/>
      <c r="CIA364" s="639"/>
      <c r="CIB364" s="626"/>
      <c r="CIC364" s="640"/>
      <c r="CID364" s="641"/>
      <c r="CIE364" s="277"/>
      <c r="CIF364" s="261"/>
      <c r="CIG364" s="118"/>
      <c r="CIH364" s="219"/>
      <c r="CII364" s="247"/>
      <c r="CIJ364" s="639"/>
      <c r="CIK364" s="626"/>
      <c r="CIL364" s="640"/>
      <c r="CIM364" s="641"/>
      <c r="CIN364" s="277"/>
      <c r="CIO364" s="261"/>
      <c r="CIP364" s="118"/>
      <c r="CIQ364" s="219"/>
      <c r="CIR364" s="247"/>
      <c r="CIS364" s="639"/>
      <c r="CIT364" s="626"/>
      <c r="CIU364" s="640"/>
      <c r="CIV364" s="641"/>
      <c r="CIW364" s="277"/>
      <c r="CIX364" s="261"/>
      <c r="CIY364" s="118"/>
      <c r="CIZ364" s="219"/>
      <c r="CJA364" s="247"/>
      <c r="CJB364" s="639"/>
      <c r="CJC364" s="626"/>
      <c r="CJD364" s="640"/>
      <c r="CJE364" s="641"/>
      <c r="CJF364" s="277"/>
      <c r="CJG364" s="261"/>
      <c r="CJH364" s="118"/>
      <c r="CJI364" s="219"/>
      <c r="CJJ364" s="247"/>
      <c r="CJK364" s="639"/>
      <c r="CJL364" s="626"/>
      <c r="CJM364" s="640"/>
      <c r="CJN364" s="641"/>
      <c r="CJO364" s="277"/>
      <c r="CJP364" s="261"/>
      <c r="CJQ364" s="118"/>
      <c r="CJR364" s="219"/>
      <c r="CJS364" s="247"/>
      <c r="CJT364" s="639"/>
      <c r="CJU364" s="626"/>
      <c r="CJV364" s="640"/>
      <c r="CJW364" s="641"/>
      <c r="CJX364" s="277"/>
      <c r="CJY364" s="261"/>
      <c r="CJZ364" s="118"/>
      <c r="CKA364" s="219"/>
      <c r="CKB364" s="247"/>
      <c r="CKC364" s="639"/>
      <c r="CKD364" s="626"/>
      <c r="CKE364" s="640"/>
      <c r="CKF364" s="641"/>
      <c r="CKG364" s="277"/>
      <c r="CKH364" s="261"/>
      <c r="CKI364" s="118"/>
      <c r="CKJ364" s="219"/>
      <c r="CKK364" s="247"/>
      <c r="CKL364" s="639"/>
      <c r="CKM364" s="626"/>
      <c r="CKN364" s="640"/>
      <c r="CKO364" s="641"/>
      <c r="CKP364" s="277"/>
      <c r="CKQ364" s="261"/>
      <c r="CKR364" s="118"/>
      <c r="CKS364" s="219"/>
      <c r="CKT364" s="247"/>
      <c r="CKU364" s="639"/>
      <c r="CKV364" s="626"/>
      <c r="CKW364" s="640"/>
      <c r="CKX364" s="641"/>
      <c r="CKY364" s="277"/>
      <c r="CKZ364" s="261"/>
      <c r="CLA364" s="118"/>
      <c r="CLB364" s="219"/>
      <c r="CLC364" s="247"/>
      <c r="CLD364" s="639"/>
      <c r="CLE364" s="626"/>
      <c r="CLF364" s="640"/>
      <c r="CLG364" s="641"/>
      <c r="CLH364" s="277"/>
      <c r="CLI364" s="261"/>
      <c r="CLJ364" s="118"/>
      <c r="CLK364" s="219"/>
      <c r="CLL364" s="247"/>
      <c r="CLM364" s="639"/>
      <c r="CLN364" s="626"/>
      <c r="CLO364" s="640"/>
      <c r="CLP364" s="641"/>
      <c r="CLQ364" s="277"/>
      <c r="CLR364" s="261"/>
      <c r="CLS364" s="118"/>
      <c r="CLT364" s="219"/>
      <c r="CLU364" s="247"/>
      <c r="CLV364" s="639"/>
      <c r="CLW364" s="626"/>
      <c r="CLX364" s="640"/>
      <c r="CLY364" s="641"/>
      <c r="CLZ364" s="277"/>
      <c r="CMA364" s="261"/>
      <c r="CMB364" s="118"/>
      <c r="CMC364" s="219"/>
      <c r="CMD364" s="247"/>
      <c r="CME364" s="639"/>
      <c r="CMF364" s="626"/>
      <c r="CMG364" s="640"/>
      <c r="CMH364" s="641"/>
      <c r="CMI364" s="277"/>
      <c r="CMJ364" s="261"/>
      <c r="CMK364" s="118"/>
      <c r="CML364" s="219"/>
      <c r="CMM364" s="247"/>
      <c r="CMN364" s="639"/>
      <c r="CMO364" s="626"/>
      <c r="CMP364" s="640"/>
      <c r="CMQ364" s="641"/>
      <c r="CMR364" s="277"/>
      <c r="CMS364" s="261"/>
      <c r="CMT364" s="118"/>
      <c r="CMU364" s="219"/>
      <c r="CMV364" s="247"/>
      <c r="CMW364" s="639"/>
      <c r="CMX364" s="626"/>
      <c r="CMY364" s="640"/>
      <c r="CMZ364" s="641"/>
      <c r="CNA364" s="277"/>
      <c r="CNB364" s="261"/>
      <c r="CNC364" s="118"/>
      <c r="CND364" s="219"/>
      <c r="CNE364" s="247"/>
      <c r="CNF364" s="639"/>
      <c r="CNG364" s="626"/>
      <c r="CNH364" s="640"/>
      <c r="CNI364" s="641"/>
      <c r="CNJ364" s="277"/>
      <c r="CNK364" s="261"/>
      <c r="CNL364" s="118"/>
      <c r="CNM364" s="219"/>
      <c r="CNN364" s="247"/>
      <c r="CNO364" s="639"/>
      <c r="CNP364" s="626"/>
      <c r="CNQ364" s="640"/>
      <c r="CNR364" s="641"/>
      <c r="CNS364" s="277"/>
      <c r="CNT364" s="261"/>
      <c r="CNU364" s="118"/>
      <c r="CNV364" s="219"/>
      <c r="CNW364" s="247"/>
      <c r="CNX364" s="639"/>
      <c r="CNY364" s="626"/>
      <c r="CNZ364" s="640"/>
      <c r="COA364" s="641"/>
      <c r="COB364" s="277"/>
      <c r="COC364" s="261"/>
      <c r="COD364" s="118"/>
      <c r="COE364" s="219"/>
      <c r="COF364" s="247"/>
      <c r="COG364" s="639"/>
      <c r="COH364" s="626"/>
      <c r="COI364" s="640"/>
      <c r="COJ364" s="641"/>
      <c r="COK364" s="277"/>
      <c r="COL364" s="261"/>
      <c r="COM364" s="118"/>
      <c r="CON364" s="219"/>
      <c r="COO364" s="247"/>
      <c r="COP364" s="639"/>
      <c r="COQ364" s="626"/>
      <c r="COR364" s="640"/>
      <c r="COS364" s="641"/>
      <c r="COT364" s="277"/>
      <c r="COU364" s="261"/>
      <c r="COV364" s="118"/>
      <c r="COW364" s="219"/>
      <c r="COX364" s="247"/>
      <c r="COY364" s="639"/>
      <c r="COZ364" s="626"/>
      <c r="CPA364" s="640"/>
      <c r="CPB364" s="641"/>
      <c r="CPC364" s="277"/>
      <c r="CPD364" s="261"/>
      <c r="CPE364" s="118"/>
      <c r="CPF364" s="219"/>
      <c r="CPG364" s="247"/>
      <c r="CPH364" s="639"/>
      <c r="CPI364" s="626"/>
      <c r="CPJ364" s="640"/>
      <c r="CPK364" s="641"/>
      <c r="CPL364" s="277"/>
      <c r="CPM364" s="261"/>
      <c r="CPN364" s="118"/>
      <c r="CPO364" s="219"/>
      <c r="CPP364" s="247"/>
      <c r="CPQ364" s="639"/>
      <c r="CPR364" s="626"/>
      <c r="CPS364" s="640"/>
      <c r="CPT364" s="641"/>
      <c r="CPU364" s="277"/>
      <c r="CPV364" s="261"/>
      <c r="CPW364" s="118"/>
      <c r="CPX364" s="219"/>
      <c r="CPY364" s="247"/>
      <c r="CPZ364" s="639"/>
      <c r="CQA364" s="626"/>
      <c r="CQB364" s="640"/>
      <c r="CQC364" s="641"/>
      <c r="CQD364" s="277"/>
      <c r="CQE364" s="261"/>
      <c r="CQF364" s="118"/>
      <c r="CQG364" s="219"/>
      <c r="CQH364" s="247"/>
      <c r="CQI364" s="639"/>
      <c r="CQJ364" s="626"/>
      <c r="CQK364" s="640"/>
      <c r="CQL364" s="641"/>
      <c r="CQM364" s="277"/>
      <c r="CQN364" s="261"/>
      <c r="CQO364" s="118"/>
      <c r="CQP364" s="219"/>
      <c r="CQQ364" s="247"/>
      <c r="CQR364" s="639"/>
      <c r="CQS364" s="626"/>
      <c r="CQT364" s="640"/>
      <c r="CQU364" s="641"/>
      <c r="CQV364" s="277"/>
      <c r="CQW364" s="261"/>
      <c r="CQX364" s="118"/>
      <c r="CQY364" s="219"/>
      <c r="CQZ364" s="247"/>
      <c r="CRA364" s="639"/>
      <c r="CRB364" s="626"/>
      <c r="CRC364" s="640"/>
      <c r="CRD364" s="641"/>
      <c r="CRE364" s="277"/>
      <c r="CRF364" s="261"/>
      <c r="CRG364" s="118"/>
      <c r="CRH364" s="219"/>
      <c r="CRI364" s="247"/>
      <c r="CRJ364" s="639"/>
      <c r="CRK364" s="626"/>
      <c r="CRL364" s="640"/>
      <c r="CRM364" s="641"/>
      <c r="CRN364" s="277"/>
      <c r="CRO364" s="261"/>
      <c r="CRP364" s="118"/>
      <c r="CRQ364" s="219"/>
      <c r="CRR364" s="247"/>
      <c r="CRS364" s="639"/>
      <c r="CRT364" s="626"/>
      <c r="CRU364" s="640"/>
      <c r="CRV364" s="641"/>
      <c r="CRW364" s="277"/>
      <c r="CRX364" s="261"/>
      <c r="CRY364" s="118"/>
      <c r="CRZ364" s="219"/>
      <c r="CSA364" s="247"/>
      <c r="CSB364" s="639"/>
      <c r="CSC364" s="626"/>
      <c r="CSD364" s="640"/>
      <c r="CSE364" s="641"/>
      <c r="CSF364" s="277"/>
      <c r="CSG364" s="261"/>
      <c r="CSH364" s="118"/>
      <c r="CSI364" s="219"/>
      <c r="CSJ364" s="247"/>
      <c r="CSK364" s="639"/>
      <c r="CSL364" s="626"/>
      <c r="CSM364" s="640"/>
      <c r="CSN364" s="641"/>
      <c r="CSO364" s="277"/>
      <c r="CSP364" s="261"/>
      <c r="CSQ364" s="118"/>
      <c r="CSR364" s="219"/>
      <c r="CSS364" s="247"/>
      <c r="CST364" s="639"/>
      <c r="CSU364" s="626"/>
      <c r="CSV364" s="640"/>
      <c r="CSW364" s="641"/>
      <c r="CSX364" s="277"/>
      <c r="CSY364" s="261"/>
      <c r="CSZ364" s="118"/>
      <c r="CTA364" s="219"/>
      <c r="CTB364" s="247"/>
      <c r="CTC364" s="639"/>
      <c r="CTD364" s="626"/>
      <c r="CTE364" s="640"/>
      <c r="CTF364" s="641"/>
      <c r="CTG364" s="277"/>
      <c r="CTH364" s="261"/>
      <c r="CTI364" s="118"/>
      <c r="CTJ364" s="219"/>
      <c r="CTK364" s="247"/>
      <c r="CTL364" s="639"/>
      <c r="CTM364" s="626"/>
      <c r="CTN364" s="640"/>
      <c r="CTO364" s="641"/>
      <c r="CTP364" s="277"/>
      <c r="CTQ364" s="261"/>
      <c r="CTR364" s="118"/>
      <c r="CTS364" s="219"/>
      <c r="CTT364" s="247"/>
      <c r="CTU364" s="639"/>
      <c r="CTV364" s="626"/>
      <c r="CTW364" s="640"/>
      <c r="CTX364" s="641"/>
      <c r="CTY364" s="277"/>
      <c r="CTZ364" s="261"/>
      <c r="CUA364" s="118"/>
      <c r="CUB364" s="219"/>
      <c r="CUC364" s="247"/>
      <c r="CUD364" s="639"/>
      <c r="CUE364" s="626"/>
      <c r="CUF364" s="640"/>
      <c r="CUG364" s="641"/>
      <c r="CUH364" s="277"/>
      <c r="CUI364" s="261"/>
      <c r="CUJ364" s="118"/>
      <c r="CUK364" s="219"/>
      <c r="CUL364" s="247"/>
      <c r="CUM364" s="639"/>
      <c r="CUN364" s="626"/>
      <c r="CUO364" s="640"/>
      <c r="CUP364" s="641"/>
      <c r="CUQ364" s="277"/>
      <c r="CUR364" s="261"/>
      <c r="CUS364" s="118"/>
      <c r="CUT364" s="219"/>
      <c r="CUU364" s="247"/>
      <c r="CUV364" s="639"/>
      <c r="CUW364" s="626"/>
      <c r="CUX364" s="640"/>
      <c r="CUY364" s="641"/>
      <c r="CUZ364" s="277"/>
      <c r="CVA364" s="261"/>
      <c r="CVB364" s="118"/>
      <c r="CVC364" s="219"/>
      <c r="CVD364" s="247"/>
      <c r="CVE364" s="639"/>
      <c r="CVF364" s="626"/>
      <c r="CVG364" s="640"/>
      <c r="CVH364" s="641"/>
      <c r="CVI364" s="277"/>
      <c r="CVJ364" s="261"/>
      <c r="CVK364" s="118"/>
      <c r="CVL364" s="219"/>
      <c r="CVM364" s="247"/>
      <c r="CVN364" s="639"/>
      <c r="CVO364" s="626"/>
      <c r="CVP364" s="640"/>
      <c r="CVQ364" s="641"/>
      <c r="CVR364" s="277"/>
      <c r="CVS364" s="261"/>
      <c r="CVT364" s="118"/>
      <c r="CVU364" s="219"/>
      <c r="CVV364" s="247"/>
      <c r="CVW364" s="639"/>
      <c r="CVX364" s="626"/>
      <c r="CVY364" s="640"/>
      <c r="CVZ364" s="641"/>
      <c r="CWA364" s="277"/>
      <c r="CWB364" s="261"/>
      <c r="CWC364" s="118"/>
      <c r="CWD364" s="219"/>
      <c r="CWE364" s="247"/>
      <c r="CWF364" s="639"/>
      <c r="CWG364" s="626"/>
      <c r="CWH364" s="640"/>
      <c r="CWI364" s="641"/>
      <c r="CWJ364" s="277"/>
      <c r="CWK364" s="261"/>
      <c r="CWL364" s="118"/>
      <c r="CWM364" s="219"/>
      <c r="CWN364" s="247"/>
      <c r="CWO364" s="639"/>
      <c r="CWP364" s="626"/>
      <c r="CWQ364" s="640"/>
      <c r="CWR364" s="641"/>
      <c r="CWS364" s="277"/>
      <c r="CWT364" s="261"/>
      <c r="CWU364" s="118"/>
      <c r="CWV364" s="219"/>
      <c r="CWW364" s="247"/>
      <c r="CWX364" s="639"/>
      <c r="CWY364" s="626"/>
      <c r="CWZ364" s="640"/>
      <c r="CXA364" s="641"/>
      <c r="CXB364" s="277"/>
      <c r="CXC364" s="261"/>
      <c r="CXD364" s="118"/>
      <c r="CXE364" s="219"/>
      <c r="CXF364" s="247"/>
      <c r="CXG364" s="639"/>
      <c r="CXH364" s="626"/>
      <c r="CXI364" s="640"/>
      <c r="CXJ364" s="641"/>
      <c r="CXK364" s="277"/>
      <c r="CXL364" s="261"/>
      <c r="CXM364" s="118"/>
      <c r="CXN364" s="219"/>
      <c r="CXO364" s="247"/>
      <c r="CXP364" s="639"/>
      <c r="CXQ364" s="626"/>
      <c r="CXR364" s="640"/>
      <c r="CXS364" s="641"/>
      <c r="CXT364" s="277"/>
      <c r="CXU364" s="261"/>
      <c r="CXV364" s="118"/>
      <c r="CXW364" s="219"/>
      <c r="CXX364" s="247"/>
      <c r="CXY364" s="639"/>
      <c r="CXZ364" s="626"/>
      <c r="CYA364" s="640"/>
      <c r="CYB364" s="641"/>
      <c r="CYC364" s="277"/>
      <c r="CYD364" s="261"/>
      <c r="CYE364" s="118"/>
      <c r="CYF364" s="219"/>
      <c r="CYG364" s="247"/>
      <c r="CYH364" s="639"/>
      <c r="CYI364" s="626"/>
      <c r="CYJ364" s="640"/>
      <c r="CYK364" s="641"/>
      <c r="CYL364" s="277"/>
      <c r="CYM364" s="261"/>
      <c r="CYN364" s="118"/>
      <c r="CYO364" s="219"/>
      <c r="CYP364" s="247"/>
      <c r="CYQ364" s="639"/>
      <c r="CYR364" s="626"/>
      <c r="CYS364" s="640"/>
      <c r="CYT364" s="641"/>
      <c r="CYU364" s="277"/>
      <c r="CYV364" s="261"/>
      <c r="CYW364" s="118"/>
      <c r="CYX364" s="219"/>
      <c r="CYY364" s="247"/>
      <c r="CYZ364" s="639"/>
      <c r="CZA364" s="626"/>
      <c r="CZB364" s="640"/>
      <c r="CZC364" s="641"/>
      <c r="CZD364" s="277"/>
      <c r="CZE364" s="261"/>
      <c r="CZF364" s="118"/>
      <c r="CZG364" s="219"/>
      <c r="CZH364" s="247"/>
      <c r="CZI364" s="639"/>
      <c r="CZJ364" s="626"/>
      <c r="CZK364" s="640"/>
      <c r="CZL364" s="641"/>
      <c r="CZM364" s="277"/>
      <c r="CZN364" s="261"/>
      <c r="CZO364" s="118"/>
      <c r="CZP364" s="219"/>
      <c r="CZQ364" s="247"/>
      <c r="CZR364" s="639"/>
      <c r="CZS364" s="626"/>
      <c r="CZT364" s="640"/>
      <c r="CZU364" s="641"/>
      <c r="CZV364" s="277"/>
      <c r="CZW364" s="261"/>
      <c r="CZX364" s="118"/>
      <c r="CZY364" s="219"/>
      <c r="CZZ364" s="247"/>
      <c r="DAA364" s="639"/>
      <c r="DAB364" s="626"/>
      <c r="DAC364" s="640"/>
      <c r="DAD364" s="641"/>
      <c r="DAE364" s="277"/>
      <c r="DAF364" s="261"/>
      <c r="DAG364" s="118"/>
      <c r="DAH364" s="219"/>
      <c r="DAI364" s="247"/>
      <c r="DAJ364" s="639"/>
      <c r="DAK364" s="626"/>
      <c r="DAL364" s="640"/>
      <c r="DAM364" s="641"/>
      <c r="DAN364" s="277"/>
      <c r="DAO364" s="261"/>
      <c r="DAP364" s="118"/>
      <c r="DAQ364" s="219"/>
      <c r="DAR364" s="247"/>
      <c r="DAS364" s="639"/>
      <c r="DAT364" s="626"/>
      <c r="DAU364" s="640"/>
      <c r="DAV364" s="641"/>
      <c r="DAW364" s="277"/>
      <c r="DAX364" s="261"/>
      <c r="DAY364" s="118"/>
      <c r="DAZ364" s="219"/>
      <c r="DBA364" s="247"/>
      <c r="DBB364" s="639"/>
      <c r="DBC364" s="626"/>
      <c r="DBD364" s="640"/>
      <c r="DBE364" s="641"/>
      <c r="DBF364" s="277"/>
      <c r="DBG364" s="261"/>
      <c r="DBH364" s="118"/>
      <c r="DBI364" s="219"/>
      <c r="DBJ364" s="247"/>
      <c r="DBK364" s="639"/>
      <c r="DBL364" s="626"/>
      <c r="DBM364" s="640"/>
      <c r="DBN364" s="641"/>
      <c r="DBO364" s="277"/>
      <c r="DBP364" s="261"/>
      <c r="DBQ364" s="118"/>
      <c r="DBR364" s="219"/>
      <c r="DBS364" s="247"/>
      <c r="DBT364" s="639"/>
      <c r="DBU364" s="626"/>
      <c r="DBV364" s="640"/>
      <c r="DBW364" s="641"/>
      <c r="DBX364" s="277"/>
      <c r="DBY364" s="261"/>
      <c r="DBZ364" s="118"/>
      <c r="DCA364" s="219"/>
      <c r="DCB364" s="247"/>
      <c r="DCC364" s="639"/>
      <c r="DCD364" s="626"/>
      <c r="DCE364" s="640"/>
      <c r="DCF364" s="641"/>
      <c r="DCG364" s="277"/>
      <c r="DCH364" s="261"/>
      <c r="DCI364" s="118"/>
      <c r="DCJ364" s="219"/>
      <c r="DCK364" s="247"/>
      <c r="DCL364" s="639"/>
      <c r="DCM364" s="626"/>
      <c r="DCN364" s="640"/>
      <c r="DCO364" s="641"/>
      <c r="DCP364" s="277"/>
      <c r="DCQ364" s="261"/>
      <c r="DCR364" s="118"/>
      <c r="DCS364" s="219"/>
      <c r="DCT364" s="247"/>
      <c r="DCU364" s="639"/>
      <c r="DCV364" s="626"/>
      <c r="DCW364" s="640"/>
      <c r="DCX364" s="641"/>
      <c r="DCY364" s="277"/>
      <c r="DCZ364" s="261"/>
      <c r="DDA364" s="118"/>
      <c r="DDB364" s="219"/>
      <c r="DDC364" s="247"/>
      <c r="DDD364" s="639"/>
      <c r="DDE364" s="626"/>
      <c r="DDF364" s="640"/>
      <c r="DDG364" s="641"/>
      <c r="DDH364" s="277"/>
      <c r="DDI364" s="261"/>
      <c r="DDJ364" s="118"/>
      <c r="DDK364" s="219"/>
      <c r="DDL364" s="247"/>
      <c r="DDM364" s="639"/>
      <c r="DDN364" s="626"/>
      <c r="DDO364" s="640"/>
      <c r="DDP364" s="641"/>
      <c r="DDQ364" s="277"/>
      <c r="DDR364" s="261"/>
      <c r="DDS364" s="118"/>
      <c r="DDT364" s="219"/>
      <c r="DDU364" s="247"/>
      <c r="DDV364" s="639"/>
      <c r="DDW364" s="626"/>
      <c r="DDX364" s="640"/>
      <c r="DDY364" s="641"/>
      <c r="DDZ364" s="277"/>
      <c r="DEA364" s="261"/>
      <c r="DEB364" s="118"/>
      <c r="DEC364" s="219"/>
      <c r="DED364" s="247"/>
      <c r="DEE364" s="639"/>
      <c r="DEF364" s="626"/>
      <c r="DEG364" s="640"/>
      <c r="DEH364" s="641"/>
      <c r="DEI364" s="277"/>
      <c r="DEJ364" s="261"/>
      <c r="DEK364" s="118"/>
      <c r="DEL364" s="219"/>
      <c r="DEM364" s="247"/>
      <c r="DEN364" s="639"/>
      <c r="DEO364" s="626"/>
      <c r="DEP364" s="640"/>
      <c r="DEQ364" s="641"/>
      <c r="DER364" s="277"/>
      <c r="DES364" s="261"/>
      <c r="DET364" s="118"/>
      <c r="DEU364" s="219"/>
      <c r="DEV364" s="247"/>
      <c r="DEW364" s="639"/>
      <c r="DEX364" s="626"/>
      <c r="DEY364" s="640"/>
      <c r="DEZ364" s="641"/>
      <c r="DFA364" s="277"/>
      <c r="DFB364" s="261"/>
      <c r="DFC364" s="118"/>
      <c r="DFD364" s="219"/>
      <c r="DFE364" s="247"/>
      <c r="DFF364" s="639"/>
      <c r="DFG364" s="626"/>
      <c r="DFH364" s="640"/>
      <c r="DFI364" s="641"/>
      <c r="DFJ364" s="277"/>
      <c r="DFK364" s="261"/>
      <c r="DFL364" s="118"/>
      <c r="DFM364" s="219"/>
      <c r="DFN364" s="247"/>
      <c r="DFO364" s="639"/>
      <c r="DFP364" s="626"/>
      <c r="DFQ364" s="640"/>
      <c r="DFR364" s="641"/>
      <c r="DFS364" s="277"/>
      <c r="DFT364" s="261"/>
      <c r="DFU364" s="118"/>
      <c r="DFV364" s="219"/>
      <c r="DFW364" s="247"/>
      <c r="DFX364" s="639"/>
      <c r="DFY364" s="626"/>
      <c r="DFZ364" s="640"/>
      <c r="DGA364" s="641"/>
      <c r="DGB364" s="277"/>
      <c r="DGC364" s="261"/>
      <c r="DGD364" s="118"/>
      <c r="DGE364" s="219"/>
      <c r="DGF364" s="247"/>
      <c r="DGG364" s="639"/>
      <c r="DGH364" s="626"/>
      <c r="DGI364" s="640"/>
      <c r="DGJ364" s="641"/>
      <c r="DGK364" s="277"/>
      <c r="DGL364" s="261"/>
      <c r="DGM364" s="118"/>
      <c r="DGN364" s="219"/>
      <c r="DGO364" s="247"/>
      <c r="DGP364" s="639"/>
      <c r="DGQ364" s="626"/>
      <c r="DGR364" s="640"/>
      <c r="DGS364" s="641"/>
      <c r="DGT364" s="277"/>
      <c r="DGU364" s="261"/>
      <c r="DGV364" s="118"/>
      <c r="DGW364" s="219"/>
      <c r="DGX364" s="247"/>
      <c r="DGY364" s="639"/>
      <c r="DGZ364" s="626"/>
      <c r="DHA364" s="640"/>
      <c r="DHB364" s="641"/>
      <c r="DHC364" s="277"/>
      <c r="DHD364" s="261"/>
      <c r="DHE364" s="118"/>
      <c r="DHF364" s="219"/>
      <c r="DHG364" s="247"/>
      <c r="DHH364" s="639"/>
      <c r="DHI364" s="626"/>
      <c r="DHJ364" s="640"/>
      <c r="DHK364" s="641"/>
      <c r="DHL364" s="277"/>
      <c r="DHM364" s="261"/>
      <c r="DHN364" s="118"/>
      <c r="DHO364" s="219"/>
      <c r="DHP364" s="247"/>
      <c r="DHQ364" s="639"/>
      <c r="DHR364" s="626"/>
      <c r="DHS364" s="640"/>
      <c r="DHT364" s="641"/>
      <c r="DHU364" s="277"/>
      <c r="DHV364" s="261"/>
      <c r="DHW364" s="118"/>
      <c r="DHX364" s="219"/>
      <c r="DHY364" s="247"/>
      <c r="DHZ364" s="639"/>
      <c r="DIA364" s="626"/>
      <c r="DIB364" s="640"/>
      <c r="DIC364" s="641"/>
      <c r="DID364" s="277"/>
      <c r="DIE364" s="261"/>
      <c r="DIF364" s="118"/>
      <c r="DIG364" s="219"/>
      <c r="DIH364" s="247"/>
      <c r="DII364" s="639"/>
      <c r="DIJ364" s="626"/>
      <c r="DIK364" s="640"/>
      <c r="DIL364" s="641"/>
      <c r="DIM364" s="277"/>
      <c r="DIN364" s="261"/>
      <c r="DIO364" s="118"/>
      <c r="DIP364" s="219"/>
      <c r="DIQ364" s="247"/>
      <c r="DIR364" s="639"/>
      <c r="DIS364" s="626"/>
      <c r="DIT364" s="640"/>
      <c r="DIU364" s="641"/>
      <c r="DIV364" s="277"/>
      <c r="DIW364" s="261"/>
      <c r="DIX364" s="118"/>
      <c r="DIY364" s="219"/>
      <c r="DIZ364" s="247"/>
      <c r="DJA364" s="639"/>
      <c r="DJB364" s="626"/>
      <c r="DJC364" s="640"/>
      <c r="DJD364" s="641"/>
      <c r="DJE364" s="277"/>
      <c r="DJF364" s="261"/>
      <c r="DJG364" s="118"/>
      <c r="DJH364" s="219"/>
      <c r="DJI364" s="247"/>
      <c r="DJJ364" s="639"/>
      <c r="DJK364" s="626"/>
      <c r="DJL364" s="640"/>
      <c r="DJM364" s="641"/>
      <c r="DJN364" s="277"/>
      <c r="DJO364" s="261"/>
      <c r="DJP364" s="118"/>
      <c r="DJQ364" s="219"/>
      <c r="DJR364" s="247"/>
      <c r="DJS364" s="639"/>
      <c r="DJT364" s="626"/>
      <c r="DJU364" s="640"/>
      <c r="DJV364" s="641"/>
      <c r="DJW364" s="277"/>
      <c r="DJX364" s="261"/>
      <c r="DJY364" s="118"/>
      <c r="DJZ364" s="219"/>
      <c r="DKA364" s="247"/>
      <c r="DKB364" s="639"/>
      <c r="DKC364" s="626"/>
      <c r="DKD364" s="640"/>
      <c r="DKE364" s="641"/>
      <c r="DKF364" s="277"/>
      <c r="DKG364" s="261"/>
      <c r="DKH364" s="118"/>
      <c r="DKI364" s="219"/>
      <c r="DKJ364" s="247"/>
      <c r="DKK364" s="639"/>
      <c r="DKL364" s="626"/>
      <c r="DKM364" s="640"/>
      <c r="DKN364" s="641"/>
      <c r="DKO364" s="277"/>
      <c r="DKP364" s="261"/>
      <c r="DKQ364" s="118"/>
      <c r="DKR364" s="219"/>
      <c r="DKS364" s="247"/>
      <c r="DKT364" s="639"/>
      <c r="DKU364" s="626"/>
      <c r="DKV364" s="640"/>
      <c r="DKW364" s="641"/>
      <c r="DKX364" s="277"/>
      <c r="DKY364" s="261"/>
      <c r="DKZ364" s="118"/>
      <c r="DLA364" s="219"/>
      <c r="DLB364" s="247"/>
      <c r="DLC364" s="639"/>
      <c r="DLD364" s="626"/>
      <c r="DLE364" s="640"/>
      <c r="DLF364" s="641"/>
      <c r="DLG364" s="277"/>
      <c r="DLH364" s="261"/>
      <c r="DLI364" s="118"/>
      <c r="DLJ364" s="219"/>
      <c r="DLK364" s="247"/>
      <c r="DLL364" s="639"/>
      <c r="DLM364" s="626"/>
      <c r="DLN364" s="640"/>
      <c r="DLO364" s="641"/>
      <c r="DLP364" s="277"/>
      <c r="DLQ364" s="261"/>
      <c r="DLR364" s="118"/>
      <c r="DLS364" s="219"/>
      <c r="DLT364" s="247"/>
      <c r="DLU364" s="639"/>
      <c r="DLV364" s="626"/>
      <c r="DLW364" s="640"/>
      <c r="DLX364" s="641"/>
      <c r="DLY364" s="277"/>
      <c r="DLZ364" s="261"/>
      <c r="DMA364" s="118"/>
      <c r="DMB364" s="219"/>
      <c r="DMC364" s="247"/>
      <c r="DMD364" s="639"/>
      <c r="DME364" s="626"/>
      <c r="DMF364" s="640"/>
      <c r="DMG364" s="641"/>
      <c r="DMH364" s="277"/>
      <c r="DMI364" s="261"/>
      <c r="DMJ364" s="118"/>
      <c r="DMK364" s="219"/>
      <c r="DML364" s="247"/>
      <c r="DMM364" s="639"/>
      <c r="DMN364" s="626"/>
      <c r="DMO364" s="640"/>
      <c r="DMP364" s="641"/>
      <c r="DMQ364" s="277"/>
      <c r="DMR364" s="261"/>
      <c r="DMS364" s="118"/>
      <c r="DMT364" s="219"/>
      <c r="DMU364" s="247"/>
      <c r="DMV364" s="639"/>
      <c r="DMW364" s="626"/>
      <c r="DMX364" s="640"/>
      <c r="DMY364" s="641"/>
      <c r="DMZ364" s="277"/>
      <c r="DNA364" s="261"/>
      <c r="DNB364" s="118"/>
      <c r="DNC364" s="219"/>
      <c r="DND364" s="247"/>
      <c r="DNE364" s="639"/>
      <c r="DNF364" s="626"/>
      <c r="DNG364" s="640"/>
      <c r="DNH364" s="641"/>
      <c r="DNI364" s="277"/>
      <c r="DNJ364" s="261"/>
      <c r="DNK364" s="118"/>
      <c r="DNL364" s="219"/>
      <c r="DNM364" s="247"/>
      <c r="DNN364" s="639"/>
      <c r="DNO364" s="626"/>
      <c r="DNP364" s="640"/>
      <c r="DNQ364" s="641"/>
      <c r="DNR364" s="277"/>
      <c r="DNS364" s="261"/>
      <c r="DNT364" s="118"/>
      <c r="DNU364" s="219"/>
      <c r="DNV364" s="247"/>
      <c r="DNW364" s="639"/>
      <c r="DNX364" s="626"/>
      <c r="DNY364" s="640"/>
      <c r="DNZ364" s="641"/>
      <c r="DOA364" s="277"/>
      <c r="DOB364" s="261"/>
      <c r="DOC364" s="118"/>
      <c r="DOD364" s="219"/>
      <c r="DOE364" s="247"/>
      <c r="DOF364" s="639"/>
      <c r="DOG364" s="626"/>
      <c r="DOH364" s="640"/>
      <c r="DOI364" s="641"/>
      <c r="DOJ364" s="277"/>
      <c r="DOK364" s="261"/>
      <c r="DOL364" s="118"/>
      <c r="DOM364" s="219"/>
      <c r="DON364" s="247"/>
      <c r="DOO364" s="639"/>
      <c r="DOP364" s="626"/>
      <c r="DOQ364" s="640"/>
      <c r="DOR364" s="641"/>
      <c r="DOS364" s="277"/>
      <c r="DOT364" s="261"/>
      <c r="DOU364" s="118"/>
      <c r="DOV364" s="219"/>
      <c r="DOW364" s="247"/>
      <c r="DOX364" s="639"/>
      <c r="DOY364" s="626"/>
      <c r="DOZ364" s="640"/>
      <c r="DPA364" s="641"/>
      <c r="DPB364" s="277"/>
      <c r="DPC364" s="261"/>
      <c r="DPD364" s="118"/>
      <c r="DPE364" s="219"/>
      <c r="DPF364" s="247"/>
      <c r="DPG364" s="639"/>
      <c r="DPH364" s="626"/>
      <c r="DPI364" s="640"/>
      <c r="DPJ364" s="641"/>
      <c r="DPK364" s="277"/>
      <c r="DPL364" s="261"/>
      <c r="DPM364" s="118"/>
      <c r="DPN364" s="219"/>
      <c r="DPO364" s="247"/>
      <c r="DPP364" s="639"/>
      <c r="DPQ364" s="626"/>
      <c r="DPR364" s="640"/>
      <c r="DPS364" s="641"/>
      <c r="DPT364" s="277"/>
      <c r="DPU364" s="261"/>
      <c r="DPV364" s="118"/>
      <c r="DPW364" s="219"/>
      <c r="DPX364" s="247"/>
      <c r="DPY364" s="639"/>
      <c r="DPZ364" s="626"/>
      <c r="DQA364" s="640"/>
      <c r="DQB364" s="641"/>
      <c r="DQC364" s="277"/>
      <c r="DQD364" s="261"/>
      <c r="DQE364" s="118"/>
      <c r="DQF364" s="219"/>
      <c r="DQG364" s="247"/>
      <c r="DQH364" s="639"/>
      <c r="DQI364" s="626"/>
      <c r="DQJ364" s="640"/>
      <c r="DQK364" s="641"/>
      <c r="DQL364" s="277"/>
      <c r="DQM364" s="261"/>
      <c r="DQN364" s="118"/>
      <c r="DQO364" s="219"/>
      <c r="DQP364" s="247"/>
      <c r="DQQ364" s="639"/>
      <c r="DQR364" s="626"/>
      <c r="DQS364" s="640"/>
      <c r="DQT364" s="641"/>
      <c r="DQU364" s="277"/>
      <c r="DQV364" s="261"/>
      <c r="DQW364" s="118"/>
      <c r="DQX364" s="219"/>
      <c r="DQY364" s="247"/>
      <c r="DQZ364" s="639"/>
      <c r="DRA364" s="626"/>
      <c r="DRB364" s="640"/>
      <c r="DRC364" s="641"/>
      <c r="DRD364" s="277"/>
      <c r="DRE364" s="261"/>
      <c r="DRF364" s="118"/>
      <c r="DRG364" s="219"/>
      <c r="DRH364" s="247"/>
      <c r="DRI364" s="639"/>
      <c r="DRJ364" s="626"/>
      <c r="DRK364" s="640"/>
      <c r="DRL364" s="641"/>
      <c r="DRM364" s="277"/>
      <c r="DRN364" s="261"/>
      <c r="DRO364" s="118"/>
      <c r="DRP364" s="219"/>
      <c r="DRQ364" s="247"/>
      <c r="DRR364" s="639"/>
      <c r="DRS364" s="626"/>
      <c r="DRT364" s="640"/>
      <c r="DRU364" s="641"/>
      <c r="DRV364" s="277"/>
      <c r="DRW364" s="261"/>
      <c r="DRX364" s="118"/>
      <c r="DRY364" s="219"/>
      <c r="DRZ364" s="247"/>
      <c r="DSA364" s="639"/>
      <c r="DSB364" s="626"/>
      <c r="DSC364" s="640"/>
      <c r="DSD364" s="641"/>
      <c r="DSE364" s="277"/>
      <c r="DSF364" s="261"/>
      <c r="DSG364" s="118"/>
      <c r="DSH364" s="219"/>
      <c r="DSI364" s="247"/>
      <c r="DSJ364" s="639"/>
      <c r="DSK364" s="626"/>
      <c r="DSL364" s="640"/>
      <c r="DSM364" s="641"/>
      <c r="DSN364" s="277"/>
      <c r="DSO364" s="261"/>
      <c r="DSP364" s="118"/>
      <c r="DSQ364" s="219"/>
      <c r="DSR364" s="247"/>
      <c r="DSS364" s="639"/>
      <c r="DST364" s="626"/>
      <c r="DSU364" s="640"/>
      <c r="DSV364" s="641"/>
      <c r="DSW364" s="277"/>
      <c r="DSX364" s="261"/>
      <c r="DSY364" s="118"/>
      <c r="DSZ364" s="219"/>
      <c r="DTA364" s="247"/>
      <c r="DTB364" s="639"/>
      <c r="DTC364" s="626"/>
      <c r="DTD364" s="640"/>
      <c r="DTE364" s="641"/>
      <c r="DTF364" s="277"/>
      <c r="DTG364" s="261"/>
      <c r="DTH364" s="118"/>
      <c r="DTI364" s="219"/>
      <c r="DTJ364" s="247"/>
      <c r="DTK364" s="639"/>
      <c r="DTL364" s="626"/>
      <c r="DTM364" s="640"/>
      <c r="DTN364" s="641"/>
      <c r="DTO364" s="277"/>
      <c r="DTP364" s="261"/>
      <c r="DTQ364" s="118"/>
      <c r="DTR364" s="219"/>
      <c r="DTS364" s="247"/>
      <c r="DTT364" s="639"/>
      <c r="DTU364" s="626"/>
      <c r="DTV364" s="640"/>
      <c r="DTW364" s="641"/>
      <c r="DTX364" s="277"/>
      <c r="DTY364" s="261"/>
      <c r="DTZ364" s="118"/>
      <c r="DUA364" s="219"/>
      <c r="DUB364" s="247"/>
      <c r="DUC364" s="639"/>
      <c r="DUD364" s="626"/>
      <c r="DUE364" s="640"/>
      <c r="DUF364" s="641"/>
      <c r="DUG364" s="277"/>
      <c r="DUH364" s="261"/>
      <c r="DUI364" s="118"/>
      <c r="DUJ364" s="219"/>
      <c r="DUK364" s="247"/>
      <c r="DUL364" s="639"/>
      <c r="DUM364" s="626"/>
      <c r="DUN364" s="640"/>
      <c r="DUO364" s="641"/>
      <c r="DUP364" s="277"/>
      <c r="DUQ364" s="261"/>
      <c r="DUR364" s="118"/>
      <c r="DUS364" s="219"/>
      <c r="DUT364" s="247"/>
      <c r="DUU364" s="639"/>
      <c r="DUV364" s="626"/>
      <c r="DUW364" s="640"/>
      <c r="DUX364" s="641"/>
      <c r="DUY364" s="277"/>
      <c r="DUZ364" s="261"/>
      <c r="DVA364" s="118"/>
      <c r="DVB364" s="219"/>
      <c r="DVC364" s="247"/>
      <c r="DVD364" s="639"/>
      <c r="DVE364" s="626"/>
      <c r="DVF364" s="640"/>
      <c r="DVG364" s="641"/>
      <c r="DVH364" s="277"/>
      <c r="DVI364" s="261"/>
      <c r="DVJ364" s="118"/>
      <c r="DVK364" s="219"/>
      <c r="DVL364" s="247"/>
      <c r="DVM364" s="639"/>
      <c r="DVN364" s="626"/>
      <c r="DVO364" s="640"/>
      <c r="DVP364" s="641"/>
      <c r="DVQ364" s="277"/>
      <c r="DVR364" s="261"/>
      <c r="DVS364" s="118"/>
      <c r="DVT364" s="219"/>
      <c r="DVU364" s="247"/>
      <c r="DVV364" s="639"/>
      <c r="DVW364" s="626"/>
      <c r="DVX364" s="640"/>
      <c r="DVY364" s="641"/>
      <c r="DVZ364" s="277"/>
      <c r="DWA364" s="261"/>
      <c r="DWB364" s="118"/>
      <c r="DWC364" s="219"/>
      <c r="DWD364" s="247"/>
      <c r="DWE364" s="639"/>
      <c r="DWF364" s="626"/>
      <c r="DWG364" s="640"/>
      <c r="DWH364" s="641"/>
      <c r="DWI364" s="277"/>
      <c r="DWJ364" s="261"/>
      <c r="DWK364" s="118"/>
      <c r="DWL364" s="219"/>
      <c r="DWM364" s="247"/>
      <c r="DWN364" s="639"/>
      <c r="DWO364" s="626"/>
      <c r="DWP364" s="640"/>
      <c r="DWQ364" s="641"/>
      <c r="DWR364" s="277"/>
      <c r="DWS364" s="261"/>
      <c r="DWT364" s="118"/>
      <c r="DWU364" s="219"/>
      <c r="DWV364" s="247"/>
      <c r="DWW364" s="639"/>
      <c r="DWX364" s="626"/>
      <c r="DWY364" s="640"/>
      <c r="DWZ364" s="641"/>
      <c r="DXA364" s="277"/>
      <c r="DXB364" s="261"/>
      <c r="DXC364" s="118"/>
      <c r="DXD364" s="219"/>
      <c r="DXE364" s="247"/>
      <c r="DXF364" s="639"/>
      <c r="DXG364" s="626"/>
      <c r="DXH364" s="640"/>
      <c r="DXI364" s="641"/>
      <c r="DXJ364" s="277"/>
      <c r="DXK364" s="261"/>
      <c r="DXL364" s="118"/>
      <c r="DXM364" s="219"/>
      <c r="DXN364" s="247"/>
      <c r="DXO364" s="639"/>
      <c r="DXP364" s="626"/>
      <c r="DXQ364" s="640"/>
      <c r="DXR364" s="641"/>
      <c r="DXS364" s="277"/>
      <c r="DXT364" s="261"/>
      <c r="DXU364" s="118"/>
      <c r="DXV364" s="219"/>
      <c r="DXW364" s="247"/>
      <c r="DXX364" s="639"/>
      <c r="DXY364" s="626"/>
      <c r="DXZ364" s="640"/>
      <c r="DYA364" s="641"/>
      <c r="DYB364" s="277"/>
      <c r="DYC364" s="261"/>
      <c r="DYD364" s="118"/>
      <c r="DYE364" s="219"/>
      <c r="DYF364" s="247"/>
      <c r="DYG364" s="639"/>
      <c r="DYH364" s="626"/>
      <c r="DYI364" s="640"/>
      <c r="DYJ364" s="641"/>
      <c r="DYK364" s="277"/>
      <c r="DYL364" s="261"/>
      <c r="DYM364" s="118"/>
      <c r="DYN364" s="219"/>
      <c r="DYO364" s="247"/>
      <c r="DYP364" s="639"/>
      <c r="DYQ364" s="626"/>
      <c r="DYR364" s="640"/>
      <c r="DYS364" s="641"/>
      <c r="DYT364" s="277"/>
      <c r="DYU364" s="261"/>
      <c r="DYV364" s="118"/>
      <c r="DYW364" s="219"/>
      <c r="DYX364" s="247"/>
      <c r="DYY364" s="639"/>
      <c r="DYZ364" s="626"/>
      <c r="DZA364" s="640"/>
      <c r="DZB364" s="641"/>
      <c r="DZC364" s="277"/>
      <c r="DZD364" s="261"/>
      <c r="DZE364" s="118"/>
      <c r="DZF364" s="219"/>
      <c r="DZG364" s="247"/>
      <c r="DZH364" s="639"/>
      <c r="DZI364" s="626"/>
      <c r="DZJ364" s="640"/>
      <c r="DZK364" s="641"/>
      <c r="DZL364" s="277"/>
      <c r="DZM364" s="261"/>
      <c r="DZN364" s="118"/>
      <c r="DZO364" s="219"/>
      <c r="DZP364" s="247"/>
      <c r="DZQ364" s="639"/>
      <c r="DZR364" s="626"/>
      <c r="DZS364" s="640"/>
      <c r="DZT364" s="641"/>
      <c r="DZU364" s="277"/>
      <c r="DZV364" s="261"/>
      <c r="DZW364" s="118"/>
      <c r="DZX364" s="219"/>
      <c r="DZY364" s="247"/>
      <c r="DZZ364" s="639"/>
      <c r="EAA364" s="626"/>
      <c r="EAB364" s="640"/>
      <c r="EAC364" s="641"/>
      <c r="EAD364" s="277"/>
      <c r="EAE364" s="261"/>
      <c r="EAF364" s="118"/>
      <c r="EAG364" s="219"/>
      <c r="EAH364" s="247"/>
      <c r="EAI364" s="639"/>
      <c r="EAJ364" s="626"/>
      <c r="EAK364" s="640"/>
      <c r="EAL364" s="641"/>
      <c r="EAM364" s="277"/>
      <c r="EAN364" s="261"/>
      <c r="EAO364" s="118"/>
      <c r="EAP364" s="219"/>
      <c r="EAQ364" s="247"/>
      <c r="EAR364" s="639"/>
      <c r="EAS364" s="626"/>
      <c r="EAT364" s="640"/>
      <c r="EAU364" s="641"/>
      <c r="EAV364" s="277"/>
      <c r="EAW364" s="261"/>
      <c r="EAX364" s="118"/>
      <c r="EAY364" s="219"/>
      <c r="EAZ364" s="247"/>
      <c r="EBA364" s="639"/>
      <c r="EBB364" s="626"/>
      <c r="EBC364" s="640"/>
      <c r="EBD364" s="641"/>
      <c r="EBE364" s="277"/>
      <c r="EBF364" s="261"/>
      <c r="EBG364" s="118"/>
      <c r="EBH364" s="219"/>
      <c r="EBI364" s="247"/>
      <c r="EBJ364" s="639"/>
      <c r="EBK364" s="626"/>
      <c r="EBL364" s="640"/>
      <c r="EBM364" s="641"/>
      <c r="EBN364" s="277"/>
      <c r="EBO364" s="261"/>
      <c r="EBP364" s="118"/>
      <c r="EBQ364" s="219"/>
      <c r="EBR364" s="247"/>
      <c r="EBS364" s="639"/>
      <c r="EBT364" s="626"/>
      <c r="EBU364" s="640"/>
      <c r="EBV364" s="641"/>
      <c r="EBW364" s="277"/>
      <c r="EBX364" s="261"/>
      <c r="EBY364" s="118"/>
      <c r="EBZ364" s="219"/>
      <c r="ECA364" s="247"/>
      <c r="ECB364" s="639"/>
      <c r="ECC364" s="626"/>
      <c r="ECD364" s="640"/>
      <c r="ECE364" s="641"/>
      <c r="ECF364" s="277"/>
      <c r="ECG364" s="261"/>
      <c r="ECH364" s="118"/>
      <c r="ECI364" s="219"/>
      <c r="ECJ364" s="247"/>
      <c r="ECK364" s="639"/>
      <c r="ECL364" s="626"/>
      <c r="ECM364" s="640"/>
      <c r="ECN364" s="641"/>
      <c r="ECO364" s="277"/>
      <c r="ECP364" s="261"/>
      <c r="ECQ364" s="118"/>
      <c r="ECR364" s="219"/>
      <c r="ECS364" s="247"/>
      <c r="ECT364" s="639"/>
      <c r="ECU364" s="626"/>
      <c r="ECV364" s="640"/>
      <c r="ECW364" s="641"/>
      <c r="ECX364" s="277"/>
      <c r="ECY364" s="261"/>
      <c r="ECZ364" s="118"/>
      <c r="EDA364" s="219"/>
      <c r="EDB364" s="247"/>
      <c r="EDC364" s="639"/>
      <c r="EDD364" s="626"/>
      <c r="EDE364" s="640"/>
      <c r="EDF364" s="641"/>
      <c r="EDG364" s="277"/>
      <c r="EDH364" s="261"/>
      <c r="EDI364" s="118"/>
      <c r="EDJ364" s="219"/>
      <c r="EDK364" s="247"/>
      <c r="EDL364" s="639"/>
      <c r="EDM364" s="626"/>
      <c r="EDN364" s="640"/>
      <c r="EDO364" s="641"/>
      <c r="EDP364" s="277"/>
      <c r="EDQ364" s="261"/>
      <c r="EDR364" s="118"/>
      <c r="EDS364" s="219"/>
      <c r="EDT364" s="247"/>
      <c r="EDU364" s="639"/>
      <c r="EDV364" s="626"/>
      <c r="EDW364" s="640"/>
      <c r="EDX364" s="641"/>
      <c r="EDY364" s="277"/>
      <c r="EDZ364" s="261"/>
      <c r="EEA364" s="118"/>
      <c r="EEB364" s="219"/>
      <c r="EEC364" s="247"/>
      <c r="EED364" s="639"/>
      <c r="EEE364" s="626"/>
      <c r="EEF364" s="640"/>
      <c r="EEG364" s="641"/>
      <c r="EEH364" s="277"/>
      <c r="EEI364" s="261"/>
      <c r="EEJ364" s="118"/>
      <c r="EEK364" s="219"/>
      <c r="EEL364" s="247"/>
      <c r="EEM364" s="639"/>
      <c r="EEN364" s="626"/>
      <c r="EEO364" s="640"/>
      <c r="EEP364" s="641"/>
      <c r="EEQ364" s="277"/>
      <c r="EER364" s="261"/>
      <c r="EES364" s="118"/>
      <c r="EET364" s="219"/>
      <c r="EEU364" s="247"/>
      <c r="EEV364" s="639"/>
      <c r="EEW364" s="626"/>
      <c r="EEX364" s="640"/>
      <c r="EEY364" s="641"/>
      <c r="EEZ364" s="277"/>
      <c r="EFA364" s="261"/>
      <c r="EFB364" s="118"/>
      <c r="EFC364" s="219"/>
      <c r="EFD364" s="247"/>
      <c r="EFE364" s="639"/>
      <c r="EFF364" s="626"/>
      <c r="EFG364" s="640"/>
      <c r="EFH364" s="641"/>
      <c r="EFI364" s="277"/>
      <c r="EFJ364" s="261"/>
      <c r="EFK364" s="118"/>
      <c r="EFL364" s="219"/>
      <c r="EFM364" s="247"/>
      <c r="EFN364" s="639"/>
      <c r="EFO364" s="626"/>
      <c r="EFP364" s="640"/>
      <c r="EFQ364" s="641"/>
      <c r="EFR364" s="277"/>
      <c r="EFS364" s="261"/>
      <c r="EFT364" s="118"/>
      <c r="EFU364" s="219"/>
      <c r="EFV364" s="247"/>
      <c r="EFW364" s="639"/>
      <c r="EFX364" s="626"/>
      <c r="EFY364" s="640"/>
      <c r="EFZ364" s="641"/>
      <c r="EGA364" s="277"/>
      <c r="EGB364" s="261"/>
      <c r="EGC364" s="118"/>
      <c r="EGD364" s="219"/>
      <c r="EGE364" s="247"/>
      <c r="EGF364" s="639"/>
      <c r="EGG364" s="626"/>
      <c r="EGH364" s="640"/>
      <c r="EGI364" s="641"/>
      <c r="EGJ364" s="277"/>
      <c r="EGK364" s="261"/>
      <c r="EGL364" s="118"/>
      <c r="EGM364" s="219"/>
      <c r="EGN364" s="247"/>
      <c r="EGO364" s="639"/>
      <c r="EGP364" s="626"/>
      <c r="EGQ364" s="640"/>
      <c r="EGR364" s="641"/>
      <c r="EGS364" s="277"/>
      <c r="EGT364" s="261"/>
      <c r="EGU364" s="118"/>
      <c r="EGV364" s="219"/>
      <c r="EGW364" s="247"/>
      <c r="EGX364" s="639"/>
      <c r="EGY364" s="626"/>
      <c r="EGZ364" s="640"/>
      <c r="EHA364" s="641"/>
      <c r="EHB364" s="277"/>
      <c r="EHC364" s="261"/>
      <c r="EHD364" s="118"/>
      <c r="EHE364" s="219"/>
      <c r="EHF364" s="247"/>
      <c r="EHG364" s="639"/>
      <c r="EHH364" s="626"/>
      <c r="EHI364" s="640"/>
      <c r="EHJ364" s="641"/>
      <c r="EHK364" s="277"/>
      <c r="EHL364" s="261"/>
      <c r="EHM364" s="118"/>
      <c r="EHN364" s="219"/>
      <c r="EHO364" s="247"/>
      <c r="EHP364" s="639"/>
      <c r="EHQ364" s="626"/>
      <c r="EHR364" s="640"/>
      <c r="EHS364" s="641"/>
      <c r="EHT364" s="277"/>
      <c r="EHU364" s="261"/>
      <c r="EHV364" s="118"/>
      <c r="EHW364" s="219"/>
      <c r="EHX364" s="247"/>
      <c r="EHY364" s="639"/>
      <c r="EHZ364" s="626"/>
      <c r="EIA364" s="640"/>
      <c r="EIB364" s="641"/>
      <c r="EIC364" s="277"/>
      <c r="EID364" s="261"/>
      <c r="EIE364" s="118"/>
      <c r="EIF364" s="219"/>
      <c r="EIG364" s="247"/>
      <c r="EIH364" s="639"/>
      <c r="EII364" s="626"/>
      <c r="EIJ364" s="640"/>
      <c r="EIK364" s="641"/>
      <c r="EIL364" s="277"/>
      <c r="EIM364" s="261"/>
      <c r="EIN364" s="118"/>
      <c r="EIO364" s="219"/>
      <c r="EIP364" s="247"/>
      <c r="EIQ364" s="639"/>
      <c r="EIR364" s="626"/>
      <c r="EIS364" s="640"/>
      <c r="EIT364" s="641"/>
      <c r="EIU364" s="277"/>
      <c r="EIV364" s="261"/>
      <c r="EIW364" s="118"/>
      <c r="EIX364" s="219"/>
      <c r="EIY364" s="247"/>
      <c r="EIZ364" s="639"/>
      <c r="EJA364" s="626"/>
      <c r="EJB364" s="640"/>
      <c r="EJC364" s="641"/>
      <c r="EJD364" s="277"/>
      <c r="EJE364" s="261"/>
      <c r="EJF364" s="118"/>
      <c r="EJG364" s="219"/>
      <c r="EJH364" s="247"/>
      <c r="EJI364" s="639"/>
      <c r="EJJ364" s="626"/>
      <c r="EJK364" s="640"/>
      <c r="EJL364" s="641"/>
      <c r="EJM364" s="277"/>
      <c r="EJN364" s="261"/>
      <c r="EJO364" s="118"/>
      <c r="EJP364" s="219"/>
      <c r="EJQ364" s="247"/>
      <c r="EJR364" s="639"/>
      <c r="EJS364" s="626"/>
      <c r="EJT364" s="640"/>
      <c r="EJU364" s="641"/>
      <c r="EJV364" s="277"/>
      <c r="EJW364" s="261"/>
      <c r="EJX364" s="118"/>
      <c r="EJY364" s="219"/>
      <c r="EJZ364" s="247"/>
      <c r="EKA364" s="639"/>
      <c r="EKB364" s="626"/>
      <c r="EKC364" s="640"/>
      <c r="EKD364" s="641"/>
      <c r="EKE364" s="277"/>
      <c r="EKF364" s="261"/>
      <c r="EKG364" s="118"/>
      <c r="EKH364" s="219"/>
      <c r="EKI364" s="247"/>
      <c r="EKJ364" s="639"/>
      <c r="EKK364" s="626"/>
      <c r="EKL364" s="640"/>
      <c r="EKM364" s="641"/>
      <c r="EKN364" s="277"/>
      <c r="EKO364" s="261"/>
      <c r="EKP364" s="118"/>
      <c r="EKQ364" s="219"/>
      <c r="EKR364" s="247"/>
      <c r="EKS364" s="639"/>
      <c r="EKT364" s="626"/>
      <c r="EKU364" s="640"/>
      <c r="EKV364" s="641"/>
      <c r="EKW364" s="277"/>
      <c r="EKX364" s="261"/>
      <c r="EKY364" s="118"/>
      <c r="EKZ364" s="219"/>
      <c r="ELA364" s="247"/>
      <c r="ELB364" s="639"/>
      <c r="ELC364" s="626"/>
      <c r="ELD364" s="640"/>
      <c r="ELE364" s="641"/>
      <c r="ELF364" s="277"/>
      <c r="ELG364" s="261"/>
      <c r="ELH364" s="118"/>
      <c r="ELI364" s="219"/>
      <c r="ELJ364" s="247"/>
      <c r="ELK364" s="639"/>
      <c r="ELL364" s="626"/>
      <c r="ELM364" s="640"/>
      <c r="ELN364" s="641"/>
      <c r="ELO364" s="277"/>
      <c r="ELP364" s="261"/>
      <c r="ELQ364" s="118"/>
      <c r="ELR364" s="219"/>
      <c r="ELS364" s="247"/>
      <c r="ELT364" s="639"/>
      <c r="ELU364" s="626"/>
      <c r="ELV364" s="640"/>
      <c r="ELW364" s="641"/>
      <c r="ELX364" s="277"/>
      <c r="ELY364" s="261"/>
      <c r="ELZ364" s="118"/>
      <c r="EMA364" s="219"/>
      <c r="EMB364" s="247"/>
      <c r="EMC364" s="639"/>
      <c r="EMD364" s="626"/>
      <c r="EME364" s="640"/>
      <c r="EMF364" s="641"/>
      <c r="EMG364" s="277"/>
      <c r="EMH364" s="261"/>
      <c r="EMI364" s="118"/>
      <c r="EMJ364" s="219"/>
      <c r="EMK364" s="247"/>
      <c r="EML364" s="639"/>
      <c r="EMM364" s="626"/>
      <c r="EMN364" s="640"/>
      <c r="EMO364" s="641"/>
      <c r="EMP364" s="277"/>
      <c r="EMQ364" s="261"/>
      <c r="EMR364" s="118"/>
      <c r="EMS364" s="219"/>
      <c r="EMT364" s="247"/>
      <c r="EMU364" s="639"/>
      <c r="EMV364" s="626"/>
      <c r="EMW364" s="640"/>
      <c r="EMX364" s="641"/>
      <c r="EMY364" s="277"/>
      <c r="EMZ364" s="261"/>
      <c r="ENA364" s="118"/>
      <c r="ENB364" s="219"/>
      <c r="ENC364" s="247"/>
      <c r="END364" s="639"/>
      <c r="ENE364" s="626"/>
      <c r="ENF364" s="640"/>
      <c r="ENG364" s="641"/>
      <c r="ENH364" s="277"/>
      <c r="ENI364" s="261"/>
      <c r="ENJ364" s="118"/>
      <c r="ENK364" s="219"/>
      <c r="ENL364" s="247"/>
      <c r="ENM364" s="639"/>
      <c r="ENN364" s="626"/>
      <c r="ENO364" s="640"/>
      <c r="ENP364" s="641"/>
      <c r="ENQ364" s="277"/>
      <c r="ENR364" s="261"/>
      <c r="ENS364" s="118"/>
      <c r="ENT364" s="219"/>
      <c r="ENU364" s="247"/>
      <c r="ENV364" s="639"/>
      <c r="ENW364" s="626"/>
      <c r="ENX364" s="640"/>
      <c r="ENY364" s="641"/>
      <c r="ENZ364" s="277"/>
      <c r="EOA364" s="261"/>
      <c r="EOB364" s="118"/>
      <c r="EOC364" s="219"/>
      <c r="EOD364" s="247"/>
      <c r="EOE364" s="639"/>
      <c r="EOF364" s="626"/>
      <c r="EOG364" s="640"/>
      <c r="EOH364" s="641"/>
      <c r="EOI364" s="277"/>
      <c r="EOJ364" s="261"/>
      <c r="EOK364" s="118"/>
      <c r="EOL364" s="219"/>
      <c r="EOM364" s="247"/>
      <c r="EON364" s="639"/>
      <c r="EOO364" s="626"/>
      <c r="EOP364" s="640"/>
      <c r="EOQ364" s="641"/>
      <c r="EOR364" s="277"/>
      <c r="EOS364" s="261"/>
      <c r="EOT364" s="118"/>
      <c r="EOU364" s="219"/>
      <c r="EOV364" s="247"/>
      <c r="EOW364" s="639"/>
      <c r="EOX364" s="626"/>
      <c r="EOY364" s="640"/>
      <c r="EOZ364" s="641"/>
      <c r="EPA364" s="277"/>
      <c r="EPB364" s="261"/>
      <c r="EPC364" s="118"/>
      <c r="EPD364" s="219"/>
      <c r="EPE364" s="247"/>
      <c r="EPF364" s="639"/>
      <c r="EPG364" s="626"/>
      <c r="EPH364" s="640"/>
      <c r="EPI364" s="641"/>
      <c r="EPJ364" s="277"/>
      <c r="EPK364" s="261"/>
      <c r="EPL364" s="118"/>
      <c r="EPM364" s="219"/>
      <c r="EPN364" s="247"/>
      <c r="EPO364" s="639"/>
      <c r="EPP364" s="626"/>
      <c r="EPQ364" s="640"/>
      <c r="EPR364" s="641"/>
      <c r="EPS364" s="277"/>
      <c r="EPT364" s="261"/>
      <c r="EPU364" s="118"/>
      <c r="EPV364" s="219"/>
      <c r="EPW364" s="247"/>
      <c r="EPX364" s="639"/>
      <c r="EPY364" s="626"/>
      <c r="EPZ364" s="640"/>
      <c r="EQA364" s="641"/>
      <c r="EQB364" s="277"/>
      <c r="EQC364" s="261"/>
      <c r="EQD364" s="118"/>
      <c r="EQE364" s="219"/>
      <c r="EQF364" s="247"/>
      <c r="EQG364" s="639"/>
      <c r="EQH364" s="626"/>
      <c r="EQI364" s="640"/>
      <c r="EQJ364" s="641"/>
      <c r="EQK364" s="277"/>
      <c r="EQL364" s="261"/>
      <c r="EQM364" s="118"/>
      <c r="EQN364" s="219"/>
      <c r="EQO364" s="247"/>
      <c r="EQP364" s="639"/>
      <c r="EQQ364" s="626"/>
      <c r="EQR364" s="640"/>
      <c r="EQS364" s="641"/>
      <c r="EQT364" s="277"/>
      <c r="EQU364" s="261"/>
      <c r="EQV364" s="118"/>
      <c r="EQW364" s="219"/>
      <c r="EQX364" s="247"/>
      <c r="EQY364" s="639"/>
      <c r="EQZ364" s="626"/>
      <c r="ERA364" s="640"/>
      <c r="ERB364" s="641"/>
      <c r="ERC364" s="277"/>
      <c r="ERD364" s="261"/>
      <c r="ERE364" s="118"/>
      <c r="ERF364" s="219"/>
      <c r="ERG364" s="247"/>
      <c r="ERH364" s="639"/>
      <c r="ERI364" s="626"/>
      <c r="ERJ364" s="640"/>
      <c r="ERK364" s="641"/>
      <c r="ERL364" s="277"/>
      <c r="ERM364" s="261"/>
      <c r="ERN364" s="118"/>
      <c r="ERO364" s="219"/>
      <c r="ERP364" s="247"/>
      <c r="ERQ364" s="639"/>
      <c r="ERR364" s="626"/>
      <c r="ERS364" s="640"/>
      <c r="ERT364" s="641"/>
      <c r="ERU364" s="277"/>
      <c r="ERV364" s="261"/>
      <c r="ERW364" s="118"/>
      <c r="ERX364" s="219"/>
      <c r="ERY364" s="247"/>
      <c r="ERZ364" s="639"/>
      <c r="ESA364" s="626"/>
      <c r="ESB364" s="640"/>
      <c r="ESC364" s="641"/>
      <c r="ESD364" s="277"/>
      <c r="ESE364" s="261"/>
      <c r="ESF364" s="118"/>
      <c r="ESG364" s="219"/>
      <c r="ESH364" s="247"/>
      <c r="ESI364" s="639"/>
      <c r="ESJ364" s="626"/>
      <c r="ESK364" s="640"/>
      <c r="ESL364" s="641"/>
      <c r="ESM364" s="277"/>
      <c r="ESN364" s="261"/>
      <c r="ESO364" s="118"/>
      <c r="ESP364" s="219"/>
      <c r="ESQ364" s="247"/>
      <c r="ESR364" s="639"/>
      <c r="ESS364" s="626"/>
      <c r="EST364" s="640"/>
      <c r="ESU364" s="641"/>
      <c r="ESV364" s="277"/>
      <c r="ESW364" s="261"/>
      <c r="ESX364" s="118"/>
      <c r="ESY364" s="219"/>
      <c r="ESZ364" s="247"/>
      <c r="ETA364" s="639"/>
      <c r="ETB364" s="626"/>
      <c r="ETC364" s="640"/>
      <c r="ETD364" s="641"/>
      <c r="ETE364" s="277"/>
      <c r="ETF364" s="261"/>
      <c r="ETG364" s="118"/>
      <c r="ETH364" s="219"/>
      <c r="ETI364" s="247"/>
      <c r="ETJ364" s="639"/>
      <c r="ETK364" s="626"/>
      <c r="ETL364" s="640"/>
      <c r="ETM364" s="641"/>
      <c r="ETN364" s="277"/>
      <c r="ETO364" s="261"/>
      <c r="ETP364" s="118"/>
      <c r="ETQ364" s="219"/>
      <c r="ETR364" s="247"/>
      <c r="ETS364" s="639"/>
      <c r="ETT364" s="626"/>
      <c r="ETU364" s="640"/>
      <c r="ETV364" s="641"/>
      <c r="ETW364" s="277"/>
      <c r="ETX364" s="261"/>
      <c r="ETY364" s="118"/>
      <c r="ETZ364" s="219"/>
      <c r="EUA364" s="247"/>
      <c r="EUB364" s="639"/>
      <c r="EUC364" s="626"/>
      <c r="EUD364" s="640"/>
      <c r="EUE364" s="641"/>
      <c r="EUF364" s="277"/>
      <c r="EUG364" s="261"/>
      <c r="EUH364" s="118"/>
      <c r="EUI364" s="219"/>
      <c r="EUJ364" s="247"/>
      <c r="EUK364" s="639"/>
      <c r="EUL364" s="626"/>
      <c r="EUM364" s="640"/>
      <c r="EUN364" s="641"/>
      <c r="EUO364" s="277"/>
      <c r="EUP364" s="261"/>
      <c r="EUQ364" s="118"/>
      <c r="EUR364" s="219"/>
      <c r="EUS364" s="247"/>
      <c r="EUT364" s="639"/>
      <c r="EUU364" s="626"/>
      <c r="EUV364" s="640"/>
      <c r="EUW364" s="641"/>
      <c r="EUX364" s="277"/>
      <c r="EUY364" s="261"/>
      <c r="EUZ364" s="118"/>
      <c r="EVA364" s="219"/>
      <c r="EVB364" s="247"/>
      <c r="EVC364" s="639"/>
      <c r="EVD364" s="626"/>
      <c r="EVE364" s="640"/>
      <c r="EVF364" s="641"/>
      <c r="EVG364" s="277"/>
      <c r="EVH364" s="261"/>
      <c r="EVI364" s="118"/>
      <c r="EVJ364" s="219"/>
      <c r="EVK364" s="247"/>
      <c r="EVL364" s="639"/>
      <c r="EVM364" s="626"/>
      <c r="EVN364" s="640"/>
      <c r="EVO364" s="641"/>
      <c r="EVP364" s="277"/>
      <c r="EVQ364" s="261"/>
      <c r="EVR364" s="118"/>
      <c r="EVS364" s="219"/>
      <c r="EVT364" s="247"/>
      <c r="EVU364" s="639"/>
      <c r="EVV364" s="626"/>
      <c r="EVW364" s="640"/>
      <c r="EVX364" s="641"/>
      <c r="EVY364" s="277"/>
      <c r="EVZ364" s="261"/>
      <c r="EWA364" s="118"/>
      <c r="EWB364" s="219"/>
      <c r="EWC364" s="247"/>
      <c r="EWD364" s="639"/>
      <c r="EWE364" s="626"/>
      <c r="EWF364" s="640"/>
      <c r="EWG364" s="641"/>
      <c r="EWH364" s="277"/>
      <c r="EWI364" s="261"/>
      <c r="EWJ364" s="118"/>
      <c r="EWK364" s="219"/>
      <c r="EWL364" s="247"/>
      <c r="EWM364" s="639"/>
      <c r="EWN364" s="626"/>
      <c r="EWO364" s="640"/>
      <c r="EWP364" s="641"/>
      <c r="EWQ364" s="277"/>
      <c r="EWR364" s="261"/>
      <c r="EWS364" s="118"/>
      <c r="EWT364" s="219"/>
      <c r="EWU364" s="247"/>
      <c r="EWV364" s="639"/>
      <c r="EWW364" s="626"/>
      <c r="EWX364" s="640"/>
      <c r="EWY364" s="641"/>
      <c r="EWZ364" s="277"/>
      <c r="EXA364" s="261"/>
      <c r="EXB364" s="118"/>
      <c r="EXC364" s="219"/>
      <c r="EXD364" s="247"/>
      <c r="EXE364" s="639"/>
      <c r="EXF364" s="626"/>
      <c r="EXG364" s="640"/>
      <c r="EXH364" s="641"/>
      <c r="EXI364" s="277"/>
      <c r="EXJ364" s="261"/>
      <c r="EXK364" s="118"/>
      <c r="EXL364" s="219"/>
      <c r="EXM364" s="247"/>
      <c r="EXN364" s="639"/>
      <c r="EXO364" s="626"/>
      <c r="EXP364" s="640"/>
      <c r="EXQ364" s="641"/>
      <c r="EXR364" s="277"/>
      <c r="EXS364" s="261"/>
      <c r="EXT364" s="118"/>
      <c r="EXU364" s="219"/>
      <c r="EXV364" s="247"/>
      <c r="EXW364" s="639"/>
      <c r="EXX364" s="626"/>
      <c r="EXY364" s="640"/>
      <c r="EXZ364" s="641"/>
      <c r="EYA364" s="277"/>
      <c r="EYB364" s="261"/>
      <c r="EYC364" s="118"/>
      <c r="EYD364" s="219"/>
      <c r="EYE364" s="247"/>
      <c r="EYF364" s="639"/>
      <c r="EYG364" s="626"/>
      <c r="EYH364" s="640"/>
      <c r="EYI364" s="641"/>
      <c r="EYJ364" s="277"/>
      <c r="EYK364" s="261"/>
      <c r="EYL364" s="118"/>
      <c r="EYM364" s="219"/>
      <c r="EYN364" s="247"/>
      <c r="EYO364" s="639"/>
      <c r="EYP364" s="626"/>
      <c r="EYQ364" s="640"/>
      <c r="EYR364" s="641"/>
      <c r="EYS364" s="277"/>
      <c r="EYT364" s="261"/>
      <c r="EYU364" s="118"/>
      <c r="EYV364" s="219"/>
      <c r="EYW364" s="247"/>
      <c r="EYX364" s="639"/>
      <c r="EYY364" s="626"/>
      <c r="EYZ364" s="640"/>
      <c r="EZA364" s="641"/>
      <c r="EZB364" s="277"/>
      <c r="EZC364" s="261"/>
      <c r="EZD364" s="118"/>
      <c r="EZE364" s="219"/>
      <c r="EZF364" s="247"/>
      <c r="EZG364" s="639"/>
      <c r="EZH364" s="626"/>
      <c r="EZI364" s="640"/>
      <c r="EZJ364" s="641"/>
      <c r="EZK364" s="277"/>
      <c r="EZL364" s="261"/>
      <c r="EZM364" s="118"/>
      <c r="EZN364" s="219"/>
      <c r="EZO364" s="247"/>
      <c r="EZP364" s="639"/>
      <c r="EZQ364" s="626"/>
      <c r="EZR364" s="640"/>
      <c r="EZS364" s="641"/>
      <c r="EZT364" s="277"/>
      <c r="EZU364" s="261"/>
      <c r="EZV364" s="118"/>
      <c r="EZW364" s="219"/>
      <c r="EZX364" s="247"/>
      <c r="EZY364" s="639"/>
      <c r="EZZ364" s="626"/>
      <c r="FAA364" s="640"/>
      <c r="FAB364" s="641"/>
      <c r="FAC364" s="277"/>
      <c r="FAD364" s="261"/>
      <c r="FAE364" s="118"/>
      <c r="FAF364" s="219"/>
      <c r="FAG364" s="247"/>
      <c r="FAH364" s="639"/>
      <c r="FAI364" s="626"/>
      <c r="FAJ364" s="640"/>
      <c r="FAK364" s="641"/>
      <c r="FAL364" s="277"/>
      <c r="FAM364" s="261"/>
      <c r="FAN364" s="118"/>
      <c r="FAO364" s="219"/>
      <c r="FAP364" s="247"/>
      <c r="FAQ364" s="639"/>
      <c r="FAR364" s="626"/>
      <c r="FAS364" s="640"/>
      <c r="FAT364" s="641"/>
      <c r="FAU364" s="277"/>
      <c r="FAV364" s="261"/>
      <c r="FAW364" s="118"/>
      <c r="FAX364" s="219"/>
      <c r="FAY364" s="247"/>
      <c r="FAZ364" s="639"/>
      <c r="FBA364" s="626"/>
      <c r="FBB364" s="640"/>
      <c r="FBC364" s="641"/>
      <c r="FBD364" s="277"/>
      <c r="FBE364" s="261"/>
      <c r="FBF364" s="118"/>
      <c r="FBG364" s="219"/>
      <c r="FBH364" s="247"/>
      <c r="FBI364" s="639"/>
      <c r="FBJ364" s="626"/>
      <c r="FBK364" s="640"/>
      <c r="FBL364" s="641"/>
      <c r="FBM364" s="277"/>
      <c r="FBN364" s="261"/>
      <c r="FBO364" s="118"/>
      <c r="FBP364" s="219"/>
      <c r="FBQ364" s="247"/>
      <c r="FBR364" s="639"/>
      <c r="FBS364" s="626"/>
      <c r="FBT364" s="640"/>
      <c r="FBU364" s="641"/>
      <c r="FBV364" s="277"/>
      <c r="FBW364" s="261"/>
      <c r="FBX364" s="118"/>
      <c r="FBY364" s="219"/>
      <c r="FBZ364" s="247"/>
      <c r="FCA364" s="639"/>
      <c r="FCB364" s="626"/>
      <c r="FCC364" s="640"/>
      <c r="FCD364" s="641"/>
      <c r="FCE364" s="277"/>
      <c r="FCF364" s="261"/>
      <c r="FCG364" s="118"/>
      <c r="FCH364" s="219"/>
      <c r="FCI364" s="247"/>
      <c r="FCJ364" s="639"/>
      <c r="FCK364" s="626"/>
      <c r="FCL364" s="640"/>
      <c r="FCM364" s="641"/>
      <c r="FCN364" s="277"/>
      <c r="FCO364" s="261"/>
      <c r="FCP364" s="118"/>
      <c r="FCQ364" s="219"/>
      <c r="FCR364" s="247"/>
      <c r="FCS364" s="639"/>
      <c r="FCT364" s="626"/>
      <c r="FCU364" s="640"/>
      <c r="FCV364" s="641"/>
      <c r="FCW364" s="277"/>
      <c r="FCX364" s="261"/>
      <c r="FCY364" s="118"/>
      <c r="FCZ364" s="219"/>
      <c r="FDA364" s="247"/>
      <c r="FDB364" s="639"/>
      <c r="FDC364" s="626"/>
      <c r="FDD364" s="640"/>
      <c r="FDE364" s="641"/>
      <c r="FDF364" s="277"/>
      <c r="FDG364" s="261"/>
      <c r="FDH364" s="118"/>
      <c r="FDI364" s="219"/>
      <c r="FDJ364" s="247"/>
      <c r="FDK364" s="639"/>
      <c r="FDL364" s="626"/>
      <c r="FDM364" s="640"/>
      <c r="FDN364" s="641"/>
      <c r="FDO364" s="277"/>
      <c r="FDP364" s="261"/>
      <c r="FDQ364" s="118"/>
      <c r="FDR364" s="219"/>
      <c r="FDS364" s="247"/>
      <c r="FDT364" s="639"/>
      <c r="FDU364" s="626"/>
      <c r="FDV364" s="640"/>
      <c r="FDW364" s="641"/>
      <c r="FDX364" s="277"/>
      <c r="FDY364" s="261"/>
      <c r="FDZ364" s="118"/>
      <c r="FEA364" s="219"/>
      <c r="FEB364" s="247"/>
      <c r="FEC364" s="639"/>
      <c r="FED364" s="626"/>
      <c r="FEE364" s="640"/>
      <c r="FEF364" s="641"/>
      <c r="FEG364" s="277"/>
      <c r="FEH364" s="261"/>
      <c r="FEI364" s="118"/>
      <c r="FEJ364" s="219"/>
      <c r="FEK364" s="247"/>
      <c r="FEL364" s="639"/>
      <c r="FEM364" s="626"/>
      <c r="FEN364" s="640"/>
      <c r="FEO364" s="641"/>
      <c r="FEP364" s="277"/>
      <c r="FEQ364" s="261"/>
      <c r="FER364" s="118"/>
      <c r="FES364" s="219"/>
      <c r="FET364" s="247"/>
      <c r="FEU364" s="639"/>
      <c r="FEV364" s="626"/>
      <c r="FEW364" s="640"/>
      <c r="FEX364" s="641"/>
      <c r="FEY364" s="277"/>
      <c r="FEZ364" s="261"/>
      <c r="FFA364" s="118"/>
      <c r="FFB364" s="219"/>
      <c r="FFC364" s="247"/>
      <c r="FFD364" s="639"/>
      <c r="FFE364" s="626"/>
      <c r="FFF364" s="640"/>
      <c r="FFG364" s="641"/>
      <c r="FFH364" s="277"/>
      <c r="FFI364" s="261"/>
      <c r="FFJ364" s="118"/>
      <c r="FFK364" s="219"/>
      <c r="FFL364" s="247"/>
      <c r="FFM364" s="639"/>
      <c r="FFN364" s="626"/>
      <c r="FFO364" s="640"/>
      <c r="FFP364" s="641"/>
      <c r="FFQ364" s="277"/>
      <c r="FFR364" s="261"/>
      <c r="FFS364" s="118"/>
      <c r="FFT364" s="219"/>
      <c r="FFU364" s="247"/>
      <c r="FFV364" s="639"/>
      <c r="FFW364" s="626"/>
      <c r="FFX364" s="640"/>
      <c r="FFY364" s="641"/>
      <c r="FFZ364" s="277"/>
      <c r="FGA364" s="261"/>
      <c r="FGB364" s="118"/>
      <c r="FGC364" s="219"/>
      <c r="FGD364" s="247"/>
      <c r="FGE364" s="639"/>
      <c r="FGF364" s="626"/>
      <c r="FGG364" s="640"/>
      <c r="FGH364" s="641"/>
      <c r="FGI364" s="277"/>
      <c r="FGJ364" s="261"/>
      <c r="FGK364" s="118"/>
      <c r="FGL364" s="219"/>
      <c r="FGM364" s="247"/>
      <c r="FGN364" s="639"/>
      <c r="FGO364" s="626"/>
      <c r="FGP364" s="640"/>
      <c r="FGQ364" s="641"/>
      <c r="FGR364" s="277"/>
      <c r="FGS364" s="261"/>
      <c r="FGT364" s="118"/>
      <c r="FGU364" s="219"/>
      <c r="FGV364" s="247"/>
      <c r="FGW364" s="639"/>
      <c r="FGX364" s="626"/>
      <c r="FGY364" s="640"/>
      <c r="FGZ364" s="641"/>
      <c r="FHA364" s="277"/>
      <c r="FHB364" s="261"/>
      <c r="FHC364" s="118"/>
      <c r="FHD364" s="219"/>
      <c r="FHE364" s="247"/>
      <c r="FHF364" s="639"/>
      <c r="FHG364" s="626"/>
      <c r="FHH364" s="640"/>
      <c r="FHI364" s="641"/>
      <c r="FHJ364" s="277"/>
      <c r="FHK364" s="261"/>
      <c r="FHL364" s="118"/>
      <c r="FHM364" s="219"/>
      <c r="FHN364" s="247"/>
      <c r="FHO364" s="639"/>
      <c r="FHP364" s="626"/>
      <c r="FHQ364" s="640"/>
      <c r="FHR364" s="641"/>
      <c r="FHS364" s="277"/>
      <c r="FHT364" s="261"/>
      <c r="FHU364" s="118"/>
      <c r="FHV364" s="219"/>
      <c r="FHW364" s="247"/>
      <c r="FHX364" s="639"/>
      <c r="FHY364" s="626"/>
      <c r="FHZ364" s="640"/>
      <c r="FIA364" s="641"/>
      <c r="FIB364" s="277"/>
      <c r="FIC364" s="261"/>
      <c r="FID364" s="118"/>
      <c r="FIE364" s="219"/>
      <c r="FIF364" s="247"/>
      <c r="FIG364" s="639"/>
      <c r="FIH364" s="626"/>
      <c r="FII364" s="640"/>
      <c r="FIJ364" s="641"/>
      <c r="FIK364" s="277"/>
      <c r="FIL364" s="261"/>
      <c r="FIM364" s="118"/>
      <c r="FIN364" s="219"/>
      <c r="FIO364" s="247"/>
      <c r="FIP364" s="639"/>
      <c r="FIQ364" s="626"/>
      <c r="FIR364" s="640"/>
      <c r="FIS364" s="641"/>
      <c r="FIT364" s="277"/>
      <c r="FIU364" s="261"/>
      <c r="FIV364" s="118"/>
      <c r="FIW364" s="219"/>
      <c r="FIX364" s="247"/>
      <c r="FIY364" s="639"/>
      <c r="FIZ364" s="626"/>
      <c r="FJA364" s="640"/>
      <c r="FJB364" s="641"/>
      <c r="FJC364" s="277"/>
      <c r="FJD364" s="261"/>
      <c r="FJE364" s="118"/>
      <c r="FJF364" s="219"/>
      <c r="FJG364" s="247"/>
      <c r="FJH364" s="639"/>
      <c r="FJI364" s="626"/>
      <c r="FJJ364" s="640"/>
      <c r="FJK364" s="641"/>
      <c r="FJL364" s="277"/>
      <c r="FJM364" s="261"/>
      <c r="FJN364" s="118"/>
      <c r="FJO364" s="219"/>
      <c r="FJP364" s="247"/>
      <c r="FJQ364" s="639"/>
      <c r="FJR364" s="626"/>
      <c r="FJS364" s="640"/>
      <c r="FJT364" s="641"/>
      <c r="FJU364" s="277"/>
      <c r="FJV364" s="261"/>
      <c r="FJW364" s="118"/>
      <c r="FJX364" s="219"/>
      <c r="FJY364" s="247"/>
      <c r="FJZ364" s="639"/>
      <c r="FKA364" s="626"/>
      <c r="FKB364" s="640"/>
      <c r="FKC364" s="641"/>
      <c r="FKD364" s="277"/>
      <c r="FKE364" s="261"/>
      <c r="FKF364" s="118"/>
      <c r="FKG364" s="219"/>
      <c r="FKH364" s="247"/>
      <c r="FKI364" s="639"/>
      <c r="FKJ364" s="626"/>
      <c r="FKK364" s="640"/>
      <c r="FKL364" s="641"/>
      <c r="FKM364" s="277"/>
      <c r="FKN364" s="261"/>
      <c r="FKO364" s="118"/>
      <c r="FKP364" s="219"/>
      <c r="FKQ364" s="247"/>
      <c r="FKR364" s="639"/>
      <c r="FKS364" s="626"/>
      <c r="FKT364" s="640"/>
      <c r="FKU364" s="641"/>
      <c r="FKV364" s="277"/>
      <c r="FKW364" s="261"/>
      <c r="FKX364" s="118"/>
      <c r="FKY364" s="219"/>
      <c r="FKZ364" s="247"/>
      <c r="FLA364" s="639"/>
      <c r="FLB364" s="626"/>
      <c r="FLC364" s="640"/>
      <c r="FLD364" s="641"/>
      <c r="FLE364" s="277"/>
      <c r="FLF364" s="261"/>
      <c r="FLG364" s="118"/>
      <c r="FLH364" s="219"/>
      <c r="FLI364" s="247"/>
      <c r="FLJ364" s="639"/>
      <c r="FLK364" s="626"/>
      <c r="FLL364" s="640"/>
      <c r="FLM364" s="641"/>
      <c r="FLN364" s="277"/>
      <c r="FLO364" s="261"/>
      <c r="FLP364" s="118"/>
      <c r="FLQ364" s="219"/>
      <c r="FLR364" s="247"/>
      <c r="FLS364" s="639"/>
      <c r="FLT364" s="626"/>
      <c r="FLU364" s="640"/>
      <c r="FLV364" s="641"/>
      <c r="FLW364" s="277"/>
      <c r="FLX364" s="261"/>
      <c r="FLY364" s="118"/>
      <c r="FLZ364" s="219"/>
      <c r="FMA364" s="247"/>
      <c r="FMB364" s="639"/>
      <c r="FMC364" s="626"/>
      <c r="FMD364" s="640"/>
      <c r="FME364" s="641"/>
      <c r="FMF364" s="277"/>
      <c r="FMG364" s="261"/>
      <c r="FMH364" s="118"/>
      <c r="FMI364" s="219"/>
      <c r="FMJ364" s="247"/>
      <c r="FMK364" s="639"/>
      <c r="FML364" s="626"/>
      <c r="FMM364" s="640"/>
      <c r="FMN364" s="641"/>
      <c r="FMO364" s="277"/>
      <c r="FMP364" s="261"/>
      <c r="FMQ364" s="118"/>
      <c r="FMR364" s="219"/>
      <c r="FMS364" s="247"/>
      <c r="FMT364" s="639"/>
      <c r="FMU364" s="626"/>
      <c r="FMV364" s="640"/>
      <c r="FMW364" s="641"/>
      <c r="FMX364" s="277"/>
      <c r="FMY364" s="261"/>
      <c r="FMZ364" s="118"/>
      <c r="FNA364" s="219"/>
      <c r="FNB364" s="247"/>
      <c r="FNC364" s="639"/>
      <c r="FND364" s="626"/>
      <c r="FNE364" s="640"/>
      <c r="FNF364" s="641"/>
      <c r="FNG364" s="277"/>
      <c r="FNH364" s="261"/>
      <c r="FNI364" s="118"/>
      <c r="FNJ364" s="219"/>
      <c r="FNK364" s="247"/>
      <c r="FNL364" s="639"/>
      <c r="FNM364" s="626"/>
      <c r="FNN364" s="640"/>
      <c r="FNO364" s="641"/>
      <c r="FNP364" s="277"/>
      <c r="FNQ364" s="261"/>
      <c r="FNR364" s="118"/>
      <c r="FNS364" s="219"/>
      <c r="FNT364" s="247"/>
      <c r="FNU364" s="639"/>
      <c r="FNV364" s="626"/>
      <c r="FNW364" s="640"/>
      <c r="FNX364" s="641"/>
      <c r="FNY364" s="277"/>
      <c r="FNZ364" s="261"/>
      <c r="FOA364" s="118"/>
      <c r="FOB364" s="219"/>
      <c r="FOC364" s="247"/>
      <c r="FOD364" s="639"/>
      <c r="FOE364" s="626"/>
      <c r="FOF364" s="640"/>
      <c r="FOG364" s="641"/>
      <c r="FOH364" s="277"/>
      <c r="FOI364" s="261"/>
      <c r="FOJ364" s="118"/>
      <c r="FOK364" s="219"/>
      <c r="FOL364" s="247"/>
      <c r="FOM364" s="639"/>
      <c r="FON364" s="626"/>
      <c r="FOO364" s="640"/>
      <c r="FOP364" s="641"/>
      <c r="FOQ364" s="277"/>
      <c r="FOR364" s="261"/>
      <c r="FOS364" s="118"/>
      <c r="FOT364" s="219"/>
      <c r="FOU364" s="247"/>
      <c r="FOV364" s="639"/>
      <c r="FOW364" s="626"/>
      <c r="FOX364" s="640"/>
      <c r="FOY364" s="641"/>
      <c r="FOZ364" s="277"/>
      <c r="FPA364" s="261"/>
      <c r="FPB364" s="118"/>
      <c r="FPC364" s="219"/>
      <c r="FPD364" s="247"/>
      <c r="FPE364" s="639"/>
      <c r="FPF364" s="626"/>
      <c r="FPG364" s="640"/>
      <c r="FPH364" s="641"/>
      <c r="FPI364" s="277"/>
      <c r="FPJ364" s="261"/>
      <c r="FPK364" s="118"/>
      <c r="FPL364" s="219"/>
      <c r="FPM364" s="247"/>
      <c r="FPN364" s="639"/>
      <c r="FPO364" s="626"/>
      <c r="FPP364" s="640"/>
      <c r="FPQ364" s="641"/>
      <c r="FPR364" s="277"/>
      <c r="FPS364" s="261"/>
      <c r="FPT364" s="118"/>
      <c r="FPU364" s="219"/>
      <c r="FPV364" s="247"/>
      <c r="FPW364" s="639"/>
      <c r="FPX364" s="626"/>
      <c r="FPY364" s="640"/>
      <c r="FPZ364" s="641"/>
      <c r="FQA364" s="277"/>
      <c r="FQB364" s="261"/>
      <c r="FQC364" s="118"/>
      <c r="FQD364" s="219"/>
      <c r="FQE364" s="247"/>
      <c r="FQF364" s="639"/>
      <c r="FQG364" s="626"/>
      <c r="FQH364" s="640"/>
      <c r="FQI364" s="641"/>
      <c r="FQJ364" s="277"/>
      <c r="FQK364" s="261"/>
      <c r="FQL364" s="118"/>
      <c r="FQM364" s="219"/>
      <c r="FQN364" s="247"/>
      <c r="FQO364" s="639"/>
      <c r="FQP364" s="626"/>
      <c r="FQQ364" s="640"/>
      <c r="FQR364" s="641"/>
      <c r="FQS364" s="277"/>
      <c r="FQT364" s="261"/>
      <c r="FQU364" s="118"/>
      <c r="FQV364" s="219"/>
      <c r="FQW364" s="247"/>
      <c r="FQX364" s="639"/>
      <c r="FQY364" s="626"/>
      <c r="FQZ364" s="640"/>
      <c r="FRA364" s="641"/>
      <c r="FRB364" s="277"/>
      <c r="FRC364" s="261"/>
      <c r="FRD364" s="118"/>
      <c r="FRE364" s="219"/>
      <c r="FRF364" s="247"/>
      <c r="FRG364" s="639"/>
      <c r="FRH364" s="626"/>
      <c r="FRI364" s="640"/>
      <c r="FRJ364" s="641"/>
      <c r="FRK364" s="277"/>
      <c r="FRL364" s="261"/>
      <c r="FRM364" s="118"/>
      <c r="FRN364" s="219"/>
      <c r="FRO364" s="247"/>
      <c r="FRP364" s="639"/>
      <c r="FRQ364" s="626"/>
      <c r="FRR364" s="640"/>
      <c r="FRS364" s="641"/>
      <c r="FRT364" s="277"/>
      <c r="FRU364" s="261"/>
      <c r="FRV364" s="118"/>
      <c r="FRW364" s="219"/>
      <c r="FRX364" s="247"/>
      <c r="FRY364" s="639"/>
      <c r="FRZ364" s="626"/>
      <c r="FSA364" s="640"/>
      <c r="FSB364" s="641"/>
      <c r="FSC364" s="277"/>
      <c r="FSD364" s="261"/>
      <c r="FSE364" s="118"/>
      <c r="FSF364" s="219"/>
      <c r="FSG364" s="247"/>
      <c r="FSH364" s="639"/>
      <c r="FSI364" s="626"/>
      <c r="FSJ364" s="640"/>
      <c r="FSK364" s="641"/>
      <c r="FSL364" s="277"/>
      <c r="FSM364" s="261"/>
      <c r="FSN364" s="118"/>
      <c r="FSO364" s="219"/>
      <c r="FSP364" s="247"/>
      <c r="FSQ364" s="639"/>
      <c r="FSR364" s="626"/>
      <c r="FSS364" s="640"/>
      <c r="FST364" s="641"/>
      <c r="FSU364" s="277"/>
      <c r="FSV364" s="261"/>
      <c r="FSW364" s="118"/>
      <c r="FSX364" s="219"/>
      <c r="FSY364" s="247"/>
      <c r="FSZ364" s="639"/>
      <c r="FTA364" s="626"/>
      <c r="FTB364" s="640"/>
      <c r="FTC364" s="641"/>
      <c r="FTD364" s="277"/>
      <c r="FTE364" s="261"/>
      <c r="FTF364" s="118"/>
      <c r="FTG364" s="219"/>
      <c r="FTH364" s="247"/>
      <c r="FTI364" s="639"/>
      <c r="FTJ364" s="626"/>
      <c r="FTK364" s="640"/>
      <c r="FTL364" s="641"/>
      <c r="FTM364" s="277"/>
      <c r="FTN364" s="261"/>
      <c r="FTO364" s="118"/>
      <c r="FTP364" s="219"/>
      <c r="FTQ364" s="247"/>
      <c r="FTR364" s="639"/>
      <c r="FTS364" s="626"/>
      <c r="FTT364" s="640"/>
      <c r="FTU364" s="641"/>
      <c r="FTV364" s="277"/>
      <c r="FTW364" s="261"/>
      <c r="FTX364" s="118"/>
      <c r="FTY364" s="219"/>
      <c r="FTZ364" s="247"/>
      <c r="FUA364" s="639"/>
      <c r="FUB364" s="626"/>
      <c r="FUC364" s="640"/>
      <c r="FUD364" s="641"/>
      <c r="FUE364" s="277"/>
      <c r="FUF364" s="261"/>
      <c r="FUG364" s="118"/>
      <c r="FUH364" s="219"/>
      <c r="FUI364" s="247"/>
      <c r="FUJ364" s="639"/>
      <c r="FUK364" s="626"/>
      <c r="FUL364" s="640"/>
      <c r="FUM364" s="641"/>
      <c r="FUN364" s="277"/>
      <c r="FUO364" s="261"/>
      <c r="FUP364" s="118"/>
      <c r="FUQ364" s="219"/>
      <c r="FUR364" s="247"/>
      <c r="FUS364" s="639"/>
      <c r="FUT364" s="626"/>
      <c r="FUU364" s="640"/>
      <c r="FUV364" s="641"/>
      <c r="FUW364" s="277"/>
      <c r="FUX364" s="261"/>
      <c r="FUY364" s="118"/>
      <c r="FUZ364" s="219"/>
      <c r="FVA364" s="247"/>
      <c r="FVB364" s="639"/>
      <c r="FVC364" s="626"/>
      <c r="FVD364" s="640"/>
      <c r="FVE364" s="641"/>
      <c r="FVF364" s="277"/>
      <c r="FVG364" s="261"/>
      <c r="FVH364" s="642"/>
      <c r="FVI364" s="271"/>
      <c r="FVJ364" s="272"/>
      <c r="FVK364" s="273"/>
      <c r="FVL364" s="274"/>
      <c r="FVM364" s="643"/>
      <c r="FVN364" s="324"/>
      <c r="FVO364" s="366"/>
      <c r="FVP364" s="269"/>
      <c r="FVQ364" s="644"/>
      <c r="FVR364" s="271"/>
      <c r="FVS364" s="272"/>
      <c r="FVT364" s="273"/>
      <c r="FVU364" s="274"/>
      <c r="FVV364" s="643"/>
      <c r="FVW364" s="324"/>
      <c r="FVX364" s="366"/>
      <c r="FVY364" s="269"/>
      <c r="FVZ364" s="644"/>
      <c r="FWA364" s="271"/>
      <c r="FWB364" s="272"/>
      <c r="FWC364" s="273"/>
      <c r="FWD364" s="274"/>
      <c r="FWE364" s="643"/>
      <c r="FWF364" s="324"/>
      <c r="FWG364" s="366"/>
      <c r="FWH364" s="269"/>
      <c r="FWI364" s="644"/>
      <c r="FWJ364" s="271"/>
      <c r="FWK364" s="272"/>
      <c r="FWL364" s="273"/>
      <c r="FWM364" s="274"/>
      <c r="FWN364" s="643"/>
      <c r="FWO364" s="324"/>
      <c r="FWP364" s="366"/>
      <c r="FWQ364" s="269"/>
      <c r="FWR364" s="644"/>
      <c r="FWS364" s="271"/>
      <c r="FWT364" s="272"/>
      <c r="FWU364" s="273"/>
      <c r="FWV364" s="274"/>
      <c r="FWW364" s="643"/>
      <c r="FWX364" s="324"/>
      <c r="FWY364" s="366"/>
      <c r="FWZ364" s="269"/>
      <c r="FXA364" s="644"/>
      <c r="FXB364" s="271"/>
      <c r="FXC364" s="272"/>
      <c r="FXD364" s="273"/>
      <c r="FXE364" s="274"/>
      <c r="FXF364" s="643"/>
      <c r="FXG364" s="324"/>
      <c r="FXH364" s="366"/>
      <c r="FXI364" s="269"/>
      <c r="FXJ364" s="644"/>
      <c r="FXK364" s="271"/>
      <c r="FXL364" s="272"/>
      <c r="FXM364" s="273"/>
      <c r="FXN364" s="274"/>
      <c r="FXO364" s="643"/>
      <c r="FXP364" s="324"/>
      <c r="FXQ364" s="366"/>
      <c r="FXR364" s="269"/>
      <c r="FXS364" s="644"/>
      <c r="FXT364" s="271"/>
      <c r="FXU364" s="272"/>
      <c r="FXV364" s="273"/>
      <c r="FXW364" s="274"/>
      <c r="FXX364" s="643"/>
      <c r="FXY364" s="324"/>
      <c r="FXZ364" s="366"/>
      <c r="FYA364" s="269"/>
      <c r="FYB364" s="644"/>
      <c r="FYC364" s="271"/>
      <c r="FYD364" s="272"/>
      <c r="FYE364" s="273"/>
      <c r="FYF364" s="274"/>
      <c r="FYG364" s="643"/>
      <c r="FYH364" s="324"/>
      <c r="FYI364" s="366"/>
      <c r="FYJ364" s="269"/>
      <c r="FYK364" s="644"/>
      <c r="FYL364" s="271"/>
      <c r="FYM364" s="272"/>
      <c r="FYN364" s="273"/>
      <c r="FYO364" s="274"/>
      <c r="FYP364" s="643"/>
      <c r="FYQ364" s="324"/>
      <c r="FYR364" s="366"/>
      <c r="FYS364" s="269"/>
      <c r="FYT364" s="644"/>
      <c r="FYU364" s="271"/>
      <c r="FYV364" s="272"/>
      <c r="FYW364" s="273"/>
      <c r="FYX364" s="274"/>
      <c r="FYY364" s="643"/>
      <c r="FYZ364" s="324"/>
      <c r="FZA364" s="366"/>
      <c r="FZB364" s="269"/>
      <c r="FZC364" s="644"/>
      <c r="FZD364" s="271"/>
      <c r="FZE364" s="272"/>
      <c r="FZF364" s="273"/>
      <c r="FZG364" s="274"/>
      <c r="FZH364" s="643"/>
      <c r="FZI364" s="324"/>
      <c r="FZJ364" s="366"/>
      <c r="FZK364" s="269"/>
      <c r="FZL364" s="644"/>
      <c r="FZM364" s="271"/>
      <c r="FZN364" s="272"/>
      <c r="FZO364" s="273"/>
      <c r="FZP364" s="274"/>
      <c r="FZQ364" s="643"/>
      <c r="FZR364" s="324"/>
      <c r="FZS364" s="366"/>
      <c r="FZT364" s="269"/>
      <c r="FZU364" s="644"/>
      <c r="FZV364" s="271"/>
      <c r="FZW364" s="272"/>
      <c r="FZX364" s="273"/>
      <c r="FZY364" s="274"/>
      <c r="FZZ364" s="643"/>
      <c r="GAA364" s="324"/>
      <c r="GAB364" s="366"/>
      <c r="GAC364" s="269"/>
      <c r="GAD364" s="644"/>
      <c r="GAE364" s="271"/>
      <c r="GAF364" s="272"/>
      <c r="GAG364" s="273"/>
      <c r="GAH364" s="274"/>
      <c r="GAI364" s="643"/>
      <c r="GAJ364" s="324"/>
      <c r="GAK364" s="366"/>
      <c r="GAL364" s="269"/>
      <c r="GAM364" s="644"/>
      <c r="GAN364" s="271"/>
      <c r="GAO364" s="272"/>
      <c r="GAP364" s="273"/>
      <c r="GAQ364" s="274"/>
      <c r="GAR364" s="643"/>
      <c r="GAS364" s="324"/>
      <c r="GAT364" s="366"/>
      <c r="GAU364" s="269"/>
      <c r="GAV364" s="644"/>
      <c r="GAW364" s="271"/>
      <c r="GAX364" s="272"/>
      <c r="GAY364" s="273"/>
      <c r="GAZ364" s="274"/>
      <c r="GBA364" s="643"/>
      <c r="GBB364" s="324"/>
      <c r="GBC364" s="366"/>
      <c r="GBD364" s="269"/>
      <c r="GBE364" s="644"/>
      <c r="GBF364" s="271"/>
      <c r="GBG364" s="272"/>
      <c r="GBH364" s="273"/>
      <c r="GBI364" s="274"/>
      <c r="GBJ364" s="643"/>
      <c r="GBK364" s="324"/>
      <c r="GBL364" s="366"/>
      <c r="GBM364" s="269"/>
      <c r="GBN364" s="644"/>
      <c r="GBO364" s="271"/>
      <c r="GBP364" s="272"/>
      <c r="GBQ364" s="273"/>
      <c r="GBR364" s="274"/>
      <c r="GBS364" s="643"/>
      <c r="GBT364" s="324"/>
      <c r="GBU364" s="366"/>
      <c r="GBV364" s="269"/>
      <c r="GBW364" s="644"/>
      <c r="GBX364" s="271"/>
      <c r="GBY364" s="272"/>
      <c r="GBZ364" s="273"/>
      <c r="GCA364" s="274"/>
      <c r="GCB364" s="643"/>
      <c r="GCC364" s="324"/>
      <c r="GCD364" s="366"/>
      <c r="GCE364" s="269"/>
      <c r="GCF364" s="644"/>
      <c r="GCG364" s="271"/>
      <c r="GCH364" s="272"/>
      <c r="GCI364" s="273"/>
      <c r="GCJ364" s="274"/>
      <c r="GCK364" s="643"/>
      <c r="GCL364" s="324"/>
      <c r="GCM364" s="366"/>
      <c r="GCN364" s="269"/>
      <c r="GCO364" s="644"/>
      <c r="GCP364" s="271"/>
      <c r="GCQ364" s="272"/>
      <c r="GCR364" s="273"/>
      <c r="GCS364" s="274"/>
      <c r="GCT364" s="643"/>
      <c r="GCU364" s="324"/>
      <c r="GCV364" s="366"/>
      <c r="GCW364" s="269"/>
      <c r="GCX364" s="644"/>
      <c r="GCY364" s="271"/>
      <c r="GCZ364" s="272"/>
      <c r="GDA364" s="273"/>
      <c r="GDB364" s="274"/>
      <c r="GDC364" s="643"/>
      <c r="GDD364" s="324"/>
      <c r="GDE364" s="366"/>
      <c r="GDF364" s="269"/>
      <c r="GDG364" s="644"/>
      <c r="GDH364" s="271"/>
      <c r="GDI364" s="272"/>
      <c r="GDJ364" s="273"/>
      <c r="GDK364" s="274"/>
      <c r="GDL364" s="643"/>
      <c r="GDM364" s="324"/>
      <c r="GDN364" s="366"/>
      <c r="GDO364" s="269"/>
      <c r="GDP364" s="644"/>
      <c r="GDQ364" s="271"/>
      <c r="GDR364" s="272"/>
      <c r="GDS364" s="273"/>
      <c r="GDT364" s="274"/>
      <c r="GDU364" s="643"/>
      <c r="GDV364" s="324"/>
      <c r="GDW364" s="366"/>
      <c r="GDX364" s="269"/>
      <c r="GDY364" s="644"/>
      <c r="GDZ364" s="271"/>
      <c r="GEA364" s="272"/>
      <c r="GEB364" s="273"/>
      <c r="GEC364" s="274"/>
      <c r="GED364" s="643"/>
      <c r="GEE364" s="324"/>
      <c r="GEF364" s="366"/>
      <c r="GEG364" s="269"/>
      <c r="GEH364" s="644"/>
      <c r="GEI364" s="271"/>
      <c r="GEJ364" s="272"/>
      <c r="GEK364" s="273"/>
      <c r="GEL364" s="274"/>
      <c r="GEM364" s="643"/>
      <c r="GEN364" s="324"/>
      <c r="GEO364" s="366"/>
      <c r="GEP364" s="269"/>
      <c r="GEQ364" s="644"/>
      <c r="GER364" s="271"/>
      <c r="GES364" s="272"/>
      <c r="GET364" s="273"/>
      <c r="GEU364" s="274"/>
      <c r="GEV364" s="643"/>
      <c r="GEW364" s="324"/>
      <c r="GEX364" s="366"/>
      <c r="GEY364" s="269"/>
      <c r="GEZ364" s="644"/>
      <c r="GFA364" s="271"/>
      <c r="GFB364" s="272"/>
      <c r="GFC364" s="273"/>
      <c r="GFD364" s="274"/>
      <c r="GFE364" s="643"/>
      <c r="GFF364" s="324"/>
      <c r="GFG364" s="366"/>
      <c r="GFH364" s="269"/>
      <c r="GFI364" s="644"/>
      <c r="GFJ364" s="271"/>
      <c r="GFK364" s="272"/>
      <c r="GFL364" s="273"/>
      <c r="GFM364" s="274"/>
      <c r="GFN364" s="643"/>
      <c r="GFO364" s="324"/>
      <c r="GFP364" s="366"/>
      <c r="GFQ364" s="269"/>
      <c r="GFR364" s="644"/>
      <c r="GFS364" s="271"/>
      <c r="GFT364" s="272"/>
      <c r="GFU364" s="273"/>
      <c r="GFV364" s="274"/>
      <c r="GFW364" s="643"/>
      <c r="GFX364" s="324"/>
      <c r="GFY364" s="366"/>
      <c r="GFZ364" s="269"/>
      <c r="GGA364" s="644"/>
      <c r="GGB364" s="271"/>
      <c r="GGC364" s="272"/>
      <c r="GGD364" s="273"/>
      <c r="GGE364" s="274"/>
      <c r="GGF364" s="643"/>
      <c r="GGG364" s="324"/>
      <c r="GGH364" s="366"/>
      <c r="GGI364" s="269"/>
      <c r="GGJ364" s="644"/>
      <c r="GGK364" s="271"/>
      <c r="GGL364" s="272"/>
      <c r="GGM364" s="273"/>
      <c r="GGN364" s="274"/>
      <c r="GGO364" s="643"/>
      <c r="GGP364" s="324"/>
      <c r="GGQ364" s="366"/>
      <c r="GGR364" s="269"/>
      <c r="GGS364" s="644"/>
      <c r="GGT364" s="271"/>
      <c r="GGU364" s="272"/>
      <c r="GGV364" s="273"/>
      <c r="GGW364" s="274"/>
      <c r="GGX364" s="643"/>
      <c r="GGY364" s="324"/>
      <c r="GGZ364" s="366"/>
      <c r="GHA364" s="269"/>
      <c r="GHB364" s="644"/>
      <c r="GHC364" s="271"/>
      <c r="GHD364" s="272"/>
      <c r="GHE364" s="273"/>
      <c r="GHF364" s="274"/>
      <c r="GHG364" s="643"/>
      <c r="GHH364" s="324"/>
      <c r="GHI364" s="366"/>
      <c r="GHJ364" s="269"/>
      <c r="GHK364" s="644"/>
      <c r="GHL364" s="271"/>
      <c r="GHM364" s="272"/>
      <c r="GHN364" s="273"/>
      <c r="GHO364" s="274"/>
      <c r="GHP364" s="643"/>
      <c r="GHQ364" s="324"/>
      <c r="GHR364" s="366"/>
      <c r="GHS364" s="269"/>
      <c r="GHT364" s="644"/>
      <c r="GHU364" s="271"/>
      <c r="GHV364" s="272"/>
      <c r="GHW364" s="273"/>
      <c r="GHX364" s="274"/>
      <c r="GHY364" s="643"/>
      <c r="GHZ364" s="324"/>
      <c r="GIA364" s="366"/>
      <c r="GIB364" s="269"/>
      <c r="GIC364" s="644"/>
      <c r="GID364" s="271"/>
      <c r="GIE364" s="272"/>
      <c r="GIF364" s="273"/>
      <c r="GIG364" s="274"/>
      <c r="GIH364" s="643"/>
      <c r="GII364" s="324"/>
      <c r="GIJ364" s="366"/>
      <c r="GIK364" s="269"/>
      <c r="GIL364" s="644"/>
      <c r="GIM364" s="271"/>
      <c r="GIN364" s="272"/>
      <c r="GIO364" s="273"/>
      <c r="GIP364" s="274"/>
      <c r="GIQ364" s="643"/>
      <c r="GIR364" s="324"/>
      <c r="GIS364" s="366"/>
      <c r="GIT364" s="269"/>
      <c r="GIU364" s="644"/>
      <c r="GIV364" s="271"/>
      <c r="GIW364" s="272"/>
      <c r="GIX364" s="273"/>
      <c r="GIY364" s="274"/>
      <c r="GIZ364" s="643"/>
      <c r="GJA364" s="324"/>
      <c r="GJB364" s="366"/>
      <c r="GJC364" s="269"/>
      <c r="GJD364" s="644"/>
      <c r="GJE364" s="271"/>
      <c r="GJF364" s="272"/>
      <c r="GJG364" s="273"/>
      <c r="GJH364" s="274"/>
      <c r="GJI364" s="643"/>
      <c r="GJJ364" s="324"/>
      <c r="GJK364" s="366"/>
      <c r="GJL364" s="269"/>
      <c r="GJM364" s="644"/>
      <c r="GJN364" s="271"/>
      <c r="GJO364" s="272"/>
      <c r="GJP364" s="273"/>
      <c r="GJQ364" s="274"/>
      <c r="GJR364" s="643"/>
      <c r="GJS364" s="324"/>
      <c r="GJT364" s="366"/>
      <c r="GJU364" s="269"/>
      <c r="GJV364" s="644"/>
      <c r="GJW364" s="271"/>
      <c r="GJX364" s="272"/>
      <c r="GJY364" s="273"/>
      <c r="GJZ364" s="274"/>
      <c r="GKA364" s="643"/>
      <c r="GKB364" s="324"/>
      <c r="GKC364" s="366"/>
      <c r="GKD364" s="269"/>
      <c r="GKE364" s="644"/>
      <c r="GKF364" s="271"/>
      <c r="GKG364" s="272"/>
      <c r="GKH364" s="273"/>
      <c r="GKI364" s="274"/>
      <c r="GKJ364" s="643"/>
      <c r="GKK364" s="324"/>
      <c r="GKL364" s="366"/>
      <c r="GKM364" s="269"/>
      <c r="GKN364" s="644"/>
      <c r="GKO364" s="271"/>
      <c r="GKP364" s="272"/>
      <c r="GKQ364" s="273"/>
      <c r="GKR364" s="274"/>
      <c r="GKS364" s="643"/>
      <c r="GKT364" s="324"/>
      <c r="GKU364" s="366"/>
      <c r="GKV364" s="269"/>
      <c r="GKW364" s="644"/>
      <c r="GKX364" s="271"/>
      <c r="GKY364" s="272"/>
      <c r="GKZ364" s="273"/>
      <c r="GLA364" s="274"/>
      <c r="GLB364" s="643"/>
      <c r="GLC364" s="324"/>
      <c r="GLD364" s="366"/>
      <c r="GLE364" s="269"/>
      <c r="GLF364" s="644"/>
      <c r="GLG364" s="271"/>
      <c r="GLH364" s="272"/>
      <c r="GLI364" s="273"/>
      <c r="GLJ364" s="274"/>
      <c r="GLK364" s="643"/>
      <c r="GLL364" s="324"/>
      <c r="GLM364" s="366"/>
      <c r="GLN364" s="269"/>
      <c r="GLO364" s="644"/>
      <c r="GLP364" s="271"/>
      <c r="GLQ364" s="272"/>
      <c r="GLR364" s="273"/>
      <c r="GLS364" s="274"/>
      <c r="GLT364" s="643"/>
      <c r="GLU364" s="324"/>
      <c r="GLV364" s="366"/>
      <c r="GLW364" s="269"/>
      <c r="GLX364" s="644"/>
      <c r="GLY364" s="271"/>
      <c r="GLZ364" s="272"/>
      <c r="GMA364" s="273"/>
      <c r="GMB364" s="274"/>
      <c r="GMC364" s="643"/>
      <c r="GMD364" s="324"/>
      <c r="GME364" s="366"/>
      <c r="GMF364" s="269"/>
      <c r="GMG364" s="644"/>
      <c r="GMH364" s="271"/>
      <c r="GMI364" s="272"/>
      <c r="GMJ364" s="273"/>
      <c r="GMK364" s="274"/>
      <c r="GML364" s="643"/>
      <c r="GMM364" s="324"/>
      <c r="GMN364" s="366"/>
      <c r="GMO364" s="269"/>
      <c r="GMP364" s="644"/>
      <c r="GMQ364" s="271"/>
      <c r="GMR364" s="272"/>
      <c r="GMS364" s="273"/>
      <c r="GMT364" s="274"/>
      <c r="GMU364" s="643"/>
      <c r="GMV364" s="324"/>
      <c r="GMW364" s="366"/>
      <c r="GMX364" s="269"/>
      <c r="GMY364" s="644"/>
      <c r="GMZ364" s="271"/>
      <c r="GNA364" s="272"/>
      <c r="GNB364" s="273"/>
      <c r="GNC364" s="274"/>
      <c r="GND364" s="643"/>
      <c r="GNE364" s="324"/>
      <c r="GNF364" s="366"/>
      <c r="GNG364" s="269"/>
      <c r="GNH364" s="644"/>
      <c r="GNI364" s="271"/>
      <c r="GNJ364" s="272"/>
      <c r="GNK364" s="273"/>
      <c r="GNL364" s="274"/>
      <c r="GNM364" s="643"/>
      <c r="GNN364" s="324"/>
      <c r="GNO364" s="366"/>
      <c r="GNP364" s="269"/>
      <c r="GNQ364" s="644"/>
      <c r="GNR364" s="271"/>
      <c r="GNS364" s="272"/>
      <c r="GNT364" s="273"/>
      <c r="GNU364" s="274"/>
      <c r="GNV364" s="643"/>
      <c r="GNW364" s="324"/>
      <c r="GNX364" s="366"/>
      <c r="GNY364" s="269"/>
      <c r="GNZ364" s="644"/>
      <c r="GOA364" s="271"/>
      <c r="GOB364" s="272"/>
      <c r="GOC364" s="273"/>
      <c r="GOD364" s="274"/>
      <c r="GOE364" s="643"/>
      <c r="GOF364" s="324"/>
      <c r="GOG364" s="366"/>
      <c r="GOH364" s="269"/>
      <c r="GOI364" s="644"/>
      <c r="GOJ364" s="271"/>
      <c r="GOK364" s="272"/>
      <c r="GOL364" s="273"/>
      <c r="GOM364" s="274"/>
      <c r="GON364" s="643"/>
      <c r="GOO364" s="324"/>
      <c r="GOP364" s="366"/>
      <c r="GOQ364" s="269"/>
      <c r="GOR364" s="644"/>
      <c r="GOS364" s="271"/>
      <c r="GOT364" s="272"/>
      <c r="GOU364" s="273"/>
      <c r="GOV364" s="274"/>
      <c r="GOW364" s="643"/>
      <c r="GOX364" s="324"/>
      <c r="GOY364" s="366"/>
      <c r="GOZ364" s="269"/>
      <c r="GPA364" s="644"/>
      <c r="GPB364" s="271"/>
      <c r="GPC364" s="272"/>
      <c r="GPD364" s="273"/>
      <c r="GPE364" s="274"/>
      <c r="GPF364" s="643"/>
      <c r="GPG364" s="324"/>
      <c r="GPH364" s="366"/>
      <c r="GPI364" s="269"/>
      <c r="GPJ364" s="644"/>
      <c r="GPK364" s="271"/>
      <c r="GPL364" s="272"/>
      <c r="GPM364" s="273"/>
      <c r="GPN364" s="274"/>
      <c r="GPO364" s="643"/>
      <c r="GPP364" s="324"/>
      <c r="GPQ364" s="366"/>
      <c r="GPR364" s="269"/>
      <c r="GPS364" s="644"/>
      <c r="GPT364" s="271"/>
      <c r="GPU364" s="272"/>
      <c r="GPV364" s="273"/>
      <c r="GPW364" s="274"/>
      <c r="GPX364" s="643"/>
      <c r="GPY364" s="324"/>
      <c r="GPZ364" s="366"/>
      <c r="GQA364" s="269"/>
      <c r="GQB364" s="644"/>
      <c r="GQC364" s="271"/>
      <c r="GQD364" s="272"/>
      <c r="GQE364" s="273"/>
      <c r="GQF364" s="274"/>
      <c r="GQG364" s="643"/>
      <c r="GQH364" s="324"/>
      <c r="GQI364" s="366"/>
      <c r="GQJ364" s="269"/>
      <c r="GQK364" s="644"/>
      <c r="GQL364" s="271"/>
      <c r="GQM364" s="272"/>
      <c r="GQN364" s="273"/>
      <c r="GQO364" s="274"/>
      <c r="GQP364" s="643"/>
      <c r="GQQ364" s="324"/>
      <c r="GQR364" s="366"/>
      <c r="GQS364" s="269"/>
      <c r="GQT364" s="644"/>
      <c r="GQU364" s="271"/>
      <c r="GQV364" s="272"/>
      <c r="GQW364" s="273"/>
      <c r="GQX364" s="274"/>
      <c r="GQY364" s="643"/>
      <c r="GQZ364" s="324"/>
      <c r="GRA364" s="366"/>
      <c r="GRB364" s="269"/>
      <c r="GRC364" s="644"/>
      <c r="GRD364" s="271"/>
      <c r="GRE364" s="272"/>
      <c r="GRF364" s="273"/>
      <c r="GRG364" s="274"/>
      <c r="GRH364" s="643"/>
      <c r="GRI364" s="324"/>
      <c r="GRJ364" s="366"/>
      <c r="GRK364" s="269"/>
      <c r="GRL364" s="644"/>
      <c r="GRM364" s="271"/>
      <c r="GRN364" s="272"/>
      <c r="GRO364" s="273"/>
      <c r="GRP364" s="274"/>
      <c r="GRQ364" s="643"/>
      <c r="GRR364" s="324"/>
      <c r="GRS364" s="366"/>
      <c r="GRT364" s="269"/>
      <c r="GRU364" s="644"/>
      <c r="GRV364" s="271"/>
      <c r="GRW364" s="272"/>
      <c r="GRX364" s="273"/>
      <c r="GRY364" s="274"/>
      <c r="GRZ364" s="643"/>
      <c r="GSA364" s="324"/>
      <c r="GSB364" s="366"/>
      <c r="GSC364" s="269"/>
      <c r="GSD364" s="644"/>
      <c r="GSE364" s="271"/>
      <c r="GSF364" s="272"/>
      <c r="GSG364" s="273"/>
      <c r="GSH364" s="274"/>
      <c r="GSI364" s="643"/>
      <c r="GSJ364" s="324"/>
      <c r="GSK364" s="366"/>
      <c r="GSL364" s="269"/>
      <c r="GSM364" s="644"/>
      <c r="GSN364" s="271"/>
      <c r="GSO364" s="272"/>
      <c r="GSP364" s="273"/>
      <c r="GSQ364" s="274"/>
      <c r="GSR364" s="643"/>
      <c r="GSS364" s="324"/>
      <c r="GST364" s="366"/>
      <c r="GSU364" s="269"/>
      <c r="GSV364" s="644"/>
      <c r="GSW364" s="271"/>
      <c r="GSX364" s="272"/>
      <c r="GSY364" s="273"/>
      <c r="GSZ364" s="274"/>
      <c r="GTA364" s="643"/>
      <c r="GTB364" s="324"/>
      <c r="GTC364" s="366"/>
      <c r="GTD364" s="269"/>
      <c r="GTE364" s="644"/>
      <c r="GTF364" s="271"/>
      <c r="GTG364" s="272"/>
      <c r="GTH364" s="273"/>
      <c r="GTI364" s="274"/>
      <c r="GTJ364" s="643"/>
      <c r="GTK364" s="324"/>
      <c r="GTL364" s="366"/>
      <c r="GTM364" s="269"/>
      <c r="GTN364" s="644"/>
      <c r="GTO364" s="271"/>
      <c r="GTP364" s="272"/>
      <c r="GTQ364" s="273"/>
      <c r="GTR364" s="274"/>
      <c r="GTS364" s="643"/>
      <c r="GTT364" s="324"/>
      <c r="GTU364" s="366"/>
      <c r="GTV364" s="269"/>
      <c r="GTW364" s="644"/>
      <c r="GTX364" s="271"/>
      <c r="GTY364" s="272"/>
      <c r="GTZ364" s="273"/>
      <c r="GUA364" s="274"/>
      <c r="GUB364" s="643"/>
      <c r="GUC364" s="324"/>
      <c r="GUD364" s="366"/>
      <c r="GUE364" s="269"/>
      <c r="GUF364" s="644"/>
      <c r="GUG364" s="271"/>
      <c r="GUH364" s="272"/>
      <c r="GUI364" s="273"/>
      <c r="GUJ364" s="274"/>
      <c r="GUK364" s="643"/>
      <c r="GUL364" s="324"/>
      <c r="GUM364" s="366"/>
      <c r="GUN364" s="269"/>
      <c r="GUO364" s="644"/>
      <c r="GUP364" s="271"/>
      <c r="GUQ364" s="272"/>
      <c r="GUR364" s="273"/>
      <c r="GUS364" s="274"/>
      <c r="GUT364" s="643"/>
      <c r="GUU364" s="324"/>
      <c r="GUV364" s="366"/>
      <c r="GUW364" s="269"/>
      <c r="GUX364" s="644"/>
      <c r="GUY364" s="271"/>
      <c r="GUZ364" s="272"/>
      <c r="GVA364" s="273"/>
      <c r="GVB364" s="274"/>
      <c r="GVC364" s="643"/>
      <c r="GVD364" s="324"/>
      <c r="GVE364" s="366"/>
      <c r="GVF364" s="269"/>
      <c r="GVG364" s="644"/>
      <c r="GVH364" s="271"/>
      <c r="GVI364" s="272"/>
      <c r="GVJ364" s="273"/>
      <c r="GVK364" s="274"/>
      <c r="GVL364" s="643"/>
      <c r="GVM364" s="324"/>
      <c r="GVN364" s="366"/>
      <c r="GVO364" s="269"/>
      <c r="GVP364" s="644"/>
      <c r="GVQ364" s="271"/>
      <c r="GVR364" s="272"/>
      <c r="GVS364" s="273"/>
      <c r="GVT364" s="274"/>
      <c r="GVU364" s="643"/>
      <c r="GVV364" s="324"/>
      <c r="GVW364" s="366"/>
      <c r="GVX364" s="269"/>
      <c r="GVY364" s="644"/>
      <c r="GVZ364" s="271"/>
      <c r="GWA364" s="272"/>
      <c r="GWB364" s="273"/>
      <c r="GWC364" s="274"/>
      <c r="GWD364" s="643"/>
      <c r="GWE364" s="324"/>
      <c r="GWF364" s="366"/>
      <c r="GWG364" s="269"/>
      <c r="GWH364" s="644"/>
      <c r="GWI364" s="271"/>
      <c r="GWJ364" s="272"/>
      <c r="GWK364" s="273"/>
      <c r="GWL364" s="274"/>
      <c r="GWM364" s="643"/>
      <c r="GWN364" s="324"/>
      <c r="GWO364" s="366"/>
      <c r="GWP364" s="269"/>
      <c r="GWQ364" s="644"/>
      <c r="GWR364" s="271"/>
      <c r="GWS364" s="272"/>
      <c r="GWT364" s="273"/>
      <c r="GWU364" s="274"/>
      <c r="GWV364" s="643"/>
      <c r="GWW364" s="324"/>
      <c r="GWX364" s="366"/>
      <c r="GWY364" s="269"/>
      <c r="GWZ364" s="644"/>
      <c r="GXA364" s="271"/>
      <c r="GXB364" s="272"/>
      <c r="GXC364" s="273"/>
      <c r="GXD364" s="274"/>
      <c r="GXE364" s="643"/>
      <c r="GXF364" s="324"/>
      <c r="GXG364" s="366"/>
      <c r="GXH364" s="269"/>
      <c r="GXI364" s="644"/>
      <c r="GXJ364" s="271"/>
      <c r="GXK364" s="272"/>
      <c r="GXL364" s="273"/>
      <c r="GXM364" s="274"/>
      <c r="GXN364" s="643"/>
      <c r="GXO364" s="324"/>
      <c r="GXP364" s="366"/>
      <c r="GXQ364" s="269"/>
      <c r="GXR364" s="644"/>
      <c r="GXS364" s="271"/>
      <c r="GXT364" s="272"/>
      <c r="GXU364" s="273"/>
      <c r="GXV364" s="274"/>
      <c r="GXW364" s="643"/>
      <c r="GXX364" s="324"/>
      <c r="GXY364" s="366"/>
      <c r="GXZ364" s="269"/>
      <c r="GYA364" s="644"/>
      <c r="GYB364" s="271"/>
      <c r="GYC364" s="272"/>
      <c r="GYD364" s="273"/>
      <c r="GYE364" s="274"/>
      <c r="GYF364" s="643"/>
      <c r="GYG364" s="324"/>
      <c r="GYH364" s="366"/>
      <c r="GYI364" s="269"/>
      <c r="GYJ364" s="644"/>
      <c r="GYK364" s="271"/>
      <c r="GYL364" s="272"/>
      <c r="GYM364" s="273"/>
      <c r="GYN364" s="274"/>
      <c r="GYO364" s="643"/>
      <c r="GYP364" s="324"/>
      <c r="GYQ364" s="366"/>
      <c r="GYR364" s="269"/>
      <c r="GYS364" s="644"/>
      <c r="GYT364" s="271"/>
      <c r="GYU364" s="272"/>
      <c r="GYV364" s="273"/>
      <c r="GYW364" s="274"/>
      <c r="GYX364" s="643"/>
      <c r="GYY364" s="324"/>
      <c r="GYZ364" s="366"/>
      <c r="GZA364" s="269"/>
      <c r="GZB364" s="644"/>
      <c r="GZC364" s="271"/>
      <c r="GZD364" s="272"/>
      <c r="GZE364" s="273"/>
      <c r="GZF364" s="274"/>
      <c r="GZG364" s="643"/>
      <c r="GZH364" s="324"/>
      <c r="GZI364" s="366"/>
      <c r="GZJ364" s="269"/>
      <c r="GZK364" s="644"/>
      <c r="GZL364" s="271"/>
      <c r="GZM364" s="272"/>
      <c r="GZN364" s="273"/>
      <c r="GZO364" s="274"/>
      <c r="GZP364" s="643"/>
      <c r="GZQ364" s="324"/>
      <c r="GZR364" s="366"/>
      <c r="GZS364" s="269"/>
      <c r="GZT364" s="644"/>
      <c r="GZU364" s="271"/>
      <c r="GZV364" s="272"/>
      <c r="GZW364" s="273"/>
      <c r="GZX364" s="274"/>
      <c r="GZY364" s="643"/>
      <c r="GZZ364" s="324"/>
      <c r="HAA364" s="366"/>
      <c r="HAB364" s="269"/>
      <c r="HAC364" s="644"/>
      <c r="HAD364" s="271"/>
      <c r="HAE364" s="272"/>
      <c r="HAF364" s="273"/>
      <c r="HAG364" s="274"/>
      <c r="HAH364" s="643"/>
      <c r="HAI364" s="324"/>
      <c r="HAJ364" s="366"/>
      <c r="HAK364" s="269"/>
      <c r="HAL364" s="644"/>
      <c r="HAM364" s="271"/>
      <c r="HAN364" s="272"/>
      <c r="HAO364" s="273"/>
      <c r="HAP364" s="274"/>
      <c r="HAQ364" s="643"/>
      <c r="HAR364" s="324"/>
      <c r="HAS364" s="366"/>
      <c r="HAT364" s="269"/>
      <c r="HAU364" s="644"/>
      <c r="HAV364" s="271"/>
      <c r="HAW364" s="272"/>
      <c r="HAX364" s="273"/>
      <c r="HAY364" s="274"/>
      <c r="HAZ364" s="643"/>
      <c r="HBA364" s="324"/>
      <c r="HBB364" s="366"/>
      <c r="HBC364" s="269"/>
      <c r="HBD364" s="644"/>
      <c r="HBE364" s="271"/>
      <c r="HBF364" s="272"/>
      <c r="HBG364" s="273"/>
      <c r="HBH364" s="274"/>
      <c r="HBI364" s="643"/>
      <c r="HBJ364" s="324"/>
      <c r="HBK364" s="366"/>
      <c r="HBL364" s="269"/>
      <c r="HBM364" s="644"/>
      <c r="HBN364" s="271"/>
      <c r="HBO364" s="272"/>
      <c r="HBP364" s="273"/>
      <c r="HBQ364" s="274"/>
      <c r="HBR364" s="643"/>
      <c r="HBS364" s="324"/>
      <c r="HBT364" s="366"/>
      <c r="HBU364" s="269"/>
      <c r="HBV364" s="644"/>
      <c r="HBW364" s="271"/>
      <c r="HBX364" s="272"/>
      <c r="HBY364" s="273"/>
      <c r="HBZ364" s="274"/>
      <c r="HCA364" s="643"/>
      <c r="HCB364" s="324"/>
      <c r="HCC364" s="366"/>
      <c r="HCD364" s="269"/>
      <c r="HCE364" s="644"/>
      <c r="HCF364" s="271"/>
      <c r="HCG364" s="272"/>
      <c r="HCH364" s="273"/>
      <c r="HCI364" s="274"/>
      <c r="HCJ364" s="643"/>
      <c r="HCK364" s="324"/>
      <c r="HCL364" s="366"/>
      <c r="HCM364" s="269"/>
      <c r="HCN364" s="644"/>
      <c r="HCO364" s="271"/>
      <c r="HCP364" s="272"/>
      <c r="HCQ364" s="273"/>
      <c r="HCR364" s="274"/>
      <c r="HCS364" s="643"/>
      <c r="HCT364" s="324"/>
      <c r="HCU364" s="366"/>
      <c r="HCV364" s="269"/>
      <c r="HCW364" s="644"/>
      <c r="HCX364" s="271"/>
      <c r="HCY364" s="272"/>
      <c r="HCZ364" s="273"/>
      <c r="HDA364" s="274"/>
      <c r="HDB364" s="643"/>
      <c r="HDC364" s="324"/>
      <c r="HDD364" s="366"/>
      <c r="HDE364" s="269"/>
      <c r="HDF364" s="644"/>
      <c r="HDG364" s="271"/>
      <c r="HDH364" s="272"/>
      <c r="HDI364" s="273"/>
      <c r="HDJ364" s="274"/>
      <c r="HDK364" s="643"/>
      <c r="HDL364" s="324"/>
      <c r="HDM364" s="366"/>
      <c r="HDN364" s="269"/>
      <c r="HDO364" s="644"/>
      <c r="HDP364" s="271"/>
      <c r="HDQ364" s="272"/>
      <c r="HDR364" s="273"/>
      <c r="HDS364" s="274"/>
      <c r="HDT364" s="643"/>
      <c r="HDU364" s="324"/>
      <c r="HDV364" s="366"/>
      <c r="HDW364" s="269"/>
      <c r="HDX364" s="644"/>
      <c r="HDY364" s="271"/>
      <c r="HDZ364" s="272"/>
      <c r="HEA364" s="273"/>
      <c r="HEB364" s="274"/>
      <c r="HEC364" s="643"/>
      <c r="HED364" s="324"/>
      <c r="HEE364" s="366"/>
      <c r="HEF364" s="269"/>
      <c r="HEG364" s="644"/>
      <c r="HEH364" s="271"/>
      <c r="HEI364" s="272"/>
      <c r="HEJ364" s="273"/>
      <c r="HEK364" s="274"/>
      <c r="HEL364" s="643"/>
      <c r="HEM364" s="324"/>
      <c r="HEN364" s="366"/>
      <c r="HEO364" s="269"/>
      <c r="HEP364" s="644"/>
      <c r="HEQ364" s="271"/>
      <c r="HER364" s="272"/>
      <c r="HES364" s="273"/>
      <c r="HET364" s="274"/>
      <c r="HEU364" s="643"/>
      <c r="HEV364" s="324"/>
      <c r="HEW364" s="366"/>
      <c r="HEX364" s="269"/>
      <c r="HEY364" s="644"/>
      <c r="HEZ364" s="271"/>
      <c r="HFA364" s="272"/>
      <c r="HFB364" s="273"/>
      <c r="HFC364" s="274"/>
      <c r="HFD364" s="643"/>
      <c r="HFE364" s="324"/>
      <c r="HFF364" s="366"/>
      <c r="HFG364" s="269"/>
      <c r="HFH364" s="644"/>
      <c r="HFI364" s="271"/>
      <c r="HFJ364" s="272"/>
      <c r="HFK364" s="273"/>
      <c r="HFL364" s="274"/>
      <c r="HFM364" s="643"/>
      <c r="HFN364" s="324"/>
      <c r="HFO364" s="366"/>
      <c r="HFP364" s="269"/>
      <c r="HFQ364" s="644"/>
      <c r="HFR364" s="271"/>
      <c r="HFS364" s="272"/>
      <c r="HFT364" s="273"/>
      <c r="HFU364" s="274"/>
      <c r="HFV364" s="643"/>
      <c r="HFW364" s="324"/>
      <c r="HFX364" s="366"/>
      <c r="HFY364" s="269"/>
      <c r="HFZ364" s="644"/>
      <c r="HGA364" s="271"/>
      <c r="HGB364" s="272"/>
      <c r="HGC364" s="273"/>
      <c r="HGD364" s="274"/>
      <c r="HGE364" s="643"/>
      <c r="HGF364" s="324"/>
      <c r="HGG364" s="366"/>
      <c r="HGH364" s="269"/>
      <c r="HGI364" s="644"/>
      <c r="HGJ364" s="271"/>
      <c r="HGK364" s="272"/>
      <c r="HGL364" s="273"/>
      <c r="HGM364" s="274"/>
      <c r="HGN364" s="643"/>
      <c r="HGO364" s="324"/>
      <c r="HGP364" s="366"/>
      <c r="HGQ364" s="269"/>
      <c r="HGR364" s="644"/>
      <c r="HGS364" s="271"/>
      <c r="HGT364" s="272"/>
      <c r="HGU364" s="273"/>
      <c r="HGV364" s="274"/>
      <c r="HGW364" s="643"/>
      <c r="HGX364" s="324"/>
      <c r="HGY364" s="366"/>
      <c r="HGZ364" s="269"/>
      <c r="HHA364" s="644"/>
      <c r="HHB364" s="271"/>
      <c r="HHC364" s="272"/>
      <c r="HHD364" s="273"/>
      <c r="HHE364" s="274"/>
      <c r="HHF364" s="643"/>
      <c r="HHG364" s="324"/>
      <c r="HHH364" s="366"/>
      <c r="HHI364" s="269"/>
      <c r="HHJ364" s="644"/>
      <c r="HHK364" s="271"/>
      <c r="HHL364" s="272"/>
      <c r="HHM364" s="273"/>
      <c r="HHN364" s="274"/>
      <c r="HHO364" s="643"/>
      <c r="HHP364" s="324"/>
      <c r="HHQ364" s="366"/>
      <c r="HHR364" s="269"/>
      <c r="HHS364" s="644"/>
      <c r="HHT364" s="271"/>
      <c r="HHU364" s="272"/>
      <c r="HHV364" s="273"/>
      <c r="HHW364" s="274"/>
      <c r="HHX364" s="643"/>
      <c r="HHY364" s="324"/>
      <c r="HHZ364" s="366"/>
      <c r="HIA364" s="269"/>
      <c r="HIB364" s="644"/>
      <c r="HIC364" s="271"/>
      <c r="HID364" s="272"/>
      <c r="HIE364" s="273"/>
      <c r="HIF364" s="274"/>
      <c r="HIG364" s="643"/>
      <c r="HIH364" s="324"/>
      <c r="HII364" s="366"/>
      <c r="HIJ364" s="269"/>
      <c r="HIK364" s="644"/>
      <c r="HIL364" s="271"/>
      <c r="HIM364" s="272"/>
      <c r="HIN364" s="273"/>
      <c r="HIO364" s="274"/>
      <c r="HIP364" s="643"/>
      <c r="HIQ364" s="324"/>
      <c r="HIR364" s="366"/>
      <c r="HIS364" s="269"/>
      <c r="HIT364" s="644"/>
      <c r="HIU364" s="271"/>
      <c r="HIV364" s="272"/>
      <c r="HIW364" s="273"/>
      <c r="HIX364" s="274"/>
      <c r="HIY364" s="643"/>
      <c r="HIZ364" s="324"/>
      <c r="HJA364" s="366"/>
      <c r="HJB364" s="269"/>
      <c r="HJC364" s="644"/>
      <c r="HJD364" s="271"/>
      <c r="HJE364" s="272"/>
      <c r="HJF364" s="273"/>
      <c r="HJG364" s="274"/>
      <c r="HJH364" s="643"/>
      <c r="HJI364" s="324"/>
      <c r="HJJ364" s="366"/>
      <c r="HJK364" s="269"/>
      <c r="HJL364" s="644"/>
      <c r="HJM364" s="271"/>
      <c r="HJN364" s="272"/>
      <c r="HJO364" s="273"/>
      <c r="HJP364" s="274"/>
      <c r="HJQ364" s="643"/>
      <c r="HJR364" s="324"/>
      <c r="HJS364" s="366"/>
      <c r="HJT364" s="269"/>
      <c r="HJU364" s="644"/>
      <c r="HJV364" s="271"/>
      <c r="HJW364" s="272"/>
      <c r="HJX364" s="273"/>
      <c r="HJY364" s="274"/>
      <c r="HJZ364" s="643"/>
      <c r="HKA364" s="324"/>
      <c r="HKB364" s="366"/>
      <c r="HKC364" s="269"/>
      <c r="HKD364" s="644"/>
      <c r="HKE364" s="271"/>
      <c r="HKF364" s="272"/>
      <c r="HKG364" s="273"/>
      <c r="HKH364" s="274"/>
      <c r="HKI364" s="643"/>
      <c r="HKJ364" s="324"/>
      <c r="HKK364" s="366"/>
      <c r="HKL364" s="269"/>
      <c r="HKM364" s="644"/>
      <c r="HKN364" s="271"/>
      <c r="HKO364" s="272"/>
      <c r="HKP364" s="273"/>
      <c r="HKQ364" s="274"/>
      <c r="HKR364" s="643"/>
      <c r="HKS364" s="324"/>
      <c r="HKT364" s="366"/>
      <c r="HKU364" s="269"/>
      <c r="HKV364" s="644"/>
      <c r="HKW364" s="271"/>
      <c r="HKX364" s="272"/>
      <c r="HKY364" s="273"/>
      <c r="HKZ364" s="274"/>
      <c r="HLA364" s="643"/>
      <c r="HLB364" s="324"/>
      <c r="HLC364" s="366"/>
      <c r="HLD364" s="269"/>
      <c r="HLE364" s="644"/>
      <c r="HLF364" s="271"/>
      <c r="HLG364" s="272"/>
      <c r="HLH364" s="273"/>
      <c r="HLI364" s="274"/>
      <c r="HLJ364" s="643"/>
      <c r="HLK364" s="324"/>
      <c r="HLL364" s="366"/>
      <c r="HLM364" s="269"/>
      <c r="HLN364" s="644"/>
      <c r="HLO364" s="271"/>
      <c r="HLP364" s="272"/>
      <c r="HLQ364" s="273"/>
      <c r="HLR364" s="274"/>
      <c r="HLS364" s="643"/>
      <c r="HLT364" s="324"/>
      <c r="HLU364" s="366"/>
      <c r="HLV364" s="269"/>
      <c r="HLW364" s="644"/>
      <c r="HLX364" s="271"/>
      <c r="HLY364" s="272"/>
      <c r="HLZ364" s="273"/>
      <c r="HMA364" s="274"/>
      <c r="HMB364" s="643"/>
      <c r="HMC364" s="324"/>
      <c r="HMD364" s="366"/>
      <c r="HME364" s="269"/>
      <c r="HMF364" s="644"/>
      <c r="HMG364" s="271"/>
      <c r="HMH364" s="272"/>
      <c r="HMI364" s="273"/>
      <c r="HMJ364" s="274"/>
      <c r="HMK364" s="643"/>
      <c r="HML364" s="324"/>
      <c r="HMM364" s="366"/>
      <c r="HMN364" s="269"/>
      <c r="HMO364" s="644"/>
      <c r="HMP364" s="271"/>
      <c r="HMQ364" s="272"/>
      <c r="HMR364" s="273"/>
      <c r="HMS364" s="274"/>
      <c r="HMT364" s="643"/>
      <c r="HMU364" s="324"/>
      <c r="HMV364" s="366"/>
      <c r="HMW364" s="269"/>
      <c r="HMX364" s="644"/>
      <c r="HMY364" s="271"/>
      <c r="HMZ364" s="272"/>
      <c r="HNA364" s="273"/>
      <c r="HNB364" s="274"/>
      <c r="HNC364" s="643"/>
      <c r="HND364" s="324"/>
      <c r="HNE364" s="366"/>
      <c r="HNF364" s="269"/>
      <c r="HNG364" s="644"/>
      <c r="HNH364" s="271"/>
      <c r="HNI364" s="272"/>
      <c r="HNJ364" s="273"/>
      <c r="HNK364" s="274"/>
      <c r="HNL364" s="643"/>
      <c r="HNM364" s="324"/>
      <c r="HNN364" s="366"/>
      <c r="HNO364" s="269"/>
      <c r="HNP364" s="644"/>
      <c r="HNQ364" s="271"/>
      <c r="HNR364" s="272"/>
      <c r="HNS364" s="273"/>
      <c r="HNT364" s="274"/>
      <c r="HNU364" s="643"/>
      <c r="HNV364" s="324"/>
      <c r="HNW364" s="366"/>
      <c r="HNX364" s="269"/>
      <c r="HNY364" s="644"/>
      <c r="HNZ364" s="271"/>
      <c r="HOA364" s="272"/>
      <c r="HOB364" s="273"/>
      <c r="HOC364" s="274"/>
      <c r="HOD364" s="643"/>
      <c r="HOE364" s="324"/>
      <c r="HOF364" s="366"/>
      <c r="HOG364" s="269"/>
      <c r="HOH364" s="644"/>
      <c r="HOI364" s="271"/>
      <c r="HOJ364" s="272"/>
      <c r="HOK364" s="273"/>
      <c r="HOL364" s="274"/>
      <c r="HOM364" s="643"/>
      <c r="HON364" s="324"/>
      <c r="HOO364" s="366"/>
      <c r="HOP364" s="269"/>
      <c r="HOQ364" s="644"/>
      <c r="HOR364" s="271"/>
      <c r="HOS364" s="272"/>
      <c r="HOT364" s="273"/>
      <c r="HOU364" s="274"/>
      <c r="HOV364" s="643"/>
      <c r="HOW364" s="324"/>
      <c r="HOX364" s="366"/>
      <c r="HOY364" s="269"/>
      <c r="HOZ364" s="644"/>
      <c r="HPA364" s="271"/>
      <c r="HPB364" s="272"/>
      <c r="HPC364" s="273"/>
      <c r="HPD364" s="274"/>
      <c r="HPE364" s="643"/>
      <c r="HPF364" s="324"/>
      <c r="HPG364" s="366"/>
      <c r="HPH364" s="269"/>
      <c r="HPI364" s="644"/>
      <c r="HPJ364" s="271"/>
      <c r="HPK364" s="272"/>
      <c r="HPL364" s="273"/>
      <c r="HPM364" s="274"/>
      <c r="HPN364" s="643"/>
      <c r="HPO364" s="324"/>
      <c r="HPP364" s="366"/>
      <c r="HPQ364" s="269"/>
      <c r="HPR364" s="644"/>
      <c r="HPS364" s="271"/>
      <c r="HPT364" s="272"/>
      <c r="HPU364" s="273"/>
      <c r="HPV364" s="274"/>
      <c r="HPW364" s="643"/>
      <c r="HPX364" s="324"/>
      <c r="HPY364" s="366"/>
      <c r="HPZ364" s="269"/>
      <c r="HQA364" s="644"/>
      <c r="HQB364" s="271"/>
      <c r="HQC364" s="272"/>
      <c r="HQD364" s="273"/>
      <c r="HQE364" s="274"/>
      <c r="HQF364" s="643"/>
      <c r="HQG364" s="324"/>
      <c r="HQH364" s="366"/>
      <c r="HQI364" s="269"/>
      <c r="HQJ364" s="644"/>
      <c r="HQK364" s="271"/>
      <c r="HQL364" s="272"/>
      <c r="HQM364" s="273"/>
      <c r="HQN364" s="274"/>
      <c r="HQO364" s="643"/>
      <c r="HQP364" s="324"/>
      <c r="HQQ364" s="366"/>
      <c r="HQR364" s="269"/>
      <c r="HQS364" s="644"/>
      <c r="HQT364" s="271"/>
      <c r="HQU364" s="272"/>
      <c r="HQV364" s="273"/>
      <c r="HQW364" s="274"/>
      <c r="HQX364" s="643"/>
      <c r="HQY364" s="324"/>
      <c r="HQZ364" s="366"/>
      <c r="HRA364" s="269"/>
      <c r="HRB364" s="644"/>
      <c r="HRC364" s="271"/>
      <c r="HRD364" s="272"/>
      <c r="HRE364" s="273"/>
      <c r="HRF364" s="274"/>
      <c r="HRG364" s="643"/>
      <c r="HRH364" s="324"/>
      <c r="HRI364" s="366"/>
      <c r="HRJ364" s="269"/>
      <c r="HRK364" s="644"/>
      <c r="HRL364" s="271"/>
      <c r="HRM364" s="272"/>
      <c r="HRN364" s="273"/>
      <c r="HRO364" s="274"/>
      <c r="HRP364" s="643"/>
      <c r="HRQ364" s="324"/>
      <c r="HRR364" s="366"/>
      <c r="HRS364" s="269"/>
      <c r="HRT364" s="644"/>
      <c r="HRU364" s="271"/>
      <c r="HRV364" s="272"/>
      <c r="HRW364" s="273"/>
      <c r="HRX364" s="274"/>
      <c r="HRY364" s="643"/>
      <c r="HRZ364" s="324"/>
      <c r="HSA364" s="366"/>
      <c r="HSB364" s="269"/>
      <c r="HSC364" s="644"/>
      <c r="HSD364" s="271"/>
      <c r="HSE364" s="272"/>
      <c r="HSF364" s="273"/>
      <c r="HSG364" s="274"/>
      <c r="HSH364" s="643"/>
      <c r="HSI364" s="324"/>
      <c r="HSJ364" s="366"/>
      <c r="HSK364" s="269"/>
      <c r="HSL364" s="644"/>
      <c r="HSM364" s="271"/>
      <c r="HSN364" s="272"/>
      <c r="HSO364" s="273"/>
      <c r="HSP364" s="274"/>
      <c r="HSQ364" s="643"/>
      <c r="HSR364" s="324"/>
      <c r="HSS364" s="366"/>
      <c r="HST364" s="269"/>
      <c r="HSU364" s="644"/>
      <c r="HSV364" s="271"/>
      <c r="HSW364" s="272"/>
      <c r="HSX364" s="273"/>
      <c r="HSY364" s="274"/>
      <c r="HSZ364" s="643"/>
      <c r="HTA364" s="324"/>
      <c r="HTB364" s="366"/>
      <c r="HTC364" s="269"/>
      <c r="HTD364" s="644"/>
      <c r="HTE364" s="271"/>
      <c r="HTF364" s="272"/>
      <c r="HTG364" s="273"/>
      <c r="HTH364" s="274"/>
      <c r="HTI364" s="643"/>
      <c r="HTJ364" s="324"/>
      <c r="HTK364" s="366"/>
      <c r="HTL364" s="269"/>
      <c r="HTM364" s="644"/>
      <c r="HTN364" s="271"/>
      <c r="HTO364" s="272"/>
      <c r="HTP364" s="273"/>
      <c r="HTQ364" s="274"/>
      <c r="HTR364" s="643"/>
      <c r="HTS364" s="324"/>
      <c r="HTT364" s="366"/>
      <c r="HTU364" s="269"/>
      <c r="HTV364" s="644"/>
      <c r="HTW364" s="271"/>
      <c r="HTX364" s="272"/>
      <c r="HTY364" s="273"/>
      <c r="HTZ364" s="274"/>
      <c r="HUA364" s="643"/>
      <c r="HUB364" s="324"/>
      <c r="HUC364" s="366"/>
      <c r="HUD364" s="269"/>
      <c r="HUE364" s="644"/>
      <c r="HUF364" s="271"/>
      <c r="HUG364" s="272"/>
      <c r="HUH364" s="273"/>
      <c r="HUI364" s="274"/>
      <c r="HUJ364" s="643"/>
      <c r="HUK364" s="324"/>
      <c r="HUL364" s="366"/>
      <c r="HUM364" s="269"/>
      <c r="HUN364" s="644"/>
      <c r="HUO364" s="271"/>
      <c r="HUP364" s="272"/>
      <c r="HUQ364" s="273"/>
      <c r="HUR364" s="274"/>
      <c r="HUS364" s="643"/>
      <c r="HUT364" s="324"/>
      <c r="HUU364" s="366"/>
      <c r="HUV364" s="269"/>
      <c r="HUW364" s="644"/>
      <c r="HUX364" s="271"/>
      <c r="HUY364" s="272"/>
      <c r="HUZ364" s="273"/>
      <c r="HVA364" s="274"/>
      <c r="HVB364" s="643"/>
      <c r="HVC364" s="324"/>
      <c r="HVD364" s="366"/>
      <c r="HVE364" s="269"/>
      <c r="HVF364" s="644"/>
      <c r="HVG364" s="271"/>
      <c r="HVH364" s="272"/>
      <c r="HVI364" s="273"/>
      <c r="HVJ364" s="274"/>
      <c r="HVK364" s="643"/>
      <c r="HVL364" s="324"/>
      <c r="HVM364" s="366"/>
      <c r="HVN364" s="269"/>
      <c r="HVO364" s="644"/>
      <c r="HVP364" s="271"/>
      <c r="HVQ364" s="272"/>
      <c r="HVR364" s="273"/>
      <c r="HVS364" s="274"/>
      <c r="HVT364" s="643"/>
      <c r="HVU364" s="324"/>
      <c r="HVV364" s="366"/>
      <c r="HVW364" s="269"/>
      <c r="HVX364" s="644"/>
      <c r="HVY364" s="271"/>
      <c r="HVZ364" s="272"/>
      <c r="HWA364" s="273"/>
      <c r="HWB364" s="274"/>
      <c r="HWC364" s="643"/>
      <c r="HWD364" s="324"/>
      <c r="HWE364" s="366"/>
      <c r="HWF364" s="269"/>
      <c r="HWG364" s="644"/>
      <c r="HWH364" s="271"/>
      <c r="HWI364" s="272"/>
      <c r="HWJ364" s="273"/>
      <c r="HWK364" s="274"/>
      <c r="HWL364" s="643"/>
      <c r="HWM364" s="324"/>
      <c r="HWN364" s="366"/>
      <c r="HWO364" s="269"/>
      <c r="HWP364" s="644"/>
      <c r="HWQ364" s="271"/>
      <c r="HWR364" s="272"/>
      <c r="HWS364" s="273"/>
      <c r="HWT364" s="274"/>
      <c r="HWU364" s="643"/>
      <c r="HWV364" s="324"/>
      <c r="HWW364" s="366"/>
      <c r="HWX364" s="269"/>
      <c r="HWY364" s="644"/>
      <c r="HWZ364" s="271"/>
      <c r="HXA364" s="272"/>
      <c r="HXB364" s="273"/>
      <c r="HXC364" s="274"/>
      <c r="HXD364" s="643"/>
      <c r="HXE364" s="324"/>
      <c r="HXF364" s="366"/>
      <c r="HXG364" s="269"/>
      <c r="HXH364" s="644"/>
      <c r="HXI364" s="271"/>
      <c r="HXJ364" s="272"/>
      <c r="HXK364" s="273"/>
      <c r="HXL364" s="274"/>
      <c r="HXM364" s="643"/>
      <c r="HXN364" s="324"/>
      <c r="HXO364" s="366"/>
      <c r="HXP364" s="269"/>
      <c r="HXQ364" s="644"/>
      <c r="HXR364" s="271"/>
      <c r="HXS364" s="272"/>
      <c r="HXT364" s="273"/>
      <c r="HXU364" s="274"/>
      <c r="HXV364" s="643"/>
      <c r="HXW364" s="324"/>
      <c r="HXX364" s="366"/>
      <c r="HXY364" s="269"/>
      <c r="HXZ364" s="644"/>
      <c r="HYA364" s="271"/>
      <c r="HYB364" s="272"/>
      <c r="HYC364" s="273"/>
      <c r="HYD364" s="274"/>
      <c r="HYE364" s="643"/>
      <c r="HYF364" s="324"/>
      <c r="HYG364" s="366"/>
      <c r="HYH364" s="269"/>
      <c r="HYI364" s="644"/>
      <c r="HYJ364" s="271"/>
      <c r="HYK364" s="272"/>
      <c r="HYL364" s="273"/>
      <c r="HYM364" s="274"/>
      <c r="HYN364" s="643"/>
      <c r="HYO364" s="324"/>
      <c r="HYP364" s="366"/>
      <c r="HYQ364" s="269"/>
      <c r="HYR364" s="644"/>
      <c r="HYS364" s="271"/>
      <c r="HYT364" s="272"/>
      <c r="HYU364" s="273"/>
      <c r="HYV364" s="274"/>
      <c r="HYW364" s="643"/>
      <c r="HYX364" s="324"/>
      <c r="HYY364" s="366"/>
      <c r="HYZ364" s="269"/>
      <c r="HZA364" s="644"/>
      <c r="HZB364" s="271"/>
      <c r="HZC364" s="272"/>
      <c r="HZD364" s="273"/>
      <c r="HZE364" s="274"/>
      <c r="HZF364" s="643"/>
      <c r="HZG364" s="324"/>
      <c r="HZH364" s="366"/>
      <c r="HZI364" s="269"/>
      <c r="HZJ364" s="644"/>
      <c r="HZK364" s="271"/>
      <c r="HZL364" s="272"/>
      <c r="HZM364" s="273"/>
      <c r="HZN364" s="274"/>
      <c r="HZO364" s="643"/>
      <c r="HZP364" s="324"/>
      <c r="HZQ364" s="366"/>
      <c r="HZR364" s="269"/>
      <c r="HZS364" s="644"/>
      <c r="HZT364" s="271"/>
      <c r="HZU364" s="272"/>
      <c r="HZV364" s="273"/>
      <c r="HZW364" s="274"/>
      <c r="HZX364" s="643"/>
      <c r="HZY364" s="324"/>
      <c r="HZZ364" s="366"/>
      <c r="IAA364" s="269"/>
      <c r="IAB364" s="644"/>
      <c r="IAC364" s="271"/>
      <c r="IAD364" s="272"/>
      <c r="IAE364" s="273"/>
      <c r="IAF364" s="274"/>
      <c r="IAG364" s="643"/>
      <c r="IAH364" s="324"/>
      <c r="IAI364" s="366"/>
      <c r="IAJ364" s="269"/>
      <c r="IAK364" s="644"/>
      <c r="IAL364" s="271"/>
      <c r="IAM364" s="272"/>
      <c r="IAN364" s="273"/>
      <c r="IAO364" s="274"/>
      <c r="IAP364" s="643"/>
      <c r="IAQ364" s="324"/>
      <c r="IAR364" s="366"/>
      <c r="IAS364" s="269"/>
      <c r="IAT364" s="644"/>
      <c r="IAU364" s="271"/>
      <c r="IAV364" s="272"/>
      <c r="IAW364" s="273"/>
      <c r="IAX364" s="274"/>
      <c r="IAY364" s="643"/>
      <c r="IAZ364" s="324"/>
      <c r="IBA364" s="366"/>
      <c r="IBB364" s="269"/>
      <c r="IBC364" s="644"/>
      <c r="IBD364" s="271"/>
      <c r="IBE364" s="272"/>
      <c r="IBF364" s="273"/>
      <c r="IBG364" s="274"/>
      <c r="IBH364" s="643"/>
      <c r="IBI364" s="324"/>
      <c r="IBJ364" s="366"/>
      <c r="IBK364" s="269"/>
      <c r="IBL364" s="644"/>
      <c r="IBM364" s="271"/>
      <c r="IBN364" s="272"/>
      <c r="IBO364" s="273"/>
      <c r="IBP364" s="274"/>
      <c r="IBQ364" s="643"/>
      <c r="IBR364" s="324"/>
      <c r="IBS364" s="366"/>
      <c r="IBT364" s="269"/>
      <c r="IBU364" s="644"/>
      <c r="IBV364" s="271"/>
      <c r="IBW364" s="272"/>
      <c r="IBX364" s="273"/>
      <c r="IBY364" s="274"/>
      <c r="IBZ364" s="643"/>
      <c r="ICA364" s="324"/>
      <c r="ICB364" s="366"/>
      <c r="ICC364" s="269"/>
      <c r="ICD364" s="644"/>
      <c r="ICE364" s="271"/>
      <c r="ICF364" s="272"/>
      <c r="ICG364" s="273"/>
      <c r="ICH364" s="274"/>
      <c r="ICI364" s="643"/>
      <c r="ICJ364" s="324"/>
      <c r="ICK364" s="366"/>
      <c r="ICL364" s="269"/>
      <c r="ICM364" s="644"/>
      <c r="ICN364" s="271"/>
      <c r="ICO364" s="272"/>
      <c r="ICP364" s="273"/>
      <c r="ICQ364" s="274"/>
      <c r="ICR364" s="643"/>
      <c r="ICS364" s="324"/>
      <c r="ICT364" s="366"/>
      <c r="ICU364" s="269"/>
      <c r="ICV364" s="644"/>
      <c r="ICW364" s="271"/>
      <c r="ICX364" s="272"/>
      <c r="ICY364" s="273"/>
      <c r="ICZ364" s="274"/>
      <c r="IDA364" s="643"/>
      <c r="IDB364" s="324"/>
      <c r="IDC364" s="366"/>
      <c r="IDD364" s="269"/>
      <c r="IDE364" s="644"/>
      <c r="IDF364" s="271"/>
      <c r="IDG364" s="272"/>
      <c r="IDH364" s="273"/>
      <c r="IDI364" s="274"/>
      <c r="IDJ364" s="643"/>
      <c r="IDK364" s="324"/>
      <c r="IDL364" s="366"/>
      <c r="IDM364" s="269"/>
      <c r="IDN364" s="644"/>
      <c r="IDO364" s="271"/>
      <c r="IDP364" s="272"/>
      <c r="IDQ364" s="273"/>
      <c r="IDR364" s="274"/>
      <c r="IDS364" s="643"/>
      <c r="IDT364" s="324"/>
      <c r="IDU364" s="366"/>
      <c r="IDV364" s="269"/>
      <c r="IDW364" s="644"/>
      <c r="IDX364" s="271"/>
      <c r="IDY364" s="272"/>
      <c r="IDZ364" s="273"/>
      <c r="IEA364" s="274"/>
      <c r="IEB364" s="643"/>
      <c r="IEC364" s="324"/>
      <c r="IED364" s="366"/>
      <c r="IEE364" s="269"/>
      <c r="IEF364" s="644"/>
      <c r="IEG364" s="271"/>
      <c r="IEH364" s="272"/>
      <c r="IEI364" s="273"/>
      <c r="IEJ364" s="274"/>
      <c r="IEK364" s="643"/>
      <c r="IEL364" s="324"/>
      <c r="IEM364" s="366"/>
      <c r="IEN364" s="269"/>
      <c r="IEO364" s="644"/>
      <c r="IEP364" s="271"/>
      <c r="IEQ364" s="272"/>
      <c r="IER364" s="273"/>
      <c r="IES364" s="274"/>
      <c r="IET364" s="643"/>
      <c r="IEU364" s="324"/>
      <c r="IEV364" s="366"/>
      <c r="IEW364" s="269"/>
      <c r="IEX364" s="644"/>
      <c r="IEY364" s="271"/>
      <c r="IEZ364" s="272"/>
      <c r="IFA364" s="273"/>
      <c r="IFB364" s="274"/>
      <c r="IFC364" s="643"/>
      <c r="IFD364" s="324"/>
      <c r="IFE364" s="366"/>
      <c r="IFF364" s="269"/>
      <c r="IFG364" s="644"/>
      <c r="IFH364" s="271"/>
      <c r="IFI364" s="272"/>
      <c r="IFJ364" s="273"/>
      <c r="IFK364" s="274"/>
      <c r="IFL364" s="643"/>
      <c r="IFM364" s="324"/>
      <c r="IFN364" s="366"/>
      <c r="IFO364" s="269"/>
      <c r="IFP364" s="644"/>
      <c r="IFQ364" s="271"/>
      <c r="IFR364" s="272"/>
      <c r="IFS364" s="273"/>
      <c r="IFT364" s="274"/>
      <c r="IFU364" s="643"/>
      <c r="IFV364" s="324"/>
      <c r="IFW364" s="366"/>
      <c r="IFX364" s="269"/>
      <c r="IFY364" s="644"/>
      <c r="IFZ364" s="271"/>
      <c r="IGA364" s="272"/>
      <c r="IGB364" s="273"/>
      <c r="IGC364" s="274"/>
      <c r="IGD364" s="643"/>
      <c r="IGE364" s="324"/>
      <c r="IGF364" s="366"/>
      <c r="IGG364" s="269"/>
      <c r="IGH364" s="644"/>
      <c r="IGI364" s="271"/>
      <c r="IGJ364" s="272"/>
      <c r="IGK364" s="273"/>
      <c r="IGL364" s="274"/>
      <c r="IGM364" s="643"/>
      <c r="IGN364" s="324"/>
      <c r="IGO364" s="366"/>
      <c r="IGP364" s="269"/>
      <c r="IGQ364" s="644"/>
      <c r="IGR364" s="271"/>
      <c r="IGS364" s="272"/>
      <c r="IGT364" s="273"/>
      <c r="IGU364" s="274"/>
      <c r="IGV364" s="643"/>
      <c r="IGW364" s="324"/>
      <c r="IGX364" s="366"/>
      <c r="IGY364" s="269"/>
      <c r="IGZ364" s="644"/>
      <c r="IHA364" s="271"/>
      <c r="IHB364" s="272"/>
      <c r="IHC364" s="273"/>
      <c r="IHD364" s="274"/>
      <c r="IHE364" s="643"/>
      <c r="IHF364" s="324"/>
      <c r="IHG364" s="366"/>
      <c r="IHH364" s="269"/>
      <c r="IHI364" s="644"/>
      <c r="IHJ364" s="271"/>
      <c r="IHK364" s="272"/>
      <c r="IHL364" s="273"/>
      <c r="IHM364" s="274"/>
      <c r="IHN364" s="643"/>
      <c r="IHO364" s="324"/>
      <c r="IHP364" s="366"/>
      <c r="IHQ364" s="269"/>
      <c r="IHR364" s="644"/>
      <c r="IHS364" s="271"/>
      <c r="IHT364" s="272"/>
      <c r="IHU364" s="273"/>
      <c r="IHV364" s="274"/>
      <c r="IHW364" s="643"/>
      <c r="IHX364" s="324"/>
      <c r="IHY364" s="366"/>
      <c r="IHZ364" s="269"/>
      <c r="IIA364" s="644"/>
      <c r="IIB364" s="271"/>
      <c r="IIC364" s="272"/>
      <c r="IID364" s="273"/>
      <c r="IIE364" s="274"/>
      <c r="IIF364" s="643"/>
      <c r="IIG364" s="324"/>
      <c r="IIH364" s="366"/>
      <c r="III364" s="269"/>
      <c r="IIJ364" s="644"/>
      <c r="IIK364" s="271"/>
      <c r="IIL364" s="272"/>
      <c r="IIM364" s="273"/>
      <c r="IIN364" s="274"/>
      <c r="IIO364" s="643"/>
      <c r="IIP364" s="324"/>
      <c r="IIQ364" s="366"/>
      <c r="IIR364" s="269"/>
      <c r="IIS364" s="644"/>
      <c r="IIT364" s="271"/>
      <c r="IIU364" s="272"/>
      <c r="IIV364" s="273"/>
      <c r="IIW364" s="274"/>
      <c r="IIX364" s="643"/>
      <c r="IIY364" s="324"/>
      <c r="IIZ364" s="366"/>
      <c r="IJA364" s="269"/>
      <c r="IJB364" s="644"/>
      <c r="IJC364" s="271"/>
      <c r="IJD364" s="272"/>
      <c r="IJE364" s="273"/>
      <c r="IJF364" s="274"/>
      <c r="IJG364" s="643"/>
      <c r="IJH364" s="324"/>
      <c r="IJI364" s="366"/>
      <c r="IJJ364" s="269"/>
      <c r="IJK364" s="644"/>
      <c r="IJL364" s="271"/>
      <c r="IJM364" s="272"/>
      <c r="IJN364" s="273"/>
      <c r="IJO364" s="274"/>
      <c r="IJP364" s="643"/>
      <c r="IJQ364" s="324"/>
      <c r="IJR364" s="366"/>
      <c r="IJS364" s="269"/>
      <c r="IJT364" s="644"/>
      <c r="IJU364" s="271"/>
      <c r="IJV364" s="272"/>
      <c r="IJW364" s="273"/>
      <c r="IJX364" s="274"/>
      <c r="IJY364" s="643"/>
      <c r="IJZ364" s="324"/>
      <c r="IKA364" s="366"/>
      <c r="IKB364" s="269"/>
      <c r="IKC364" s="644"/>
      <c r="IKD364" s="271"/>
      <c r="IKE364" s="272"/>
      <c r="IKF364" s="273"/>
      <c r="IKG364" s="274"/>
      <c r="IKH364" s="643"/>
      <c r="IKI364" s="324"/>
      <c r="IKJ364" s="366"/>
      <c r="IKK364" s="269"/>
      <c r="IKL364" s="644"/>
      <c r="IKM364" s="271"/>
      <c r="IKN364" s="272"/>
      <c r="IKO364" s="273"/>
      <c r="IKP364" s="274"/>
      <c r="IKQ364" s="643"/>
      <c r="IKR364" s="324"/>
      <c r="IKS364" s="366"/>
      <c r="IKT364" s="269"/>
      <c r="IKU364" s="644"/>
      <c r="IKV364" s="271"/>
      <c r="IKW364" s="272"/>
      <c r="IKX364" s="273"/>
      <c r="IKY364" s="274"/>
      <c r="IKZ364" s="643"/>
      <c r="ILA364" s="324"/>
      <c r="ILB364" s="366"/>
      <c r="ILC364" s="269"/>
      <c r="ILD364" s="644"/>
      <c r="ILE364" s="271"/>
      <c r="ILF364" s="272"/>
      <c r="ILG364" s="273"/>
      <c r="ILH364" s="274"/>
      <c r="ILI364" s="643"/>
      <c r="ILJ364" s="324"/>
      <c r="ILK364" s="366"/>
      <c r="ILL364" s="269"/>
      <c r="ILM364" s="644"/>
      <c r="ILN364" s="271"/>
      <c r="ILO364" s="272"/>
      <c r="ILP364" s="273"/>
      <c r="ILQ364" s="274"/>
      <c r="ILR364" s="643"/>
      <c r="ILS364" s="324"/>
      <c r="ILT364" s="366"/>
      <c r="ILU364" s="269"/>
      <c r="ILV364" s="644"/>
      <c r="ILW364" s="271"/>
      <c r="ILX364" s="272"/>
      <c r="ILY364" s="273"/>
      <c r="ILZ364" s="274"/>
      <c r="IMA364" s="643"/>
      <c r="IMB364" s="324"/>
      <c r="IMC364" s="366"/>
      <c r="IMD364" s="269"/>
      <c r="IME364" s="644"/>
      <c r="IMF364" s="271"/>
      <c r="IMG364" s="272"/>
      <c r="IMH364" s="273"/>
      <c r="IMI364" s="274"/>
      <c r="IMJ364" s="643"/>
      <c r="IMK364" s="324"/>
      <c r="IML364" s="366"/>
      <c r="IMM364" s="269"/>
      <c r="IMN364" s="644"/>
      <c r="IMO364" s="271"/>
      <c r="IMP364" s="272"/>
      <c r="IMQ364" s="273"/>
      <c r="IMR364" s="274"/>
      <c r="IMS364" s="643"/>
      <c r="IMT364" s="324"/>
      <c r="IMU364" s="366"/>
      <c r="IMV364" s="269"/>
      <c r="IMW364" s="644"/>
      <c r="IMX364" s="271"/>
      <c r="IMY364" s="272"/>
      <c r="IMZ364" s="273"/>
      <c r="INA364" s="274"/>
      <c r="INB364" s="643"/>
      <c r="INC364" s="324"/>
      <c r="IND364" s="366"/>
      <c r="INE364" s="269"/>
      <c r="INF364" s="644"/>
      <c r="ING364" s="271"/>
      <c r="INH364" s="272"/>
      <c r="INI364" s="273"/>
      <c r="INJ364" s="274"/>
      <c r="INK364" s="643"/>
      <c r="INL364" s="324"/>
      <c r="INM364" s="366"/>
      <c r="INN364" s="269"/>
      <c r="INO364" s="644"/>
      <c r="INP364" s="271"/>
      <c r="INQ364" s="272"/>
      <c r="INR364" s="273"/>
      <c r="INS364" s="274"/>
      <c r="INT364" s="643"/>
      <c r="INU364" s="324"/>
      <c r="INV364" s="366"/>
      <c r="INW364" s="269"/>
      <c r="INX364" s="644"/>
      <c r="INY364" s="271"/>
      <c r="INZ364" s="272"/>
      <c r="IOA364" s="273"/>
      <c r="IOB364" s="274"/>
      <c r="IOC364" s="643"/>
      <c r="IOD364" s="324"/>
      <c r="IOE364" s="366"/>
      <c r="IOF364" s="269"/>
      <c r="IOG364" s="644"/>
      <c r="IOH364" s="271"/>
      <c r="IOI364" s="272"/>
      <c r="IOJ364" s="273"/>
      <c r="IOK364" s="274"/>
      <c r="IOL364" s="643"/>
      <c r="IOM364" s="324"/>
      <c r="ION364" s="366"/>
      <c r="IOO364" s="269"/>
      <c r="IOP364" s="644"/>
      <c r="IOQ364" s="271"/>
      <c r="IOR364" s="272"/>
      <c r="IOS364" s="273"/>
      <c r="IOT364" s="274"/>
      <c r="IOU364" s="643"/>
      <c r="IOV364" s="324"/>
      <c r="IOW364" s="366"/>
      <c r="IOX364" s="269"/>
      <c r="IOY364" s="644"/>
      <c r="IOZ364" s="271"/>
      <c r="IPA364" s="272"/>
      <c r="IPB364" s="273"/>
      <c r="IPC364" s="274"/>
      <c r="IPD364" s="643"/>
      <c r="IPE364" s="324"/>
      <c r="IPF364" s="366"/>
      <c r="IPG364" s="269"/>
      <c r="IPH364" s="644"/>
      <c r="IPI364" s="271"/>
      <c r="IPJ364" s="272"/>
      <c r="IPK364" s="273"/>
      <c r="IPL364" s="274"/>
      <c r="IPM364" s="643"/>
      <c r="IPN364" s="324"/>
      <c r="IPO364" s="366"/>
      <c r="IPP364" s="269"/>
      <c r="IPQ364" s="644"/>
      <c r="IPR364" s="271"/>
      <c r="IPS364" s="272"/>
      <c r="IPT364" s="273"/>
      <c r="IPU364" s="274"/>
      <c r="IPV364" s="643"/>
      <c r="IPW364" s="324"/>
      <c r="IPX364" s="366"/>
      <c r="IPY364" s="269"/>
      <c r="IPZ364" s="644"/>
      <c r="IQA364" s="271"/>
      <c r="IQB364" s="272"/>
      <c r="IQC364" s="273"/>
      <c r="IQD364" s="274"/>
      <c r="IQE364" s="643"/>
      <c r="IQF364" s="324"/>
      <c r="IQG364" s="366"/>
      <c r="IQH364" s="269"/>
      <c r="IQI364" s="644"/>
      <c r="IQJ364" s="271"/>
      <c r="IQK364" s="272"/>
      <c r="IQL364" s="273"/>
      <c r="IQM364" s="274"/>
      <c r="IQN364" s="643"/>
      <c r="IQO364" s="324"/>
      <c r="IQP364" s="366"/>
      <c r="IQQ364" s="269"/>
      <c r="IQR364" s="644"/>
      <c r="IQS364" s="271"/>
      <c r="IQT364" s="272"/>
      <c r="IQU364" s="273"/>
      <c r="IQV364" s="274"/>
      <c r="IQW364" s="643"/>
      <c r="IQX364" s="324"/>
      <c r="IQY364" s="366"/>
      <c r="IQZ364" s="269"/>
      <c r="IRA364" s="644"/>
      <c r="IRB364" s="271"/>
      <c r="IRC364" s="272"/>
      <c r="IRD364" s="273"/>
      <c r="IRE364" s="274"/>
      <c r="IRF364" s="643"/>
      <c r="IRG364" s="324"/>
      <c r="IRH364" s="366"/>
      <c r="IRI364" s="269"/>
      <c r="IRJ364" s="644"/>
      <c r="IRK364" s="271"/>
      <c r="IRL364" s="272"/>
      <c r="IRM364" s="273"/>
      <c r="IRN364" s="274"/>
      <c r="IRO364" s="643"/>
      <c r="IRP364" s="324"/>
      <c r="IRQ364" s="366"/>
      <c r="IRR364" s="269"/>
      <c r="IRS364" s="644"/>
      <c r="IRT364" s="271"/>
      <c r="IRU364" s="272"/>
      <c r="IRV364" s="273"/>
      <c r="IRW364" s="274"/>
      <c r="IRX364" s="643"/>
      <c r="IRY364" s="324"/>
      <c r="IRZ364" s="366"/>
      <c r="ISA364" s="269"/>
      <c r="ISB364" s="644"/>
      <c r="ISC364" s="271"/>
      <c r="ISD364" s="272"/>
      <c r="ISE364" s="273"/>
      <c r="ISF364" s="274"/>
      <c r="ISG364" s="643"/>
      <c r="ISH364" s="324"/>
      <c r="ISI364" s="366"/>
      <c r="ISJ364" s="269"/>
      <c r="ISK364" s="644"/>
      <c r="ISL364" s="271"/>
      <c r="ISM364" s="272"/>
      <c r="ISN364" s="273"/>
      <c r="ISO364" s="274"/>
      <c r="ISP364" s="643"/>
      <c r="ISQ364" s="324"/>
      <c r="ISR364" s="366"/>
      <c r="ISS364" s="269"/>
      <c r="IST364" s="644"/>
      <c r="ISU364" s="271"/>
      <c r="ISV364" s="272"/>
      <c r="ISW364" s="273"/>
      <c r="ISX364" s="274"/>
      <c r="ISY364" s="643"/>
      <c r="ISZ364" s="324"/>
      <c r="ITA364" s="366"/>
      <c r="ITB364" s="269"/>
      <c r="ITC364" s="644"/>
      <c r="ITD364" s="271"/>
      <c r="ITE364" s="272"/>
      <c r="ITF364" s="273"/>
      <c r="ITG364" s="274"/>
      <c r="ITH364" s="643"/>
      <c r="ITI364" s="324"/>
      <c r="ITJ364" s="366"/>
      <c r="ITK364" s="269"/>
      <c r="ITL364" s="644"/>
      <c r="ITM364" s="271"/>
      <c r="ITN364" s="272"/>
      <c r="ITO364" s="273"/>
      <c r="ITP364" s="274"/>
      <c r="ITQ364" s="643"/>
      <c r="ITR364" s="324"/>
      <c r="ITS364" s="366"/>
      <c r="ITT364" s="269"/>
      <c r="ITU364" s="644"/>
      <c r="ITV364" s="271"/>
      <c r="ITW364" s="272"/>
      <c r="ITX364" s="273"/>
      <c r="ITY364" s="274"/>
      <c r="ITZ364" s="643"/>
      <c r="IUA364" s="324"/>
      <c r="IUB364" s="366"/>
      <c r="IUC364" s="269"/>
      <c r="IUD364" s="644"/>
      <c r="IUE364" s="271"/>
      <c r="IUF364" s="272"/>
      <c r="IUG364" s="273"/>
      <c r="IUH364" s="274"/>
      <c r="IUI364" s="643"/>
      <c r="IUJ364" s="324"/>
      <c r="IUK364" s="366"/>
      <c r="IUL364" s="269"/>
      <c r="IUM364" s="644"/>
      <c r="IUN364" s="271"/>
      <c r="IUO364" s="272"/>
      <c r="IUP364" s="273"/>
      <c r="IUQ364" s="274"/>
      <c r="IUR364" s="643"/>
      <c r="IUS364" s="324"/>
      <c r="IUT364" s="366"/>
      <c r="IUU364" s="269"/>
      <c r="IUV364" s="644"/>
      <c r="IUW364" s="271"/>
      <c r="IUX364" s="272"/>
      <c r="IUY364" s="273"/>
      <c r="IUZ364" s="274"/>
      <c r="IVA364" s="643"/>
      <c r="IVB364" s="324"/>
      <c r="IVC364" s="366"/>
      <c r="IVD364" s="269"/>
      <c r="IVE364" s="644"/>
      <c r="IVF364" s="271"/>
      <c r="IVG364" s="272"/>
      <c r="IVH364" s="273"/>
      <c r="IVI364" s="274"/>
      <c r="IVJ364" s="643"/>
      <c r="IVK364" s="324"/>
      <c r="IVL364" s="366"/>
      <c r="IVM364" s="269"/>
      <c r="IVN364" s="644"/>
      <c r="IVO364" s="271"/>
      <c r="IVP364" s="272"/>
      <c r="IVQ364" s="273"/>
      <c r="IVR364" s="274"/>
      <c r="IVS364" s="643"/>
      <c r="IVT364" s="324"/>
      <c r="IVU364" s="366"/>
      <c r="IVV364" s="269"/>
      <c r="IVW364" s="644"/>
      <c r="IVX364" s="271"/>
      <c r="IVY364" s="272"/>
      <c r="IVZ364" s="273"/>
      <c r="IWA364" s="274"/>
      <c r="IWB364" s="643"/>
      <c r="IWC364" s="324"/>
      <c r="IWD364" s="366"/>
      <c r="IWE364" s="269"/>
      <c r="IWF364" s="644"/>
      <c r="IWG364" s="271"/>
      <c r="IWH364" s="272"/>
      <c r="IWI364" s="273"/>
      <c r="IWJ364" s="274"/>
      <c r="IWK364" s="643"/>
      <c r="IWL364" s="324"/>
      <c r="IWM364" s="366"/>
      <c r="IWN364" s="269"/>
      <c r="IWO364" s="644"/>
      <c r="IWP364" s="271"/>
      <c r="IWQ364" s="272"/>
      <c r="IWR364" s="273"/>
      <c r="IWS364" s="274"/>
      <c r="IWT364" s="643"/>
      <c r="IWU364" s="324"/>
      <c r="IWV364" s="366"/>
      <c r="IWW364" s="269"/>
      <c r="IWX364" s="644"/>
      <c r="IWY364" s="271"/>
      <c r="IWZ364" s="272"/>
      <c r="IXA364" s="273"/>
      <c r="IXB364" s="274"/>
      <c r="IXC364" s="643"/>
      <c r="IXD364" s="324"/>
      <c r="IXE364" s="366"/>
      <c r="IXF364" s="269"/>
      <c r="IXG364" s="644"/>
      <c r="IXH364" s="271"/>
      <c r="IXI364" s="272"/>
      <c r="IXJ364" s="273"/>
      <c r="IXK364" s="274"/>
      <c r="IXL364" s="643"/>
      <c r="IXM364" s="324"/>
      <c r="IXN364" s="366"/>
      <c r="IXO364" s="269"/>
      <c r="IXP364" s="644"/>
      <c r="IXQ364" s="271"/>
      <c r="IXR364" s="272"/>
      <c r="IXS364" s="273"/>
      <c r="IXT364" s="274"/>
      <c r="IXU364" s="643"/>
      <c r="IXV364" s="324"/>
      <c r="IXW364" s="366"/>
      <c r="IXX364" s="269"/>
      <c r="IXY364" s="644"/>
      <c r="IXZ364" s="271"/>
      <c r="IYA364" s="272"/>
      <c r="IYB364" s="273"/>
      <c r="IYC364" s="274"/>
      <c r="IYD364" s="643"/>
      <c r="IYE364" s="324"/>
      <c r="IYF364" s="366"/>
      <c r="IYG364" s="269"/>
      <c r="IYH364" s="644"/>
      <c r="IYI364" s="271"/>
      <c r="IYJ364" s="272"/>
      <c r="IYK364" s="273"/>
      <c r="IYL364" s="274"/>
      <c r="IYM364" s="643"/>
      <c r="IYN364" s="324"/>
      <c r="IYO364" s="366"/>
      <c r="IYP364" s="269"/>
      <c r="IYQ364" s="644"/>
      <c r="IYR364" s="271"/>
      <c r="IYS364" s="272"/>
      <c r="IYT364" s="273"/>
      <c r="IYU364" s="274"/>
      <c r="IYV364" s="643"/>
      <c r="IYW364" s="324"/>
      <c r="IYX364" s="366"/>
      <c r="IYY364" s="269"/>
      <c r="IYZ364" s="644"/>
      <c r="IZA364" s="271"/>
      <c r="IZB364" s="272"/>
      <c r="IZC364" s="273"/>
      <c r="IZD364" s="274"/>
      <c r="IZE364" s="643"/>
      <c r="IZF364" s="324"/>
      <c r="IZG364" s="366"/>
      <c r="IZH364" s="269"/>
      <c r="IZI364" s="644"/>
      <c r="IZJ364" s="271"/>
      <c r="IZK364" s="272"/>
      <c r="IZL364" s="273"/>
      <c r="IZM364" s="274"/>
      <c r="IZN364" s="643"/>
      <c r="IZO364" s="324"/>
      <c r="IZP364" s="366"/>
      <c r="IZQ364" s="269"/>
      <c r="IZR364" s="644"/>
      <c r="IZS364" s="271"/>
      <c r="IZT364" s="272"/>
      <c r="IZU364" s="273"/>
      <c r="IZV364" s="274"/>
      <c r="IZW364" s="643"/>
      <c r="IZX364" s="324"/>
      <c r="IZY364" s="366"/>
      <c r="IZZ364" s="269"/>
      <c r="JAA364" s="644"/>
      <c r="JAB364" s="271"/>
      <c r="JAC364" s="272"/>
      <c r="JAD364" s="273"/>
      <c r="JAE364" s="274"/>
      <c r="JAF364" s="643"/>
      <c r="JAG364" s="324"/>
      <c r="JAH364" s="366"/>
      <c r="JAI364" s="269"/>
      <c r="JAJ364" s="644"/>
      <c r="JAK364" s="271"/>
      <c r="JAL364" s="272"/>
      <c r="JAM364" s="273"/>
      <c r="JAN364" s="274"/>
      <c r="JAO364" s="643"/>
      <c r="JAP364" s="324"/>
      <c r="JAQ364" s="366"/>
      <c r="JAR364" s="269"/>
      <c r="JAS364" s="644"/>
      <c r="JAT364" s="271"/>
      <c r="JAU364" s="272"/>
      <c r="JAV364" s="273"/>
      <c r="JAW364" s="274"/>
      <c r="JAX364" s="643"/>
      <c r="JAY364" s="324"/>
      <c r="JAZ364" s="366"/>
      <c r="JBA364" s="269"/>
      <c r="JBB364" s="644"/>
      <c r="JBC364" s="271"/>
      <c r="JBD364" s="272"/>
      <c r="JBE364" s="273"/>
      <c r="JBF364" s="274"/>
      <c r="JBG364" s="643"/>
      <c r="JBH364" s="324"/>
      <c r="JBI364" s="366"/>
      <c r="JBJ364" s="269"/>
      <c r="JBK364" s="644"/>
      <c r="JBL364" s="271"/>
      <c r="JBM364" s="272"/>
      <c r="JBN364" s="273"/>
      <c r="JBO364" s="274"/>
      <c r="JBP364" s="643"/>
      <c r="JBQ364" s="324"/>
      <c r="JBR364" s="366"/>
      <c r="JBS364" s="269"/>
      <c r="JBT364" s="644"/>
      <c r="JBU364" s="271"/>
      <c r="JBV364" s="272"/>
      <c r="JBW364" s="273"/>
      <c r="JBX364" s="274"/>
      <c r="JBY364" s="643"/>
      <c r="JBZ364" s="324"/>
      <c r="JCA364" s="366"/>
      <c r="JCB364" s="269"/>
      <c r="JCC364" s="644"/>
      <c r="JCD364" s="271"/>
      <c r="JCE364" s="272"/>
      <c r="JCF364" s="273"/>
      <c r="JCG364" s="274"/>
      <c r="JCH364" s="643"/>
      <c r="JCI364" s="324"/>
      <c r="JCJ364" s="366"/>
      <c r="JCK364" s="269"/>
      <c r="JCL364" s="644"/>
      <c r="JCM364" s="271"/>
      <c r="JCN364" s="272"/>
      <c r="JCO364" s="273"/>
      <c r="JCP364" s="274"/>
      <c r="JCQ364" s="643"/>
      <c r="JCR364" s="324"/>
      <c r="JCS364" s="366"/>
      <c r="JCT364" s="269"/>
      <c r="JCU364" s="644"/>
      <c r="JCV364" s="271"/>
      <c r="JCW364" s="272"/>
      <c r="JCX364" s="273"/>
      <c r="JCY364" s="274"/>
      <c r="JCZ364" s="643"/>
      <c r="JDA364" s="324"/>
      <c r="JDB364" s="366"/>
      <c r="JDC364" s="269"/>
      <c r="JDD364" s="644"/>
      <c r="JDE364" s="271"/>
      <c r="JDF364" s="272"/>
      <c r="JDG364" s="273"/>
      <c r="JDH364" s="274"/>
      <c r="JDI364" s="643"/>
      <c r="JDJ364" s="324"/>
      <c r="JDK364" s="366"/>
      <c r="JDL364" s="269"/>
      <c r="JDM364" s="644"/>
      <c r="JDN364" s="271"/>
      <c r="JDO364" s="272"/>
      <c r="JDP364" s="273"/>
      <c r="JDQ364" s="274"/>
      <c r="JDR364" s="643"/>
      <c r="JDS364" s="324"/>
      <c r="JDT364" s="366"/>
      <c r="JDU364" s="269"/>
      <c r="JDV364" s="644"/>
      <c r="JDW364" s="271"/>
      <c r="JDX364" s="272"/>
      <c r="JDY364" s="273"/>
      <c r="JDZ364" s="274"/>
      <c r="JEA364" s="643"/>
      <c r="JEB364" s="324"/>
      <c r="JEC364" s="366"/>
      <c r="JED364" s="269"/>
      <c r="JEE364" s="644"/>
      <c r="JEF364" s="271"/>
      <c r="JEG364" s="272"/>
      <c r="JEH364" s="273"/>
      <c r="JEI364" s="274"/>
      <c r="JEJ364" s="643"/>
      <c r="JEK364" s="324"/>
      <c r="JEL364" s="366"/>
      <c r="JEM364" s="269"/>
      <c r="JEN364" s="644"/>
      <c r="JEO364" s="271"/>
      <c r="JEP364" s="272"/>
      <c r="JEQ364" s="273"/>
      <c r="JER364" s="274"/>
      <c r="JES364" s="643"/>
      <c r="JET364" s="324"/>
      <c r="JEU364" s="366"/>
      <c r="JEV364" s="269"/>
      <c r="JEW364" s="644"/>
      <c r="JEX364" s="271"/>
      <c r="JEY364" s="272"/>
      <c r="JEZ364" s="273"/>
      <c r="JFA364" s="274"/>
      <c r="JFB364" s="643"/>
      <c r="JFC364" s="324"/>
      <c r="JFD364" s="366"/>
      <c r="JFE364" s="269"/>
      <c r="JFF364" s="644"/>
      <c r="JFG364" s="271"/>
      <c r="JFH364" s="272"/>
      <c r="JFI364" s="273"/>
      <c r="JFJ364" s="274"/>
      <c r="JFK364" s="643"/>
      <c r="JFL364" s="324"/>
      <c r="JFM364" s="366"/>
      <c r="JFN364" s="269"/>
      <c r="JFO364" s="644"/>
      <c r="JFP364" s="271"/>
      <c r="JFQ364" s="272"/>
      <c r="JFR364" s="273"/>
      <c r="JFS364" s="274"/>
      <c r="JFT364" s="643"/>
      <c r="JFU364" s="324"/>
      <c r="JFV364" s="366"/>
      <c r="JFW364" s="269"/>
      <c r="JFX364" s="644"/>
      <c r="JFY364" s="271"/>
      <c r="JFZ364" s="272"/>
      <c r="JGA364" s="273"/>
      <c r="JGB364" s="274"/>
      <c r="JGC364" s="643"/>
      <c r="JGD364" s="324"/>
      <c r="JGE364" s="366"/>
      <c r="JGF364" s="269"/>
      <c r="JGG364" s="644"/>
      <c r="JGH364" s="271"/>
      <c r="JGI364" s="272"/>
      <c r="JGJ364" s="273"/>
      <c r="JGK364" s="274"/>
      <c r="JGL364" s="643"/>
      <c r="JGM364" s="324"/>
      <c r="JGN364" s="366"/>
      <c r="JGO364" s="269"/>
      <c r="JGP364" s="644"/>
      <c r="JGQ364" s="271"/>
      <c r="JGR364" s="272"/>
      <c r="JGS364" s="273"/>
      <c r="JGT364" s="274"/>
      <c r="JGU364" s="643"/>
      <c r="JGV364" s="324"/>
      <c r="JGW364" s="366"/>
      <c r="JGX364" s="269"/>
      <c r="JGY364" s="644"/>
      <c r="JGZ364" s="271"/>
      <c r="JHA364" s="272"/>
      <c r="JHB364" s="273"/>
      <c r="JHC364" s="274"/>
      <c r="JHD364" s="643"/>
      <c r="JHE364" s="324"/>
      <c r="JHF364" s="366"/>
      <c r="JHG364" s="269"/>
      <c r="JHH364" s="644"/>
      <c r="JHI364" s="271"/>
      <c r="JHJ364" s="272"/>
      <c r="JHK364" s="273"/>
      <c r="JHL364" s="274"/>
      <c r="JHM364" s="643"/>
      <c r="JHN364" s="324"/>
      <c r="JHO364" s="366"/>
      <c r="JHP364" s="269"/>
      <c r="JHQ364" s="644"/>
      <c r="JHR364" s="271"/>
      <c r="JHS364" s="272"/>
      <c r="JHT364" s="273"/>
      <c r="JHU364" s="274"/>
      <c r="JHV364" s="643"/>
      <c r="JHW364" s="324"/>
      <c r="JHX364" s="366"/>
      <c r="JHY364" s="269"/>
      <c r="JHZ364" s="644"/>
      <c r="JIA364" s="271"/>
      <c r="JIB364" s="272"/>
      <c r="JIC364" s="273"/>
      <c r="JID364" s="274"/>
      <c r="JIE364" s="643"/>
      <c r="JIF364" s="324"/>
      <c r="JIG364" s="366"/>
      <c r="JIH364" s="269"/>
      <c r="JII364" s="644"/>
      <c r="JIJ364" s="271"/>
      <c r="JIK364" s="272"/>
      <c r="JIL364" s="273"/>
      <c r="JIM364" s="274"/>
      <c r="JIN364" s="643"/>
      <c r="JIO364" s="324"/>
      <c r="JIP364" s="366"/>
      <c r="JIQ364" s="269"/>
      <c r="JIR364" s="644"/>
      <c r="JIS364" s="271"/>
      <c r="JIT364" s="272"/>
      <c r="JIU364" s="273"/>
      <c r="JIV364" s="274"/>
      <c r="JIW364" s="643"/>
      <c r="JIX364" s="324"/>
      <c r="JIY364" s="366"/>
      <c r="JIZ364" s="269"/>
      <c r="JJA364" s="644"/>
      <c r="JJB364" s="271"/>
      <c r="JJC364" s="272"/>
      <c r="JJD364" s="273"/>
      <c r="JJE364" s="274"/>
      <c r="JJF364" s="643"/>
      <c r="JJG364" s="324"/>
      <c r="JJH364" s="366"/>
      <c r="JJI364" s="269"/>
      <c r="JJJ364" s="644"/>
      <c r="JJK364" s="271"/>
      <c r="JJL364" s="272"/>
      <c r="JJM364" s="273"/>
      <c r="JJN364" s="274"/>
      <c r="JJO364" s="643"/>
      <c r="JJP364" s="324"/>
      <c r="JJQ364" s="366"/>
      <c r="JJR364" s="269"/>
      <c r="JJS364" s="644"/>
      <c r="JJT364" s="271"/>
      <c r="JJU364" s="272"/>
      <c r="JJV364" s="273"/>
      <c r="JJW364" s="274"/>
      <c r="JJX364" s="643"/>
      <c r="JJY364" s="324"/>
      <c r="JJZ364" s="366"/>
      <c r="JKA364" s="269"/>
      <c r="JKB364" s="644"/>
      <c r="JKC364" s="271"/>
      <c r="JKD364" s="272"/>
      <c r="JKE364" s="273"/>
      <c r="JKF364" s="274"/>
      <c r="JKG364" s="643"/>
      <c r="JKH364" s="324"/>
      <c r="JKI364" s="366"/>
      <c r="JKJ364" s="269"/>
      <c r="JKK364" s="644"/>
      <c r="JKL364" s="271"/>
      <c r="JKM364" s="272"/>
      <c r="JKN364" s="273"/>
      <c r="JKO364" s="274"/>
      <c r="JKP364" s="643"/>
      <c r="JKQ364" s="324"/>
      <c r="JKR364" s="366"/>
      <c r="JKS364" s="269"/>
      <c r="JKT364" s="644"/>
      <c r="JKU364" s="271"/>
      <c r="JKV364" s="272"/>
      <c r="JKW364" s="273"/>
      <c r="JKX364" s="274"/>
      <c r="JKY364" s="643"/>
      <c r="JKZ364" s="324"/>
      <c r="JLA364" s="366"/>
      <c r="JLB364" s="269"/>
      <c r="JLC364" s="644"/>
      <c r="JLD364" s="271"/>
      <c r="JLE364" s="272"/>
      <c r="JLF364" s="273"/>
      <c r="JLG364" s="274"/>
      <c r="JLH364" s="643"/>
      <c r="JLI364" s="324"/>
      <c r="JLJ364" s="366"/>
      <c r="JLK364" s="269"/>
      <c r="JLL364" s="644"/>
      <c r="JLM364" s="271"/>
      <c r="JLN364" s="272"/>
      <c r="JLO364" s="273"/>
      <c r="JLP364" s="274"/>
      <c r="JLQ364" s="643"/>
      <c r="JLR364" s="324"/>
      <c r="JLS364" s="366"/>
      <c r="JLT364" s="269"/>
      <c r="JLU364" s="644"/>
      <c r="JLV364" s="271"/>
      <c r="JLW364" s="272"/>
      <c r="JLX364" s="273"/>
      <c r="JLY364" s="274"/>
      <c r="JLZ364" s="643"/>
      <c r="JMA364" s="324"/>
      <c r="JMB364" s="366"/>
      <c r="JMC364" s="269"/>
      <c r="JMD364" s="644"/>
      <c r="JME364" s="271"/>
      <c r="JMF364" s="272"/>
      <c r="JMG364" s="273"/>
      <c r="JMH364" s="274"/>
      <c r="JMI364" s="643"/>
      <c r="JMJ364" s="324"/>
      <c r="JMK364" s="366"/>
      <c r="JML364" s="269"/>
      <c r="JMM364" s="644"/>
      <c r="JMN364" s="271"/>
      <c r="JMO364" s="272"/>
      <c r="JMP364" s="273"/>
      <c r="JMQ364" s="274"/>
      <c r="JMR364" s="643"/>
      <c r="JMS364" s="324"/>
      <c r="JMT364" s="366"/>
      <c r="JMU364" s="269"/>
      <c r="JMV364" s="644"/>
      <c r="JMW364" s="271"/>
      <c r="JMX364" s="272"/>
      <c r="JMY364" s="273"/>
      <c r="JMZ364" s="274"/>
      <c r="JNA364" s="643"/>
      <c r="JNB364" s="324"/>
      <c r="JNC364" s="366"/>
      <c r="JND364" s="269"/>
      <c r="JNE364" s="644"/>
      <c r="JNF364" s="271"/>
      <c r="JNG364" s="272"/>
      <c r="JNH364" s="273"/>
      <c r="JNI364" s="274"/>
      <c r="JNJ364" s="643"/>
      <c r="JNK364" s="324"/>
      <c r="JNL364" s="366"/>
      <c r="JNM364" s="269"/>
      <c r="JNN364" s="644"/>
      <c r="JNO364" s="271"/>
      <c r="JNP364" s="272"/>
      <c r="JNQ364" s="273"/>
      <c r="JNR364" s="274"/>
      <c r="JNS364" s="643"/>
      <c r="JNT364" s="324"/>
      <c r="JNU364" s="366"/>
      <c r="JNV364" s="269"/>
      <c r="JNW364" s="644"/>
      <c r="JNX364" s="271"/>
      <c r="JNY364" s="272"/>
      <c r="JNZ364" s="273"/>
      <c r="JOA364" s="274"/>
      <c r="JOB364" s="643"/>
      <c r="JOC364" s="324"/>
      <c r="JOD364" s="366"/>
      <c r="JOE364" s="269"/>
      <c r="JOF364" s="644"/>
      <c r="JOG364" s="271"/>
      <c r="JOH364" s="272"/>
      <c r="JOI364" s="273"/>
      <c r="JOJ364" s="274"/>
      <c r="JOK364" s="643"/>
      <c r="JOL364" s="324"/>
      <c r="JOM364" s="366"/>
      <c r="JON364" s="269"/>
      <c r="JOO364" s="644"/>
      <c r="JOP364" s="271"/>
      <c r="JOQ364" s="272"/>
      <c r="JOR364" s="273"/>
      <c r="JOS364" s="274"/>
      <c r="JOT364" s="643"/>
      <c r="JOU364" s="324"/>
      <c r="JOV364" s="366"/>
      <c r="JOW364" s="269"/>
      <c r="JOX364" s="644"/>
      <c r="JOY364" s="271"/>
      <c r="JOZ364" s="272"/>
      <c r="JPA364" s="273"/>
      <c r="JPB364" s="274"/>
      <c r="JPC364" s="643"/>
      <c r="JPD364" s="324"/>
      <c r="JPE364" s="366"/>
      <c r="JPF364" s="269"/>
      <c r="JPG364" s="644"/>
      <c r="JPH364" s="271"/>
      <c r="JPI364" s="272"/>
      <c r="JPJ364" s="273"/>
      <c r="JPK364" s="274"/>
      <c r="JPL364" s="643"/>
      <c r="JPM364" s="324"/>
      <c r="JPN364" s="366"/>
      <c r="JPO364" s="269"/>
      <c r="JPP364" s="644"/>
      <c r="JPQ364" s="271"/>
      <c r="JPR364" s="272"/>
      <c r="JPS364" s="273"/>
      <c r="JPT364" s="274"/>
      <c r="JPU364" s="643"/>
      <c r="JPV364" s="324"/>
      <c r="JPW364" s="366"/>
      <c r="JPX364" s="269"/>
      <c r="JPY364" s="644"/>
      <c r="JPZ364" s="271"/>
      <c r="JQA364" s="272"/>
      <c r="JQB364" s="273"/>
      <c r="JQC364" s="274"/>
      <c r="JQD364" s="643"/>
      <c r="JQE364" s="324"/>
      <c r="JQF364" s="366"/>
      <c r="JQG364" s="269"/>
      <c r="JQH364" s="644"/>
      <c r="JQI364" s="271"/>
      <c r="JQJ364" s="272"/>
      <c r="JQK364" s="273"/>
      <c r="JQL364" s="274"/>
      <c r="JQM364" s="643"/>
      <c r="JQN364" s="324"/>
      <c r="JQO364" s="366"/>
      <c r="JQP364" s="269"/>
      <c r="JQQ364" s="644"/>
      <c r="JQR364" s="271"/>
      <c r="JQS364" s="272"/>
      <c r="JQT364" s="273"/>
      <c r="JQU364" s="274"/>
      <c r="JQV364" s="643"/>
      <c r="JQW364" s="324"/>
      <c r="JQX364" s="366"/>
      <c r="JQY364" s="269"/>
      <c r="JQZ364" s="644"/>
      <c r="JRA364" s="271"/>
      <c r="JRB364" s="272"/>
      <c r="JRC364" s="273"/>
      <c r="JRD364" s="274"/>
      <c r="JRE364" s="643"/>
      <c r="JRF364" s="324"/>
      <c r="JRG364" s="366"/>
      <c r="JRH364" s="269"/>
      <c r="JRI364" s="644"/>
      <c r="JRJ364" s="271"/>
      <c r="JRK364" s="272"/>
      <c r="JRL364" s="273"/>
      <c r="JRM364" s="274"/>
      <c r="JRN364" s="643"/>
      <c r="JRO364" s="324"/>
      <c r="JRP364" s="366"/>
      <c r="JRQ364" s="269"/>
      <c r="JRR364" s="644"/>
      <c r="JRS364" s="271"/>
      <c r="JRT364" s="272"/>
      <c r="JRU364" s="273"/>
      <c r="JRV364" s="274"/>
      <c r="JRW364" s="643"/>
      <c r="JRX364" s="324"/>
      <c r="JRY364" s="366"/>
      <c r="JRZ364" s="269"/>
      <c r="JSA364" s="644"/>
      <c r="JSB364" s="271"/>
      <c r="JSC364" s="272"/>
      <c r="JSD364" s="273"/>
      <c r="JSE364" s="274"/>
      <c r="JSF364" s="643"/>
      <c r="JSG364" s="324"/>
      <c r="JSH364" s="366"/>
      <c r="JSI364" s="269"/>
      <c r="JSJ364" s="644"/>
      <c r="JSK364" s="271"/>
      <c r="JSL364" s="272"/>
      <c r="JSM364" s="273"/>
      <c r="JSN364" s="274"/>
      <c r="JSO364" s="643"/>
      <c r="JSP364" s="324"/>
      <c r="JSQ364" s="366"/>
      <c r="JSR364" s="269"/>
      <c r="JSS364" s="644"/>
      <c r="JST364" s="271"/>
      <c r="JSU364" s="272"/>
      <c r="JSV364" s="273"/>
      <c r="JSW364" s="274"/>
      <c r="JSX364" s="643"/>
      <c r="JSY364" s="324"/>
      <c r="JSZ364" s="366"/>
      <c r="JTA364" s="269"/>
      <c r="JTB364" s="644"/>
      <c r="JTC364" s="271"/>
      <c r="JTD364" s="272"/>
      <c r="JTE364" s="273"/>
      <c r="JTF364" s="274"/>
      <c r="JTG364" s="643"/>
      <c r="JTH364" s="324"/>
      <c r="JTI364" s="366"/>
      <c r="JTJ364" s="269"/>
      <c r="JTK364" s="644"/>
      <c r="JTL364" s="271"/>
      <c r="JTM364" s="272"/>
      <c r="JTN364" s="273"/>
      <c r="JTO364" s="274"/>
      <c r="JTP364" s="643"/>
      <c r="JTQ364" s="324"/>
      <c r="JTR364" s="366"/>
      <c r="JTS364" s="269"/>
      <c r="JTT364" s="644"/>
      <c r="JTU364" s="271"/>
      <c r="JTV364" s="272"/>
      <c r="JTW364" s="273"/>
      <c r="JTX364" s="274"/>
      <c r="JTY364" s="643"/>
      <c r="JTZ364" s="324"/>
      <c r="JUA364" s="366"/>
      <c r="JUB364" s="269"/>
      <c r="JUC364" s="644"/>
      <c r="JUD364" s="271"/>
      <c r="JUE364" s="272"/>
      <c r="JUF364" s="273"/>
      <c r="JUG364" s="274"/>
      <c r="JUH364" s="643"/>
      <c r="JUI364" s="324"/>
      <c r="JUJ364" s="366"/>
      <c r="JUK364" s="269"/>
      <c r="JUL364" s="644"/>
      <c r="JUM364" s="271"/>
      <c r="JUN364" s="272"/>
      <c r="JUO364" s="273"/>
      <c r="JUP364" s="274"/>
      <c r="JUQ364" s="643"/>
      <c r="JUR364" s="324"/>
      <c r="JUS364" s="366"/>
      <c r="JUT364" s="269"/>
      <c r="JUU364" s="644"/>
      <c r="JUV364" s="271"/>
      <c r="JUW364" s="272"/>
      <c r="JUX364" s="273"/>
      <c r="JUY364" s="274"/>
      <c r="JUZ364" s="643"/>
      <c r="JVA364" s="324"/>
      <c r="JVB364" s="366"/>
      <c r="JVC364" s="269"/>
      <c r="JVD364" s="644"/>
      <c r="JVE364" s="271"/>
      <c r="JVF364" s="272"/>
      <c r="JVG364" s="273"/>
      <c r="JVH364" s="274"/>
      <c r="JVI364" s="643"/>
      <c r="JVJ364" s="324"/>
      <c r="JVK364" s="366"/>
      <c r="JVL364" s="269"/>
      <c r="JVM364" s="644"/>
      <c r="JVN364" s="271"/>
      <c r="JVO364" s="272"/>
      <c r="JVP364" s="273"/>
      <c r="JVQ364" s="274"/>
      <c r="JVR364" s="643"/>
      <c r="JVS364" s="324"/>
      <c r="JVT364" s="366"/>
      <c r="JVU364" s="269"/>
      <c r="JVV364" s="644"/>
      <c r="JVW364" s="271"/>
      <c r="JVX364" s="272"/>
      <c r="JVY364" s="273"/>
      <c r="JVZ364" s="274"/>
      <c r="JWA364" s="643"/>
      <c r="JWB364" s="324"/>
      <c r="JWC364" s="366"/>
      <c r="JWD364" s="269"/>
      <c r="JWE364" s="644"/>
      <c r="JWF364" s="271"/>
      <c r="JWG364" s="272"/>
      <c r="JWH364" s="273"/>
      <c r="JWI364" s="274"/>
      <c r="JWJ364" s="643"/>
      <c r="JWK364" s="324"/>
      <c r="JWL364" s="366"/>
      <c r="JWM364" s="269"/>
      <c r="JWN364" s="644"/>
      <c r="JWO364" s="271"/>
      <c r="JWP364" s="272"/>
      <c r="JWQ364" s="273"/>
      <c r="JWR364" s="274"/>
      <c r="JWS364" s="643"/>
      <c r="JWT364" s="324"/>
      <c r="JWU364" s="366"/>
      <c r="JWV364" s="269"/>
      <c r="JWW364" s="644"/>
      <c r="JWX364" s="271"/>
      <c r="JWY364" s="272"/>
      <c r="JWZ364" s="273"/>
      <c r="JXA364" s="274"/>
      <c r="JXB364" s="643"/>
      <c r="JXC364" s="324"/>
      <c r="JXD364" s="366"/>
      <c r="JXE364" s="269"/>
      <c r="JXF364" s="644"/>
      <c r="JXG364" s="271"/>
      <c r="JXH364" s="272"/>
      <c r="JXI364" s="273"/>
      <c r="JXJ364" s="274"/>
      <c r="JXK364" s="643"/>
      <c r="JXL364" s="324"/>
      <c r="JXM364" s="366"/>
      <c r="JXN364" s="269"/>
      <c r="JXO364" s="644"/>
      <c r="JXP364" s="271"/>
      <c r="JXQ364" s="272"/>
      <c r="JXR364" s="273"/>
      <c r="JXS364" s="274"/>
      <c r="JXT364" s="643"/>
      <c r="JXU364" s="324"/>
      <c r="JXV364" s="366"/>
      <c r="JXW364" s="269"/>
      <c r="JXX364" s="644"/>
      <c r="JXY364" s="271"/>
      <c r="JXZ364" s="272"/>
      <c r="JYA364" s="273"/>
      <c r="JYB364" s="274"/>
      <c r="JYC364" s="643"/>
      <c r="JYD364" s="324"/>
      <c r="JYE364" s="366"/>
      <c r="JYF364" s="269"/>
      <c r="JYG364" s="644"/>
      <c r="JYH364" s="271"/>
      <c r="JYI364" s="272"/>
      <c r="JYJ364" s="273"/>
      <c r="JYK364" s="274"/>
      <c r="JYL364" s="643"/>
      <c r="JYM364" s="324"/>
      <c r="JYN364" s="366"/>
      <c r="JYO364" s="269"/>
      <c r="JYP364" s="644"/>
      <c r="JYQ364" s="271"/>
      <c r="JYR364" s="272"/>
      <c r="JYS364" s="273"/>
      <c r="JYT364" s="274"/>
      <c r="JYU364" s="643"/>
      <c r="JYV364" s="324"/>
      <c r="JYW364" s="366"/>
      <c r="JYX364" s="269"/>
      <c r="JYY364" s="644"/>
      <c r="JYZ364" s="271"/>
      <c r="JZA364" s="272"/>
      <c r="JZB364" s="273"/>
      <c r="JZC364" s="274"/>
      <c r="JZD364" s="643"/>
      <c r="JZE364" s="324"/>
      <c r="JZF364" s="366"/>
      <c r="JZG364" s="269"/>
      <c r="JZH364" s="644"/>
      <c r="JZI364" s="271"/>
      <c r="JZJ364" s="272"/>
      <c r="JZK364" s="273"/>
      <c r="JZL364" s="274"/>
      <c r="JZM364" s="643"/>
      <c r="JZN364" s="324"/>
      <c r="JZO364" s="366"/>
      <c r="JZP364" s="269"/>
      <c r="JZQ364" s="644"/>
      <c r="JZR364" s="271"/>
      <c r="JZS364" s="272"/>
      <c r="JZT364" s="273"/>
      <c r="JZU364" s="274"/>
      <c r="JZV364" s="643"/>
      <c r="JZW364" s="324"/>
      <c r="JZX364" s="366"/>
      <c r="JZY364" s="269"/>
      <c r="JZZ364" s="644"/>
      <c r="KAA364" s="271"/>
      <c r="KAB364" s="272"/>
      <c r="KAC364" s="273"/>
      <c r="KAD364" s="274"/>
      <c r="KAE364" s="643"/>
      <c r="KAF364" s="324"/>
      <c r="KAG364" s="366"/>
      <c r="KAH364" s="269"/>
      <c r="KAI364" s="644"/>
      <c r="KAJ364" s="271"/>
      <c r="KAK364" s="272"/>
      <c r="KAL364" s="273"/>
      <c r="KAM364" s="274"/>
      <c r="KAN364" s="643"/>
      <c r="KAO364" s="324"/>
      <c r="KAP364" s="366"/>
      <c r="KAQ364" s="269"/>
      <c r="KAR364" s="644"/>
      <c r="KAS364" s="271"/>
      <c r="KAT364" s="272"/>
      <c r="KAU364" s="273"/>
      <c r="KAV364" s="274"/>
      <c r="KAW364" s="643"/>
      <c r="KAX364" s="324"/>
      <c r="KAY364" s="366"/>
      <c r="KAZ364" s="269"/>
      <c r="KBA364" s="644"/>
      <c r="KBB364" s="271"/>
      <c r="KBC364" s="272"/>
      <c r="KBD364" s="273"/>
      <c r="KBE364" s="274"/>
      <c r="KBF364" s="643"/>
      <c r="KBG364" s="324"/>
      <c r="KBH364" s="366"/>
      <c r="KBI364" s="269"/>
      <c r="KBJ364" s="644"/>
      <c r="KBK364" s="271"/>
      <c r="KBL364" s="272"/>
      <c r="KBM364" s="273"/>
      <c r="KBN364" s="274"/>
      <c r="KBO364" s="643"/>
      <c r="KBP364" s="324"/>
      <c r="KBQ364" s="366"/>
      <c r="KBR364" s="269"/>
      <c r="KBS364" s="644"/>
      <c r="KBT364" s="271"/>
      <c r="KBU364" s="272"/>
      <c r="KBV364" s="273"/>
      <c r="KBW364" s="274"/>
      <c r="KBX364" s="643"/>
      <c r="KBY364" s="324"/>
      <c r="KBZ364" s="366"/>
      <c r="KCA364" s="269"/>
      <c r="KCB364" s="644"/>
      <c r="KCC364" s="271"/>
      <c r="KCD364" s="272"/>
      <c r="KCE364" s="273"/>
      <c r="KCF364" s="274"/>
      <c r="KCG364" s="643"/>
      <c r="KCH364" s="324"/>
      <c r="KCI364" s="366"/>
      <c r="KCJ364" s="269"/>
      <c r="KCK364" s="644"/>
      <c r="KCL364" s="271"/>
      <c r="KCM364" s="272"/>
      <c r="KCN364" s="273"/>
      <c r="KCO364" s="274"/>
      <c r="KCP364" s="643"/>
      <c r="KCQ364" s="324"/>
      <c r="KCR364" s="366"/>
      <c r="KCS364" s="269"/>
      <c r="KCT364" s="644"/>
      <c r="KCU364" s="271"/>
      <c r="KCV364" s="272"/>
      <c r="KCW364" s="273"/>
      <c r="KCX364" s="274"/>
      <c r="KCY364" s="643"/>
      <c r="KCZ364" s="324"/>
      <c r="KDA364" s="366"/>
      <c r="KDB364" s="269"/>
      <c r="KDC364" s="644"/>
      <c r="KDD364" s="271"/>
      <c r="KDE364" s="272"/>
      <c r="KDF364" s="273"/>
      <c r="KDG364" s="274"/>
      <c r="KDH364" s="643"/>
      <c r="KDI364" s="324"/>
      <c r="KDJ364" s="366"/>
      <c r="KDK364" s="269"/>
      <c r="KDL364" s="644"/>
      <c r="KDM364" s="271"/>
      <c r="KDN364" s="272"/>
      <c r="KDO364" s="273"/>
      <c r="KDP364" s="274"/>
      <c r="KDQ364" s="643"/>
      <c r="KDR364" s="324"/>
      <c r="KDS364" s="366"/>
      <c r="KDT364" s="269"/>
      <c r="KDU364" s="644"/>
      <c r="KDV364" s="271"/>
      <c r="KDW364" s="272"/>
      <c r="KDX364" s="273"/>
      <c r="KDY364" s="274"/>
      <c r="KDZ364" s="643"/>
      <c r="KEA364" s="324"/>
      <c r="KEB364" s="366"/>
      <c r="KEC364" s="269"/>
      <c r="KED364" s="644"/>
      <c r="KEE364" s="271"/>
      <c r="KEF364" s="272"/>
      <c r="KEG364" s="273"/>
      <c r="KEH364" s="274"/>
      <c r="KEI364" s="643"/>
      <c r="KEJ364" s="324"/>
      <c r="KEK364" s="366"/>
      <c r="KEL364" s="269"/>
      <c r="KEM364" s="644"/>
      <c r="KEN364" s="271"/>
      <c r="KEO364" s="272"/>
      <c r="KEP364" s="273"/>
      <c r="KEQ364" s="274"/>
      <c r="KER364" s="643"/>
      <c r="KES364" s="324"/>
      <c r="KET364" s="366"/>
      <c r="KEU364" s="269"/>
      <c r="KEV364" s="644"/>
      <c r="KEW364" s="271"/>
      <c r="KEX364" s="272"/>
      <c r="KEY364" s="273"/>
      <c r="KEZ364" s="274"/>
      <c r="KFA364" s="643"/>
      <c r="KFB364" s="324"/>
      <c r="KFC364" s="366"/>
      <c r="KFD364" s="269"/>
      <c r="KFE364" s="644"/>
      <c r="KFF364" s="271"/>
      <c r="KFG364" s="272"/>
      <c r="KFH364" s="273"/>
      <c r="KFI364" s="274"/>
      <c r="KFJ364" s="643"/>
      <c r="KFK364" s="324"/>
      <c r="KFL364" s="366"/>
      <c r="KFM364" s="269"/>
      <c r="KFN364" s="644"/>
      <c r="KFO364" s="271"/>
      <c r="KFP364" s="272"/>
      <c r="KFQ364" s="273"/>
      <c r="KFR364" s="274"/>
      <c r="KFS364" s="643"/>
      <c r="KFT364" s="324"/>
      <c r="KFU364" s="366"/>
      <c r="KFV364" s="269"/>
      <c r="KFW364" s="644"/>
      <c r="KFX364" s="271"/>
      <c r="KFY364" s="272"/>
      <c r="KFZ364" s="273"/>
      <c r="KGA364" s="274"/>
      <c r="KGB364" s="643"/>
      <c r="KGC364" s="324"/>
      <c r="KGD364" s="366"/>
      <c r="KGE364" s="269"/>
      <c r="KGF364" s="644"/>
      <c r="KGG364" s="271"/>
      <c r="KGH364" s="272"/>
      <c r="KGI364" s="273"/>
      <c r="KGJ364" s="274"/>
      <c r="KGK364" s="643"/>
      <c r="KGL364" s="324"/>
      <c r="KGM364" s="366"/>
      <c r="KGN364" s="269"/>
      <c r="KGO364" s="644"/>
      <c r="KGP364" s="271"/>
      <c r="KGQ364" s="272"/>
      <c r="KGR364" s="273"/>
      <c r="KGS364" s="274"/>
      <c r="KGT364" s="643"/>
      <c r="KGU364" s="324"/>
      <c r="KGV364" s="366"/>
      <c r="KGW364" s="269"/>
      <c r="KGX364" s="644"/>
      <c r="KGY364" s="271"/>
      <c r="KGZ364" s="272"/>
      <c r="KHA364" s="273"/>
      <c r="KHB364" s="274"/>
      <c r="KHC364" s="643"/>
      <c r="KHD364" s="324"/>
      <c r="KHE364" s="366"/>
      <c r="KHF364" s="269"/>
      <c r="KHG364" s="644"/>
      <c r="KHH364" s="271"/>
      <c r="KHI364" s="272"/>
      <c r="KHJ364" s="273"/>
      <c r="KHK364" s="274"/>
      <c r="KHL364" s="643"/>
      <c r="KHM364" s="324"/>
      <c r="KHN364" s="366"/>
      <c r="KHO364" s="269"/>
      <c r="KHP364" s="644"/>
      <c r="KHQ364" s="271"/>
      <c r="KHR364" s="272"/>
      <c r="KHS364" s="273"/>
      <c r="KHT364" s="274"/>
      <c r="KHU364" s="643"/>
      <c r="KHV364" s="324"/>
      <c r="KHW364" s="366"/>
      <c r="KHX364" s="269"/>
      <c r="KHY364" s="644"/>
      <c r="KHZ364" s="271"/>
      <c r="KIA364" s="272"/>
      <c r="KIB364" s="273"/>
      <c r="KIC364" s="274"/>
      <c r="KID364" s="643"/>
      <c r="KIE364" s="324"/>
      <c r="KIF364" s="366"/>
      <c r="KIG364" s="269"/>
      <c r="KIH364" s="644"/>
      <c r="KII364" s="271"/>
      <c r="KIJ364" s="272"/>
      <c r="KIK364" s="273"/>
      <c r="KIL364" s="274"/>
      <c r="KIM364" s="643"/>
      <c r="KIN364" s="324"/>
      <c r="KIO364" s="366"/>
      <c r="KIP364" s="269"/>
      <c r="KIQ364" s="644"/>
      <c r="KIR364" s="271"/>
      <c r="KIS364" s="272"/>
      <c r="KIT364" s="273"/>
      <c r="KIU364" s="274"/>
      <c r="KIV364" s="643"/>
      <c r="KIW364" s="324"/>
      <c r="KIX364" s="366"/>
      <c r="KIY364" s="269"/>
      <c r="KIZ364" s="644"/>
      <c r="KJA364" s="271"/>
      <c r="KJB364" s="272"/>
      <c r="KJC364" s="273"/>
      <c r="KJD364" s="274"/>
      <c r="KJE364" s="643"/>
      <c r="KJF364" s="324"/>
      <c r="KJG364" s="366"/>
      <c r="KJH364" s="269"/>
      <c r="KJI364" s="644"/>
      <c r="KJJ364" s="271"/>
      <c r="KJK364" s="272"/>
      <c r="KJL364" s="273"/>
      <c r="KJM364" s="274"/>
      <c r="KJN364" s="643"/>
      <c r="KJO364" s="324"/>
      <c r="KJP364" s="366"/>
      <c r="KJQ364" s="269"/>
      <c r="KJR364" s="644"/>
      <c r="KJS364" s="271"/>
      <c r="KJT364" s="272"/>
      <c r="KJU364" s="273"/>
      <c r="KJV364" s="274"/>
      <c r="KJW364" s="643"/>
      <c r="KJX364" s="324"/>
      <c r="KJY364" s="366"/>
      <c r="KJZ364" s="269"/>
      <c r="KKA364" s="644"/>
      <c r="KKB364" s="271"/>
      <c r="KKC364" s="272"/>
      <c r="KKD364" s="273"/>
      <c r="KKE364" s="274"/>
      <c r="KKF364" s="643"/>
      <c r="KKG364" s="324"/>
      <c r="KKH364" s="366"/>
      <c r="KKI364" s="269"/>
      <c r="KKJ364" s="644"/>
      <c r="KKK364" s="271"/>
      <c r="KKL364" s="272"/>
      <c r="KKM364" s="273"/>
      <c r="KKN364" s="274"/>
      <c r="KKO364" s="643"/>
      <c r="KKP364" s="324"/>
      <c r="KKQ364" s="366"/>
      <c r="KKR364" s="269"/>
      <c r="KKS364" s="644"/>
      <c r="KKT364" s="271"/>
      <c r="KKU364" s="272"/>
      <c r="KKV364" s="273"/>
      <c r="KKW364" s="274"/>
      <c r="KKX364" s="643"/>
      <c r="KKY364" s="324"/>
      <c r="KKZ364" s="366"/>
      <c r="KLA364" s="269"/>
      <c r="KLB364" s="644"/>
      <c r="KLC364" s="271"/>
      <c r="KLD364" s="272"/>
      <c r="KLE364" s="273"/>
      <c r="KLF364" s="274"/>
      <c r="KLG364" s="643"/>
      <c r="KLH364" s="324"/>
      <c r="KLI364" s="366"/>
      <c r="KLJ364" s="269"/>
      <c r="KLK364" s="644"/>
      <c r="KLL364" s="271"/>
      <c r="KLM364" s="272"/>
      <c r="KLN364" s="273"/>
      <c r="KLO364" s="274"/>
      <c r="KLP364" s="643"/>
      <c r="KLQ364" s="324"/>
      <c r="KLR364" s="366"/>
      <c r="KLS364" s="269"/>
      <c r="KLT364" s="644"/>
      <c r="KLU364" s="271"/>
      <c r="KLV364" s="272"/>
      <c r="KLW364" s="273"/>
      <c r="KLX364" s="274"/>
      <c r="KLY364" s="643"/>
      <c r="KLZ364" s="324"/>
      <c r="KMA364" s="366"/>
      <c r="KMB364" s="269"/>
      <c r="KMC364" s="644"/>
      <c r="KMD364" s="271"/>
      <c r="KME364" s="272"/>
      <c r="KMF364" s="273"/>
      <c r="KMG364" s="274"/>
      <c r="KMH364" s="643"/>
      <c r="KMI364" s="324"/>
      <c r="KMJ364" s="366"/>
      <c r="KMK364" s="269"/>
      <c r="KML364" s="644"/>
      <c r="KMM364" s="271"/>
      <c r="KMN364" s="272"/>
      <c r="KMO364" s="273"/>
      <c r="KMP364" s="274"/>
      <c r="KMQ364" s="643"/>
      <c r="KMR364" s="324"/>
      <c r="KMS364" s="366"/>
      <c r="KMT364" s="269"/>
      <c r="KMU364" s="644"/>
      <c r="KMV364" s="271"/>
      <c r="KMW364" s="272"/>
      <c r="KMX364" s="273"/>
      <c r="KMY364" s="274"/>
      <c r="KMZ364" s="643"/>
      <c r="KNA364" s="324"/>
      <c r="KNB364" s="366"/>
      <c r="KNC364" s="269"/>
      <c r="KND364" s="644"/>
      <c r="KNE364" s="271"/>
      <c r="KNF364" s="272"/>
      <c r="KNG364" s="273"/>
      <c r="KNH364" s="274"/>
      <c r="KNI364" s="643"/>
      <c r="KNJ364" s="324"/>
      <c r="KNK364" s="366"/>
      <c r="KNL364" s="269"/>
      <c r="KNM364" s="644"/>
      <c r="KNN364" s="271"/>
      <c r="KNO364" s="272"/>
      <c r="KNP364" s="273"/>
      <c r="KNQ364" s="274"/>
      <c r="KNR364" s="643"/>
      <c r="KNS364" s="324"/>
      <c r="KNT364" s="366"/>
      <c r="KNU364" s="269"/>
      <c r="KNV364" s="644"/>
      <c r="KNW364" s="271"/>
      <c r="KNX364" s="272"/>
      <c r="KNY364" s="273"/>
      <c r="KNZ364" s="274"/>
      <c r="KOA364" s="643"/>
      <c r="KOB364" s="324"/>
      <c r="KOC364" s="366"/>
      <c r="KOD364" s="269"/>
      <c r="KOE364" s="644"/>
      <c r="KOF364" s="271"/>
      <c r="KOG364" s="272"/>
      <c r="KOH364" s="273"/>
      <c r="KOI364" s="274"/>
      <c r="KOJ364" s="643"/>
      <c r="KOK364" s="324"/>
      <c r="KOL364" s="366"/>
      <c r="KOM364" s="269"/>
      <c r="KON364" s="644"/>
      <c r="KOO364" s="271"/>
      <c r="KOP364" s="272"/>
      <c r="KOQ364" s="273"/>
      <c r="KOR364" s="274"/>
      <c r="KOS364" s="643"/>
      <c r="KOT364" s="324"/>
      <c r="KOU364" s="366"/>
      <c r="KOV364" s="269"/>
      <c r="KOW364" s="644"/>
      <c r="KOX364" s="271"/>
      <c r="KOY364" s="272"/>
      <c r="KOZ364" s="273"/>
      <c r="KPA364" s="274"/>
      <c r="KPB364" s="643"/>
      <c r="KPC364" s="324"/>
      <c r="KPD364" s="366"/>
      <c r="KPE364" s="269"/>
      <c r="KPF364" s="644"/>
      <c r="KPG364" s="271"/>
      <c r="KPH364" s="272"/>
      <c r="KPI364" s="273"/>
      <c r="KPJ364" s="274"/>
      <c r="KPK364" s="643"/>
      <c r="KPL364" s="324"/>
      <c r="KPM364" s="366"/>
      <c r="KPN364" s="269"/>
      <c r="KPO364" s="644"/>
      <c r="KPP364" s="271"/>
      <c r="KPQ364" s="272"/>
      <c r="KPR364" s="273"/>
      <c r="KPS364" s="274"/>
      <c r="KPT364" s="643"/>
      <c r="KPU364" s="324"/>
      <c r="KPV364" s="366"/>
      <c r="KPW364" s="269"/>
      <c r="KPX364" s="644"/>
      <c r="KPY364" s="271"/>
      <c r="KPZ364" s="272"/>
      <c r="KQA364" s="273"/>
      <c r="KQB364" s="274"/>
      <c r="KQC364" s="643"/>
      <c r="KQD364" s="324"/>
      <c r="KQE364" s="366"/>
      <c r="KQF364" s="269"/>
      <c r="KQG364" s="644"/>
      <c r="KQH364" s="271"/>
      <c r="KQI364" s="272"/>
      <c r="KQJ364" s="273"/>
      <c r="KQK364" s="274"/>
      <c r="KQL364" s="643"/>
      <c r="KQM364" s="324"/>
      <c r="KQN364" s="366"/>
      <c r="KQO364" s="269"/>
      <c r="KQP364" s="644"/>
      <c r="KQQ364" s="271"/>
      <c r="KQR364" s="272"/>
      <c r="KQS364" s="273"/>
      <c r="KQT364" s="274"/>
      <c r="KQU364" s="643"/>
      <c r="KQV364" s="324"/>
      <c r="KQW364" s="366"/>
      <c r="KQX364" s="269"/>
      <c r="KQY364" s="644"/>
      <c r="KQZ364" s="271"/>
      <c r="KRA364" s="272"/>
      <c r="KRB364" s="273"/>
      <c r="KRC364" s="274"/>
      <c r="KRD364" s="643"/>
      <c r="KRE364" s="324"/>
      <c r="KRF364" s="366"/>
      <c r="KRG364" s="269"/>
      <c r="KRH364" s="644"/>
      <c r="KRI364" s="271"/>
      <c r="KRJ364" s="272"/>
      <c r="KRK364" s="273"/>
      <c r="KRL364" s="274"/>
      <c r="KRM364" s="643"/>
      <c r="KRN364" s="324"/>
      <c r="KRO364" s="366"/>
      <c r="KRP364" s="269"/>
      <c r="KRQ364" s="644"/>
      <c r="KRR364" s="271"/>
      <c r="KRS364" s="272"/>
      <c r="KRT364" s="273"/>
      <c r="KRU364" s="274"/>
      <c r="KRV364" s="643"/>
      <c r="KRW364" s="324"/>
      <c r="KRX364" s="366"/>
      <c r="KRY364" s="269"/>
      <c r="KRZ364" s="644"/>
      <c r="KSA364" s="271"/>
      <c r="KSB364" s="272"/>
      <c r="KSC364" s="273"/>
      <c r="KSD364" s="274"/>
      <c r="KSE364" s="643"/>
      <c r="KSF364" s="324"/>
      <c r="KSG364" s="366"/>
      <c r="KSH364" s="269"/>
      <c r="KSI364" s="644"/>
      <c r="KSJ364" s="271"/>
      <c r="KSK364" s="272"/>
      <c r="KSL364" s="273"/>
      <c r="KSM364" s="274"/>
      <c r="KSN364" s="643"/>
      <c r="KSO364" s="324"/>
      <c r="KSP364" s="366"/>
      <c r="KSQ364" s="269"/>
      <c r="KSR364" s="644"/>
      <c r="KSS364" s="271"/>
      <c r="KST364" s="272"/>
      <c r="KSU364" s="273"/>
      <c r="KSV364" s="274"/>
      <c r="KSW364" s="643"/>
      <c r="KSX364" s="324"/>
      <c r="KSY364" s="366"/>
      <c r="KSZ364" s="269"/>
      <c r="KTA364" s="644"/>
      <c r="KTB364" s="271"/>
      <c r="KTC364" s="272"/>
      <c r="KTD364" s="273"/>
      <c r="KTE364" s="274"/>
      <c r="KTF364" s="643"/>
      <c r="KTG364" s="324"/>
      <c r="KTH364" s="366"/>
      <c r="KTI364" s="269"/>
      <c r="KTJ364" s="644"/>
      <c r="KTK364" s="271"/>
      <c r="KTL364" s="272"/>
      <c r="KTM364" s="273"/>
      <c r="KTN364" s="274"/>
      <c r="KTO364" s="643"/>
      <c r="KTP364" s="324"/>
      <c r="KTQ364" s="366"/>
      <c r="KTR364" s="269"/>
      <c r="KTS364" s="644"/>
      <c r="KTT364" s="271"/>
      <c r="KTU364" s="272"/>
      <c r="KTV364" s="273"/>
      <c r="KTW364" s="274"/>
      <c r="KTX364" s="643"/>
      <c r="KTY364" s="324"/>
      <c r="KTZ364" s="366"/>
      <c r="KUA364" s="269"/>
      <c r="KUB364" s="644"/>
      <c r="KUC364" s="271"/>
      <c r="KUD364" s="272"/>
      <c r="KUE364" s="273"/>
      <c r="KUF364" s="274"/>
      <c r="KUG364" s="643"/>
      <c r="KUH364" s="324"/>
      <c r="KUI364" s="366"/>
      <c r="KUJ364" s="269"/>
      <c r="KUK364" s="644"/>
      <c r="KUL364" s="271"/>
      <c r="KUM364" s="272"/>
      <c r="KUN364" s="273"/>
      <c r="KUO364" s="274"/>
      <c r="KUP364" s="643"/>
      <c r="KUQ364" s="324"/>
      <c r="KUR364" s="366"/>
      <c r="KUS364" s="269"/>
      <c r="KUT364" s="644"/>
      <c r="KUU364" s="271"/>
      <c r="KUV364" s="272"/>
      <c r="KUW364" s="273"/>
      <c r="KUX364" s="274"/>
      <c r="KUY364" s="643"/>
      <c r="KUZ364" s="324"/>
      <c r="KVA364" s="366"/>
      <c r="KVB364" s="269"/>
      <c r="KVC364" s="644"/>
      <c r="KVD364" s="271"/>
      <c r="KVE364" s="272"/>
      <c r="KVF364" s="273"/>
      <c r="KVG364" s="274"/>
      <c r="KVH364" s="643"/>
      <c r="KVI364" s="324"/>
      <c r="KVJ364" s="366"/>
      <c r="KVK364" s="269"/>
      <c r="KVL364" s="644"/>
      <c r="KVM364" s="271"/>
      <c r="KVN364" s="272"/>
      <c r="KVO364" s="273"/>
      <c r="KVP364" s="274"/>
      <c r="KVQ364" s="643"/>
      <c r="KVR364" s="324"/>
      <c r="KVS364" s="366"/>
      <c r="KVT364" s="269"/>
      <c r="KVU364" s="644"/>
      <c r="KVV364" s="271"/>
      <c r="KVW364" s="272"/>
      <c r="KVX364" s="273"/>
      <c r="KVY364" s="274"/>
      <c r="KVZ364" s="643"/>
      <c r="KWA364" s="324"/>
      <c r="KWB364" s="366"/>
      <c r="KWC364" s="269"/>
      <c r="KWD364" s="644"/>
      <c r="KWE364" s="271"/>
      <c r="KWF364" s="272"/>
      <c r="KWG364" s="273"/>
      <c r="KWH364" s="274"/>
      <c r="KWI364" s="643"/>
      <c r="KWJ364" s="324"/>
      <c r="KWK364" s="366"/>
      <c r="KWL364" s="269"/>
      <c r="KWM364" s="644"/>
      <c r="KWN364" s="271"/>
      <c r="KWO364" s="272"/>
      <c r="KWP364" s="273"/>
      <c r="KWQ364" s="274"/>
      <c r="KWR364" s="643"/>
      <c r="KWS364" s="324"/>
      <c r="KWT364" s="366"/>
      <c r="KWU364" s="269"/>
      <c r="KWV364" s="644"/>
      <c r="KWW364" s="271"/>
      <c r="KWX364" s="272"/>
      <c r="KWY364" s="273"/>
      <c r="KWZ364" s="274"/>
      <c r="KXA364" s="643"/>
      <c r="KXB364" s="324"/>
      <c r="KXC364" s="366"/>
      <c r="KXD364" s="269"/>
      <c r="KXE364" s="644"/>
      <c r="KXF364" s="271"/>
      <c r="KXG364" s="272"/>
      <c r="KXH364" s="273"/>
      <c r="KXI364" s="274"/>
      <c r="KXJ364" s="643"/>
      <c r="KXK364" s="324"/>
      <c r="KXL364" s="366"/>
      <c r="KXM364" s="269"/>
      <c r="KXN364" s="644"/>
      <c r="KXO364" s="271"/>
      <c r="KXP364" s="272"/>
      <c r="KXQ364" s="273"/>
      <c r="KXR364" s="274"/>
      <c r="KXS364" s="643"/>
      <c r="KXT364" s="324"/>
      <c r="KXU364" s="366"/>
      <c r="KXV364" s="269"/>
      <c r="KXW364" s="644"/>
      <c r="KXX364" s="271"/>
      <c r="KXY364" s="272"/>
      <c r="KXZ364" s="273"/>
      <c r="KYA364" s="274"/>
      <c r="KYB364" s="643"/>
      <c r="KYC364" s="324"/>
      <c r="KYD364" s="366"/>
      <c r="KYE364" s="269"/>
      <c r="KYF364" s="644"/>
      <c r="KYG364" s="271"/>
      <c r="KYH364" s="272"/>
      <c r="KYI364" s="273"/>
      <c r="KYJ364" s="274"/>
      <c r="KYK364" s="643"/>
      <c r="KYL364" s="324"/>
      <c r="KYM364" s="366"/>
      <c r="KYN364" s="269"/>
      <c r="KYO364" s="644"/>
      <c r="KYP364" s="271"/>
      <c r="KYQ364" s="272"/>
      <c r="KYR364" s="273"/>
      <c r="KYS364" s="274"/>
      <c r="KYT364" s="643"/>
      <c r="KYU364" s="324"/>
      <c r="KYV364" s="366"/>
      <c r="KYW364" s="269"/>
      <c r="KYX364" s="644"/>
      <c r="KYY364" s="271"/>
      <c r="KYZ364" s="272"/>
      <c r="KZA364" s="273"/>
      <c r="KZB364" s="274"/>
      <c r="KZC364" s="643"/>
      <c r="KZD364" s="324"/>
      <c r="KZE364" s="366"/>
      <c r="KZF364" s="269"/>
      <c r="KZG364" s="644"/>
      <c r="KZH364" s="271"/>
      <c r="KZI364" s="272"/>
      <c r="KZJ364" s="273"/>
      <c r="KZK364" s="274"/>
      <c r="KZL364" s="643"/>
      <c r="KZM364" s="324"/>
      <c r="KZN364" s="366"/>
      <c r="KZO364" s="269"/>
      <c r="KZP364" s="644"/>
      <c r="KZQ364" s="271"/>
      <c r="KZR364" s="272"/>
      <c r="KZS364" s="273"/>
      <c r="KZT364" s="274"/>
      <c r="KZU364" s="643"/>
      <c r="KZV364" s="324"/>
      <c r="KZW364" s="366"/>
      <c r="KZX364" s="269"/>
      <c r="KZY364" s="644"/>
      <c r="KZZ364" s="271"/>
      <c r="LAA364" s="272"/>
      <c r="LAB364" s="273"/>
      <c r="LAC364" s="274"/>
      <c r="LAD364" s="643"/>
      <c r="LAE364" s="324"/>
      <c r="LAF364" s="366"/>
      <c r="LAG364" s="269"/>
      <c r="LAH364" s="644"/>
      <c r="LAI364" s="271"/>
      <c r="LAJ364" s="272"/>
      <c r="LAK364" s="273"/>
      <c r="LAL364" s="274"/>
      <c r="LAM364" s="643"/>
      <c r="LAN364" s="324"/>
      <c r="LAO364" s="366"/>
      <c r="LAP364" s="269"/>
      <c r="LAQ364" s="644"/>
      <c r="LAR364" s="271"/>
      <c r="LAS364" s="272"/>
      <c r="LAT364" s="273"/>
      <c r="LAU364" s="274"/>
      <c r="LAV364" s="643"/>
      <c r="LAW364" s="324"/>
      <c r="LAX364" s="366"/>
      <c r="LAY364" s="269"/>
      <c r="LAZ364" s="644"/>
      <c r="LBA364" s="271"/>
      <c r="LBB364" s="272"/>
      <c r="LBC364" s="273"/>
      <c r="LBD364" s="274"/>
      <c r="LBE364" s="643"/>
      <c r="LBF364" s="324"/>
      <c r="LBG364" s="366"/>
      <c r="LBH364" s="269"/>
      <c r="LBI364" s="644"/>
      <c r="LBJ364" s="271"/>
      <c r="LBK364" s="272"/>
      <c r="LBL364" s="273"/>
      <c r="LBM364" s="274"/>
      <c r="LBN364" s="643"/>
      <c r="LBO364" s="324"/>
      <c r="LBP364" s="366"/>
      <c r="LBQ364" s="269"/>
      <c r="LBR364" s="644"/>
      <c r="LBS364" s="271"/>
      <c r="LBT364" s="272"/>
      <c r="LBU364" s="273"/>
      <c r="LBV364" s="274"/>
      <c r="LBW364" s="643"/>
      <c r="LBX364" s="324"/>
      <c r="LBY364" s="366"/>
      <c r="LBZ364" s="269"/>
      <c r="LCA364" s="644"/>
      <c r="LCB364" s="271"/>
      <c r="LCC364" s="272"/>
      <c r="LCD364" s="273"/>
      <c r="LCE364" s="274"/>
      <c r="LCF364" s="643"/>
      <c r="LCG364" s="324"/>
      <c r="LCH364" s="366"/>
      <c r="LCI364" s="269"/>
      <c r="LCJ364" s="644"/>
      <c r="LCK364" s="271"/>
      <c r="LCL364" s="272"/>
      <c r="LCM364" s="273"/>
      <c r="LCN364" s="274"/>
      <c r="LCO364" s="643"/>
      <c r="LCP364" s="324"/>
      <c r="LCQ364" s="366"/>
      <c r="LCR364" s="269"/>
      <c r="LCS364" s="644"/>
      <c r="LCT364" s="271"/>
      <c r="LCU364" s="272"/>
      <c r="LCV364" s="273"/>
      <c r="LCW364" s="274"/>
      <c r="LCX364" s="643"/>
      <c r="LCY364" s="324"/>
      <c r="LCZ364" s="366"/>
      <c r="LDA364" s="269"/>
      <c r="LDB364" s="644"/>
      <c r="LDC364" s="271"/>
      <c r="LDD364" s="272"/>
      <c r="LDE364" s="273"/>
      <c r="LDF364" s="274"/>
      <c r="LDG364" s="643"/>
      <c r="LDH364" s="324"/>
      <c r="LDI364" s="366"/>
      <c r="LDJ364" s="269"/>
      <c r="LDK364" s="644"/>
      <c r="LDL364" s="271"/>
      <c r="LDM364" s="272"/>
      <c r="LDN364" s="273"/>
      <c r="LDO364" s="274"/>
      <c r="LDP364" s="643"/>
      <c r="LDQ364" s="324"/>
      <c r="LDR364" s="366"/>
      <c r="LDS364" s="269"/>
      <c r="LDT364" s="644"/>
      <c r="LDU364" s="271"/>
      <c r="LDV364" s="272"/>
      <c r="LDW364" s="273"/>
      <c r="LDX364" s="274"/>
      <c r="LDY364" s="643"/>
      <c r="LDZ364" s="324"/>
      <c r="LEA364" s="366"/>
      <c r="LEB364" s="269"/>
      <c r="LEC364" s="644"/>
      <c r="LED364" s="271"/>
      <c r="LEE364" s="272"/>
      <c r="LEF364" s="273"/>
      <c r="LEG364" s="274"/>
      <c r="LEH364" s="643"/>
      <c r="LEI364" s="324"/>
      <c r="LEJ364" s="366"/>
      <c r="LEK364" s="269"/>
      <c r="LEL364" s="644"/>
      <c r="LEM364" s="271"/>
      <c r="LEN364" s="272"/>
      <c r="LEO364" s="273"/>
      <c r="LEP364" s="274"/>
      <c r="LEQ364" s="643"/>
      <c r="LER364" s="324"/>
      <c r="LES364" s="366"/>
      <c r="LET364" s="269"/>
      <c r="LEU364" s="644"/>
      <c r="LEV364" s="271"/>
      <c r="LEW364" s="272"/>
      <c r="LEX364" s="273"/>
      <c r="LEY364" s="274"/>
      <c r="LEZ364" s="643"/>
      <c r="LFA364" s="324"/>
      <c r="LFB364" s="366"/>
      <c r="LFC364" s="269"/>
      <c r="LFD364" s="644"/>
      <c r="LFE364" s="271"/>
      <c r="LFF364" s="272"/>
      <c r="LFG364" s="273"/>
      <c r="LFH364" s="274"/>
      <c r="LFI364" s="643"/>
      <c r="LFJ364" s="324"/>
      <c r="LFK364" s="366"/>
      <c r="LFL364" s="269"/>
      <c r="LFM364" s="644"/>
      <c r="LFN364" s="271"/>
      <c r="LFO364" s="272"/>
      <c r="LFP364" s="273"/>
      <c r="LFQ364" s="274"/>
      <c r="LFR364" s="643"/>
      <c r="LFS364" s="324"/>
      <c r="LFT364" s="366"/>
      <c r="LFU364" s="269"/>
      <c r="LFV364" s="644"/>
      <c r="LFW364" s="271"/>
      <c r="LFX364" s="272"/>
      <c r="LFY364" s="273"/>
      <c r="LFZ364" s="274"/>
      <c r="LGA364" s="643"/>
      <c r="LGB364" s="324"/>
      <c r="LGC364" s="366"/>
      <c r="LGD364" s="269"/>
      <c r="LGE364" s="644"/>
      <c r="LGF364" s="271"/>
      <c r="LGG364" s="272"/>
      <c r="LGH364" s="273"/>
      <c r="LGI364" s="274"/>
      <c r="LGJ364" s="643"/>
      <c r="LGK364" s="324"/>
      <c r="LGL364" s="366"/>
      <c r="LGM364" s="269"/>
      <c r="LGN364" s="644"/>
      <c r="LGO364" s="271"/>
      <c r="LGP364" s="272"/>
      <c r="LGQ364" s="273"/>
      <c r="LGR364" s="274"/>
      <c r="LGS364" s="643"/>
      <c r="LGT364" s="324"/>
      <c r="LGU364" s="366"/>
      <c r="LGV364" s="269"/>
      <c r="LGW364" s="644"/>
      <c r="LGX364" s="271"/>
      <c r="LGY364" s="272"/>
      <c r="LGZ364" s="273"/>
      <c r="LHA364" s="274"/>
      <c r="LHB364" s="643"/>
      <c r="LHC364" s="324"/>
      <c r="LHD364" s="366"/>
      <c r="LHE364" s="269"/>
      <c r="LHF364" s="644"/>
      <c r="LHG364" s="271"/>
      <c r="LHH364" s="272"/>
      <c r="LHI364" s="273"/>
      <c r="LHJ364" s="274"/>
      <c r="LHK364" s="643"/>
      <c r="LHL364" s="324"/>
      <c r="LHM364" s="366"/>
      <c r="LHN364" s="269"/>
      <c r="LHO364" s="644"/>
      <c r="LHP364" s="271"/>
      <c r="LHQ364" s="272"/>
      <c r="LHR364" s="273"/>
      <c r="LHS364" s="274"/>
      <c r="LHT364" s="643"/>
      <c r="LHU364" s="324"/>
      <c r="LHV364" s="366"/>
      <c r="LHW364" s="269"/>
      <c r="LHX364" s="644"/>
      <c r="LHY364" s="271"/>
      <c r="LHZ364" s="272"/>
      <c r="LIA364" s="273"/>
      <c r="LIB364" s="274"/>
      <c r="LIC364" s="643"/>
      <c r="LID364" s="324"/>
      <c r="LIE364" s="366"/>
      <c r="LIF364" s="269"/>
      <c r="LIG364" s="644"/>
      <c r="LIH364" s="271"/>
      <c r="LII364" s="272"/>
      <c r="LIJ364" s="273"/>
      <c r="LIK364" s="274"/>
      <c r="LIL364" s="643"/>
      <c r="LIM364" s="324"/>
      <c r="LIN364" s="366"/>
      <c r="LIO364" s="269"/>
      <c r="LIP364" s="644"/>
      <c r="LIQ364" s="271"/>
      <c r="LIR364" s="272"/>
      <c r="LIS364" s="273"/>
      <c r="LIT364" s="274"/>
      <c r="LIU364" s="643"/>
      <c r="LIV364" s="324"/>
      <c r="LIW364" s="366"/>
      <c r="LIX364" s="269"/>
      <c r="LIY364" s="644"/>
      <c r="LIZ364" s="271"/>
      <c r="LJA364" s="272"/>
      <c r="LJB364" s="273"/>
      <c r="LJC364" s="274"/>
      <c r="LJD364" s="643"/>
      <c r="LJE364" s="324"/>
      <c r="LJF364" s="366"/>
      <c r="LJG364" s="269"/>
      <c r="LJH364" s="644"/>
      <c r="LJI364" s="271"/>
      <c r="LJJ364" s="272"/>
      <c r="LJK364" s="273"/>
      <c r="LJL364" s="274"/>
      <c r="LJM364" s="643"/>
      <c r="LJN364" s="324"/>
      <c r="LJO364" s="366"/>
      <c r="LJP364" s="269"/>
      <c r="LJQ364" s="644"/>
      <c r="LJR364" s="271"/>
      <c r="LJS364" s="272"/>
      <c r="LJT364" s="273"/>
      <c r="LJU364" s="274"/>
      <c r="LJV364" s="643"/>
      <c r="LJW364" s="324"/>
      <c r="LJX364" s="366"/>
      <c r="LJY364" s="269"/>
      <c r="LJZ364" s="644"/>
      <c r="LKA364" s="271"/>
      <c r="LKB364" s="272"/>
      <c r="LKC364" s="273"/>
      <c r="LKD364" s="274"/>
      <c r="LKE364" s="643"/>
      <c r="LKF364" s="324"/>
      <c r="LKG364" s="366"/>
      <c r="LKH364" s="269"/>
      <c r="LKI364" s="644"/>
      <c r="LKJ364" s="271"/>
      <c r="LKK364" s="272"/>
      <c r="LKL364" s="273"/>
      <c r="LKM364" s="274"/>
      <c r="LKN364" s="643"/>
      <c r="LKO364" s="324"/>
      <c r="LKP364" s="366"/>
      <c r="LKQ364" s="269"/>
      <c r="LKR364" s="644"/>
      <c r="LKS364" s="271"/>
      <c r="LKT364" s="272"/>
      <c r="LKU364" s="273"/>
      <c r="LKV364" s="274"/>
      <c r="LKW364" s="643"/>
      <c r="LKX364" s="324"/>
      <c r="LKY364" s="366"/>
      <c r="LKZ364" s="269"/>
      <c r="LLA364" s="644"/>
      <c r="LLB364" s="271"/>
      <c r="LLC364" s="272"/>
      <c r="LLD364" s="273"/>
      <c r="LLE364" s="274"/>
      <c r="LLF364" s="643"/>
      <c r="LLG364" s="324"/>
      <c r="LLH364" s="366"/>
      <c r="LLI364" s="269"/>
      <c r="LLJ364" s="644"/>
      <c r="LLK364" s="271"/>
      <c r="LLL364" s="272"/>
      <c r="LLM364" s="273"/>
      <c r="LLN364" s="274"/>
      <c r="LLO364" s="643"/>
      <c r="LLP364" s="324"/>
      <c r="LLQ364" s="366"/>
      <c r="LLR364" s="269"/>
      <c r="LLS364" s="644"/>
      <c r="LLT364" s="271"/>
      <c r="LLU364" s="272"/>
      <c r="LLV364" s="273"/>
      <c r="LLW364" s="274"/>
      <c r="LLX364" s="643"/>
      <c r="LLY364" s="324"/>
      <c r="LLZ364" s="366"/>
      <c r="LMA364" s="269"/>
      <c r="LMB364" s="644"/>
      <c r="LMC364" s="271"/>
      <c r="LMD364" s="272"/>
      <c r="LME364" s="273"/>
      <c r="LMF364" s="274"/>
      <c r="LMG364" s="643"/>
      <c r="LMH364" s="324"/>
      <c r="LMI364" s="366"/>
      <c r="LMJ364" s="269"/>
      <c r="LMK364" s="644"/>
      <c r="LML364" s="271"/>
      <c r="LMM364" s="272"/>
      <c r="LMN364" s="273"/>
      <c r="LMO364" s="274"/>
      <c r="LMP364" s="643"/>
      <c r="LMQ364" s="324"/>
      <c r="LMR364" s="366"/>
      <c r="LMS364" s="269"/>
      <c r="LMT364" s="644"/>
      <c r="LMU364" s="271"/>
      <c r="LMV364" s="272"/>
      <c r="LMW364" s="273"/>
      <c r="LMX364" s="274"/>
      <c r="LMY364" s="643"/>
      <c r="LMZ364" s="324"/>
      <c r="LNA364" s="366"/>
      <c r="LNB364" s="269"/>
      <c r="LNC364" s="644"/>
      <c r="LND364" s="271"/>
      <c r="LNE364" s="272"/>
      <c r="LNF364" s="273"/>
      <c r="LNG364" s="274"/>
      <c r="LNH364" s="643"/>
      <c r="LNI364" s="324"/>
      <c r="LNJ364" s="366"/>
      <c r="LNK364" s="269"/>
      <c r="LNL364" s="644"/>
      <c r="LNM364" s="271"/>
      <c r="LNN364" s="272"/>
      <c r="LNO364" s="273"/>
      <c r="LNP364" s="274"/>
      <c r="LNQ364" s="643"/>
      <c r="LNR364" s="324"/>
      <c r="LNS364" s="366"/>
      <c r="LNT364" s="269"/>
      <c r="LNU364" s="644"/>
      <c r="LNV364" s="271"/>
      <c r="LNW364" s="272"/>
      <c r="LNX364" s="273"/>
      <c r="LNY364" s="274"/>
      <c r="LNZ364" s="643"/>
      <c r="LOA364" s="324"/>
      <c r="LOB364" s="366"/>
      <c r="LOC364" s="269"/>
      <c r="LOD364" s="644"/>
      <c r="LOE364" s="271"/>
      <c r="LOF364" s="272"/>
      <c r="LOG364" s="273"/>
      <c r="LOH364" s="274"/>
      <c r="LOI364" s="643"/>
      <c r="LOJ364" s="324"/>
      <c r="LOK364" s="366"/>
      <c r="LOL364" s="269"/>
      <c r="LOM364" s="644"/>
      <c r="LON364" s="271"/>
      <c r="LOO364" s="272"/>
      <c r="LOP364" s="273"/>
      <c r="LOQ364" s="274"/>
      <c r="LOR364" s="643"/>
      <c r="LOS364" s="324"/>
      <c r="LOT364" s="366"/>
      <c r="LOU364" s="269"/>
      <c r="LOV364" s="644"/>
      <c r="LOW364" s="271"/>
      <c r="LOX364" s="272"/>
      <c r="LOY364" s="273"/>
      <c r="LOZ364" s="274"/>
      <c r="LPA364" s="643"/>
      <c r="LPB364" s="324"/>
      <c r="LPC364" s="366"/>
      <c r="LPD364" s="269"/>
      <c r="LPE364" s="644"/>
      <c r="LPF364" s="271"/>
      <c r="LPG364" s="272"/>
      <c r="LPH364" s="273"/>
      <c r="LPI364" s="274"/>
      <c r="LPJ364" s="643"/>
      <c r="LPK364" s="324"/>
      <c r="LPL364" s="366"/>
      <c r="LPM364" s="269"/>
      <c r="LPN364" s="644"/>
      <c r="LPO364" s="271"/>
      <c r="LPP364" s="272"/>
      <c r="LPQ364" s="273"/>
      <c r="LPR364" s="274"/>
      <c r="LPS364" s="643"/>
      <c r="LPT364" s="324"/>
      <c r="LPU364" s="366"/>
      <c r="LPV364" s="269"/>
      <c r="LPW364" s="644"/>
      <c r="LPX364" s="271"/>
      <c r="LPY364" s="272"/>
      <c r="LPZ364" s="273"/>
      <c r="LQA364" s="274"/>
      <c r="LQB364" s="643"/>
      <c r="LQC364" s="324"/>
      <c r="LQD364" s="366"/>
      <c r="LQE364" s="269"/>
      <c r="LQF364" s="644"/>
      <c r="LQG364" s="271"/>
      <c r="LQH364" s="272"/>
      <c r="LQI364" s="273"/>
      <c r="LQJ364" s="274"/>
      <c r="LQK364" s="643"/>
      <c r="LQL364" s="324"/>
      <c r="LQM364" s="366"/>
      <c r="LQN364" s="269"/>
      <c r="LQO364" s="644"/>
      <c r="LQP364" s="271"/>
      <c r="LQQ364" s="272"/>
      <c r="LQR364" s="273"/>
      <c r="LQS364" s="274"/>
      <c r="LQT364" s="643"/>
      <c r="LQU364" s="324"/>
      <c r="LQV364" s="366"/>
      <c r="LQW364" s="269"/>
      <c r="LQX364" s="644"/>
      <c r="LQY364" s="271"/>
      <c r="LQZ364" s="272"/>
      <c r="LRA364" s="273"/>
      <c r="LRB364" s="274"/>
      <c r="LRC364" s="643"/>
      <c r="LRD364" s="324"/>
      <c r="LRE364" s="366"/>
      <c r="LRF364" s="269"/>
      <c r="LRG364" s="644"/>
      <c r="LRH364" s="271"/>
      <c r="LRI364" s="272"/>
      <c r="LRJ364" s="273"/>
      <c r="LRK364" s="274"/>
      <c r="LRL364" s="643"/>
      <c r="LRM364" s="324"/>
      <c r="LRN364" s="366"/>
      <c r="LRO364" s="269"/>
      <c r="LRP364" s="644"/>
      <c r="LRQ364" s="271"/>
      <c r="LRR364" s="272"/>
      <c r="LRS364" s="273"/>
      <c r="LRT364" s="274"/>
      <c r="LRU364" s="643"/>
      <c r="LRV364" s="324"/>
      <c r="LRW364" s="366"/>
      <c r="LRX364" s="269"/>
      <c r="LRY364" s="644"/>
      <c r="LRZ364" s="271"/>
      <c r="LSA364" s="272"/>
      <c r="LSB364" s="273"/>
      <c r="LSC364" s="274"/>
      <c r="LSD364" s="643"/>
      <c r="LSE364" s="324"/>
      <c r="LSF364" s="366"/>
      <c r="LSG364" s="269"/>
      <c r="LSH364" s="644"/>
      <c r="LSI364" s="271"/>
      <c r="LSJ364" s="272"/>
      <c r="LSK364" s="273"/>
      <c r="LSL364" s="274"/>
      <c r="LSM364" s="643"/>
      <c r="LSN364" s="324"/>
      <c r="LSO364" s="366"/>
      <c r="LSP364" s="269"/>
      <c r="LSQ364" s="644"/>
      <c r="LSR364" s="271"/>
      <c r="LSS364" s="272"/>
      <c r="LST364" s="273"/>
      <c r="LSU364" s="274"/>
      <c r="LSV364" s="643"/>
      <c r="LSW364" s="324"/>
      <c r="LSX364" s="366"/>
      <c r="LSY364" s="269"/>
      <c r="LSZ364" s="644"/>
      <c r="LTA364" s="271"/>
      <c r="LTB364" s="272"/>
      <c r="LTC364" s="273"/>
      <c r="LTD364" s="274"/>
      <c r="LTE364" s="643"/>
      <c r="LTF364" s="324"/>
      <c r="LTG364" s="366"/>
      <c r="LTH364" s="269"/>
      <c r="LTI364" s="644"/>
      <c r="LTJ364" s="271"/>
      <c r="LTK364" s="272"/>
      <c r="LTL364" s="273"/>
      <c r="LTM364" s="274"/>
      <c r="LTN364" s="643"/>
      <c r="LTO364" s="324"/>
      <c r="LTP364" s="366"/>
      <c r="LTQ364" s="269"/>
      <c r="LTR364" s="644"/>
      <c r="LTS364" s="271"/>
      <c r="LTT364" s="272"/>
      <c r="LTU364" s="273"/>
      <c r="LTV364" s="274"/>
      <c r="LTW364" s="643"/>
      <c r="LTX364" s="324"/>
      <c r="LTY364" s="366"/>
      <c r="LTZ364" s="269"/>
      <c r="LUA364" s="644"/>
      <c r="LUB364" s="271"/>
      <c r="LUC364" s="272"/>
      <c r="LUD364" s="273"/>
      <c r="LUE364" s="274"/>
      <c r="LUF364" s="643"/>
      <c r="LUG364" s="324"/>
      <c r="LUH364" s="366"/>
      <c r="LUI364" s="269"/>
      <c r="LUJ364" s="644"/>
      <c r="LUK364" s="271"/>
      <c r="LUL364" s="272"/>
      <c r="LUM364" s="273"/>
      <c r="LUN364" s="274"/>
      <c r="LUO364" s="643"/>
      <c r="LUP364" s="324"/>
      <c r="LUQ364" s="366"/>
      <c r="LUR364" s="269"/>
      <c r="LUS364" s="644"/>
      <c r="LUT364" s="271"/>
      <c r="LUU364" s="272"/>
      <c r="LUV364" s="273"/>
      <c r="LUW364" s="274"/>
      <c r="LUX364" s="643"/>
      <c r="LUY364" s="324"/>
      <c r="LUZ364" s="366"/>
      <c r="LVA364" s="269"/>
      <c r="LVB364" s="644"/>
      <c r="LVC364" s="271"/>
      <c r="LVD364" s="272"/>
      <c r="LVE364" s="273"/>
      <c r="LVF364" s="274"/>
      <c r="LVG364" s="643"/>
      <c r="LVH364" s="324"/>
      <c r="LVI364" s="366"/>
      <c r="LVJ364" s="269"/>
      <c r="LVK364" s="644"/>
      <c r="LVL364" s="271"/>
      <c r="LVM364" s="272"/>
      <c r="LVN364" s="273"/>
      <c r="LVO364" s="274"/>
      <c r="LVP364" s="643"/>
      <c r="LVQ364" s="324"/>
      <c r="LVR364" s="366"/>
      <c r="LVS364" s="269"/>
      <c r="LVT364" s="644"/>
      <c r="LVU364" s="271"/>
      <c r="LVV364" s="272"/>
      <c r="LVW364" s="273"/>
      <c r="LVX364" s="274"/>
      <c r="LVY364" s="643"/>
      <c r="LVZ364" s="324"/>
      <c r="LWA364" s="366"/>
      <c r="LWB364" s="269"/>
      <c r="LWC364" s="644"/>
      <c r="LWD364" s="271"/>
      <c r="LWE364" s="272"/>
      <c r="LWF364" s="273"/>
      <c r="LWG364" s="274"/>
      <c r="LWH364" s="643"/>
      <c r="LWI364" s="324"/>
      <c r="LWJ364" s="366"/>
      <c r="LWK364" s="269"/>
      <c r="LWL364" s="644"/>
      <c r="LWM364" s="271"/>
      <c r="LWN364" s="272"/>
      <c r="LWO364" s="273"/>
      <c r="LWP364" s="274"/>
      <c r="LWQ364" s="643"/>
      <c r="LWR364" s="324"/>
      <c r="LWS364" s="366"/>
      <c r="LWT364" s="269"/>
      <c r="LWU364" s="644"/>
      <c r="LWV364" s="271"/>
      <c r="LWW364" s="272"/>
      <c r="LWX364" s="273"/>
      <c r="LWY364" s="274"/>
      <c r="LWZ364" s="643"/>
      <c r="LXA364" s="324"/>
      <c r="LXB364" s="366"/>
      <c r="LXC364" s="269"/>
      <c r="LXD364" s="644"/>
      <c r="LXE364" s="271"/>
      <c r="LXF364" s="272"/>
      <c r="LXG364" s="273"/>
      <c r="LXH364" s="274"/>
      <c r="LXI364" s="643"/>
      <c r="LXJ364" s="324"/>
      <c r="LXK364" s="366"/>
      <c r="LXL364" s="269"/>
      <c r="LXM364" s="644"/>
      <c r="LXN364" s="271"/>
      <c r="LXO364" s="272"/>
      <c r="LXP364" s="273"/>
      <c r="LXQ364" s="274"/>
      <c r="LXR364" s="643"/>
      <c r="LXS364" s="324"/>
      <c r="LXT364" s="366"/>
      <c r="LXU364" s="269"/>
      <c r="LXV364" s="644"/>
      <c r="LXW364" s="271"/>
      <c r="LXX364" s="272"/>
      <c r="LXY364" s="273"/>
      <c r="LXZ364" s="274"/>
      <c r="LYA364" s="643"/>
      <c r="LYB364" s="324"/>
      <c r="LYC364" s="366"/>
      <c r="LYD364" s="269"/>
      <c r="LYE364" s="644"/>
      <c r="LYF364" s="271"/>
      <c r="LYG364" s="272"/>
      <c r="LYH364" s="273"/>
      <c r="LYI364" s="274"/>
      <c r="LYJ364" s="643"/>
      <c r="LYK364" s="324"/>
      <c r="LYL364" s="366"/>
      <c r="LYM364" s="269"/>
      <c r="LYN364" s="644"/>
      <c r="LYO364" s="271"/>
      <c r="LYP364" s="272"/>
      <c r="LYQ364" s="273"/>
      <c r="LYR364" s="274"/>
      <c r="LYS364" s="643"/>
      <c r="LYT364" s="324"/>
      <c r="LYU364" s="366"/>
      <c r="LYV364" s="269"/>
      <c r="LYW364" s="644"/>
      <c r="LYX364" s="271"/>
      <c r="LYY364" s="272"/>
      <c r="LYZ364" s="273"/>
      <c r="LZA364" s="274"/>
      <c r="LZB364" s="643"/>
      <c r="LZC364" s="324"/>
      <c r="LZD364" s="366"/>
      <c r="LZE364" s="269"/>
      <c r="LZF364" s="644"/>
      <c r="LZG364" s="271"/>
      <c r="LZH364" s="272"/>
      <c r="LZI364" s="273"/>
      <c r="LZJ364" s="274"/>
      <c r="LZK364" s="643"/>
      <c r="LZL364" s="324"/>
      <c r="LZM364" s="366"/>
      <c r="LZN364" s="269"/>
      <c r="LZO364" s="644"/>
      <c r="LZP364" s="271"/>
      <c r="LZQ364" s="272"/>
      <c r="LZR364" s="273"/>
      <c r="LZS364" s="274"/>
      <c r="LZT364" s="643"/>
      <c r="LZU364" s="324"/>
      <c r="LZV364" s="366"/>
      <c r="LZW364" s="269"/>
      <c r="LZX364" s="644"/>
      <c r="LZY364" s="271"/>
      <c r="LZZ364" s="272"/>
      <c r="MAA364" s="273"/>
      <c r="MAB364" s="274"/>
      <c r="MAC364" s="643"/>
      <c r="MAD364" s="324"/>
      <c r="MAE364" s="366"/>
      <c r="MAF364" s="269"/>
      <c r="MAG364" s="644"/>
      <c r="MAH364" s="271"/>
      <c r="MAI364" s="272"/>
      <c r="MAJ364" s="273"/>
      <c r="MAK364" s="274"/>
      <c r="MAL364" s="643"/>
      <c r="MAM364" s="324"/>
      <c r="MAN364" s="366"/>
      <c r="MAO364" s="269"/>
      <c r="MAP364" s="644"/>
      <c r="MAQ364" s="271"/>
      <c r="MAR364" s="272"/>
      <c r="MAS364" s="273"/>
      <c r="MAT364" s="274"/>
      <c r="MAU364" s="643"/>
      <c r="MAV364" s="324"/>
      <c r="MAW364" s="366"/>
      <c r="MAX364" s="269"/>
      <c r="MAY364" s="644"/>
      <c r="MAZ364" s="271"/>
      <c r="MBA364" s="272"/>
      <c r="MBB364" s="273"/>
      <c r="MBC364" s="274"/>
      <c r="MBD364" s="643"/>
      <c r="MBE364" s="324"/>
      <c r="MBF364" s="366"/>
      <c r="MBG364" s="269"/>
      <c r="MBH364" s="644"/>
      <c r="MBI364" s="271"/>
      <c r="MBJ364" s="272"/>
      <c r="MBK364" s="273"/>
      <c r="MBL364" s="274"/>
      <c r="MBM364" s="643"/>
      <c r="MBN364" s="324"/>
      <c r="MBO364" s="366"/>
      <c r="MBP364" s="269"/>
      <c r="MBQ364" s="644"/>
      <c r="MBR364" s="271"/>
      <c r="MBS364" s="272"/>
      <c r="MBT364" s="273"/>
      <c r="MBU364" s="274"/>
      <c r="MBV364" s="643"/>
      <c r="MBW364" s="324"/>
      <c r="MBX364" s="366"/>
      <c r="MBY364" s="269"/>
      <c r="MBZ364" s="644"/>
      <c r="MCA364" s="271"/>
      <c r="MCB364" s="272"/>
      <c r="MCC364" s="273"/>
      <c r="MCD364" s="274"/>
      <c r="MCE364" s="643"/>
      <c r="MCF364" s="324"/>
      <c r="MCG364" s="366"/>
      <c r="MCH364" s="269"/>
      <c r="MCI364" s="644"/>
      <c r="MCJ364" s="271"/>
      <c r="MCK364" s="272"/>
      <c r="MCL364" s="273"/>
      <c r="MCM364" s="274"/>
      <c r="MCN364" s="643"/>
      <c r="MCO364" s="324"/>
      <c r="MCP364" s="366"/>
      <c r="MCQ364" s="269"/>
      <c r="MCR364" s="644"/>
      <c r="MCS364" s="271"/>
      <c r="MCT364" s="272"/>
      <c r="MCU364" s="273"/>
      <c r="MCV364" s="274"/>
      <c r="MCW364" s="643"/>
      <c r="MCX364" s="324"/>
      <c r="MCY364" s="366"/>
      <c r="MCZ364" s="269"/>
      <c r="MDA364" s="644"/>
      <c r="MDB364" s="271"/>
      <c r="MDC364" s="272"/>
      <c r="MDD364" s="273"/>
      <c r="MDE364" s="274"/>
      <c r="MDF364" s="643"/>
      <c r="MDG364" s="324"/>
      <c r="MDH364" s="366"/>
      <c r="MDI364" s="269"/>
      <c r="MDJ364" s="644"/>
      <c r="MDK364" s="271"/>
      <c r="MDL364" s="272"/>
      <c r="MDM364" s="273"/>
      <c r="MDN364" s="274"/>
      <c r="MDO364" s="643"/>
      <c r="MDP364" s="324"/>
      <c r="MDQ364" s="366"/>
      <c r="MDR364" s="269"/>
      <c r="MDS364" s="644"/>
      <c r="MDT364" s="271"/>
      <c r="MDU364" s="272"/>
      <c r="MDV364" s="273"/>
      <c r="MDW364" s="274"/>
      <c r="MDX364" s="643"/>
      <c r="MDY364" s="324"/>
      <c r="MDZ364" s="366"/>
      <c r="MEA364" s="269"/>
      <c r="MEB364" s="644"/>
      <c r="MEC364" s="271"/>
      <c r="MED364" s="272"/>
      <c r="MEE364" s="273"/>
      <c r="MEF364" s="274"/>
      <c r="MEG364" s="643"/>
      <c r="MEH364" s="324"/>
      <c r="MEI364" s="366"/>
      <c r="MEJ364" s="269"/>
      <c r="MEK364" s="644"/>
      <c r="MEL364" s="271"/>
      <c r="MEM364" s="272"/>
      <c r="MEN364" s="273"/>
      <c r="MEO364" s="274"/>
      <c r="MEP364" s="643"/>
      <c r="MEQ364" s="324"/>
      <c r="MER364" s="366"/>
      <c r="MES364" s="269"/>
      <c r="MET364" s="644"/>
      <c r="MEU364" s="271"/>
      <c r="MEV364" s="272"/>
      <c r="MEW364" s="273"/>
      <c r="MEX364" s="274"/>
      <c r="MEY364" s="643"/>
      <c r="MEZ364" s="324"/>
      <c r="MFA364" s="366"/>
      <c r="MFB364" s="269"/>
      <c r="MFC364" s="644"/>
      <c r="MFD364" s="271"/>
      <c r="MFE364" s="272"/>
      <c r="MFF364" s="273"/>
      <c r="MFG364" s="274"/>
      <c r="MFH364" s="643"/>
      <c r="MFI364" s="324"/>
      <c r="MFJ364" s="366"/>
      <c r="MFK364" s="269"/>
      <c r="MFL364" s="644"/>
      <c r="MFM364" s="271"/>
      <c r="MFN364" s="272"/>
      <c r="MFO364" s="273"/>
      <c r="MFP364" s="274"/>
      <c r="MFQ364" s="643"/>
      <c r="MFR364" s="324"/>
      <c r="MFS364" s="366"/>
      <c r="MFT364" s="269"/>
      <c r="MFU364" s="644"/>
      <c r="MFV364" s="271"/>
      <c r="MFW364" s="272"/>
      <c r="MFX364" s="273"/>
      <c r="MFY364" s="274"/>
      <c r="MFZ364" s="643"/>
      <c r="MGA364" s="324"/>
      <c r="MGB364" s="366"/>
      <c r="MGC364" s="269"/>
      <c r="MGD364" s="644"/>
      <c r="MGE364" s="271"/>
      <c r="MGF364" s="272"/>
      <c r="MGG364" s="273"/>
      <c r="MGH364" s="274"/>
      <c r="MGI364" s="643"/>
      <c r="MGJ364" s="324"/>
      <c r="MGK364" s="366"/>
      <c r="MGL364" s="269"/>
      <c r="MGM364" s="644"/>
      <c r="MGN364" s="271"/>
      <c r="MGO364" s="272"/>
      <c r="MGP364" s="273"/>
      <c r="MGQ364" s="274"/>
      <c r="MGR364" s="643"/>
      <c r="MGS364" s="324"/>
      <c r="MGT364" s="366"/>
      <c r="MGU364" s="269"/>
      <c r="MGV364" s="644"/>
      <c r="MGW364" s="271"/>
      <c r="MGX364" s="272"/>
      <c r="MGY364" s="273"/>
      <c r="MGZ364" s="274"/>
      <c r="MHA364" s="643"/>
      <c r="MHB364" s="324"/>
      <c r="MHC364" s="366"/>
      <c r="MHD364" s="269"/>
      <c r="MHE364" s="644"/>
      <c r="MHF364" s="271"/>
      <c r="MHG364" s="272"/>
      <c r="MHH364" s="273"/>
      <c r="MHI364" s="274"/>
      <c r="MHJ364" s="643"/>
      <c r="MHK364" s="324"/>
      <c r="MHL364" s="366"/>
      <c r="MHM364" s="269"/>
      <c r="MHN364" s="644"/>
      <c r="MHO364" s="271"/>
      <c r="MHP364" s="272"/>
      <c r="MHQ364" s="273"/>
      <c r="MHR364" s="274"/>
      <c r="MHS364" s="643"/>
      <c r="MHT364" s="324"/>
      <c r="MHU364" s="366"/>
      <c r="MHV364" s="269"/>
      <c r="MHW364" s="644"/>
      <c r="MHX364" s="271"/>
      <c r="MHY364" s="272"/>
      <c r="MHZ364" s="273"/>
      <c r="MIA364" s="274"/>
      <c r="MIB364" s="643"/>
      <c r="MIC364" s="324"/>
      <c r="MID364" s="366"/>
      <c r="MIE364" s="269"/>
      <c r="MIF364" s="644"/>
      <c r="MIG364" s="271"/>
      <c r="MIH364" s="272"/>
      <c r="MII364" s="273"/>
      <c r="MIJ364" s="274"/>
      <c r="MIK364" s="643"/>
      <c r="MIL364" s="324"/>
      <c r="MIM364" s="366"/>
      <c r="MIN364" s="269"/>
      <c r="MIO364" s="644"/>
      <c r="MIP364" s="271"/>
      <c r="MIQ364" s="272"/>
      <c r="MIR364" s="273"/>
      <c r="MIS364" s="274"/>
      <c r="MIT364" s="643"/>
      <c r="MIU364" s="324"/>
      <c r="MIV364" s="366"/>
      <c r="MIW364" s="269"/>
      <c r="MIX364" s="644"/>
      <c r="MIY364" s="271"/>
      <c r="MIZ364" s="272"/>
      <c r="MJA364" s="273"/>
      <c r="MJB364" s="274"/>
      <c r="MJC364" s="643"/>
      <c r="MJD364" s="324"/>
      <c r="MJE364" s="366"/>
      <c r="MJF364" s="269"/>
      <c r="MJG364" s="644"/>
      <c r="MJH364" s="271"/>
      <c r="MJI364" s="272"/>
      <c r="MJJ364" s="273"/>
      <c r="MJK364" s="274"/>
      <c r="MJL364" s="643"/>
      <c r="MJM364" s="324"/>
      <c r="MJN364" s="366"/>
      <c r="MJO364" s="269"/>
      <c r="MJP364" s="644"/>
      <c r="MJQ364" s="271"/>
      <c r="MJR364" s="272"/>
      <c r="MJS364" s="273"/>
      <c r="MJT364" s="274"/>
      <c r="MJU364" s="643"/>
      <c r="MJV364" s="324"/>
      <c r="MJW364" s="366"/>
      <c r="MJX364" s="269"/>
      <c r="MJY364" s="644"/>
      <c r="MJZ364" s="271"/>
      <c r="MKA364" s="272"/>
      <c r="MKB364" s="273"/>
      <c r="MKC364" s="274"/>
      <c r="MKD364" s="643"/>
      <c r="MKE364" s="324"/>
      <c r="MKF364" s="366"/>
      <c r="MKG364" s="269"/>
      <c r="MKH364" s="644"/>
      <c r="MKI364" s="271"/>
      <c r="MKJ364" s="272"/>
      <c r="MKK364" s="273"/>
      <c r="MKL364" s="274"/>
      <c r="MKM364" s="643"/>
      <c r="MKN364" s="324"/>
      <c r="MKO364" s="366"/>
      <c r="MKP364" s="269"/>
      <c r="MKQ364" s="644"/>
      <c r="MKR364" s="271"/>
      <c r="MKS364" s="272"/>
      <c r="MKT364" s="273"/>
      <c r="MKU364" s="274"/>
      <c r="MKV364" s="643"/>
      <c r="MKW364" s="324"/>
      <c r="MKX364" s="366"/>
      <c r="MKY364" s="269"/>
      <c r="MKZ364" s="644"/>
      <c r="MLA364" s="271"/>
      <c r="MLB364" s="272"/>
      <c r="MLC364" s="273"/>
      <c r="MLD364" s="274"/>
      <c r="MLE364" s="643"/>
      <c r="MLF364" s="324"/>
      <c r="MLG364" s="366"/>
      <c r="MLH364" s="269"/>
      <c r="MLI364" s="644"/>
      <c r="MLJ364" s="271"/>
      <c r="MLK364" s="272"/>
      <c r="MLL364" s="273"/>
      <c r="MLM364" s="274"/>
      <c r="MLN364" s="643"/>
      <c r="MLO364" s="324"/>
      <c r="MLP364" s="366"/>
      <c r="MLQ364" s="269"/>
      <c r="MLR364" s="644"/>
      <c r="MLS364" s="271"/>
      <c r="MLT364" s="272"/>
      <c r="MLU364" s="273"/>
      <c r="MLV364" s="274"/>
      <c r="MLW364" s="643"/>
      <c r="MLX364" s="324"/>
      <c r="MLY364" s="366"/>
      <c r="MLZ364" s="269"/>
      <c r="MMA364" s="644"/>
      <c r="MMB364" s="271"/>
      <c r="MMC364" s="272"/>
      <c r="MMD364" s="273"/>
      <c r="MME364" s="274"/>
      <c r="MMF364" s="643"/>
      <c r="MMG364" s="324"/>
      <c r="MMH364" s="366"/>
      <c r="MMI364" s="269"/>
      <c r="MMJ364" s="644"/>
      <c r="MMK364" s="271"/>
      <c r="MML364" s="272"/>
      <c r="MMM364" s="273"/>
      <c r="MMN364" s="274"/>
      <c r="MMO364" s="643"/>
      <c r="MMP364" s="324"/>
      <c r="MMQ364" s="366"/>
      <c r="MMR364" s="269"/>
      <c r="MMS364" s="644"/>
      <c r="MMT364" s="271"/>
      <c r="MMU364" s="272"/>
      <c r="MMV364" s="273"/>
      <c r="MMW364" s="274"/>
      <c r="MMX364" s="643"/>
      <c r="MMY364" s="324"/>
      <c r="MMZ364" s="366"/>
      <c r="MNA364" s="269"/>
      <c r="MNB364" s="644"/>
      <c r="MNC364" s="271"/>
      <c r="MND364" s="272"/>
      <c r="MNE364" s="273"/>
      <c r="MNF364" s="274"/>
      <c r="MNG364" s="643"/>
      <c r="MNH364" s="324"/>
      <c r="MNI364" s="366"/>
      <c r="MNJ364" s="269"/>
      <c r="MNK364" s="644"/>
      <c r="MNL364" s="271"/>
      <c r="MNM364" s="272"/>
      <c r="MNN364" s="273"/>
      <c r="MNO364" s="274"/>
      <c r="MNP364" s="643"/>
      <c r="MNQ364" s="324"/>
      <c r="MNR364" s="366"/>
      <c r="MNS364" s="269"/>
      <c r="MNT364" s="644"/>
      <c r="MNU364" s="271"/>
      <c r="MNV364" s="272"/>
      <c r="MNW364" s="273"/>
      <c r="MNX364" s="274"/>
      <c r="MNY364" s="643"/>
      <c r="MNZ364" s="324"/>
      <c r="MOA364" s="366"/>
      <c r="MOB364" s="269"/>
      <c r="MOC364" s="644"/>
      <c r="MOD364" s="271"/>
      <c r="MOE364" s="272"/>
      <c r="MOF364" s="273"/>
      <c r="MOG364" s="274"/>
      <c r="MOH364" s="643"/>
      <c r="MOI364" s="324"/>
      <c r="MOJ364" s="366"/>
      <c r="MOK364" s="269"/>
      <c r="MOL364" s="644"/>
      <c r="MOM364" s="271"/>
      <c r="MON364" s="272"/>
      <c r="MOO364" s="273"/>
      <c r="MOP364" s="274"/>
      <c r="MOQ364" s="643"/>
      <c r="MOR364" s="324"/>
      <c r="MOS364" s="366"/>
      <c r="MOT364" s="269"/>
      <c r="MOU364" s="644"/>
      <c r="MOV364" s="271"/>
      <c r="MOW364" s="272"/>
      <c r="MOX364" s="273"/>
      <c r="MOY364" s="274"/>
      <c r="MOZ364" s="643"/>
      <c r="MPA364" s="324"/>
      <c r="MPB364" s="366"/>
      <c r="MPC364" s="269"/>
      <c r="MPD364" s="644"/>
      <c r="MPE364" s="271"/>
      <c r="MPF364" s="272"/>
      <c r="MPG364" s="273"/>
      <c r="MPH364" s="274"/>
      <c r="MPI364" s="643"/>
      <c r="MPJ364" s="324"/>
      <c r="MPK364" s="366"/>
      <c r="MPL364" s="269"/>
      <c r="MPM364" s="644"/>
      <c r="MPN364" s="271"/>
      <c r="MPO364" s="272"/>
      <c r="MPP364" s="273"/>
      <c r="MPQ364" s="274"/>
      <c r="MPR364" s="643"/>
      <c r="MPS364" s="324"/>
      <c r="MPT364" s="366"/>
      <c r="MPU364" s="269"/>
      <c r="MPV364" s="644"/>
      <c r="MPW364" s="271"/>
      <c r="MPX364" s="272"/>
      <c r="MPY364" s="273"/>
      <c r="MPZ364" s="274"/>
      <c r="MQA364" s="643"/>
      <c r="MQB364" s="324"/>
      <c r="MQC364" s="366"/>
      <c r="MQD364" s="269"/>
      <c r="MQE364" s="644"/>
      <c r="MQF364" s="271"/>
      <c r="MQG364" s="272"/>
      <c r="MQH364" s="273"/>
      <c r="MQI364" s="274"/>
      <c r="MQJ364" s="643"/>
      <c r="MQK364" s="324"/>
      <c r="MQL364" s="366"/>
      <c r="MQM364" s="269"/>
      <c r="MQN364" s="644"/>
      <c r="MQO364" s="271"/>
      <c r="MQP364" s="272"/>
      <c r="MQQ364" s="273"/>
      <c r="MQR364" s="274"/>
      <c r="MQS364" s="643"/>
      <c r="MQT364" s="324"/>
      <c r="MQU364" s="366"/>
      <c r="MQV364" s="269"/>
      <c r="MQW364" s="644"/>
      <c r="MQX364" s="271"/>
      <c r="MQY364" s="272"/>
      <c r="MQZ364" s="273"/>
      <c r="MRA364" s="274"/>
      <c r="MRB364" s="643"/>
      <c r="MRC364" s="324"/>
      <c r="MRD364" s="366"/>
      <c r="MRE364" s="269"/>
      <c r="MRF364" s="644"/>
      <c r="MRG364" s="271"/>
      <c r="MRH364" s="272"/>
      <c r="MRI364" s="273"/>
      <c r="MRJ364" s="274"/>
      <c r="MRK364" s="643"/>
      <c r="MRL364" s="324"/>
      <c r="MRM364" s="366"/>
      <c r="MRN364" s="269"/>
      <c r="MRO364" s="644"/>
      <c r="MRP364" s="271"/>
      <c r="MRQ364" s="272"/>
      <c r="MRR364" s="273"/>
      <c r="MRS364" s="274"/>
      <c r="MRT364" s="643"/>
      <c r="MRU364" s="324"/>
      <c r="MRV364" s="366"/>
      <c r="MRW364" s="269"/>
      <c r="MRX364" s="644"/>
      <c r="MRY364" s="271"/>
      <c r="MRZ364" s="272"/>
      <c r="MSA364" s="273"/>
      <c r="MSB364" s="274"/>
      <c r="MSC364" s="643"/>
      <c r="MSD364" s="324"/>
      <c r="MSE364" s="366"/>
      <c r="MSF364" s="269"/>
      <c r="MSG364" s="644"/>
      <c r="MSH364" s="271"/>
      <c r="MSI364" s="272"/>
      <c r="MSJ364" s="273"/>
      <c r="MSK364" s="274"/>
      <c r="MSL364" s="643"/>
      <c r="MSM364" s="324"/>
      <c r="MSN364" s="366"/>
      <c r="MSO364" s="269"/>
      <c r="MSP364" s="644"/>
      <c r="MSQ364" s="271"/>
      <c r="MSR364" s="272"/>
      <c r="MSS364" s="273"/>
      <c r="MST364" s="274"/>
      <c r="MSU364" s="643"/>
      <c r="MSV364" s="324"/>
      <c r="MSW364" s="366"/>
      <c r="MSX364" s="269"/>
      <c r="MSY364" s="644"/>
      <c r="MSZ364" s="271"/>
      <c r="MTA364" s="272"/>
      <c r="MTB364" s="273"/>
      <c r="MTC364" s="274"/>
      <c r="MTD364" s="643"/>
      <c r="MTE364" s="324"/>
      <c r="MTF364" s="366"/>
      <c r="MTG364" s="269"/>
      <c r="MTH364" s="644"/>
      <c r="MTI364" s="271"/>
      <c r="MTJ364" s="272"/>
      <c r="MTK364" s="273"/>
      <c r="MTL364" s="274"/>
      <c r="MTM364" s="643"/>
      <c r="MTN364" s="324"/>
      <c r="MTO364" s="366"/>
      <c r="MTP364" s="269"/>
      <c r="MTQ364" s="644"/>
      <c r="MTR364" s="271"/>
      <c r="MTS364" s="272"/>
      <c r="MTT364" s="273"/>
      <c r="MTU364" s="274"/>
      <c r="MTV364" s="643"/>
      <c r="MTW364" s="324"/>
      <c r="MTX364" s="366"/>
      <c r="MTY364" s="269"/>
      <c r="MTZ364" s="644"/>
      <c r="MUA364" s="271"/>
      <c r="MUB364" s="272"/>
      <c r="MUC364" s="273"/>
      <c r="MUD364" s="274"/>
      <c r="MUE364" s="643"/>
      <c r="MUF364" s="324"/>
      <c r="MUG364" s="366"/>
      <c r="MUH364" s="269"/>
      <c r="MUI364" s="644"/>
      <c r="MUJ364" s="271"/>
      <c r="MUK364" s="272"/>
      <c r="MUL364" s="273"/>
      <c r="MUM364" s="274"/>
      <c r="MUN364" s="643"/>
      <c r="MUO364" s="324"/>
      <c r="MUP364" s="366"/>
      <c r="MUQ364" s="269"/>
      <c r="MUR364" s="644"/>
      <c r="MUS364" s="271"/>
      <c r="MUT364" s="272"/>
      <c r="MUU364" s="273"/>
      <c r="MUV364" s="274"/>
      <c r="MUW364" s="643"/>
      <c r="MUX364" s="324"/>
      <c r="MUY364" s="366"/>
      <c r="MUZ364" s="269"/>
      <c r="MVA364" s="644"/>
      <c r="MVB364" s="271"/>
      <c r="MVC364" s="272"/>
      <c r="MVD364" s="273"/>
      <c r="MVE364" s="274"/>
      <c r="MVF364" s="643"/>
      <c r="MVG364" s="324"/>
      <c r="MVH364" s="366"/>
      <c r="MVI364" s="269"/>
      <c r="MVJ364" s="644"/>
      <c r="MVK364" s="271"/>
      <c r="MVL364" s="272"/>
      <c r="MVM364" s="273"/>
      <c r="MVN364" s="274"/>
      <c r="MVO364" s="643"/>
      <c r="MVP364" s="324"/>
      <c r="MVQ364" s="366"/>
      <c r="MVR364" s="269"/>
      <c r="MVS364" s="644"/>
      <c r="MVT364" s="271"/>
      <c r="MVU364" s="272"/>
      <c r="MVV364" s="273"/>
      <c r="MVW364" s="274"/>
      <c r="MVX364" s="643"/>
      <c r="MVY364" s="324"/>
      <c r="MVZ364" s="366"/>
      <c r="MWA364" s="269"/>
      <c r="MWB364" s="644"/>
      <c r="MWC364" s="271"/>
      <c r="MWD364" s="272"/>
      <c r="MWE364" s="273"/>
      <c r="MWF364" s="274"/>
      <c r="MWG364" s="643"/>
      <c r="MWH364" s="324"/>
      <c r="MWI364" s="366"/>
      <c r="MWJ364" s="269"/>
      <c r="MWK364" s="644"/>
      <c r="MWL364" s="271"/>
      <c r="MWM364" s="272"/>
      <c r="MWN364" s="273"/>
      <c r="MWO364" s="274"/>
      <c r="MWP364" s="643"/>
      <c r="MWQ364" s="324"/>
      <c r="MWR364" s="366"/>
      <c r="MWS364" s="269"/>
      <c r="MWT364" s="644"/>
      <c r="MWU364" s="271"/>
      <c r="MWV364" s="272"/>
      <c r="MWW364" s="273"/>
      <c r="MWX364" s="274"/>
      <c r="MWY364" s="643"/>
      <c r="MWZ364" s="324"/>
      <c r="MXA364" s="366"/>
      <c r="MXB364" s="269"/>
      <c r="MXC364" s="644"/>
      <c r="MXD364" s="271"/>
      <c r="MXE364" s="272"/>
      <c r="MXF364" s="273"/>
      <c r="MXG364" s="274"/>
      <c r="MXH364" s="643"/>
      <c r="MXI364" s="324"/>
      <c r="MXJ364" s="366"/>
      <c r="MXK364" s="269"/>
      <c r="MXL364" s="644"/>
      <c r="MXM364" s="271"/>
      <c r="MXN364" s="272"/>
      <c r="MXO364" s="273"/>
      <c r="MXP364" s="274"/>
      <c r="MXQ364" s="643"/>
      <c r="MXR364" s="324"/>
      <c r="MXS364" s="366"/>
      <c r="MXT364" s="269"/>
      <c r="MXU364" s="644"/>
      <c r="MXV364" s="271"/>
      <c r="MXW364" s="272"/>
      <c r="MXX364" s="273"/>
      <c r="MXY364" s="274"/>
      <c r="MXZ364" s="643"/>
      <c r="MYA364" s="324"/>
      <c r="MYB364" s="366"/>
      <c r="MYC364" s="269"/>
      <c r="MYD364" s="644"/>
      <c r="MYE364" s="271"/>
      <c r="MYF364" s="272"/>
      <c r="MYG364" s="273"/>
      <c r="MYH364" s="274"/>
      <c r="MYI364" s="643"/>
      <c r="MYJ364" s="324"/>
      <c r="MYK364" s="366"/>
      <c r="MYL364" s="269"/>
      <c r="MYM364" s="644"/>
      <c r="MYN364" s="271"/>
      <c r="MYO364" s="272"/>
      <c r="MYP364" s="273"/>
      <c r="MYQ364" s="274"/>
      <c r="MYR364" s="643"/>
      <c r="MYS364" s="324"/>
      <c r="MYT364" s="366"/>
      <c r="MYU364" s="269"/>
      <c r="MYV364" s="644"/>
      <c r="MYW364" s="271"/>
      <c r="MYX364" s="272"/>
      <c r="MYY364" s="273"/>
      <c r="MYZ364" s="274"/>
      <c r="MZA364" s="643"/>
      <c r="MZB364" s="324"/>
      <c r="MZC364" s="366"/>
      <c r="MZD364" s="269"/>
      <c r="MZE364" s="644"/>
      <c r="MZF364" s="271"/>
      <c r="MZG364" s="272"/>
      <c r="MZH364" s="273"/>
      <c r="MZI364" s="274"/>
      <c r="MZJ364" s="643"/>
      <c r="MZK364" s="324"/>
      <c r="MZL364" s="366"/>
      <c r="MZM364" s="269"/>
      <c r="MZN364" s="644"/>
      <c r="MZO364" s="271"/>
      <c r="MZP364" s="272"/>
      <c r="MZQ364" s="273"/>
      <c r="MZR364" s="274"/>
      <c r="MZS364" s="643"/>
      <c r="MZT364" s="324"/>
      <c r="MZU364" s="366"/>
      <c r="MZV364" s="269"/>
      <c r="MZW364" s="644"/>
      <c r="MZX364" s="271"/>
      <c r="MZY364" s="272"/>
      <c r="MZZ364" s="273"/>
      <c r="NAA364" s="274"/>
      <c r="NAB364" s="643"/>
      <c r="NAC364" s="324"/>
      <c r="NAD364" s="366"/>
      <c r="NAE364" s="269"/>
      <c r="NAF364" s="644"/>
      <c r="NAG364" s="271"/>
      <c r="NAH364" s="272"/>
      <c r="NAI364" s="273"/>
      <c r="NAJ364" s="274"/>
      <c r="NAK364" s="643"/>
      <c r="NAL364" s="324"/>
      <c r="NAM364" s="366"/>
      <c r="NAN364" s="269"/>
      <c r="NAO364" s="644"/>
      <c r="NAP364" s="271"/>
      <c r="NAQ364" s="272"/>
      <c r="NAR364" s="273"/>
      <c r="NAS364" s="274"/>
      <c r="NAT364" s="643"/>
      <c r="NAU364" s="324"/>
      <c r="NAV364" s="366"/>
      <c r="NAW364" s="269"/>
      <c r="NAX364" s="644"/>
      <c r="NAY364" s="271"/>
      <c r="NAZ364" s="272"/>
      <c r="NBA364" s="273"/>
      <c r="NBB364" s="274"/>
      <c r="NBC364" s="643"/>
      <c r="NBD364" s="324"/>
      <c r="NBE364" s="366"/>
      <c r="NBF364" s="269"/>
      <c r="NBG364" s="644"/>
      <c r="NBH364" s="271"/>
      <c r="NBI364" s="272"/>
      <c r="NBJ364" s="273"/>
      <c r="NBK364" s="274"/>
      <c r="NBL364" s="643"/>
      <c r="NBM364" s="324"/>
      <c r="NBN364" s="366"/>
      <c r="NBO364" s="269"/>
      <c r="NBP364" s="644"/>
      <c r="NBQ364" s="271"/>
      <c r="NBR364" s="272"/>
      <c r="NBS364" s="273"/>
      <c r="NBT364" s="274"/>
      <c r="NBU364" s="643"/>
      <c r="NBV364" s="324"/>
      <c r="NBW364" s="366"/>
      <c r="NBX364" s="269"/>
      <c r="NBY364" s="644"/>
      <c r="NBZ364" s="271"/>
      <c r="NCA364" s="272"/>
      <c r="NCB364" s="273"/>
      <c r="NCC364" s="274"/>
      <c r="NCD364" s="643"/>
      <c r="NCE364" s="324"/>
      <c r="NCF364" s="366"/>
      <c r="NCG364" s="269"/>
      <c r="NCH364" s="644"/>
      <c r="NCI364" s="271"/>
      <c r="NCJ364" s="272"/>
      <c r="NCK364" s="273"/>
      <c r="NCL364" s="274"/>
      <c r="NCM364" s="643"/>
      <c r="NCN364" s="324"/>
      <c r="NCO364" s="366"/>
      <c r="NCP364" s="269"/>
      <c r="NCQ364" s="644"/>
      <c r="NCR364" s="271"/>
      <c r="NCS364" s="272"/>
      <c r="NCT364" s="273"/>
      <c r="NCU364" s="274"/>
      <c r="NCV364" s="643"/>
      <c r="NCW364" s="324"/>
      <c r="NCX364" s="366"/>
      <c r="NCY364" s="269"/>
      <c r="NCZ364" s="644"/>
      <c r="NDA364" s="271"/>
      <c r="NDB364" s="272"/>
      <c r="NDC364" s="273"/>
      <c r="NDD364" s="274"/>
      <c r="NDE364" s="643"/>
      <c r="NDF364" s="324"/>
      <c r="NDG364" s="366"/>
      <c r="NDH364" s="269"/>
      <c r="NDI364" s="644"/>
      <c r="NDJ364" s="271"/>
      <c r="NDK364" s="272"/>
      <c r="NDL364" s="273"/>
      <c r="NDM364" s="274"/>
      <c r="NDN364" s="643"/>
      <c r="NDO364" s="324"/>
      <c r="NDP364" s="366"/>
      <c r="NDQ364" s="269"/>
      <c r="NDR364" s="644"/>
      <c r="NDS364" s="271"/>
      <c r="NDT364" s="272"/>
      <c r="NDU364" s="273"/>
      <c r="NDV364" s="274"/>
      <c r="NDW364" s="643"/>
      <c r="NDX364" s="324"/>
      <c r="NDY364" s="366"/>
      <c r="NDZ364" s="269"/>
      <c r="NEA364" s="644"/>
      <c r="NEB364" s="271"/>
      <c r="NEC364" s="272"/>
      <c r="NED364" s="273"/>
      <c r="NEE364" s="274"/>
      <c r="NEF364" s="643"/>
      <c r="NEG364" s="324"/>
      <c r="NEH364" s="366"/>
      <c r="NEI364" s="269"/>
      <c r="NEJ364" s="644"/>
      <c r="NEK364" s="271"/>
      <c r="NEL364" s="272"/>
      <c r="NEM364" s="273"/>
      <c r="NEN364" s="274"/>
      <c r="NEO364" s="643"/>
      <c r="NEP364" s="324"/>
      <c r="NEQ364" s="366"/>
      <c r="NER364" s="269"/>
      <c r="NES364" s="644"/>
      <c r="NET364" s="271"/>
      <c r="NEU364" s="272"/>
      <c r="NEV364" s="273"/>
      <c r="NEW364" s="274"/>
      <c r="NEX364" s="643"/>
      <c r="NEY364" s="324"/>
      <c r="NEZ364" s="366"/>
      <c r="NFA364" s="269"/>
      <c r="NFB364" s="644"/>
      <c r="NFC364" s="271"/>
      <c r="NFD364" s="272"/>
      <c r="NFE364" s="273"/>
      <c r="NFF364" s="274"/>
      <c r="NFG364" s="643"/>
      <c r="NFH364" s="324"/>
      <c r="NFI364" s="366"/>
      <c r="NFJ364" s="269"/>
      <c r="NFK364" s="644"/>
      <c r="NFL364" s="271"/>
      <c r="NFM364" s="272"/>
      <c r="NFN364" s="273"/>
      <c r="NFO364" s="274"/>
      <c r="NFP364" s="643"/>
      <c r="NFQ364" s="324"/>
      <c r="NFR364" s="366"/>
      <c r="NFS364" s="269"/>
      <c r="NFT364" s="644"/>
      <c r="NFU364" s="271"/>
      <c r="NFV364" s="272"/>
      <c r="NFW364" s="273"/>
      <c r="NFX364" s="274"/>
      <c r="NFY364" s="643"/>
      <c r="NFZ364" s="324"/>
      <c r="NGA364" s="366"/>
      <c r="NGB364" s="269"/>
      <c r="NGC364" s="644"/>
      <c r="NGD364" s="271"/>
      <c r="NGE364" s="272"/>
      <c r="NGF364" s="273"/>
      <c r="NGG364" s="274"/>
      <c r="NGH364" s="643"/>
      <c r="NGI364" s="324"/>
      <c r="NGJ364" s="366"/>
      <c r="NGK364" s="269"/>
      <c r="NGL364" s="644"/>
      <c r="NGM364" s="271"/>
      <c r="NGN364" s="272"/>
      <c r="NGO364" s="273"/>
      <c r="NGP364" s="274"/>
      <c r="NGQ364" s="643"/>
      <c r="NGR364" s="324"/>
      <c r="NGS364" s="366"/>
      <c r="NGT364" s="269"/>
      <c r="NGU364" s="644"/>
      <c r="NGV364" s="271"/>
      <c r="NGW364" s="272"/>
      <c r="NGX364" s="273"/>
      <c r="NGY364" s="274"/>
      <c r="NGZ364" s="643"/>
      <c r="NHA364" s="324"/>
      <c r="NHB364" s="366"/>
      <c r="NHC364" s="269"/>
      <c r="NHD364" s="644"/>
      <c r="NHE364" s="271"/>
      <c r="NHF364" s="272"/>
      <c r="NHG364" s="273"/>
      <c r="NHH364" s="274"/>
      <c r="NHI364" s="643"/>
      <c r="NHJ364" s="324"/>
      <c r="NHK364" s="366"/>
      <c r="NHL364" s="269"/>
      <c r="NHM364" s="644"/>
      <c r="NHN364" s="271"/>
      <c r="NHO364" s="272"/>
      <c r="NHP364" s="273"/>
      <c r="NHQ364" s="274"/>
      <c r="NHR364" s="643"/>
      <c r="NHS364" s="324"/>
      <c r="NHT364" s="366"/>
      <c r="NHU364" s="269"/>
      <c r="NHV364" s="644"/>
      <c r="NHW364" s="271"/>
      <c r="NHX364" s="272"/>
      <c r="NHY364" s="273"/>
      <c r="NHZ364" s="274"/>
      <c r="NIA364" s="643"/>
      <c r="NIB364" s="324"/>
      <c r="NIC364" s="366"/>
      <c r="NID364" s="269"/>
      <c r="NIE364" s="644"/>
      <c r="NIF364" s="271"/>
      <c r="NIG364" s="272"/>
      <c r="NIH364" s="273"/>
      <c r="NII364" s="274"/>
      <c r="NIJ364" s="643"/>
      <c r="NIK364" s="324"/>
      <c r="NIL364" s="366"/>
      <c r="NIM364" s="269"/>
      <c r="NIN364" s="644"/>
      <c r="NIO364" s="271"/>
      <c r="NIP364" s="272"/>
      <c r="NIQ364" s="273"/>
      <c r="NIR364" s="274"/>
      <c r="NIS364" s="643"/>
      <c r="NIT364" s="324"/>
      <c r="NIU364" s="366"/>
      <c r="NIV364" s="269"/>
      <c r="NIW364" s="644"/>
      <c r="NIX364" s="271"/>
      <c r="NIY364" s="272"/>
      <c r="NIZ364" s="273"/>
      <c r="NJA364" s="274"/>
      <c r="NJB364" s="643"/>
      <c r="NJC364" s="324"/>
      <c r="NJD364" s="366"/>
      <c r="NJE364" s="269"/>
      <c r="NJF364" s="644"/>
      <c r="NJG364" s="271"/>
      <c r="NJH364" s="272"/>
      <c r="NJI364" s="273"/>
      <c r="NJJ364" s="274"/>
      <c r="NJK364" s="643"/>
      <c r="NJL364" s="324"/>
      <c r="NJM364" s="366"/>
      <c r="NJN364" s="269"/>
      <c r="NJO364" s="644"/>
      <c r="NJP364" s="271"/>
      <c r="NJQ364" s="272"/>
      <c r="NJR364" s="273"/>
      <c r="NJS364" s="274"/>
      <c r="NJT364" s="643"/>
      <c r="NJU364" s="324"/>
      <c r="NJV364" s="366"/>
      <c r="NJW364" s="269"/>
      <c r="NJX364" s="644"/>
      <c r="NJY364" s="271"/>
      <c r="NJZ364" s="272"/>
      <c r="NKA364" s="273"/>
      <c r="NKB364" s="274"/>
      <c r="NKC364" s="643"/>
      <c r="NKD364" s="324"/>
      <c r="NKE364" s="366"/>
      <c r="NKF364" s="269"/>
      <c r="NKG364" s="644"/>
      <c r="NKH364" s="271"/>
      <c r="NKI364" s="272"/>
      <c r="NKJ364" s="273"/>
      <c r="NKK364" s="274"/>
      <c r="NKL364" s="643"/>
      <c r="NKM364" s="324"/>
      <c r="NKN364" s="366"/>
      <c r="NKO364" s="269"/>
      <c r="NKP364" s="644"/>
      <c r="NKQ364" s="271"/>
      <c r="NKR364" s="272"/>
      <c r="NKS364" s="273"/>
      <c r="NKT364" s="274"/>
      <c r="NKU364" s="643"/>
      <c r="NKV364" s="324"/>
      <c r="NKW364" s="366"/>
      <c r="NKX364" s="269"/>
      <c r="NKY364" s="644"/>
      <c r="NKZ364" s="271"/>
      <c r="NLA364" s="272"/>
      <c r="NLB364" s="273"/>
      <c r="NLC364" s="274"/>
      <c r="NLD364" s="643"/>
      <c r="NLE364" s="324"/>
      <c r="NLF364" s="366"/>
      <c r="NLG364" s="269"/>
      <c r="NLH364" s="644"/>
      <c r="NLI364" s="271"/>
      <c r="NLJ364" s="272"/>
      <c r="NLK364" s="273"/>
      <c r="NLL364" s="274"/>
      <c r="NLM364" s="643"/>
      <c r="NLN364" s="324"/>
      <c r="NLO364" s="366"/>
      <c r="NLP364" s="269"/>
      <c r="NLQ364" s="644"/>
      <c r="NLR364" s="271"/>
      <c r="NLS364" s="272"/>
      <c r="NLT364" s="273"/>
      <c r="NLU364" s="274"/>
      <c r="NLV364" s="643"/>
      <c r="NLW364" s="324"/>
      <c r="NLX364" s="366"/>
      <c r="NLY364" s="269"/>
      <c r="NLZ364" s="644"/>
      <c r="NMA364" s="271"/>
      <c r="NMB364" s="272"/>
      <c r="NMC364" s="273"/>
      <c r="NMD364" s="274"/>
      <c r="NME364" s="643"/>
      <c r="NMF364" s="324"/>
      <c r="NMG364" s="366"/>
      <c r="NMH364" s="269"/>
      <c r="NMI364" s="644"/>
      <c r="NMJ364" s="271"/>
      <c r="NMK364" s="272"/>
      <c r="NML364" s="273"/>
      <c r="NMM364" s="274"/>
      <c r="NMN364" s="643"/>
      <c r="NMO364" s="324"/>
      <c r="NMP364" s="366"/>
      <c r="NMQ364" s="269"/>
      <c r="NMR364" s="644"/>
      <c r="NMS364" s="271"/>
      <c r="NMT364" s="272"/>
      <c r="NMU364" s="273"/>
      <c r="NMV364" s="274"/>
      <c r="NMW364" s="643"/>
      <c r="NMX364" s="324"/>
      <c r="NMY364" s="366"/>
      <c r="NMZ364" s="269"/>
      <c r="NNA364" s="644"/>
      <c r="NNB364" s="271"/>
      <c r="NNC364" s="272"/>
      <c r="NND364" s="273"/>
      <c r="NNE364" s="274"/>
      <c r="NNF364" s="643"/>
      <c r="NNG364" s="324"/>
      <c r="NNH364" s="366"/>
      <c r="NNI364" s="269"/>
      <c r="NNJ364" s="644"/>
      <c r="NNK364" s="271"/>
      <c r="NNL364" s="272"/>
      <c r="NNM364" s="273"/>
      <c r="NNN364" s="274"/>
      <c r="NNO364" s="643"/>
      <c r="NNP364" s="324"/>
      <c r="NNQ364" s="366"/>
      <c r="NNR364" s="269"/>
      <c r="NNS364" s="644"/>
      <c r="NNT364" s="271"/>
      <c r="NNU364" s="272"/>
      <c r="NNV364" s="273"/>
      <c r="NNW364" s="274"/>
      <c r="NNX364" s="643"/>
      <c r="NNY364" s="324"/>
      <c r="NNZ364" s="366"/>
      <c r="NOA364" s="269"/>
      <c r="NOB364" s="644"/>
      <c r="NOC364" s="271"/>
      <c r="NOD364" s="272"/>
      <c r="NOE364" s="273"/>
      <c r="NOF364" s="274"/>
      <c r="NOG364" s="643"/>
      <c r="NOH364" s="324"/>
      <c r="NOI364" s="366"/>
      <c r="NOJ364" s="269"/>
      <c r="NOK364" s="644"/>
      <c r="NOL364" s="271"/>
      <c r="NOM364" s="272"/>
      <c r="NON364" s="273"/>
      <c r="NOO364" s="274"/>
      <c r="NOP364" s="643"/>
      <c r="NOQ364" s="324"/>
      <c r="NOR364" s="366"/>
      <c r="NOS364" s="269"/>
      <c r="NOT364" s="644"/>
      <c r="NOU364" s="271"/>
      <c r="NOV364" s="272"/>
      <c r="NOW364" s="273"/>
      <c r="NOX364" s="274"/>
      <c r="NOY364" s="643"/>
      <c r="NOZ364" s="324"/>
      <c r="NPA364" s="366"/>
      <c r="NPB364" s="269"/>
      <c r="NPC364" s="644"/>
      <c r="NPD364" s="271"/>
      <c r="NPE364" s="272"/>
      <c r="NPF364" s="273"/>
      <c r="NPG364" s="274"/>
      <c r="NPH364" s="643"/>
      <c r="NPI364" s="324"/>
      <c r="NPJ364" s="366"/>
      <c r="NPK364" s="269"/>
      <c r="NPL364" s="644"/>
      <c r="NPM364" s="271"/>
      <c r="NPN364" s="272"/>
      <c r="NPO364" s="273"/>
      <c r="NPP364" s="274"/>
      <c r="NPQ364" s="643"/>
      <c r="NPR364" s="324"/>
      <c r="NPS364" s="366"/>
      <c r="NPT364" s="269"/>
      <c r="NPU364" s="644"/>
      <c r="NPV364" s="271"/>
      <c r="NPW364" s="272"/>
      <c r="NPX364" s="273"/>
      <c r="NPY364" s="274"/>
      <c r="NPZ364" s="643"/>
      <c r="NQA364" s="324"/>
      <c r="NQB364" s="366"/>
      <c r="NQC364" s="269"/>
      <c r="NQD364" s="644"/>
      <c r="NQE364" s="271"/>
      <c r="NQF364" s="272"/>
      <c r="NQG364" s="273"/>
      <c r="NQH364" s="274"/>
      <c r="NQI364" s="643"/>
      <c r="NQJ364" s="324"/>
      <c r="NQK364" s="366"/>
      <c r="NQL364" s="269"/>
      <c r="NQM364" s="644"/>
      <c r="NQN364" s="271"/>
      <c r="NQO364" s="272"/>
      <c r="NQP364" s="273"/>
      <c r="NQQ364" s="274"/>
      <c r="NQR364" s="643"/>
      <c r="NQS364" s="324"/>
      <c r="NQT364" s="366"/>
      <c r="NQU364" s="269"/>
      <c r="NQV364" s="644"/>
      <c r="NQW364" s="271"/>
      <c r="NQX364" s="272"/>
      <c r="NQY364" s="273"/>
      <c r="NQZ364" s="274"/>
      <c r="NRA364" s="643"/>
      <c r="NRB364" s="324"/>
      <c r="NRC364" s="366"/>
      <c r="NRD364" s="269"/>
      <c r="NRE364" s="644"/>
      <c r="NRF364" s="271"/>
      <c r="NRG364" s="272"/>
      <c r="NRH364" s="273"/>
      <c r="NRI364" s="274"/>
      <c r="NRJ364" s="643"/>
      <c r="NRK364" s="324"/>
      <c r="NRL364" s="366"/>
      <c r="NRM364" s="269"/>
      <c r="NRN364" s="644"/>
      <c r="NRO364" s="271"/>
      <c r="NRP364" s="272"/>
      <c r="NRQ364" s="273"/>
      <c r="NRR364" s="274"/>
      <c r="NRS364" s="643"/>
      <c r="NRT364" s="324"/>
      <c r="NRU364" s="366"/>
      <c r="NRV364" s="269"/>
      <c r="NRW364" s="644"/>
      <c r="NRX364" s="271"/>
      <c r="NRY364" s="272"/>
      <c r="NRZ364" s="273"/>
      <c r="NSA364" s="274"/>
      <c r="NSB364" s="643"/>
      <c r="NSC364" s="324"/>
      <c r="NSD364" s="366"/>
      <c r="NSE364" s="269"/>
      <c r="NSF364" s="644"/>
      <c r="NSG364" s="271"/>
      <c r="NSH364" s="272"/>
      <c r="NSI364" s="273"/>
      <c r="NSJ364" s="274"/>
      <c r="NSK364" s="643"/>
      <c r="NSL364" s="324"/>
      <c r="NSM364" s="366"/>
      <c r="NSN364" s="269"/>
      <c r="NSO364" s="644"/>
      <c r="NSP364" s="271"/>
      <c r="NSQ364" s="272"/>
      <c r="NSR364" s="273"/>
      <c r="NSS364" s="274"/>
      <c r="NST364" s="643"/>
      <c r="NSU364" s="324"/>
      <c r="NSV364" s="366"/>
      <c r="NSW364" s="269"/>
      <c r="NSX364" s="644"/>
      <c r="NSY364" s="271"/>
      <c r="NSZ364" s="272"/>
      <c r="NTA364" s="273"/>
      <c r="NTB364" s="274"/>
      <c r="NTC364" s="643"/>
      <c r="NTD364" s="324"/>
      <c r="NTE364" s="366"/>
      <c r="NTF364" s="269"/>
      <c r="NTG364" s="644"/>
      <c r="NTH364" s="271"/>
      <c r="NTI364" s="272"/>
      <c r="NTJ364" s="273"/>
      <c r="NTK364" s="274"/>
      <c r="NTL364" s="643"/>
      <c r="NTM364" s="324"/>
      <c r="NTN364" s="366"/>
      <c r="NTO364" s="269"/>
      <c r="NTP364" s="644"/>
      <c r="NTQ364" s="271"/>
      <c r="NTR364" s="272"/>
      <c r="NTS364" s="273"/>
      <c r="NTT364" s="274"/>
      <c r="NTU364" s="643"/>
      <c r="NTV364" s="324"/>
      <c r="NTW364" s="366"/>
      <c r="NTX364" s="269"/>
      <c r="NTY364" s="644"/>
      <c r="NTZ364" s="271"/>
      <c r="NUA364" s="272"/>
      <c r="NUB364" s="273"/>
      <c r="NUC364" s="274"/>
      <c r="NUD364" s="643"/>
      <c r="NUE364" s="324"/>
      <c r="NUF364" s="366"/>
      <c r="NUG364" s="269"/>
      <c r="NUH364" s="644"/>
      <c r="NUI364" s="271"/>
      <c r="NUJ364" s="272"/>
      <c r="NUK364" s="273"/>
      <c r="NUL364" s="274"/>
      <c r="NUM364" s="643"/>
      <c r="NUN364" s="324"/>
      <c r="NUO364" s="366"/>
      <c r="NUP364" s="269"/>
      <c r="NUQ364" s="644"/>
      <c r="NUR364" s="271"/>
      <c r="NUS364" s="272"/>
      <c r="NUT364" s="273"/>
      <c r="NUU364" s="274"/>
      <c r="NUV364" s="643"/>
      <c r="NUW364" s="324"/>
      <c r="NUX364" s="366"/>
      <c r="NUY364" s="269"/>
      <c r="NUZ364" s="644"/>
      <c r="NVA364" s="271"/>
      <c r="NVB364" s="272"/>
      <c r="NVC364" s="273"/>
      <c r="NVD364" s="274"/>
      <c r="NVE364" s="643"/>
      <c r="NVF364" s="324"/>
      <c r="NVG364" s="366"/>
      <c r="NVH364" s="269"/>
      <c r="NVI364" s="644"/>
      <c r="NVJ364" s="271"/>
      <c r="NVK364" s="272"/>
      <c r="NVL364" s="273"/>
      <c r="NVM364" s="274"/>
      <c r="NVN364" s="643"/>
      <c r="NVO364" s="324"/>
      <c r="NVP364" s="366"/>
      <c r="NVQ364" s="269"/>
      <c r="NVR364" s="644"/>
      <c r="NVS364" s="271"/>
      <c r="NVT364" s="272"/>
      <c r="NVU364" s="273"/>
      <c r="NVV364" s="274"/>
      <c r="NVW364" s="643"/>
      <c r="NVX364" s="324"/>
      <c r="NVY364" s="366"/>
      <c r="NVZ364" s="269"/>
      <c r="NWA364" s="644"/>
      <c r="NWB364" s="271"/>
      <c r="NWC364" s="272"/>
      <c r="NWD364" s="273"/>
      <c r="NWE364" s="274"/>
      <c r="NWF364" s="643"/>
      <c r="NWG364" s="324"/>
      <c r="NWH364" s="366"/>
      <c r="NWI364" s="269"/>
      <c r="NWJ364" s="644"/>
      <c r="NWK364" s="271"/>
      <c r="NWL364" s="272"/>
      <c r="NWM364" s="273"/>
      <c r="NWN364" s="274"/>
      <c r="NWO364" s="643"/>
      <c r="NWP364" s="324"/>
      <c r="NWQ364" s="366"/>
      <c r="NWR364" s="269"/>
      <c r="NWS364" s="644"/>
      <c r="NWT364" s="271"/>
      <c r="NWU364" s="272"/>
      <c r="NWV364" s="273"/>
      <c r="NWW364" s="274"/>
      <c r="NWX364" s="643"/>
      <c r="NWY364" s="324"/>
      <c r="NWZ364" s="366"/>
      <c r="NXA364" s="269"/>
      <c r="NXB364" s="644"/>
      <c r="NXC364" s="271"/>
      <c r="NXD364" s="272"/>
      <c r="NXE364" s="273"/>
      <c r="NXF364" s="274"/>
      <c r="NXG364" s="643"/>
      <c r="NXH364" s="324"/>
      <c r="NXI364" s="366"/>
      <c r="NXJ364" s="269"/>
      <c r="NXK364" s="644"/>
      <c r="NXL364" s="271"/>
      <c r="NXM364" s="272"/>
      <c r="NXN364" s="273"/>
      <c r="NXO364" s="274"/>
      <c r="NXP364" s="643"/>
      <c r="NXQ364" s="324"/>
      <c r="NXR364" s="366"/>
      <c r="NXS364" s="269"/>
      <c r="NXT364" s="644"/>
      <c r="NXU364" s="271"/>
      <c r="NXV364" s="272"/>
      <c r="NXW364" s="273"/>
      <c r="NXX364" s="274"/>
      <c r="NXY364" s="643"/>
      <c r="NXZ364" s="324"/>
      <c r="NYA364" s="366"/>
      <c r="NYB364" s="269"/>
      <c r="NYC364" s="644"/>
      <c r="NYD364" s="271"/>
      <c r="NYE364" s="272"/>
      <c r="NYF364" s="273"/>
      <c r="NYG364" s="274"/>
      <c r="NYH364" s="643"/>
      <c r="NYI364" s="324"/>
      <c r="NYJ364" s="366"/>
      <c r="NYK364" s="269"/>
      <c r="NYL364" s="644"/>
      <c r="NYM364" s="271"/>
      <c r="NYN364" s="272"/>
      <c r="NYO364" s="273"/>
      <c r="NYP364" s="274"/>
      <c r="NYQ364" s="643"/>
      <c r="NYR364" s="324"/>
      <c r="NYS364" s="366"/>
      <c r="NYT364" s="269"/>
      <c r="NYU364" s="644"/>
      <c r="NYV364" s="271"/>
      <c r="NYW364" s="272"/>
      <c r="NYX364" s="273"/>
      <c r="NYY364" s="274"/>
      <c r="NYZ364" s="643"/>
      <c r="NZA364" s="324"/>
      <c r="NZB364" s="366"/>
      <c r="NZC364" s="269"/>
      <c r="NZD364" s="644"/>
      <c r="NZE364" s="271"/>
      <c r="NZF364" s="272"/>
      <c r="NZG364" s="273"/>
      <c r="NZH364" s="274"/>
      <c r="NZI364" s="643"/>
      <c r="NZJ364" s="324"/>
      <c r="NZK364" s="366"/>
      <c r="NZL364" s="269"/>
      <c r="NZM364" s="644"/>
      <c r="NZN364" s="271"/>
      <c r="NZO364" s="272"/>
      <c r="NZP364" s="273"/>
      <c r="NZQ364" s="274"/>
      <c r="NZR364" s="643"/>
      <c r="NZS364" s="324"/>
      <c r="NZT364" s="366"/>
      <c r="NZU364" s="269"/>
      <c r="NZV364" s="644"/>
      <c r="NZW364" s="271"/>
      <c r="NZX364" s="272"/>
      <c r="NZY364" s="273"/>
      <c r="NZZ364" s="274"/>
      <c r="OAA364" s="643"/>
      <c r="OAB364" s="324"/>
      <c r="OAC364" s="366"/>
      <c r="OAD364" s="269"/>
      <c r="OAE364" s="644"/>
      <c r="OAF364" s="271"/>
      <c r="OAG364" s="272"/>
      <c r="OAH364" s="273"/>
      <c r="OAI364" s="274"/>
      <c r="OAJ364" s="643"/>
      <c r="OAK364" s="324"/>
      <c r="OAL364" s="366"/>
      <c r="OAM364" s="269"/>
      <c r="OAN364" s="644"/>
      <c r="OAO364" s="271"/>
      <c r="OAP364" s="272"/>
      <c r="OAQ364" s="273"/>
      <c r="OAR364" s="274"/>
      <c r="OAS364" s="643"/>
      <c r="OAT364" s="324"/>
      <c r="OAU364" s="366"/>
      <c r="OAV364" s="269"/>
      <c r="OAW364" s="644"/>
      <c r="OAX364" s="271"/>
      <c r="OAY364" s="272"/>
      <c r="OAZ364" s="273"/>
      <c r="OBA364" s="274"/>
      <c r="OBB364" s="643"/>
      <c r="OBC364" s="324"/>
      <c r="OBD364" s="366"/>
      <c r="OBE364" s="269"/>
      <c r="OBF364" s="644"/>
      <c r="OBG364" s="271"/>
      <c r="OBH364" s="272"/>
      <c r="OBI364" s="273"/>
      <c r="OBJ364" s="274"/>
      <c r="OBK364" s="643"/>
      <c r="OBL364" s="324"/>
      <c r="OBM364" s="366"/>
      <c r="OBN364" s="269"/>
      <c r="OBO364" s="644"/>
      <c r="OBP364" s="271"/>
      <c r="OBQ364" s="272"/>
      <c r="OBR364" s="273"/>
      <c r="OBS364" s="274"/>
      <c r="OBT364" s="643"/>
      <c r="OBU364" s="324"/>
      <c r="OBV364" s="366"/>
      <c r="OBW364" s="269"/>
      <c r="OBX364" s="644"/>
      <c r="OBY364" s="271"/>
      <c r="OBZ364" s="272"/>
      <c r="OCA364" s="273"/>
      <c r="OCB364" s="274"/>
      <c r="OCC364" s="643"/>
      <c r="OCD364" s="324"/>
      <c r="OCE364" s="366"/>
      <c r="OCF364" s="269"/>
      <c r="OCG364" s="644"/>
      <c r="OCH364" s="271"/>
      <c r="OCI364" s="272"/>
      <c r="OCJ364" s="273"/>
      <c r="OCK364" s="274"/>
      <c r="OCL364" s="643"/>
      <c r="OCM364" s="324"/>
      <c r="OCN364" s="366"/>
      <c r="OCO364" s="269"/>
      <c r="OCP364" s="644"/>
      <c r="OCQ364" s="271"/>
      <c r="OCR364" s="272"/>
      <c r="OCS364" s="273"/>
      <c r="OCT364" s="274"/>
      <c r="OCU364" s="643"/>
      <c r="OCV364" s="324"/>
      <c r="OCW364" s="366"/>
      <c r="OCX364" s="269"/>
      <c r="OCY364" s="644"/>
      <c r="OCZ364" s="271"/>
      <c r="ODA364" s="272"/>
      <c r="ODB364" s="273"/>
      <c r="ODC364" s="274"/>
      <c r="ODD364" s="643"/>
      <c r="ODE364" s="324"/>
      <c r="ODF364" s="366"/>
      <c r="ODG364" s="269"/>
      <c r="ODH364" s="644"/>
      <c r="ODI364" s="271"/>
      <c r="ODJ364" s="272"/>
      <c r="ODK364" s="273"/>
      <c r="ODL364" s="274"/>
      <c r="ODM364" s="643"/>
      <c r="ODN364" s="324"/>
      <c r="ODO364" s="366"/>
      <c r="ODP364" s="269"/>
      <c r="ODQ364" s="644"/>
      <c r="ODR364" s="271"/>
      <c r="ODS364" s="272"/>
      <c r="ODT364" s="273"/>
      <c r="ODU364" s="274"/>
      <c r="ODV364" s="643"/>
      <c r="ODW364" s="324"/>
      <c r="ODX364" s="366"/>
      <c r="ODY364" s="269"/>
      <c r="ODZ364" s="644"/>
      <c r="OEA364" s="271"/>
      <c r="OEB364" s="272"/>
      <c r="OEC364" s="273"/>
      <c r="OED364" s="274"/>
      <c r="OEE364" s="643"/>
      <c r="OEF364" s="324"/>
      <c r="OEG364" s="366"/>
      <c r="OEH364" s="269"/>
      <c r="OEI364" s="644"/>
      <c r="OEJ364" s="271"/>
      <c r="OEK364" s="272"/>
      <c r="OEL364" s="273"/>
      <c r="OEM364" s="274"/>
      <c r="OEN364" s="643"/>
      <c r="OEO364" s="324"/>
      <c r="OEP364" s="366"/>
      <c r="OEQ364" s="269"/>
      <c r="OER364" s="644"/>
      <c r="OES364" s="271"/>
      <c r="OET364" s="272"/>
      <c r="OEU364" s="273"/>
      <c r="OEV364" s="274"/>
      <c r="OEW364" s="643"/>
      <c r="OEX364" s="324"/>
      <c r="OEY364" s="366"/>
      <c r="OEZ364" s="269"/>
      <c r="OFA364" s="644"/>
      <c r="OFB364" s="271"/>
      <c r="OFC364" s="272"/>
      <c r="OFD364" s="273"/>
      <c r="OFE364" s="274"/>
      <c r="OFF364" s="643"/>
      <c r="OFG364" s="324"/>
      <c r="OFH364" s="366"/>
      <c r="OFI364" s="269"/>
      <c r="OFJ364" s="644"/>
      <c r="OFK364" s="271"/>
      <c r="OFL364" s="272"/>
      <c r="OFM364" s="273"/>
      <c r="OFN364" s="274"/>
      <c r="OFO364" s="643"/>
      <c r="OFP364" s="324"/>
      <c r="OFQ364" s="366"/>
      <c r="OFR364" s="269"/>
      <c r="OFS364" s="644"/>
      <c r="OFT364" s="271"/>
      <c r="OFU364" s="272"/>
      <c r="OFV364" s="273"/>
      <c r="OFW364" s="274"/>
      <c r="OFX364" s="643"/>
      <c r="OFY364" s="324"/>
      <c r="OFZ364" s="366"/>
      <c r="OGA364" s="269"/>
      <c r="OGB364" s="644"/>
      <c r="OGC364" s="271"/>
      <c r="OGD364" s="272"/>
      <c r="OGE364" s="273"/>
      <c r="OGF364" s="274"/>
      <c r="OGG364" s="643"/>
      <c r="OGH364" s="324"/>
      <c r="OGI364" s="366"/>
      <c r="OGJ364" s="269"/>
      <c r="OGK364" s="644"/>
      <c r="OGL364" s="271"/>
      <c r="OGM364" s="272"/>
      <c r="OGN364" s="273"/>
      <c r="OGO364" s="274"/>
      <c r="OGP364" s="643"/>
      <c r="OGQ364" s="324"/>
      <c r="OGR364" s="366"/>
      <c r="OGS364" s="269"/>
      <c r="OGT364" s="644"/>
      <c r="OGU364" s="271"/>
      <c r="OGV364" s="272"/>
      <c r="OGW364" s="273"/>
      <c r="OGX364" s="274"/>
      <c r="OGY364" s="643"/>
      <c r="OGZ364" s="324"/>
      <c r="OHA364" s="366"/>
      <c r="OHB364" s="269"/>
      <c r="OHC364" s="644"/>
      <c r="OHD364" s="271"/>
      <c r="OHE364" s="272"/>
      <c r="OHF364" s="273"/>
      <c r="OHG364" s="274"/>
      <c r="OHH364" s="643"/>
      <c r="OHI364" s="324"/>
      <c r="OHJ364" s="366"/>
      <c r="OHK364" s="269"/>
      <c r="OHL364" s="644"/>
      <c r="OHM364" s="271"/>
      <c r="OHN364" s="272"/>
      <c r="OHO364" s="273"/>
      <c r="OHP364" s="274"/>
      <c r="OHQ364" s="643"/>
      <c r="OHR364" s="324"/>
      <c r="OHS364" s="366"/>
      <c r="OHT364" s="269"/>
      <c r="OHU364" s="644"/>
      <c r="OHV364" s="271"/>
      <c r="OHW364" s="272"/>
      <c r="OHX364" s="273"/>
      <c r="OHY364" s="274"/>
      <c r="OHZ364" s="643"/>
      <c r="OIA364" s="324"/>
      <c r="OIB364" s="366"/>
      <c r="OIC364" s="269"/>
      <c r="OID364" s="644"/>
      <c r="OIE364" s="271"/>
      <c r="OIF364" s="272"/>
      <c r="OIG364" s="273"/>
      <c r="OIH364" s="274"/>
      <c r="OII364" s="643"/>
      <c r="OIJ364" s="324"/>
      <c r="OIK364" s="366"/>
      <c r="OIL364" s="269"/>
      <c r="OIM364" s="644"/>
      <c r="OIN364" s="271"/>
      <c r="OIO364" s="272"/>
      <c r="OIP364" s="273"/>
      <c r="OIQ364" s="274"/>
      <c r="OIR364" s="643"/>
      <c r="OIS364" s="324"/>
      <c r="OIT364" s="366"/>
      <c r="OIU364" s="269"/>
      <c r="OIV364" s="644"/>
      <c r="OIW364" s="271"/>
      <c r="OIX364" s="272"/>
      <c r="OIY364" s="273"/>
      <c r="OIZ364" s="274"/>
      <c r="OJA364" s="643"/>
      <c r="OJB364" s="324"/>
      <c r="OJC364" s="366"/>
      <c r="OJD364" s="269"/>
      <c r="OJE364" s="644"/>
      <c r="OJF364" s="271"/>
      <c r="OJG364" s="272"/>
      <c r="OJH364" s="273"/>
      <c r="OJI364" s="274"/>
      <c r="OJJ364" s="643"/>
      <c r="OJK364" s="324"/>
      <c r="OJL364" s="366"/>
      <c r="OJM364" s="269"/>
      <c r="OJN364" s="644"/>
      <c r="OJO364" s="271"/>
      <c r="OJP364" s="272"/>
      <c r="OJQ364" s="273"/>
      <c r="OJR364" s="274"/>
      <c r="OJS364" s="643"/>
      <c r="OJT364" s="324"/>
      <c r="OJU364" s="366"/>
      <c r="OJV364" s="269"/>
      <c r="OJW364" s="644"/>
      <c r="OJX364" s="271"/>
      <c r="OJY364" s="272"/>
      <c r="OJZ364" s="273"/>
      <c r="OKA364" s="274"/>
      <c r="OKB364" s="643"/>
      <c r="OKC364" s="324"/>
      <c r="OKD364" s="366"/>
      <c r="OKE364" s="269"/>
      <c r="OKF364" s="644"/>
      <c r="OKG364" s="271"/>
      <c r="OKH364" s="272"/>
      <c r="OKI364" s="273"/>
      <c r="OKJ364" s="274"/>
      <c r="OKK364" s="643"/>
      <c r="OKL364" s="324"/>
      <c r="OKM364" s="366"/>
      <c r="OKN364" s="269"/>
      <c r="OKO364" s="644"/>
      <c r="OKP364" s="271"/>
      <c r="OKQ364" s="272"/>
      <c r="OKR364" s="273"/>
      <c r="OKS364" s="274"/>
      <c r="OKT364" s="643"/>
      <c r="OKU364" s="324"/>
      <c r="OKV364" s="366"/>
      <c r="OKW364" s="269"/>
      <c r="OKX364" s="644"/>
      <c r="OKY364" s="271"/>
      <c r="OKZ364" s="272"/>
      <c r="OLA364" s="273"/>
      <c r="OLB364" s="274"/>
      <c r="OLC364" s="643"/>
      <c r="OLD364" s="324"/>
      <c r="OLE364" s="366"/>
      <c r="OLF364" s="269"/>
      <c r="OLG364" s="644"/>
      <c r="OLH364" s="271"/>
      <c r="OLI364" s="272"/>
      <c r="OLJ364" s="273"/>
      <c r="OLK364" s="274"/>
      <c r="OLL364" s="643"/>
      <c r="OLM364" s="324"/>
      <c r="OLN364" s="366"/>
      <c r="OLO364" s="269"/>
      <c r="OLP364" s="644"/>
      <c r="OLQ364" s="271"/>
      <c r="OLR364" s="272"/>
      <c r="OLS364" s="273"/>
      <c r="OLT364" s="274"/>
      <c r="OLU364" s="643"/>
      <c r="OLV364" s="324"/>
      <c r="OLW364" s="366"/>
      <c r="OLX364" s="269"/>
      <c r="OLY364" s="644"/>
      <c r="OLZ364" s="271"/>
      <c r="OMA364" s="272"/>
      <c r="OMB364" s="273"/>
      <c r="OMC364" s="274"/>
      <c r="OMD364" s="643"/>
      <c r="OME364" s="324"/>
      <c r="OMF364" s="366"/>
      <c r="OMG364" s="269"/>
      <c r="OMH364" s="644"/>
      <c r="OMI364" s="271"/>
      <c r="OMJ364" s="272"/>
      <c r="OMK364" s="273"/>
      <c r="OML364" s="274"/>
      <c r="OMM364" s="643"/>
      <c r="OMN364" s="324"/>
      <c r="OMO364" s="366"/>
      <c r="OMP364" s="269"/>
      <c r="OMQ364" s="644"/>
      <c r="OMR364" s="271"/>
      <c r="OMS364" s="272"/>
      <c r="OMT364" s="273"/>
      <c r="OMU364" s="274"/>
      <c r="OMV364" s="643"/>
      <c r="OMW364" s="324"/>
      <c r="OMX364" s="366"/>
      <c r="OMY364" s="269"/>
      <c r="OMZ364" s="644"/>
      <c r="ONA364" s="271"/>
      <c r="ONB364" s="272"/>
      <c r="ONC364" s="273"/>
      <c r="OND364" s="274"/>
      <c r="ONE364" s="643"/>
      <c r="ONF364" s="324"/>
      <c r="ONG364" s="366"/>
      <c r="ONH364" s="269"/>
      <c r="ONI364" s="644"/>
      <c r="ONJ364" s="271"/>
      <c r="ONK364" s="272"/>
      <c r="ONL364" s="273"/>
      <c r="ONM364" s="274"/>
      <c r="ONN364" s="643"/>
      <c r="ONO364" s="324"/>
      <c r="ONP364" s="366"/>
      <c r="ONQ364" s="269"/>
      <c r="ONR364" s="644"/>
      <c r="ONS364" s="271"/>
      <c r="ONT364" s="272"/>
      <c r="ONU364" s="273"/>
      <c r="ONV364" s="274"/>
      <c r="ONW364" s="643"/>
      <c r="ONX364" s="324"/>
      <c r="ONY364" s="366"/>
      <c r="ONZ364" s="269"/>
      <c r="OOA364" s="644"/>
      <c r="OOB364" s="271"/>
      <c r="OOC364" s="272"/>
      <c r="OOD364" s="273"/>
      <c r="OOE364" s="274"/>
      <c r="OOF364" s="643"/>
      <c r="OOG364" s="324"/>
      <c r="OOH364" s="366"/>
      <c r="OOI364" s="269"/>
      <c r="OOJ364" s="644"/>
      <c r="OOK364" s="271"/>
      <c r="OOL364" s="272"/>
      <c r="OOM364" s="273"/>
      <c r="OON364" s="274"/>
      <c r="OOO364" s="643"/>
      <c r="OOP364" s="324"/>
      <c r="OOQ364" s="366"/>
      <c r="OOR364" s="269"/>
      <c r="OOS364" s="644"/>
      <c r="OOT364" s="271"/>
      <c r="OOU364" s="272"/>
      <c r="OOV364" s="273"/>
      <c r="OOW364" s="274"/>
      <c r="OOX364" s="643"/>
      <c r="OOY364" s="324"/>
      <c r="OOZ364" s="366"/>
      <c r="OPA364" s="269"/>
      <c r="OPB364" s="644"/>
      <c r="OPC364" s="271"/>
      <c r="OPD364" s="272"/>
      <c r="OPE364" s="273"/>
      <c r="OPF364" s="274"/>
      <c r="OPG364" s="643"/>
      <c r="OPH364" s="324"/>
      <c r="OPI364" s="366"/>
      <c r="OPJ364" s="269"/>
      <c r="OPK364" s="644"/>
      <c r="OPL364" s="271"/>
      <c r="OPM364" s="272"/>
      <c r="OPN364" s="273"/>
      <c r="OPO364" s="274"/>
      <c r="OPP364" s="643"/>
      <c r="OPQ364" s="324"/>
      <c r="OPR364" s="366"/>
      <c r="OPS364" s="269"/>
      <c r="OPT364" s="644"/>
      <c r="OPU364" s="271"/>
      <c r="OPV364" s="272"/>
      <c r="OPW364" s="273"/>
      <c r="OPX364" s="274"/>
      <c r="OPY364" s="643"/>
      <c r="OPZ364" s="324"/>
      <c r="OQA364" s="366"/>
      <c r="OQB364" s="269"/>
      <c r="OQC364" s="644"/>
      <c r="OQD364" s="271"/>
      <c r="OQE364" s="272"/>
      <c r="OQF364" s="273"/>
      <c r="OQG364" s="274"/>
      <c r="OQH364" s="643"/>
      <c r="OQI364" s="324"/>
      <c r="OQJ364" s="366"/>
      <c r="OQK364" s="269"/>
      <c r="OQL364" s="644"/>
      <c r="OQM364" s="271"/>
      <c r="OQN364" s="272"/>
      <c r="OQO364" s="273"/>
      <c r="OQP364" s="274"/>
      <c r="OQQ364" s="643"/>
      <c r="OQR364" s="324"/>
      <c r="OQS364" s="366"/>
      <c r="OQT364" s="269"/>
      <c r="OQU364" s="644"/>
      <c r="OQV364" s="271"/>
      <c r="OQW364" s="272"/>
      <c r="OQX364" s="273"/>
      <c r="OQY364" s="274"/>
      <c r="OQZ364" s="643"/>
      <c r="ORA364" s="324"/>
      <c r="ORB364" s="366"/>
      <c r="ORC364" s="269"/>
      <c r="ORD364" s="644"/>
      <c r="ORE364" s="271"/>
      <c r="ORF364" s="272"/>
      <c r="ORG364" s="273"/>
      <c r="ORH364" s="274"/>
      <c r="ORI364" s="643"/>
      <c r="ORJ364" s="324"/>
      <c r="ORK364" s="366"/>
      <c r="ORL364" s="269"/>
      <c r="ORM364" s="644"/>
      <c r="ORN364" s="271"/>
      <c r="ORO364" s="272"/>
      <c r="ORP364" s="273"/>
      <c r="ORQ364" s="274"/>
      <c r="ORR364" s="643"/>
      <c r="ORS364" s="324"/>
      <c r="ORT364" s="366"/>
      <c r="ORU364" s="269"/>
      <c r="ORV364" s="644"/>
      <c r="ORW364" s="271"/>
      <c r="ORX364" s="272"/>
      <c r="ORY364" s="273"/>
      <c r="ORZ364" s="274"/>
      <c r="OSA364" s="643"/>
      <c r="OSB364" s="324"/>
      <c r="OSC364" s="366"/>
      <c r="OSD364" s="269"/>
      <c r="OSE364" s="644"/>
      <c r="OSF364" s="271"/>
      <c r="OSG364" s="272"/>
      <c r="OSH364" s="273"/>
      <c r="OSI364" s="274"/>
      <c r="OSJ364" s="643"/>
      <c r="OSK364" s="324"/>
      <c r="OSL364" s="366"/>
      <c r="OSM364" s="269"/>
      <c r="OSN364" s="644"/>
      <c r="OSO364" s="271"/>
      <c r="OSP364" s="272"/>
      <c r="OSQ364" s="273"/>
      <c r="OSR364" s="274"/>
      <c r="OSS364" s="643"/>
      <c r="OST364" s="324"/>
      <c r="OSU364" s="366"/>
      <c r="OSV364" s="269"/>
      <c r="OSW364" s="644"/>
      <c r="OSX364" s="271"/>
      <c r="OSY364" s="272"/>
      <c r="OSZ364" s="273"/>
      <c r="OTA364" s="274"/>
      <c r="OTB364" s="643"/>
      <c r="OTC364" s="324"/>
      <c r="OTD364" s="366"/>
      <c r="OTE364" s="269"/>
      <c r="OTF364" s="644"/>
      <c r="OTG364" s="271"/>
      <c r="OTH364" s="272"/>
      <c r="OTI364" s="273"/>
      <c r="OTJ364" s="274"/>
      <c r="OTK364" s="643"/>
      <c r="OTL364" s="324"/>
      <c r="OTM364" s="366"/>
      <c r="OTN364" s="269"/>
      <c r="OTO364" s="644"/>
      <c r="OTP364" s="271"/>
      <c r="OTQ364" s="272"/>
      <c r="OTR364" s="273"/>
      <c r="OTS364" s="274"/>
      <c r="OTT364" s="643"/>
      <c r="OTU364" s="324"/>
      <c r="OTV364" s="366"/>
      <c r="OTW364" s="269"/>
      <c r="OTX364" s="644"/>
      <c r="OTY364" s="271"/>
      <c r="OTZ364" s="272"/>
      <c r="OUA364" s="273"/>
      <c r="OUB364" s="274"/>
      <c r="OUC364" s="643"/>
      <c r="OUD364" s="324"/>
      <c r="OUE364" s="366"/>
      <c r="OUF364" s="269"/>
      <c r="OUG364" s="644"/>
      <c r="OUH364" s="271"/>
      <c r="OUI364" s="272"/>
      <c r="OUJ364" s="273"/>
      <c r="OUK364" s="274"/>
      <c r="OUL364" s="643"/>
      <c r="OUM364" s="324"/>
      <c r="OUN364" s="366"/>
      <c r="OUO364" s="269"/>
      <c r="OUP364" s="644"/>
      <c r="OUQ364" s="271"/>
      <c r="OUR364" s="272"/>
      <c r="OUS364" s="273"/>
      <c r="OUT364" s="274"/>
      <c r="OUU364" s="643"/>
      <c r="OUV364" s="324"/>
      <c r="OUW364" s="366"/>
      <c r="OUX364" s="269"/>
      <c r="OUY364" s="644"/>
      <c r="OUZ364" s="271"/>
      <c r="OVA364" s="272"/>
      <c r="OVB364" s="273"/>
      <c r="OVC364" s="274"/>
      <c r="OVD364" s="643"/>
      <c r="OVE364" s="324"/>
      <c r="OVF364" s="366"/>
      <c r="OVG364" s="269"/>
      <c r="OVH364" s="644"/>
      <c r="OVI364" s="271"/>
      <c r="OVJ364" s="272"/>
      <c r="OVK364" s="273"/>
      <c r="OVL364" s="274"/>
      <c r="OVM364" s="643"/>
      <c r="OVN364" s="324"/>
      <c r="OVO364" s="366"/>
      <c r="OVP364" s="269"/>
      <c r="OVQ364" s="644"/>
      <c r="OVR364" s="271"/>
      <c r="OVS364" s="272"/>
      <c r="OVT364" s="273"/>
      <c r="OVU364" s="274"/>
      <c r="OVV364" s="643"/>
      <c r="OVW364" s="324"/>
      <c r="OVX364" s="366"/>
      <c r="OVY364" s="269"/>
      <c r="OVZ364" s="644"/>
      <c r="OWA364" s="271"/>
      <c r="OWB364" s="272"/>
      <c r="OWC364" s="273"/>
      <c r="OWD364" s="274"/>
      <c r="OWE364" s="643"/>
      <c r="OWF364" s="324"/>
      <c r="OWG364" s="366"/>
      <c r="OWH364" s="269"/>
      <c r="OWI364" s="644"/>
      <c r="OWJ364" s="271"/>
      <c r="OWK364" s="272"/>
      <c r="OWL364" s="273"/>
      <c r="OWM364" s="274"/>
      <c r="OWN364" s="643"/>
      <c r="OWO364" s="324"/>
      <c r="OWP364" s="366"/>
      <c r="OWQ364" s="269"/>
      <c r="OWR364" s="644"/>
      <c r="OWS364" s="271"/>
      <c r="OWT364" s="272"/>
      <c r="OWU364" s="273"/>
      <c r="OWV364" s="274"/>
      <c r="OWW364" s="643"/>
      <c r="OWX364" s="324"/>
      <c r="OWY364" s="366"/>
      <c r="OWZ364" s="269"/>
      <c r="OXA364" s="644"/>
      <c r="OXB364" s="271"/>
      <c r="OXC364" s="272"/>
      <c r="OXD364" s="273"/>
      <c r="OXE364" s="274"/>
      <c r="OXF364" s="643"/>
      <c r="OXG364" s="324"/>
      <c r="OXH364" s="366"/>
      <c r="OXI364" s="269"/>
      <c r="OXJ364" s="644"/>
      <c r="OXK364" s="271"/>
      <c r="OXL364" s="272"/>
      <c r="OXM364" s="273"/>
      <c r="OXN364" s="274"/>
      <c r="OXO364" s="643"/>
      <c r="OXP364" s="324"/>
      <c r="OXQ364" s="366"/>
      <c r="OXR364" s="269"/>
      <c r="OXS364" s="644"/>
      <c r="OXT364" s="271"/>
      <c r="OXU364" s="272"/>
      <c r="OXV364" s="273"/>
      <c r="OXW364" s="274"/>
      <c r="OXX364" s="643"/>
      <c r="OXY364" s="324"/>
      <c r="OXZ364" s="366"/>
      <c r="OYA364" s="269"/>
      <c r="OYB364" s="644"/>
      <c r="OYC364" s="271"/>
      <c r="OYD364" s="272"/>
      <c r="OYE364" s="273"/>
      <c r="OYF364" s="274"/>
      <c r="OYG364" s="643"/>
      <c r="OYH364" s="324"/>
      <c r="OYI364" s="366"/>
      <c r="OYJ364" s="269"/>
      <c r="OYK364" s="644"/>
      <c r="OYL364" s="271"/>
      <c r="OYM364" s="272"/>
      <c r="OYN364" s="273"/>
      <c r="OYO364" s="274"/>
      <c r="OYP364" s="643"/>
      <c r="OYQ364" s="324"/>
      <c r="OYR364" s="366"/>
      <c r="OYS364" s="269"/>
      <c r="OYT364" s="644"/>
      <c r="OYU364" s="271"/>
      <c r="OYV364" s="272"/>
      <c r="OYW364" s="273"/>
      <c r="OYX364" s="274"/>
      <c r="OYY364" s="643"/>
      <c r="OYZ364" s="324"/>
      <c r="OZA364" s="366"/>
      <c r="OZB364" s="269"/>
      <c r="OZC364" s="644"/>
      <c r="OZD364" s="271"/>
      <c r="OZE364" s="272"/>
      <c r="OZF364" s="273"/>
      <c r="OZG364" s="274"/>
      <c r="OZH364" s="643"/>
      <c r="OZI364" s="324"/>
      <c r="OZJ364" s="366"/>
      <c r="OZK364" s="269"/>
      <c r="OZL364" s="644"/>
      <c r="OZM364" s="271"/>
      <c r="OZN364" s="272"/>
      <c r="OZO364" s="273"/>
      <c r="OZP364" s="274"/>
      <c r="OZQ364" s="643"/>
      <c r="OZR364" s="324"/>
      <c r="OZS364" s="366"/>
      <c r="OZT364" s="269"/>
      <c r="OZU364" s="644"/>
      <c r="OZV364" s="271"/>
      <c r="OZW364" s="272"/>
      <c r="OZX364" s="273"/>
      <c r="OZY364" s="274"/>
      <c r="OZZ364" s="643"/>
      <c r="PAA364" s="324"/>
      <c r="PAB364" s="366"/>
      <c r="PAC364" s="269"/>
      <c r="PAD364" s="644"/>
      <c r="PAE364" s="271"/>
      <c r="PAF364" s="272"/>
      <c r="PAG364" s="273"/>
      <c r="PAH364" s="274"/>
      <c r="PAI364" s="643"/>
      <c r="PAJ364" s="324"/>
      <c r="PAK364" s="366"/>
      <c r="PAL364" s="269"/>
      <c r="PAM364" s="644"/>
      <c r="PAN364" s="271"/>
      <c r="PAO364" s="272"/>
      <c r="PAP364" s="273"/>
      <c r="PAQ364" s="274"/>
      <c r="PAR364" s="643"/>
      <c r="PAS364" s="324"/>
      <c r="PAT364" s="366"/>
      <c r="PAU364" s="269"/>
      <c r="PAV364" s="644"/>
      <c r="PAW364" s="271"/>
      <c r="PAX364" s="272"/>
      <c r="PAY364" s="273"/>
      <c r="PAZ364" s="274"/>
      <c r="PBA364" s="643"/>
      <c r="PBB364" s="324"/>
      <c r="PBC364" s="366"/>
      <c r="PBD364" s="269"/>
      <c r="PBE364" s="644"/>
      <c r="PBF364" s="271"/>
      <c r="PBG364" s="272"/>
      <c r="PBH364" s="273"/>
      <c r="PBI364" s="274"/>
      <c r="PBJ364" s="643"/>
      <c r="PBK364" s="324"/>
      <c r="PBL364" s="366"/>
      <c r="PBM364" s="269"/>
      <c r="PBN364" s="644"/>
      <c r="PBO364" s="271"/>
      <c r="PBP364" s="272"/>
      <c r="PBQ364" s="273"/>
      <c r="PBR364" s="274"/>
      <c r="PBS364" s="643"/>
      <c r="PBT364" s="324"/>
      <c r="PBU364" s="366"/>
      <c r="PBV364" s="269"/>
      <c r="PBW364" s="644"/>
      <c r="PBX364" s="271"/>
      <c r="PBY364" s="272"/>
      <c r="PBZ364" s="273"/>
      <c r="PCA364" s="274"/>
      <c r="PCB364" s="643"/>
      <c r="PCC364" s="324"/>
      <c r="PCD364" s="366"/>
      <c r="PCE364" s="269"/>
      <c r="PCF364" s="644"/>
      <c r="PCG364" s="271"/>
      <c r="PCH364" s="272"/>
      <c r="PCI364" s="273"/>
      <c r="PCJ364" s="274"/>
      <c r="PCK364" s="643"/>
      <c r="PCL364" s="324"/>
      <c r="PCM364" s="366"/>
      <c r="PCN364" s="269"/>
      <c r="PCO364" s="644"/>
      <c r="PCP364" s="271"/>
      <c r="PCQ364" s="272"/>
      <c r="PCR364" s="273"/>
      <c r="PCS364" s="274"/>
      <c r="PCT364" s="643"/>
      <c r="PCU364" s="324"/>
      <c r="PCV364" s="366"/>
      <c r="PCW364" s="269"/>
      <c r="PCX364" s="644"/>
      <c r="PCY364" s="271"/>
      <c r="PCZ364" s="272"/>
      <c r="PDA364" s="273"/>
      <c r="PDB364" s="274"/>
      <c r="PDC364" s="643"/>
      <c r="PDD364" s="324"/>
      <c r="PDE364" s="366"/>
      <c r="PDF364" s="269"/>
      <c r="PDG364" s="644"/>
      <c r="PDH364" s="271"/>
      <c r="PDI364" s="272"/>
      <c r="PDJ364" s="273"/>
      <c r="PDK364" s="274"/>
      <c r="PDL364" s="643"/>
      <c r="PDM364" s="324"/>
      <c r="PDN364" s="366"/>
      <c r="PDO364" s="269"/>
      <c r="PDP364" s="644"/>
      <c r="PDQ364" s="271"/>
      <c r="PDR364" s="272"/>
      <c r="PDS364" s="273"/>
      <c r="PDT364" s="274"/>
      <c r="PDU364" s="643"/>
      <c r="PDV364" s="324"/>
      <c r="PDW364" s="366"/>
      <c r="PDX364" s="269"/>
      <c r="PDY364" s="644"/>
      <c r="PDZ364" s="271"/>
      <c r="PEA364" s="272"/>
      <c r="PEB364" s="273"/>
      <c r="PEC364" s="274"/>
      <c r="PED364" s="643"/>
      <c r="PEE364" s="324"/>
      <c r="PEF364" s="366"/>
      <c r="PEG364" s="269"/>
      <c r="PEH364" s="644"/>
      <c r="PEI364" s="271"/>
      <c r="PEJ364" s="272"/>
      <c r="PEK364" s="273"/>
      <c r="PEL364" s="274"/>
      <c r="PEM364" s="643"/>
      <c r="PEN364" s="324"/>
      <c r="PEO364" s="366"/>
      <c r="PEP364" s="269"/>
      <c r="PEQ364" s="644"/>
      <c r="PER364" s="271"/>
      <c r="PES364" s="272"/>
      <c r="PET364" s="273"/>
      <c r="PEU364" s="274"/>
      <c r="PEV364" s="643"/>
      <c r="PEW364" s="324"/>
      <c r="PEX364" s="366"/>
      <c r="PEY364" s="269"/>
      <c r="PEZ364" s="644"/>
      <c r="PFA364" s="271"/>
      <c r="PFB364" s="272"/>
      <c r="PFC364" s="273"/>
      <c r="PFD364" s="274"/>
      <c r="PFE364" s="643"/>
      <c r="PFF364" s="324"/>
      <c r="PFG364" s="366"/>
      <c r="PFH364" s="269"/>
      <c r="PFI364" s="644"/>
      <c r="PFJ364" s="271"/>
      <c r="PFK364" s="272"/>
      <c r="PFL364" s="273"/>
      <c r="PFM364" s="274"/>
      <c r="PFN364" s="643"/>
      <c r="PFO364" s="324"/>
      <c r="PFP364" s="366"/>
      <c r="PFQ364" s="269"/>
      <c r="PFR364" s="644"/>
      <c r="PFS364" s="271"/>
      <c r="PFT364" s="272"/>
      <c r="PFU364" s="273"/>
      <c r="PFV364" s="274"/>
      <c r="PFW364" s="643"/>
      <c r="PFX364" s="324"/>
      <c r="PFY364" s="366"/>
      <c r="PFZ364" s="269"/>
      <c r="PGA364" s="644"/>
      <c r="PGB364" s="271"/>
      <c r="PGC364" s="272"/>
      <c r="PGD364" s="273"/>
      <c r="PGE364" s="274"/>
      <c r="PGF364" s="643"/>
      <c r="PGG364" s="324"/>
      <c r="PGH364" s="366"/>
      <c r="PGI364" s="269"/>
      <c r="PGJ364" s="644"/>
      <c r="PGK364" s="271"/>
      <c r="PGL364" s="272"/>
      <c r="PGM364" s="273"/>
      <c r="PGN364" s="274"/>
      <c r="PGO364" s="643"/>
      <c r="PGP364" s="324"/>
      <c r="PGQ364" s="366"/>
      <c r="PGR364" s="269"/>
      <c r="PGS364" s="644"/>
      <c r="PGT364" s="271"/>
      <c r="PGU364" s="272"/>
      <c r="PGV364" s="273"/>
      <c r="PGW364" s="274"/>
      <c r="PGX364" s="643"/>
      <c r="PGY364" s="324"/>
      <c r="PGZ364" s="366"/>
      <c r="PHA364" s="269"/>
      <c r="PHB364" s="644"/>
      <c r="PHC364" s="271"/>
      <c r="PHD364" s="272"/>
      <c r="PHE364" s="273"/>
      <c r="PHF364" s="274"/>
      <c r="PHG364" s="643"/>
      <c r="PHH364" s="324"/>
      <c r="PHI364" s="366"/>
      <c r="PHJ364" s="269"/>
      <c r="PHK364" s="644"/>
      <c r="PHL364" s="271"/>
      <c r="PHM364" s="272"/>
      <c r="PHN364" s="273"/>
      <c r="PHO364" s="274"/>
      <c r="PHP364" s="643"/>
      <c r="PHQ364" s="324"/>
      <c r="PHR364" s="366"/>
      <c r="PHS364" s="269"/>
      <c r="PHT364" s="644"/>
      <c r="PHU364" s="271"/>
      <c r="PHV364" s="272"/>
      <c r="PHW364" s="273"/>
      <c r="PHX364" s="274"/>
      <c r="PHY364" s="643"/>
      <c r="PHZ364" s="324"/>
      <c r="PIA364" s="366"/>
      <c r="PIB364" s="269"/>
      <c r="PIC364" s="644"/>
      <c r="PID364" s="271"/>
      <c r="PIE364" s="272"/>
      <c r="PIF364" s="273"/>
      <c r="PIG364" s="274"/>
      <c r="PIH364" s="643"/>
      <c r="PII364" s="324"/>
      <c r="PIJ364" s="366"/>
      <c r="PIK364" s="269"/>
      <c r="PIL364" s="644"/>
      <c r="PIM364" s="271"/>
      <c r="PIN364" s="272"/>
      <c r="PIO364" s="273"/>
      <c r="PIP364" s="274"/>
      <c r="PIQ364" s="643"/>
      <c r="PIR364" s="324"/>
      <c r="PIS364" s="366"/>
      <c r="PIT364" s="269"/>
      <c r="PIU364" s="644"/>
      <c r="PIV364" s="271"/>
      <c r="PIW364" s="272"/>
      <c r="PIX364" s="273"/>
      <c r="PIY364" s="274"/>
      <c r="PIZ364" s="643"/>
      <c r="PJA364" s="324"/>
      <c r="PJB364" s="366"/>
      <c r="PJC364" s="269"/>
      <c r="PJD364" s="644"/>
      <c r="PJE364" s="271"/>
      <c r="PJF364" s="272"/>
      <c r="PJG364" s="273"/>
      <c r="PJH364" s="274"/>
      <c r="PJI364" s="643"/>
      <c r="PJJ364" s="324"/>
      <c r="PJK364" s="366"/>
      <c r="PJL364" s="269"/>
      <c r="PJM364" s="644"/>
      <c r="PJN364" s="271"/>
      <c r="PJO364" s="272"/>
      <c r="PJP364" s="273"/>
      <c r="PJQ364" s="274"/>
      <c r="PJR364" s="643"/>
      <c r="PJS364" s="324"/>
      <c r="PJT364" s="366"/>
      <c r="PJU364" s="269"/>
      <c r="PJV364" s="644"/>
      <c r="PJW364" s="271"/>
      <c r="PJX364" s="272"/>
      <c r="PJY364" s="273"/>
      <c r="PJZ364" s="274"/>
      <c r="PKA364" s="643"/>
      <c r="PKB364" s="324"/>
      <c r="PKC364" s="366"/>
      <c r="PKD364" s="269"/>
      <c r="PKE364" s="644"/>
      <c r="PKF364" s="271"/>
      <c r="PKG364" s="272"/>
      <c r="PKH364" s="273"/>
      <c r="PKI364" s="274"/>
      <c r="PKJ364" s="643"/>
      <c r="PKK364" s="324"/>
      <c r="PKL364" s="366"/>
      <c r="PKM364" s="269"/>
      <c r="PKN364" s="644"/>
      <c r="PKO364" s="271"/>
      <c r="PKP364" s="272"/>
      <c r="PKQ364" s="273"/>
      <c r="PKR364" s="274"/>
      <c r="PKS364" s="643"/>
      <c r="PKT364" s="324"/>
      <c r="PKU364" s="366"/>
      <c r="PKV364" s="269"/>
      <c r="PKW364" s="644"/>
      <c r="PKX364" s="271"/>
      <c r="PKY364" s="272"/>
      <c r="PKZ364" s="273"/>
      <c r="PLA364" s="274"/>
      <c r="PLB364" s="643"/>
      <c r="PLC364" s="324"/>
      <c r="PLD364" s="366"/>
      <c r="PLE364" s="269"/>
      <c r="PLF364" s="644"/>
      <c r="PLG364" s="271"/>
      <c r="PLH364" s="272"/>
      <c r="PLI364" s="273"/>
      <c r="PLJ364" s="274"/>
      <c r="PLK364" s="643"/>
      <c r="PLL364" s="324"/>
      <c r="PLM364" s="366"/>
      <c r="PLN364" s="269"/>
      <c r="PLO364" s="644"/>
      <c r="PLP364" s="271"/>
      <c r="PLQ364" s="272"/>
      <c r="PLR364" s="273"/>
      <c r="PLS364" s="274"/>
      <c r="PLT364" s="643"/>
      <c r="PLU364" s="324"/>
      <c r="PLV364" s="366"/>
      <c r="PLW364" s="269"/>
      <c r="PLX364" s="644"/>
      <c r="PLY364" s="271"/>
      <c r="PLZ364" s="272"/>
      <c r="PMA364" s="273"/>
      <c r="PMB364" s="274"/>
      <c r="PMC364" s="643"/>
      <c r="PMD364" s="324"/>
      <c r="PME364" s="366"/>
      <c r="PMF364" s="269"/>
      <c r="PMG364" s="644"/>
      <c r="PMH364" s="271"/>
      <c r="PMI364" s="272"/>
      <c r="PMJ364" s="273"/>
      <c r="PMK364" s="274"/>
      <c r="PML364" s="643"/>
      <c r="PMM364" s="324"/>
      <c r="PMN364" s="366"/>
      <c r="PMO364" s="269"/>
      <c r="PMP364" s="644"/>
      <c r="PMQ364" s="271"/>
      <c r="PMR364" s="272"/>
      <c r="PMS364" s="273"/>
      <c r="PMT364" s="274"/>
      <c r="PMU364" s="643"/>
      <c r="PMV364" s="324"/>
      <c r="PMW364" s="366"/>
      <c r="PMX364" s="269"/>
      <c r="PMY364" s="644"/>
      <c r="PMZ364" s="271"/>
      <c r="PNA364" s="272"/>
      <c r="PNB364" s="273"/>
      <c r="PNC364" s="274"/>
      <c r="PND364" s="643"/>
      <c r="PNE364" s="324"/>
      <c r="PNF364" s="366"/>
      <c r="PNG364" s="269"/>
      <c r="PNH364" s="644"/>
      <c r="PNI364" s="271"/>
      <c r="PNJ364" s="272"/>
      <c r="PNK364" s="273"/>
      <c r="PNL364" s="274"/>
      <c r="PNM364" s="643"/>
      <c r="PNN364" s="324"/>
      <c r="PNO364" s="366"/>
      <c r="PNP364" s="269"/>
      <c r="PNQ364" s="644"/>
      <c r="PNR364" s="271"/>
      <c r="PNS364" s="272"/>
      <c r="PNT364" s="273"/>
      <c r="PNU364" s="274"/>
      <c r="PNV364" s="643"/>
      <c r="PNW364" s="324"/>
      <c r="PNX364" s="366"/>
      <c r="PNY364" s="269"/>
      <c r="PNZ364" s="644"/>
      <c r="POA364" s="271"/>
      <c r="POB364" s="272"/>
      <c r="POC364" s="273"/>
      <c r="POD364" s="274"/>
      <c r="POE364" s="643"/>
      <c r="POF364" s="324"/>
      <c r="POG364" s="366"/>
      <c r="POH364" s="269"/>
      <c r="POI364" s="644"/>
      <c r="POJ364" s="271"/>
      <c r="POK364" s="272"/>
      <c r="POL364" s="273"/>
      <c r="POM364" s="274"/>
      <c r="PON364" s="643"/>
      <c r="POO364" s="324"/>
      <c r="POP364" s="366"/>
      <c r="POQ364" s="269"/>
      <c r="POR364" s="644"/>
      <c r="POS364" s="271"/>
      <c r="POT364" s="272"/>
      <c r="POU364" s="273"/>
      <c r="POV364" s="274"/>
      <c r="POW364" s="643"/>
      <c r="POX364" s="324"/>
      <c r="POY364" s="366"/>
      <c r="POZ364" s="269"/>
      <c r="PPA364" s="644"/>
      <c r="PPB364" s="271"/>
      <c r="PPC364" s="272"/>
      <c r="PPD364" s="273"/>
      <c r="PPE364" s="274"/>
      <c r="PPF364" s="643"/>
      <c r="PPG364" s="324"/>
      <c r="PPH364" s="366"/>
      <c r="PPI364" s="269"/>
      <c r="PPJ364" s="644"/>
      <c r="PPK364" s="271"/>
      <c r="PPL364" s="272"/>
      <c r="PPM364" s="273"/>
      <c r="PPN364" s="274"/>
      <c r="PPO364" s="643"/>
      <c r="PPP364" s="324"/>
      <c r="PPQ364" s="366"/>
      <c r="PPR364" s="269"/>
      <c r="PPS364" s="644"/>
      <c r="PPT364" s="271"/>
      <c r="PPU364" s="272"/>
      <c r="PPV364" s="273"/>
      <c r="PPW364" s="274"/>
      <c r="PPX364" s="643"/>
      <c r="PPY364" s="324"/>
      <c r="PPZ364" s="366"/>
      <c r="PQA364" s="269"/>
      <c r="PQB364" s="644"/>
      <c r="PQC364" s="271"/>
      <c r="PQD364" s="272"/>
      <c r="PQE364" s="273"/>
      <c r="PQF364" s="274"/>
      <c r="PQG364" s="643"/>
      <c r="PQH364" s="324"/>
      <c r="PQI364" s="366"/>
      <c r="PQJ364" s="269"/>
      <c r="PQK364" s="644"/>
      <c r="PQL364" s="271"/>
      <c r="PQM364" s="272"/>
      <c r="PQN364" s="273"/>
      <c r="PQO364" s="274"/>
      <c r="PQP364" s="643"/>
      <c r="PQQ364" s="324"/>
      <c r="PQR364" s="366"/>
      <c r="PQS364" s="269"/>
      <c r="PQT364" s="644"/>
      <c r="PQU364" s="271"/>
      <c r="PQV364" s="272"/>
      <c r="PQW364" s="273"/>
      <c r="PQX364" s="274"/>
      <c r="PQY364" s="643"/>
      <c r="PQZ364" s="324"/>
      <c r="PRA364" s="366"/>
      <c r="PRB364" s="269"/>
      <c r="PRC364" s="644"/>
      <c r="PRD364" s="271"/>
      <c r="PRE364" s="272"/>
      <c r="PRF364" s="273"/>
      <c r="PRG364" s="274"/>
      <c r="PRH364" s="643"/>
      <c r="PRI364" s="324"/>
      <c r="PRJ364" s="366"/>
      <c r="PRK364" s="269"/>
      <c r="PRL364" s="644"/>
      <c r="PRM364" s="271"/>
      <c r="PRN364" s="272"/>
      <c r="PRO364" s="273"/>
      <c r="PRP364" s="274"/>
      <c r="PRQ364" s="643"/>
      <c r="PRR364" s="324"/>
      <c r="PRS364" s="366"/>
      <c r="PRT364" s="269"/>
      <c r="PRU364" s="644"/>
      <c r="PRV364" s="271"/>
      <c r="PRW364" s="272"/>
      <c r="PRX364" s="273"/>
      <c r="PRY364" s="274"/>
      <c r="PRZ364" s="643"/>
      <c r="PSA364" s="324"/>
      <c r="PSB364" s="366"/>
      <c r="PSC364" s="269"/>
      <c r="PSD364" s="644"/>
      <c r="PSE364" s="271"/>
      <c r="PSF364" s="272"/>
      <c r="PSG364" s="273"/>
      <c r="PSH364" s="274"/>
      <c r="PSI364" s="643"/>
      <c r="PSJ364" s="324"/>
      <c r="PSK364" s="366"/>
      <c r="PSL364" s="269"/>
      <c r="PSM364" s="644"/>
      <c r="PSN364" s="271"/>
      <c r="PSO364" s="272"/>
      <c r="PSP364" s="273"/>
      <c r="PSQ364" s="274"/>
      <c r="PSR364" s="643"/>
      <c r="PSS364" s="324"/>
      <c r="PST364" s="366"/>
      <c r="PSU364" s="269"/>
      <c r="PSV364" s="644"/>
      <c r="PSW364" s="271"/>
      <c r="PSX364" s="272"/>
      <c r="PSY364" s="273"/>
      <c r="PSZ364" s="274"/>
      <c r="PTA364" s="643"/>
      <c r="PTB364" s="324"/>
      <c r="PTC364" s="366"/>
      <c r="PTD364" s="269"/>
      <c r="PTE364" s="644"/>
      <c r="PTF364" s="271"/>
      <c r="PTG364" s="272"/>
      <c r="PTH364" s="273"/>
      <c r="PTI364" s="274"/>
      <c r="PTJ364" s="643"/>
      <c r="PTK364" s="324"/>
      <c r="PTL364" s="366"/>
      <c r="PTM364" s="269"/>
      <c r="PTN364" s="644"/>
      <c r="PTO364" s="271"/>
      <c r="PTP364" s="272"/>
      <c r="PTQ364" s="273"/>
      <c r="PTR364" s="274"/>
      <c r="PTS364" s="643"/>
      <c r="PTT364" s="324"/>
      <c r="PTU364" s="366"/>
      <c r="PTV364" s="269"/>
      <c r="PTW364" s="644"/>
      <c r="PTX364" s="271"/>
      <c r="PTY364" s="272"/>
      <c r="PTZ364" s="273"/>
      <c r="PUA364" s="274"/>
      <c r="PUB364" s="643"/>
      <c r="PUC364" s="324"/>
      <c r="PUD364" s="366"/>
      <c r="PUE364" s="269"/>
      <c r="PUF364" s="644"/>
      <c r="PUG364" s="271"/>
      <c r="PUH364" s="272"/>
      <c r="PUI364" s="273"/>
      <c r="PUJ364" s="274"/>
      <c r="PUK364" s="643"/>
      <c r="PUL364" s="324"/>
      <c r="PUM364" s="366"/>
      <c r="PUN364" s="269"/>
      <c r="PUO364" s="644"/>
      <c r="PUP364" s="271"/>
      <c r="PUQ364" s="272"/>
      <c r="PUR364" s="273"/>
      <c r="PUS364" s="274"/>
      <c r="PUT364" s="643"/>
      <c r="PUU364" s="324"/>
      <c r="PUV364" s="366"/>
      <c r="PUW364" s="269"/>
      <c r="PUX364" s="644"/>
      <c r="PUY364" s="271"/>
      <c r="PUZ364" s="272"/>
      <c r="PVA364" s="273"/>
      <c r="PVB364" s="274"/>
      <c r="PVC364" s="643"/>
      <c r="PVD364" s="324"/>
      <c r="PVE364" s="366"/>
      <c r="PVF364" s="269"/>
      <c r="PVG364" s="644"/>
      <c r="PVH364" s="271"/>
      <c r="PVI364" s="272"/>
      <c r="PVJ364" s="273"/>
      <c r="PVK364" s="274"/>
      <c r="PVL364" s="643"/>
      <c r="PVM364" s="324"/>
      <c r="PVN364" s="366"/>
      <c r="PVO364" s="269"/>
      <c r="PVP364" s="644"/>
      <c r="PVQ364" s="271"/>
      <c r="PVR364" s="272"/>
      <c r="PVS364" s="273"/>
      <c r="PVT364" s="274"/>
      <c r="PVU364" s="643"/>
      <c r="PVV364" s="324"/>
      <c r="PVW364" s="366"/>
      <c r="PVX364" s="269"/>
      <c r="PVY364" s="644"/>
      <c r="PVZ364" s="271"/>
      <c r="PWA364" s="272"/>
      <c r="PWB364" s="273"/>
      <c r="PWC364" s="274"/>
      <c r="PWD364" s="643"/>
      <c r="PWE364" s="324"/>
      <c r="PWF364" s="366"/>
      <c r="PWG364" s="269"/>
      <c r="PWH364" s="644"/>
      <c r="PWI364" s="271"/>
      <c r="PWJ364" s="272"/>
      <c r="PWK364" s="273"/>
      <c r="PWL364" s="274"/>
      <c r="PWM364" s="643"/>
      <c r="PWN364" s="324"/>
      <c r="PWO364" s="366"/>
      <c r="PWP364" s="269"/>
      <c r="PWQ364" s="644"/>
      <c r="PWR364" s="271"/>
      <c r="PWS364" s="272"/>
      <c r="PWT364" s="273"/>
      <c r="PWU364" s="274"/>
      <c r="PWV364" s="643"/>
      <c r="PWW364" s="324"/>
      <c r="PWX364" s="366"/>
      <c r="PWY364" s="269"/>
      <c r="PWZ364" s="644"/>
      <c r="PXA364" s="271"/>
      <c r="PXB364" s="272"/>
      <c r="PXC364" s="273"/>
      <c r="PXD364" s="274"/>
      <c r="PXE364" s="643"/>
      <c r="PXF364" s="324"/>
      <c r="PXG364" s="366"/>
      <c r="PXH364" s="269"/>
      <c r="PXI364" s="644"/>
      <c r="PXJ364" s="271"/>
      <c r="PXK364" s="272"/>
      <c r="PXL364" s="273"/>
      <c r="PXM364" s="274"/>
      <c r="PXN364" s="643"/>
      <c r="PXO364" s="324"/>
      <c r="PXP364" s="366"/>
      <c r="PXQ364" s="269"/>
      <c r="PXR364" s="644"/>
      <c r="PXS364" s="271"/>
      <c r="PXT364" s="272"/>
      <c r="PXU364" s="273"/>
      <c r="PXV364" s="274"/>
      <c r="PXW364" s="643"/>
      <c r="PXX364" s="324"/>
      <c r="PXY364" s="366"/>
      <c r="PXZ364" s="269"/>
      <c r="PYA364" s="644"/>
      <c r="PYB364" s="271"/>
      <c r="PYC364" s="272"/>
      <c r="PYD364" s="273"/>
      <c r="PYE364" s="274"/>
      <c r="PYF364" s="643"/>
      <c r="PYG364" s="324"/>
      <c r="PYH364" s="366"/>
      <c r="PYI364" s="269"/>
      <c r="PYJ364" s="644"/>
      <c r="PYK364" s="271"/>
      <c r="PYL364" s="272"/>
      <c r="PYM364" s="273"/>
      <c r="PYN364" s="274"/>
      <c r="PYO364" s="643"/>
      <c r="PYP364" s="324"/>
      <c r="PYQ364" s="366"/>
      <c r="PYR364" s="269"/>
      <c r="PYS364" s="644"/>
      <c r="PYT364" s="271"/>
      <c r="PYU364" s="272"/>
      <c r="PYV364" s="273"/>
      <c r="PYW364" s="274"/>
      <c r="PYX364" s="643"/>
      <c r="PYY364" s="324"/>
      <c r="PYZ364" s="366"/>
      <c r="PZA364" s="269"/>
      <c r="PZB364" s="644"/>
      <c r="PZC364" s="271"/>
      <c r="PZD364" s="272"/>
      <c r="PZE364" s="273"/>
      <c r="PZF364" s="274"/>
      <c r="PZG364" s="643"/>
      <c r="PZH364" s="324"/>
      <c r="PZI364" s="366"/>
      <c r="PZJ364" s="269"/>
      <c r="PZK364" s="644"/>
      <c r="PZL364" s="271"/>
      <c r="PZM364" s="272"/>
      <c r="PZN364" s="273"/>
      <c r="PZO364" s="274"/>
      <c r="PZP364" s="643"/>
      <c r="PZQ364" s="324"/>
      <c r="PZR364" s="366"/>
      <c r="PZS364" s="269"/>
      <c r="PZT364" s="644"/>
      <c r="PZU364" s="271"/>
      <c r="PZV364" s="272"/>
      <c r="PZW364" s="273"/>
      <c r="PZX364" s="274"/>
      <c r="PZY364" s="643"/>
      <c r="PZZ364" s="324"/>
      <c r="QAA364" s="366"/>
      <c r="QAB364" s="269"/>
      <c r="QAC364" s="644"/>
      <c r="QAD364" s="271"/>
      <c r="QAE364" s="272"/>
      <c r="QAF364" s="273"/>
      <c r="QAG364" s="274"/>
      <c r="QAH364" s="643"/>
      <c r="QAI364" s="324"/>
      <c r="QAJ364" s="366"/>
      <c r="QAK364" s="269"/>
      <c r="QAL364" s="644"/>
      <c r="QAM364" s="271"/>
      <c r="QAN364" s="272"/>
      <c r="QAO364" s="273"/>
      <c r="QAP364" s="274"/>
      <c r="QAQ364" s="643"/>
      <c r="QAR364" s="324"/>
      <c r="QAS364" s="366"/>
      <c r="QAT364" s="269"/>
      <c r="QAU364" s="644"/>
      <c r="QAV364" s="271"/>
      <c r="QAW364" s="272"/>
      <c r="QAX364" s="273"/>
      <c r="QAY364" s="274"/>
      <c r="QAZ364" s="643"/>
      <c r="QBA364" s="324"/>
      <c r="QBB364" s="366"/>
      <c r="QBC364" s="269"/>
      <c r="QBD364" s="644"/>
      <c r="QBE364" s="271"/>
      <c r="QBF364" s="272"/>
      <c r="QBG364" s="273"/>
      <c r="QBH364" s="274"/>
      <c r="QBI364" s="643"/>
      <c r="QBJ364" s="324"/>
      <c r="QBK364" s="366"/>
      <c r="QBL364" s="269"/>
      <c r="QBM364" s="644"/>
      <c r="QBN364" s="271"/>
      <c r="QBO364" s="272"/>
      <c r="QBP364" s="273"/>
      <c r="QBQ364" s="274"/>
      <c r="QBR364" s="643"/>
      <c r="QBS364" s="324"/>
      <c r="QBT364" s="366"/>
      <c r="QBU364" s="269"/>
      <c r="QBV364" s="644"/>
      <c r="QBW364" s="271"/>
      <c r="QBX364" s="272"/>
      <c r="QBY364" s="273"/>
      <c r="QBZ364" s="274"/>
      <c r="QCA364" s="643"/>
      <c r="QCB364" s="324"/>
      <c r="QCC364" s="366"/>
      <c r="QCD364" s="269"/>
      <c r="QCE364" s="644"/>
      <c r="QCF364" s="271"/>
      <c r="QCG364" s="272"/>
      <c r="QCH364" s="273"/>
      <c r="QCI364" s="274"/>
      <c r="QCJ364" s="643"/>
      <c r="QCK364" s="324"/>
      <c r="QCL364" s="366"/>
      <c r="QCM364" s="269"/>
      <c r="QCN364" s="644"/>
      <c r="QCO364" s="271"/>
      <c r="QCP364" s="272"/>
      <c r="QCQ364" s="273"/>
      <c r="QCR364" s="274"/>
      <c r="QCS364" s="643"/>
      <c r="QCT364" s="324"/>
      <c r="QCU364" s="366"/>
      <c r="QCV364" s="269"/>
      <c r="QCW364" s="644"/>
      <c r="QCX364" s="271"/>
      <c r="QCY364" s="272"/>
      <c r="QCZ364" s="273"/>
      <c r="QDA364" s="274"/>
      <c r="QDB364" s="643"/>
      <c r="QDC364" s="324"/>
      <c r="QDD364" s="366"/>
      <c r="QDE364" s="269"/>
      <c r="QDF364" s="644"/>
      <c r="QDG364" s="271"/>
      <c r="QDH364" s="272"/>
      <c r="QDI364" s="273"/>
      <c r="QDJ364" s="274"/>
      <c r="QDK364" s="643"/>
      <c r="QDL364" s="324"/>
      <c r="QDM364" s="366"/>
      <c r="QDN364" s="269"/>
      <c r="QDO364" s="644"/>
      <c r="QDP364" s="271"/>
      <c r="QDQ364" s="272"/>
      <c r="QDR364" s="273"/>
      <c r="QDS364" s="274"/>
      <c r="QDT364" s="643"/>
      <c r="QDU364" s="324"/>
      <c r="QDV364" s="366"/>
      <c r="QDW364" s="269"/>
      <c r="QDX364" s="644"/>
      <c r="QDY364" s="271"/>
      <c r="QDZ364" s="272"/>
      <c r="QEA364" s="273"/>
      <c r="QEB364" s="274"/>
      <c r="QEC364" s="643"/>
      <c r="QED364" s="324"/>
      <c r="QEE364" s="366"/>
      <c r="QEF364" s="269"/>
      <c r="QEG364" s="644"/>
      <c r="QEH364" s="271"/>
      <c r="QEI364" s="272"/>
      <c r="QEJ364" s="273"/>
      <c r="QEK364" s="274"/>
      <c r="QEL364" s="643"/>
      <c r="QEM364" s="324"/>
      <c r="QEN364" s="366"/>
      <c r="QEO364" s="269"/>
      <c r="QEP364" s="644"/>
      <c r="QEQ364" s="271"/>
      <c r="QER364" s="272"/>
      <c r="QES364" s="273"/>
      <c r="QET364" s="274"/>
      <c r="QEU364" s="643"/>
      <c r="QEV364" s="324"/>
      <c r="QEW364" s="366"/>
      <c r="QEX364" s="269"/>
      <c r="QEY364" s="644"/>
      <c r="QEZ364" s="271"/>
      <c r="QFA364" s="272"/>
      <c r="QFB364" s="273"/>
      <c r="QFC364" s="274"/>
      <c r="QFD364" s="643"/>
      <c r="QFE364" s="324"/>
      <c r="QFF364" s="366"/>
      <c r="QFG364" s="269"/>
      <c r="QFH364" s="644"/>
      <c r="QFI364" s="271"/>
      <c r="QFJ364" s="272"/>
      <c r="QFK364" s="273"/>
      <c r="QFL364" s="274"/>
      <c r="QFM364" s="643"/>
      <c r="QFN364" s="324"/>
      <c r="QFO364" s="366"/>
      <c r="QFP364" s="269"/>
      <c r="QFQ364" s="644"/>
      <c r="QFR364" s="271"/>
      <c r="QFS364" s="272"/>
      <c r="QFT364" s="273"/>
      <c r="QFU364" s="274"/>
      <c r="QFV364" s="643"/>
      <c r="QFW364" s="324"/>
      <c r="QFX364" s="366"/>
      <c r="QFY364" s="269"/>
      <c r="QFZ364" s="644"/>
      <c r="QGA364" s="271"/>
      <c r="QGB364" s="272"/>
      <c r="QGC364" s="273"/>
      <c r="QGD364" s="274"/>
      <c r="QGE364" s="643"/>
      <c r="QGF364" s="324"/>
      <c r="QGG364" s="366"/>
      <c r="QGH364" s="269"/>
      <c r="QGI364" s="644"/>
      <c r="QGJ364" s="271"/>
      <c r="QGK364" s="272"/>
      <c r="QGL364" s="273"/>
      <c r="QGM364" s="274"/>
      <c r="QGN364" s="643"/>
      <c r="QGO364" s="324"/>
      <c r="QGP364" s="366"/>
      <c r="QGQ364" s="269"/>
      <c r="QGR364" s="644"/>
      <c r="QGS364" s="271"/>
      <c r="QGT364" s="272"/>
      <c r="QGU364" s="273"/>
      <c r="QGV364" s="274"/>
      <c r="QGW364" s="643"/>
      <c r="QGX364" s="324"/>
      <c r="QGY364" s="366"/>
      <c r="QGZ364" s="269"/>
      <c r="QHA364" s="644"/>
      <c r="QHB364" s="271"/>
      <c r="QHC364" s="272"/>
      <c r="QHD364" s="273"/>
      <c r="QHE364" s="274"/>
      <c r="QHF364" s="643"/>
      <c r="QHG364" s="324"/>
      <c r="QHH364" s="366"/>
      <c r="QHI364" s="269"/>
      <c r="QHJ364" s="644"/>
      <c r="QHK364" s="271"/>
      <c r="QHL364" s="272"/>
      <c r="QHM364" s="273"/>
      <c r="QHN364" s="274"/>
      <c r="QHO364" s="643"/>
      <c r="QHP364" s="324"/>
      <c r="QHQ364" s="366"/>
      <c r="QHR364" s="269"/>
      <c r="QHS364" s="644"/>
      <c r="QHT364" s="271"/>
      <c r="QHU364" s="272"/>
      <c r="QHV364" s="273"/>
      <c r="QHW364" s="274"/>
      <c r="QHX364" s="643"/>
      <c r="QHY364" s="324"/>
      <c r="QHZ364" s="366"/>
      <c r="QIA364" s="269"/>
      <c r="QIB364" s="644"/>
      <c r="QIC364" s="271"/>
      <c r="QID364" s="272"/>
      <c r="QIE364" s="273"/>
      <c r="QIF364" s="274"/>
      <c r="QIG364" s="643"/>
      <c r="QIH364" s="324"/>
      <c r="QII364" s="366"/>
      <c r="QIJ364" s="269"/>
      <c r="QIK364" s="644"/>
      <c r="QIL364" s="271"/>
      <c r="QIM364" s="272"/>
      <c r="QIN364" s="273"/>
      <c r="QIO364" s="274"/>
      <c r="QIP364" s="643"/>
      <c r="QIQ364" s="324"/>
      <c r="QIR364" s="366"/>
      <c r="QIS364" s="269"/>
      <c r="QIT364" s="644"/>
      <c r="QIU364" s="271"/>
      <c r="QIV364" s="272"/>
      <c r="QIW364" s="273"/>
      <c r="QIX364" s="274"/>
      <c r="QIY364" s="643"/>
      <c r="QIZ364" s="324"/>
      <c r="QJA364" s="366"/>
      <c r="QJB364" s="269"/>
      <c r="QJC364" s="644"/>
      <c r="QJD364" s="271"/>
      <c r="QJE364" s="272"/>
      <c r="QJF364" s="273"/>
      <c r="QJG364" s="274"/>
      <c r="QJH364" s="643"/>
      <c r="QJI364" s="324"/>
      <c r="QJJ364" s="366"/>
      <c r="QJK364" s="269"/>
      <c r="QJL364" s="644"/>
      <c r="QJM364" s="271"/>
      <c r="QJN364" s="272"/>
      <c r="QJO364" s="273"/>
      <c r="QJP364" s="274"/>
      <c r="QJQ364" s="643"/>
      <c r="QJR364" s="324"/>
      <c r="QJS364" s="366"/>
      <c r="QJT364" s="269"/>
      <c r="QJU364" s="644"/>
      <c r="QJV364" s="271"/>
      <c r="QJW364" s="272"/>
      <c r="QJX364" s="273"/>
      <c r="QJY364" s="274"/>
      <c r="QJZ364" s="643"/>
      <c r="QKA364" s="324"/>
      <c r="QKB364" s="366"/>
      <c r="QKC364" s="269"/>
      <c r="QKD364" s="644"/>
      <c r="QKE364" s="271"/>
      <c r="QKF364" s="272"/>
      <c r="QKG364" s="273"/>
      <c r="QKH364" s="274"/>
      <c r="QKI364" s="643"/>
      <c r="QKJ364" s="324"/>
      <c r="QKK364" s="366"/>
      <c r="QKL364" s="269"/>
      <c r="QKM364" s="644"/>
      <c r="QKN364" s="271"/>
      <c r="QKO364" s="272"/>
      <c r="QKP364" s="273"/>
      <c r="QKQ364" s="274"/>
      <c r="QKR364" s="643"/>
      <c r="QKS364" s="324"/>
      <c r="QKT364" s="366"/>
      <c r="QKU364" s="269"/>
      <c r="QKV364" s="644"/>
      <c r="QKW364" s="271"/>
      <c r="QKX364" s="272"/>
      <c r="QKY364" s="273"/>
      <c r="QKZ364" s="274"/>
      <c r="QLA364" s="643"/>
      <c r="QLB364" s="324"/>
      <c r="QLC364" s="366"/>
      <c r="QLD364" s="269"/>
      <c r="QLE364" s="644"/>
      <c r="QLF364" s="271"/>
      <c r="QLG364" s="272"/>
      <c r="QLH364" s="273"/>
      <c r="QLI364" s="274"/>
      <c r="QLJ364" s="643"/>
      <c r="QLK364" s="324"/>
      <c r="QLL364" s="366"/>
      <c r="QLM364" s="269"/>
      <c r="QLN364" s="644"/>
      <c r="QLO364" s="271"/>
      <c r="QLP364" s="272"/>
      <c r="QLQ364" s="273"/>
      <c r="QLR364" s="274"/>
      <c r="QLS364" s="643"/>
      <c r="QLT364" s="324"/>
      <c r="QLU364" s="366"/>
      <c r="QLV364" s="269"/>
      <c r="QLW364" s="644"/>
      <c r="QLX364" s="271"/>
      <c r="QLY364" s="272"/>
      <c r="QLZ364" s="273"/>
      <c r="QMA364" s="274"/>
      <c r="QMB364" s="643"/>
      <c r="QMC364" s="324"/>
      <c r="QMD364" s="366"/>
      <c r="QME364" s="269"/>
      <c r="QMF364" s="644"/>
      <c r="QMG364" s="271"/>
      <c r="QMH364" s="272"/>
      <c r="QMI364" s="273"/>
      <c r="QMJ364" s="274"/>
      <c r="QMK364" s="643"/>
      <c r="QML364" s="324"/>
      <c r="QMM364" s="366"/>
      <c r="QMN364" s="269"/>
      <c r="QMO364" s="644"/>
      <c r="QMP364" s="271"/>
      <c r="QMQ364" s="272"/>
      <c r="QMR364" s="273"/>
      <c r="QMS364" s="274"/>
      <c r="QMT364" s="643"/>
      <c r="QMU364" s="324"/>
      <c r="QMV364" s="366"/>
      <c r="QMW364" s="269"/>
      <c r="QMX364" s="644"/>
      <c r="QMY364" s="271"/>
      <c r="QMZ364" s="272"/>
      <c r="QNA364" s="273"/>
      <c r="QNB364" s="274"/>
      <c r="QNC364" s="643"/>
      <c r="QND364" s="324"/>
      <c r="QNE364" s="366"/>
      <c r="QNF364" s="269"/>
      <c r="QNG364" s="644"/>
      <c r="QNH364" s="271"/>
      <c r="QNI364" s="272"/>
      <c r="QNJ364" s="273"/>
      <c r="QNK364" s="274"/>
      <c r="QNL364" s="643"/>
      <c r="QNM364" s="324"/>
      <c r="QNN364" s="366"/>
      <c r="QNO364" s="269"/>
      <c r="QNP364" s="644"/>
      <c r="QNQ364" s="271"/>
      <c r="QNR364" s="272"/>
      <c r="QNS364" s="273"/>
      <c r="QNT364" s="274"/>
      <c r="QNU364" s="643"/>
      <c r="QNV364" s="324"/>
      <c r="QNW364" s="366"/>
      <c r="QNX364" s="269"/>
      <c r="QNY364" s="644"/>
      <c r="QNZ364" s="271"/>
      <c r="QOA364" s="272"/>
      <c r="QOB364" s="273"/>
      <c r="QOC364" s="274"/>
      <c r="QOD364" s="643"/>
      <c r="QOE364" s="324"/>
      <c r="QOF364" s="366"/>
      <c r="QOG364" s="269"/>
      <c r="QOH364" s="644"/>
      <c r="QOI364" s="271"/>
      <c r="QOJ364" s="272"/>
      <c r="QOK364" s="273"/>
      <c r="QOL364" s="274"/>
      <c r="QOM364" s="643"/>
      <c r="QON364" s="324"/>
      <c r="QOO364" s="366"/>
      <c r="QOP364" s="269"/>
      <c r="QOQ364" s="644"/>
      <c r="QOR364" s="271"/>
      <c r="QOS364" s="272"/>
      <c r="QOT364" s="273"/>
      <c r="QOU364" s="274"/>
      <c r="QOV364" s="643"/>
      <c r="QOW364" s="324"/>
      <c r="QOX364" s="366"/>
      <c r="QOY364" s="269"/>
      <c r="QOZ364" s="644"/>
      <c r="QPA364" s="271"/>
      <c r="QPB364" s="272"/>
      <c r="QPC364" s="273"/>
      <c r="QPD364" s="274"/>
      <c r="QPE364" s="643"/>
      <c r="QPF364" s="324"/>
      <c r="QPG364" s="366"/>
      <c r="QPH364" s="269"/>
      <c r="QPI364" s="644"/>
      <c r="QPJ364" s="271"/>
      <c r="QPK364" s="272"/>
      <c r="QPL364" s="273"/>
      <c r="QPM364" s="274"/>
      <c r="QPN364" s="643"/>
      <c r="QPO364" s="324"/>
      <c r="QPP364" s="366"/>
      <c r="QPQ364" s="269"/>
      <c r="QPR364" s="644"/>
      <c r="QPS364" s="271"/>
      <c r="QPT364" s="272"/>
      <c r="QPU364" s="273"/>
      <c r="QPV364" s="274"/>
      <c r="QPW364" s="643"/>
      <c r="QPX364" s="324"/>
      <c r="QPY364" s="366"/>
      <c r="QPZ364" s="269"/>
      <c r="QQA364" s="644"/>
      <c r="QQB364" s="271"/>
      <c r="QQC364" s="272"/>
      <c r="QQD364" s="273"/>
      <c r="QQE364" s="274"/>
      <c r="QQF364" s="643"/>
      <c r="QQG364" s="324"/>
      <c r="QQH364" s="366"/>
      <c r="QQI364" s="269"/>
      <c r="QQJ364" s="644"/>
      <c r="QQK364" s="271"/>
      <c r="QQL364" s="272"/>
      <c r="QQM364" s="273"/>
      <c r="QQN364" s="274"/>
      <c r="QQO364" s="643"/>
      <c r="QQP364" s="324"/>
      <c r="QQQ364" s="366"/>
      <c r="QQR364" s="269"/>
      <c r="QQS364" s="644"/>
      <c r="QQT364" s="271"/>
      <c r="QQU364" s="272"/>
      <c r="QQV364" s="273"/>
      <c r="QQW364" s="274"/>
      <c r="QQX364" s="643"/>
      <c r="QQY364" s="324"/>
      <c r="QQZ364" s="366"/>
      <c r="QRA364" s="269"/>
      <c r="QRB364" s="644"/>
      <c r="QRC364" s="271"/>
      <c r="QRD364" s="272"/>
      <c r="QRE364" s="273"/>
      <c r="QRF364" s="274"/>
      <c r="QRG364" s="643"/>
      <c r="QRH364" s="324"/>
      <c r="QRI364" s="366"/>
      <c r="QRJ364" s="269"/>
      <c r="QRK364" s="644"/>
      <c r="QRL364" s="271"/>
      <c r="QRM364" s="272"/>
      <c r="QRN364" s="273"/>
      <c r="QRO364" s="274"/>
      <c r="QRP364" s="643"/>
      <c r="QRQ364" s="324"/>
      <c r="QRR364" s="366"/>
      <c r="QRS364" s="269"/>
      <c r="QRT364" s="644"/>
      <c r="QRU364" s="271"/>
      <c r="QRV364" s="272"/>
      <c r="QRW364" s="273"/>
      <c r="QRX364" s="274"/>
      <c r="QRY364" s="643"/>
      <c r="QRZ364" s="324"/>
      <c r="QSA364" s="366"/>
      <c r="QSB364" s="269"/>
      <c r="QSC364" s="644"/>
      <c r="QSD364" s="271"/>
      <c r="QSE364" s="272"/>
      <c r="QSF364" s="273"/>
      <c r="QSG364" s="274"/>
      <c r="QSH364" s="643"/>
      <c r="QSI364" s="324"/>
      <c r="QSJ364" s="366"/>
      <c r="QSK364" s="269"/>
      <c r="QSL364" s="644"/>
      <c r="QSM364" s="271"/>
      <c r="QSN364" s="272"/>
      <c r="QSO364" s="273"/>
      <c r="QSP364" s="274"/>
      <c r="QSQ364" s="643"/>
      <c r="QSR364" s="324"/>
      <c r="QSS364" s="366"/>
      <c r="QST364" s="269"/>
      <c r="QSU364" s="644"/>
      <c r="QSV364" s="271"/>
      <c r="QSW364" s="272"/>
      <c r="QSX364" s="273"/>
      <c r="QSY364" s="274"/>
      <c r="QSZ364" s="643"/>
      <c r="QTA364" s="324"/>
      <c r="QTB364" s="366"/>
      <c r="QTC364" s="269"/>
      <c r="QTD364" s="644"/>
      <c r="QTE364" s="271"/>
      <c r="QTF364" s="272"/>
      <c r="QTG364" s="273"/>
      <c r="QTH364" s="274"/>
      <c r="QTI364" s="643"/>
      <c r="QTJ364" s="324"/>
      <c r="QTK364" s="366"/>
      <c r="QTL364" s="269"/>
      <c r="QTM364" s="644"/>
      <c r="QTN364" s="271"/>
      <c r="QTO364" s="272"/>
      <c r="QTP364" s="273"/>
      <c r="QTQ364" s="274"/>
      <c r="QTR364" s="643"/>
      <c r="QTS364" s="324"/>
      <c r="QTT364" s="366"/>
      <c r="QTU364" s="269"/>
      <c r="QTV364" s="644"/>
      <c r="QTW364" s="271"/>
      <c r="QTX364" s="272"/>
      <c r="QTY364" s="273"/>
      <c r="QTZ364" s="274"/>
      <c r="QUA364" s="643"/>
      <c r="QUB364" s="324"/>
      <c r="QUC364" s="366"/>
      <c r="QUD364" s="269"/>
      <c r="QUE364" s="644"/>
      <c r="QUF364" s="271"/>
      <c r="QUG364" s="272"/>
      <c r="QUH364" s="273"/>
      <c r="QUI364" s="274"/>
      <c r="QUJ364" s="643"/>
      <c r="QUK364" s="324"/>
      <c r="QUL364" s="366"/>
      <c r="QUM364" s="269"/>
      <c r="QUN364" s="644"/>
      <c r="QUO364" s="271"/>
      <c r="QUP364" s="272"/>
      <c r="QUQ364" s="273"/>
      <c r="QUR364" s="274"/>
      <c r="QUS364" s="643"/>
      <c r="QUT364" s="324"/>
      <c r="QUU364" s="366"/>
      <c r="QUV364" s="269"/>
      <c r="QUW364" s="644"/>
      <c r="QUX364" s="271"/>
      <c r="QUY364" s="272"/>
      <c r="QUZ364" s="273"/>
      <c r="QVA364" s="274"/>
      <c r="QVB364" s="643"/>
      <c r="QVC364" s="324"/>
      <c r="QVD364" s="366"/>
      <c r="QVE364" s="269"/>
      <c r="QVF364" s="644"/>
      <c r="QVG364" s="271"/>
      <c r="QVH364" s="272"/>
      <c r="QVI364" s="273"/>
      <c r="QVJ364" s="274"/>
      <c r="QVK364" s="643"/>
      <c r="QVL364" s="324"/>
      <c r="QVM364" s="366"/>
      <c r="QVN364" s="269"/>
      <c r="QVO364" s="644"/>
      <c r="QVP364" s="271"/>
      <c r="QVQ364" s="272"/>
      <c r="QVR364" s="273"/>
      <c r="QVS364" s="274"/>
      <c r="QVT364" s="643"/>
      <c r="QVU364" s="324"/>
      <c r="QVV364" s="366"/>
      <c r="QVW364" s="269"/>
      <c r="QVX364" s="644"/>
      <c r="QVY364" s="271"/>
      <c r="QVZ364" s="272"/>
      <c r="QWA364" s="273"/>
      <c r="QWB364" s="274"/>
      <c r="QWC364" s="643"/>
      <c r="QWD364" s="324"/>
      <c r="QWE364" s="366"/>
      <c r="QWF364" s="269"/>
      <c r="QWG364" s="644"/>
      <c r="QWH364" s="271"/>
      <c r="QWI364" s="272"/>
      <c r="QWJ364" s="273"/>
      <c r="QWK364" s="274"/>
      <c r="QWL364" s="643"/>
      <c r="QWM364" s="324"/>
      <c r="QWN364" s="366"/>
      <c r="QWO364" s="269"/>
      <c r="QWP364" s="644"/>
      <c r="QWQ364" s="271"/>
      <c r="QWR364" s="272"/>
      <c r="QWS364" s="273"/>
      <c r="QWT364" s="274"/>
      <c r="QWU364" s="643"/>
      <c r="QWV364" s="324"/>
      <c r="QWW364" s="366"/>
      <c r="QWX364" s="269"/>
      <c r="QWY364" s="644"/>
      <c r="QWZ364" s="271"/>
      <c r="QXA364" s="272"/>
      <c r="QXB364" s="273"/>
      <c r="QXC364" s="274"/>
      <c r="QXD364" s="643"/>
      <c r="QXE364" s="324"/>
      <c r="QXF364" s="366"/>
      <c r="QXG364" s="269"/>
      <c r="QXH364" s="644"/>
      <c r="QXI364" s="271"/>
      <c r="QXJ364" s="272"/>
      <c r="QXK364" s="273"/>
      <c r="QXL364" s="274"/>
      <c r="QXM364" s="643"/>
      <c r="QXN364" s="324"/>
      <c r="QXO364" s="366"/>
      <c r="QXP364" s="269"/>
      <c r="QXQ364" s="644"/>
      <c r="QXR364" s="271"/>
      <c r="QXS364" s="272"/>
      <c r="QXT364" s="273"/>
      <c r="QXU364" s="274"/>
      <c r="QXV364" s="643"/>
      <c r="QXW364" s="324"/>
      <c r="QXX364" s="366"/>
      <c r="QXY364" s="269"/>
      <c r="QXZ364" s="644"/>
      <c r="QYA364" s="271"/>
      <c r="QYB364" s="272"/>
      <c r="QYC364" s="273"/>
      <c r="QYD364" s="274"/>
      <c r="QYE364" s="643"/>
      <c r="QYF364" s="324"/>
      <c r="QYG364" s="366"/>
      <c r="QYH364" s="269"/>
      <c r="QYI364" s="644"/>
      <c r="QYJ364" s="271"/>
      <c r="QYK364" s="272"/>
      <c r="QYL364" s="273"/>
      <c r="QYM364" s="274"/>
      <c r="QYN364" s="643"/>
      <c r="QYO364" s="324"/>
      <c r="QYP364" s="366"/>
      <c r="QYQ364" s="269"/>
      <c r="QYR364" s="644"/>
      <c r="QYS364" s="271"/>
      <c r="QYT364" s="272"/>
      <c r="QYU364" s="273"/>
      <c r="QYV364" s="274"/>
      <c r="QYW364" s="643"/>
      <c r="QYX364" s="324"/>
      <c r="QYY364" s="366"/>
      <c r="QYZ364" s="269"/>
      <c r="QZA364" s="644"/>
      <c r="QZB364" s="271"/>
      <c r="QZC364" s="272"/>
      <c r="QZD364" s="273"/>
      <c r="QZE364" s="274"/>
      <c r="QZF364" s="643"/>
      <c r="QZG364" s="324"/>
      <c r="QZH364" s="366"/>
      <c r="QZI364" s="269"/>
      <c r="QZJ364" s="644"/>
      <c r="QZK364" s="271"/>
      <c r="QZL364" s="272"/>
      <c r="QZM364" s="273"/>
      <c r="QZN364" s="274"/>
      <c r="QZO364" s="643"/>
      <c r="QZP364" s="324"/>
      <c r="QZQ364" s="366"/>
      <c r="QZR364" s="269"/>
      <c r="QZS364" s="644"/>
      <c r="QZT364" s="271"/>
      <c r="QZU364" s="272"/>
      <c r="QZV364" s="273"/>
      <c r="QZW364" s="274"/>
      <c r="QZX364" s="643"/>
      <c r="QZY364" s="324"/>
      <c r="QZZ364" s="366"/>
      <c r="RAA364" s="269"/>
      <c r="RAB364" s="644"/>
      <c r="RAC364" s="271"/>
      <c r="RAD364" s="272"/>
      <c r="RAE364" s="273"/>
      <c r="RAF364" s="274"/>
      <c r="RAG364" s="643"/>
      <c r="RAH364" s="324"/>
      <c r="RAI364" s="366"/>
      <c r="RAJ364" s="269"/>
      <c r="RAK364" s="644"/>
      <c r="RAL364" s="271"/>
      <c r="RAM364" s="272"/>
      <c r="RAN364" s="273"/>
      <c r="RAO364" s="274"/>
      <c r="RAP364" s="643"/>
      <c r="RAQ364" s="324"/>
      <c r="RAR364" s="366"/>
      <c r="RAS364" s="269"/>
      <c r="RAT364" s="644"/>
      <c r="RAU364" s="271"/>
      <c r="RAV364" s="272"/>
      <c r="RAW364" s="273"/>
      <c r="RAX364" s="274"/>
      <c r="RAY364" s="643"/>
      <c r="RAZ364" s="324"/>
      <c r="RBA364" s="366"/>
      <c r="RBB364" s="269"/>
      <c r="RBC364" s="644"/>
      <c r="RBD364" s="271"/>
      <c r="RBE364" s="272"/>
      <c r="RBF364" s="273"/>
      <c r="RBG364" s="274"/>
      <c r="RBH364" s="643"/>
      <c r="RBI364" s="324"/>
      <c r="RBJ364" s="366"/>
      <c r="RBK364" s="269"/>
      <c r="RBL364" s="644"/>
      <c r="RBM364" s="271"/>
      <c r="RBN364" s="272"/>
      <c r="RBO364" s="273"/>
      <c r="RBP364" s="274"/>
      <c r="RBQ364" s="643"/>
      <c r="RBR364" s="324"/>
      <c r="RBS364" s="366"/>
      <c r="RBT364" s="269"/>
      <c r="RBU364" s="644"/>
      <c r="RBV364" s="271"/>
      <c r="RBW364" s="272"/>
      <c r="RBX364" s="273"/>
      <c r="RBY364" s="274"/>
      <c r="RBZ364" s="643"/>
      <c r="RCA364" s="324"/>
      <c r="RCB364" s="366"/>
      <c r="RCC364" s="269"/>
      <c r="RCD364" s="644"/>
      <c r="RCE364" s="271"/>
      <c r="RCF364" s="272"/>
      <c r="RCG364" s="273"/>
      <c r="RCH364" s="274"/>
      <c r="RCI364" s="643"/>
      <c r="RCJ364" s="324"/>
      <c r="RCK364" s="366"/>
      <c r="RCL364" s="269"/>
      <c r="RCM364" s="644"/>
      <c r="RCN364" s="271"/>
      <c r="RCO364" s="272"/>
      <c r="RCP364" s="273"/>
      <c r="RCQ364" s="274"/>
      <c r="RCR364" s="643"/>
      <c r="RCS364" s="324"/>
      <c r="RCT364" s="366"/>
      <c r="RCU364" s="269"/>
      <c r="RCV364" s="644"/>
      <c r="RCW364" s="271"/>
      <c r="RCX364" s="272"/>
      <c r="RCY364" s="273"/>
      <c r="RCZ364" s="274"/>
      <c r="RDA364" s="643"/>
      <c r="RDB364" s="324"/>
      <c r="RDC364" s="366"/>
      <c r="RDD364" s="269"/>
      <c r="RDE364" s="644"/>
      <c r="RDF364" s="271"/>
      <c r="RDG364" s="272"/>
      <c r="RDH364" s="273"/>
      <c r="RDI364" s="274"/>
      <c r="RDJ364" s="643"/>
      <c r="RDK364" s="324"/>
      <c r="RDL364" s="366"/>
      <c r="RDM364" s="269"/>
      <c r="RDN364" s="644"/>
      <c r="RDO364" s="271"/>
      <c r="RDP364" s="272"/>
      <c r="RDQ364" s="273"/>
      <c r="RDR364" s="274"/>
      <c r="RDS364" s="643"/>
      <c r="RDT364" s="324"/>
      <c r="RDU364" s="366"/>
      <c r="RDV364" s="269"/>
      <c r="RDW364" s="644"/>
      <c r="RDX364" s="271"/>
      <c r="RDY364" s="272"/>
      <c r="RDZ364" s="273"/>
      <c r="REA364" s="274"/>
      <c r="REB364" s="643"/>
      <c r="REC364" s="324"/>
      <c r="RED364" s="366"/>
      <c r="REE364" s="269"/>
      <c r="REF364" s="644"/>
      <c r="REG364" s="271"/>
      <c r="REH364" s="272"/>
      <c r="REI364" s="273"/>
      <c r="REJ364" s="274"/>
      <c r="REK364" s="643"/>
      <c r="REL364" s="324"/>
      <c r="REM364" s="366"/>
      <c r="REN364" s="269"/>
      <c r="REO364" s="644"/>
      <c r="REP364" s="271"/>
      <c r="REQ364" s="272"/>
      <c r="RER364" s="273"/>
      <c r="RES364" s="274"/>
      <c r="RET364" s="643"/>
      <c r="REU364" s="324"/>
      <c r="REV364" s="366"/>
      <c r="REW364" s="269"/>
      <c r="REX364" s="644"/>
      <c r="REY364" s="271"/>
      <c r="REZ364" s="272"/>
      <c r="RFA364" s="273"/>
      <c r="RFB364" s="274"/>
      <c r="RFC364" s="643"/>
      <c r="RFD364" s="324"/>
      <c r="RFE364" s="366"/>
      <c r="RFF364" s="269"/>
      <c r="RFG364" s="644"/>
      <c r="RFH364" s="271"/>
      <c r="RFI364" s="272"/>
      <c r="RFJ364" s="273"/>
      <c r="RFK364" s="274"/>
      <c r="RFL364" s="643"/>
      <c r="RFM364" s="324"/>
      <c r="RFN364" s="366"/>
      <c r="RFO364" s="269"/>
      <c r="RFP364" s="644"/>
      <c r="RFQ364" s="271"/>
      <c r="RFR364" s="272"/>
      <c r="RFS364" s="273"/>
      <c r="RFT364" s="274"/>
      <c r="RFU364" s="643"/>
      <c r="RFV364" s="324"/>
      <c r="RFW364" s="366"/>
      <c r="RFX364" s="269"/>
      <c r="RFY364" s="644"/>
      <c r="RFZ364" s="271"/>
      <c r="RGA364" s="272"/>
      <c r="RGB364" s="273"/>
      <c r="RGC364" s="274"/>
      <c r="RGD364" s="643"/>
      <c r="RGE364" s="324"/>
      <c r="RGF364" s="366"/>
      <c r="RGG364" s="269"/>
      <c r="RGH364" s="644"/>
      <c r="RGI364" s="271"/>
      <c r="RGJ364" s="272"/>
      <c r="RGK364" s="273"/>
      <c r="RGL364" s="274"/>
      <c r="RGM364" s="643"/>
      <c r="RGN364" s="324"/>
      <c r="RGO364" s="366"/>
      <c r="RGP364" s="269"/>
      <c r="RGQ364" s="644"/>
      <c r="RGR364" s="271"/>
      <c r="RGS364" s="272"/>
      <c r="RGT364" s="273"/>
      <c r="RGU364" s="274"/>
      <c r="RGV364" s="643"/>
      <c r="RGW364" s="324"/>
      <c r="RGX364" s="366"/>
      <c r="RGY364" s="269"/>
      <c r="RGZ364" s="644"/>
      <c r="RHA364" s="271"/>
      <c r="RHB364" s="272"/>
      <c r="RHC364" s="273"/>
      <c r="RHD364" s="274"/>
      <c r="RHE364" s="643"/>
      <c r="RHF364" s="324"/>
      <c r="RHG364" s="366"/>
      <c r="RHH364" s="269"/>
      <c r="RHI364" s="644"/>
      <c r="RHJ364" s="271"/>
      <c r="RHK364" s="272"/>
      <c r="RHL364" s="273"/>
      <c r="RHM364" s="274"/>
      <c r="RHN364" s="643"/>
      <c r="RHO364" s="324"/>
      <c r="RHP364" s="366"/>
      <c r="RHQ364" s="269"/>
      <c r="RHR364" s="644"/>
      <c r="RHS364" s="271"/>
      <c r="RHT364" s="272"/>
      <c r="RHU364" s="273"/>
      <c r="RHV364" s="274"/>
      <c r="RHW364" s="643"/>
      <c r="RHX364" s="324"/>
      <c r="RHY364" s="366"/>
      <c r="RHZ364" s="269"/>
      <c r="RIA364" s="644"/>
      <c r="RIB364" s="271"/>
      <c r="RIC364" s="272"/>
      <c r="RID364" s="273"/>
      <c r="RIE364" s="274"/>
      <c r="RIF364" s="643"/>
      <c r="RIG364" s="324"/>
      <c r="RIH364" s="366"/>
      <c r="RII364" s="269"/>
      <c r="RIJ364" s="644"/>
      <c r="RIK364" s="271"/>
      <c r="RIL364" s="272"/>
      <c r="RIM364" s="273"/>
      <c r="RIN364" s="274"/>
      <c r="RIO364" s="643"/>
      <c r="RIP364" s="324"/>
      <c r="RIQ364" s="366"/>
      <c r="RIR364" s="269"/>
      <c r="RIS364" s="644"/>
      <c r="RIT364" s="271"/>
      <c r="RIU364" s="272"/>
      <c r="RIV364" s="273"/>
      <c r="RIW364" s="274"/>
      <c r="RIX364" s="643"/>
      <c r="RIY364" s="324"/>
      <c r="RIZ364" s="366"/>
      <c r="RJA364" s="269"/>
      <c r="RJB364" s="644"/>
      <c r="RJC364" s="271"/>
      <c r="RJD364" s="272"/>
      <c r="RJE364" s="273"/>
      <c r="RJF364" s="274"/>
      <c r="RJG364" s="643"/>
      <c r="RJH364" s="324"/>
      <c r="RJI364" s="366"/>
      <c r="RJJ364" s="269"/>
      <c r="RJK364" s="644"/>
      <c r="RJL364" s="271"/>
      <c r="RJM364" s="272"/>
      <c r="RJN364" s="273"/>
      <c r="RJO364" s="274"/>
      <c r="RJP364" s="643"/>
      <c r="RJQ364" s="324"/>
      <c r="RJR364" s="366"/>
      <c r="RJS364" s="269"/>
      <c r="RJT364" s="644"/>
      <c r="RJU364" s="271"/>
      <c r="RJV364" s="272"/>
      <c r="RJW364" s="273"/>
      <c r="RJX364" s="274"/>
      <c r="RJY364" s="643"/>
      <c r="RJZ364" s="324"/>
      <c r="RKA364" s="366"/>
      <c r="RKB364" s="269"/>
      <c r="RKC364" s="644"/>
      <c r="RKD364" s="271"/>
      <c r="RKE364" s="272"/>
      <c r="RKF364" s="273"/>
      <c r="RKG364" s="274"/>
      <c r="RKH364" s="643"/>
      <c r="RKI364" s="324"/>
      <c r="RKJ364" s="366"/>
      <c r="RKK364" s="269"/>
      <c r="RKL364" s="644"/>
      <c r="RKM364" s="271"/>
      <c r="RKN364" s="272"/>
      <c r="RKO364" s="273"/>
      <c r="RKP364" s="274"/>
      <c r="RKQ364" s="643"/>
      <c r="RKR364" s="324"/>
      <c r="RKS364" s="366"/>
      <c r="RKT364" s="269"/>
      <c r="RKU364" s="644"/>
      <c r="RKV364" s="271"/>
      <c r="RKW364" s="272"/>
      <c r="RKX364" s="273"/>
      <c r="RKY364" s="274"/>
      <c r="RKZ364" s="643"/>
      <c r="RLA364" s="324"/>
      <c r="RLB364" s="366"/>
      <c r="RLC364" s="269"/>
      <c r="RLD364" s="644"/>
      <c r="RLE364" s="271"/>
      <c r="RLF364" s="272"/>
      <c r="RLG364" s="273"/>
      <c r="RLH364" s="274"/>
      <c r="RLI364" s="643"/>
      <c r="RLJ364" s="324"/>
      <c r="RLK364" s="366"/>
      <c r="RLL364" s="269"/>
      <c r="RLM364" s="644"/>
      <c r="RLN364" s="271"/>
      <c r="RLO364" s="272"/>
      <c r="RLP364" s="273"/>
      <c r="RLQ364" s="274"/>
      <c r="RLR364" s="643"/>
      <c r="RLS364" s="324"/>
      <c r="RLT364" s="366"/>
      <c r="RLU364" s="269"/>
      <c r="RLV364" s="644"/>
      <c r="RLW364" s="271"/>
      <c r="RLX364" s="272"/>
      <c r="RLY364" s="273"/>
      <c r="RLZ364" s="274"/>
      <c r="RMA364" s="643"/>
      <c r="RMB364" s="324"/>
      <c r="RMC364" s="366"/>
      <c r="RMD364" s="269"/>
      <c r="RME364" s="644"/>
      <c r="RMF364" s="271"/>
      <c r="RMG364" s="272"/>
      <c r="RMH364" s="273"/>
      <c r="RMI364" s="274"/>
      <c r="RMJ364" s="643"/>
      <c r="RMK364" s="324"/>
      <c r="RML364" s="366"/>
      <c r="RMM364" s="269"/>
      <c r="RMN364" s="644"/>
      <c r="RMO364" s="271"/>
      <c r="RMP364" s="272"/>
      <c r="RMQ364" s="273"/>
      <c r="RMR364" s="274"/>
      <c r="RMS364" s="643"/>
      <c r="RMT364" s="324"/>
      <c r="RMU364" s="366"/>
      <c r="RMV364" s="269"/>
      <c r="RMW364" s="644"/>
      <c r="RMX364" s="271"/>
      <c r="RMY364" s="272"/>
      <c r="RMZ364" s="273"/>
      <c r="RNA364" s="274"/>
      <c r="RNB364" s="643"/>
      <c r="RNC364" s="324"/>
      <c r="RND364" s="366"/>
      <c r="RNE364" s="269"/>
      <c r="RNF364" s="644"/>
      <c r="RNG364" s="271"/>
      <c r="RNH364" s="272"/>
      <c r="RNI364" s="273"/>
      <c r="RNJ364" s="274"/>
      <c r="RNK364" s="643"/>
      <c r="RNL364" s="324"/>
      <c r="RNM364" s="366"/>
      <c r="RNN364" s="269"/>
      <c r="RNO364" s="644"/>
      <c r="RNP364" s="271"/>
      <c r="RNQ364" s="272"/>
      <c r="RNR364" s="273"/>
      <c r="RNS364" s="274"/>
      <c r="RNT364" s="643"/>
      <c r="RNU364" s="324"/>
      <c r="RNV364" s="366"/>
      <c r="RNW364" s="269"/>
      <c r="RNX364" s="644"/>
      <c r="RNY364" s="271"/>
      <c r="RNZ364" s="272"/>
      <c r="ROA364" s="273"/>
      <c r="ROB364" s="274"/>
      <c r="ROC364" s="643"/>
      <c r="ROD364" s="324"/>
      <c r="ROE364" s="366"/>
      <c r="ROF364" s="269"/>
      <c r="ROG364" s="644"/>
      <c r="ROH364" s="271"/>
      <c r="ROI364" s="272"/>
      <c r="ROJ364" s="273"/>
      <c r="ROK364" s="274"/>
      <c r="ROL364" s="643"/>
      <c r="ROM364" s="324"/>
      <c r="RON364" s="366"/>
      <c r="ROO364" s="269"/>
      <c r="ROP364" s="644"/>
      <c r="ROQ364" s="271"/>
      <c r="ROR364" s="272"/>
      <c r="ROS364" s="273"/>
      <c r="ROT364" s="274"/>
      <c r="ROU364" s="643"/>
      <c r="ROV364" s="324"/>
      <c r="ROW364" s="366"/>
      <c r="ROX364" s="269"/>
      <c r="ROY364" s="644"/>
      <c r="ROZ364" s="271"/>
      <c r="RPA364" s="272"/>
      <c r="RPB364" s="273"/>
      <c r="RPC364" s="274"/>
      <c r="RPD364" s="643"/>
      <c r="RPE364" s="324"/>
      <c r="RPF364" s="366"/>
      <c r="RPG364" s="269"/>
      <c r="RPH364" s="644"/>
      <c r="RPI364" s="271"/>
      <c r="RPJ364" s="272"/>
      <c r="RPK364" s="273"/>
      <c r="RPL364" s="274"/>
      <c r="RPM364" s="643"/>
      <c r="RPN364" s="324"/>
      <c r="RPO364" s="366"/>
      <c r="RPP364" s="269"/>
      <c r="RPQ364" s="644"/>
      <c r="RPR364" s="271"/>
      <c r="RPS364" s="272"/>
      <c r="RPT364" s="273"/>
      <c r="RPU364" s="274"/>
      <c r="RPV364" s="643"/>
      <c r="RPW364" s="324"/>
      <c r="RPX364" s="366"/>
      <c r="RPY364" s="269"/>
      <c r="RPZ364" s="644"/>
      <c r="RQA364" s="271"/>
      <c r="RQB364" s="272"/>
      <c r="RQC364" s="273"/>
      <c r="RQD364" s="274"/>
      <c r="RQE364" s="643"/>
      <c r="RQF364" s="324"/>
      <c r="RQG364" s="366"/>
      <c r="RQH364" s="269"/>
      <c r="RQI364" s="644"/>
      <c r="RQJ364" s="271"/>
      <c r="RQK364" s="272"/>
      <c r="RQL364" s="273"/>
      <c r="RQM364" s="274"/>
      <c r="RQN364" s="643"/>
      <c r="RQO364" s="324"/>
      <c r="RQP364" s="366"/>
      <c r="RQQ364" s="269"/>
      <c r="RQR364" s="644"/>
      <c r="RQS364" s="271"/>
      <c r="RQT364" s="272"/>
      <c r="RQU364" s="273"/>
      <c r="RQV364" s="274"/>
      <c r="RQW364" s="643"/>
      <c r="RQX364" s="324"/>
      <c r="RQY364" s="366"/>
      <c r="RQZ364" s="269"/>
      <c r="RRA364" s="644"/>
      <c r="RRB364" s="271"/>
      <c r="RRC364" s="272"/>
      <c r="RRD364" s="273"/>
      <c r="RRE364" s="274"/>
      <c r="RRF364" s="643"/>
      <c r="RRG364" s="324"/>
      <c r="RRH364" s="366"/>
      <c r="RRI364" s="269"/>
      <c r="RRJ364" s="644"/>
      <c r="RRK364" s="271"/>
      <c r="RRL364" s="272"/>
      <c r="RRM364" s="273"/>
      <c r="RRN364" s="274"/>
      <c r="RRO364" s="643"/>
      <c r="RRP364" s="324"/>
      <c r="RRQ364" s="366"/>
      <c r="RRR364" s="269"/>
      <c r="RRS364" s="644"/>
      <c r="RRT364" s="271"/>
      <c r="RRU364" s="272"/>
      <c r="RRV364" s="273"/>
      <c r="RRW364" s="274"/>
      <c r="RRX364" s="643"/>
      <c r="RRY364" s="324"/>
      <c r="RRZ364" s="366"/>
      <c r="RSA364" s="269"/>
      <c r="RSB364" s="644"/>
      <c r="RSC364" s="271"/>
      <c r="RSD364" s="272"/>
      <c r="RSE364" s="273"/>
      <c r="RSF364" s="274"/>
      <c r="RSG364" s="643"/>
      <c r="RSH364" s="324"/>
      <c r="RSI364" s="366"/>
      <c r="RSJ364" s="269"/>
      <c r="RSK364" s="644"/>
      <c r="RSL364" s="271"/>
      <c r="RSM364" s="272"/>
      <c r="RSN364" s="273"/>
      <c r="RSO364" s="274"/>
      <c r="RSP364" s="643"/>
      <c r="RSQ364" s="324"/>
      <c r="RSR364" s="366"/>
      <c r="RSS364" s="269"/>
      <c r="RST364" s="644"/>
      <c r="RSU364" s="271"/>
      <c r="RSV364" s="272"/>
      <c r="RSW364" s="273"/>
      <c r="RSX364" s="274"/>
      <c r="RSY364" s="643"/>
      <c r="RSZ364" s="324"/>
      <c r="RTA364" s="366"/>
      <c r="RTB364" s="269"/>
      <c r="RTC364" s="644"/>
      <c r="RTD364" s="271"/>
      <c r="RTE364" s="272"/>
      <c r="RTF364" s="273"/>
      <c r="RTG364" s="274"/>
      <c r="RTH364" s="643"/>
      <c r="RTI364" s="324"/>
      <c r="RTJ364" s="366"/>
      <c r="RTK364" s="269"/>
      <c r="RTL364" s="644"/>
      <c r="RTM364" s="271"/>
      <c r="RTN364" s="272"/>
      <c r="RTO364" s="273"/>
      <c r="RTP364" s="274"/>
      <c r="RTQ364" s="643"/>
      <c r="RTR364" s="324"/>
      <c r="RTS364" s="366"/>
      <c r="RTT364" s="269"/>
      <c r="RTU364" s="644"/>
      <c r="RTV364" s="271"/>
      <c r="RTW364" s="272"/>
      <c r="RTX364" s="273"/>
      <c r="RTY364" s="274"/>
      <c r="RTZ364" s="643"/>
      <c r="RUA364" s="324"/>
      <c r="RUB364" s="366"/>
      <c r="RUC364" s="269"/>
      <c r="RUD364" s="644"/>
      <c r="RUE364" s="271"/>
      <c r="RUF364" s="272"/>
      <c r="RUG364" s="273"/>
      <c r="RUH364" s="274"/>
      <c r="RUI364" s="643"/>
      <c r="RUJ364" s="324"/>
      <c r="RUK364" s="366"/>
      <c r="RUL364" s="269"/>
      <c r="RUM364" s="644"/>
      <c r="RUN364" s="271"/>
      <c r="RUO364" s="272"/>
      <c r="RUP364" s="273"/>
      <c r="RUQ364" s="274"/>
      <c r="RUR364" s="643"/>
      <c r="RUS364" s="324"/>
      <c r="RUT364" s="366"/>
      <c r="RUU364" s="269"/>
      <c r="RUV364" s="644"/>
      <c r="RUW364" s="271"/>
      <c r="RUX364" s="272"/>
      <c r="RUY364" s="273"/>
      <c r="RUZ364" s="274"/>
      <c r="RVA364" s="643"/>
      <c r="RVB364" s="324"/>
      <c r="RVC364" s="366"/>
      <c r="RVD364" s="269"/>
      <c r="RVE364" s="644"/>
      <c r="RVF364" s="271"/>
      <c r="RVG364" s="272"/>
      <c r="RVH364" s="273"/>
      <c r="RVI364" s="274"/>
      <c r="RVJ364" s="643"/>
      <c r="RVK364" s="324"/>
      <c r="RVL364" s="366"/>
      <c r="RVM364" s="269"/>
      <c r="RVN364" s="644"/>
      <c r="RVO364" s="271"/>
      <c r="RVP364" s="272"/>
      <c r="RVQ364" s="273"/>
      <c r="RVR364" s="274"/>
      <c r="RVS364" s="643"/>
      <c r="RVT364" s="324"/>
      <c r="RVU364" s="366"/>
      <c r="RVV364" s="269"/>
      <c r="RVW364" s="644"/>
      <c r="RVX364" s="271"/>
      <c r="RVY364" s="272"/>
      <c r="RVZ364" s="273"/>
      <c r="RWA364" s="274"/>
      <c r="RWB364" s="643"/>
      <c r="RWC364" s="324"/>
      <c r="RWD364" s="366"/>
      <c r="RWE364" s="269"/>
      <c r="RWF364" s="644"/>
      <c r="RWG364" s="271"/>
      <c r="RWH364" s="272"/>
      <c r="RWI364" s="273"/>
      <c r="RWJ364" s="274"/>
      <c r="RWK364" s="643"/>
      <c r="RWL364" s="324"/>
      <c r="RWM364" s="366"/>
      <c r="RWN364" s="269"/>
      <c r="RWO364" s="644"/>
      <c r="RWP364" s="271"/>
      <c r="RWQ364" s="272"/>
      <c r="RWR364" s="273"/>
      <c r="RWS364" s="274"/>
      <c r="RWT364" s="643"/>
      <c r="RWU364" s="324"/>
      <c r="RWV364" s="366"/>
      <c r="RWW364" s="269"/>
      <c r="RWX364" s="644"/>
      <c r="RWY364" s="271"/>
      <c r="RWZ364" s="272"/>
      <c r="RXA364" s="273"/>
      <c r="RXB364" s="274"/>
      <c r="RXC364" s="643"/>
      <c r="RXD364" s="324"/>
      <c r="RXE364" s="366"/>
      <c r="RXF364" s="269"/>
      <c r="RXG364" s="644"/>
      <c r="RXH364" s="271"/>
      <c r="RXI364" s="272"/>
      <c r="RXJ364" s="273"/>
      <c r="RXK364" s="274"/>
      <c r="RXL364" s="643"/>
      <c r="RXM364" s="324"/>
      <c r="RXN364" s="366"/>
      <c r="RXO364" s="269"/>
      <c r="RXP364" s="644"/>
      <c r="RXQ364" s="271"/>
      <c r="RXR364" s="272"/>
      <c r="RXS364" s="273"/>
      <c r="RXT364" s="274"/>
      <c r="RXU364" s="643"/>
      <c r="RXV364" s="324"/>
      <c r="RXW364" s="366"/>
      <c r="RXX364" s="269"/>
      <c r="RXY364" s="644"/>
      <c r="RXZ364" s="271"/>
      <c r="RYA364" s="272"/>
      <c r="RYB364" s="273"/>
      <c r="RYC364" s="274"/>
      <c r="RYD364" s="643"/>
      <c r="RYE364" s="324"/>
      <c r="RYF364" s="366"/>
      <c r="RYG364" s="269"/>
      <c r="RYH364" s="644"/>
      <c r="RYI364" s="271"/>
      <c r="RYJ364" s="272"/>
      <c r="RYK364" s="273"/>
      <c r="RYL364" s="274"/>
      <c r="RYM364" s="643"/>
      <c r="RYN364" s="324"/>
      <c r="RYO364" s="366"/>
      <c r="RYP364" s="269"/>
      <c r="RYQ364" s="644"/>
      <c r="RYR364" s="271"/>
      <c r="RYS364" s="272"/>
      <c r="RYT364" s="273"/>
      <c r="RYU364" s="274"/>
      <c r="RYV364" s="643"/>
      <c r="RYW364" s="324"/>
      <c r="RYX364" s="366"/>
      <c r="RYY364" s="269"/>
      <c r="RYZ364" s="644"/>
      <c r="RZA364" s="271"/>
      <c r="RZB364" s="272"/>
      <c r="RZC364" s="273"/>
      <c r="RZD364" s="274"/>
      <c r="RZE364" s="643"/>
      <c r="RZF364" s="324"/>
      <c r="RZG364" s="366"/>
      <c r="RZH364" s="269"/>
      <c r="RZI364" s="644"/>
      <c r="RZJ364" s="271"/>
      <c r="RZK364" s="272"/>
      <c r="RZL364" s="273"/>
      <c r="RZM364" s="274"/>
      <c r="RZN364" s="643"/>
      <c r="RZO364" s="324"/>
      <c r="RZP364" s="366"/>
      <c r="RZQ364" s="269"/>
      <c r="RZR364" s="644"/>
      <c r="RZS364" s="271"/>
      <c r="RZT364" s="272"/>
      <c r="RZU364" s="273"/>
      <c r="RZV364" s="274"/>
      <c r="RZW364" s="643"/>
      <c r="RZX364" s="324"/>
      <c r="RZY364" s="366"/>
      <c r="RZZ364" s="269"/>
      <c r="SAA364" s="644"/>
      <c r="SAB364" s="271"/>
      <c r="SAC364" s="272"/>
      <c r="SAD364" s="273"/>
      <c r="SAE364" s="274"/>
      <c r="SAF364" s="643"/>
      <c r="SAG364" s="324"/>
      <c r="SAH364" s="366"/>
      <c r="SAI364" s="269"/>
      <c r="SAJ364" s="644"/>
      <c r="SAK364" s="271"/>
      <c r="SAL364" s="272"/>
      <c r="SAM364" s="273"/>
      <c r="SAN364" s="274"/>
      <c r="SAO364" s="643"/>
      <c r="SAP364" s="324"/>
      <c r="SAQ364" s="366"/>
      <c r="SAR364" s="269"/>
      <c r="SAS364" s="644"/>
      <c r="SAT364" s="271"/>
      <c r="SAU364" s="272"/>
      <c r="SAV364" s="273"/>
      <c r="SAW364" s="274"/>
      <c r="SAX364" s="643"/>
      <c r="SAY364" s="324"/>
      <c r="SAZ364" s="366"/>
      <c r="SBA364" s="269"/>
      <c r="SBB364" s="644"/>
      <c r="SBC364" s="271"/>
      <c r="SBD364" s="272"/>
      <c r="SBE364" s="273"/>
      <c r="SBF364" s="274"/>
      <c r="SBG364" s="643"/>
      <c r="SBH364" s="324"/>
      <c r="SBI364" s="366"/>
      <c r="SBJ364" s="269"/>
      <c r="SBK364" s="644"/>
      <c r="SBL364" s="271"/>
      <c r="SBM364" s="272"/>
      <c r="SBN364" s="273"/>
      <c r="SBO364" s="274"/>
      <c r="SBP364" s="643"/>
      <c r="SBQ364" s="324"/>
      <c r="SBR364" s="366"/>
      <c r="SBS364" s="269"/>
      <c r="SBT364" s="644"/>
      <c r="SBU364" s="271"/>
      <c r="SBV364" s="272"/>
      <c r="SBW364" s="273"/>
      <c r="SBX364" s="274"/>
      <c r="SBY364" s="643"/>
      <c r="SBZ364" s="324"/>
      <c r="SCA364" s="366"/>
      <c r="SCB364" s="269"/>
      <c r="SCC364" s="644"/>
      <c r="SCD364" s="271"/>
      <c r="SCE364" s="272"/>
      <c r="SCF364" s="273"/>
      <c r="SCG364" s="274"/>
      <c r="SCH364" s="643"/>
      <c r="SCI364" s="324"/>
      <c r="SCJ364" s="366"/>
      <c r="SCK364" s="269"/>
      <c r="SCL364" s="644"/>
      <c r="SCM364" s="271"/>
      <c r="SCN364" s="272"/>
      <c r="SCO364" s="273"/>
      <c r="SCP364" s="274"/>
      <c r="SCQ364" s="643"/>
      <c r="SCR364" s="324"/>
      <c r="SCS364" s="366"/>
      <c r="SCT364" s="269"/>
      <c r="SCU364" s="644"/>
      <c r="SCV364" s="271"/>
      <c r="SCW364" s="272"/>
      <c r="SCX364" s="273"/>
      <c r="SCY364" s="274"/>
      <c r="SCZ364" s="643"/>
      <c r="SDA364" s="324"/>
      <c r="SDB364" s="366"/>
      <c r="SDC364" s="269"/>
      <c r="SDD364" s="644"/>
      <c r="SDE364" s="271"/>
      <c r="SDF364" s="272"/>
      <c r="SDG364" s="273"/>
      <c r="SDH364" s="274"/>
      <c r="SDI364" s="643"/>
      <c r="SDJ364" s="324"/>
      <c r="SDK364" s="366"/>
      <c r="SDL364" s="269"/>
      <c r="SDM364" s="644"/>
      <c r="SDN364" s="271"/>
      <c r="SDO364" s="272"/>
      <c r="SDP364" s="273"/>
      <c r="SDQ364" s="274"/>
      <c r="SDR364" s="643"/>
      <c r="SDS364" s="324"/>
      <c r="SDT364" s="366"/>
      <c r="SDU364" s="269"/>
      <c r="SDV364" s="644"/>
      <c r="SDW364" s="271"/>
      <c r="SDX364" s="272"/>
      <c r="SDY364" s="273"/>
      <c r="SDZ364" s="274"/>
      <c r="SEA364" s="643"/>
      <c r="SEB364" s="324"/>
      <c r="SEC364" s="366"/>
      <c r="SED364" s="269"/>
      <c r="SEE364" s="644"/>
      <c r="SEF364" s="271"/>
      <c r="SEG364" s="272"/>
      <c r="SEH364" s="273"/>
      <c r="SEI364" s="274"/>
      <c r="SEJ364" s="643"/>
      <c r="SEK364" s="324"/>
      <c r="SEL364" s="366"/>
      <c r="SEM364" s="269"/>
      <c r="SEN364" s="644"/>
      <c r="SEO364" s="271"/>
      <c r="SEP364" s="272"/>
      <c r="SEQ364" s="273"/>
      <c r="SER364" s="274"/>
      <c r="SES364" s="643"/>
      <c r="SET364" s="324"/>
      <c r="SEU364" s="366"/>
      <c r="SEV364" s="269"/>
      <c r="SEW364" s="644"/>
      <c r="SEX364" s="271"/>
      <c r="SEY364" s="272"/>
      <c r="SEZ364" s="273"/>
      <c r="SFA364" s="274"/>
      <c r="SFB364" s="643"/>
      <c r="SFC364" s="324"/>
      <c r="SFD364" s="366"/>
      <c r="SFE364" s="269"/>
      <c r="SFF364" s="644"/>
      <c r="SFG364" s="271"/>
      <c r="SFH364" s="272"/>
      <c r="SFI364" s="273"/>
      <c r="SFJ364" s="274"/>
      <c r="SFK364" s="643"/>
      <c r="SFL364" s="324"/>
      <c r="SFM364" s="366"/>
      <c r="SFN364" s="269"/>
      <c r="SFO364" s="644"/>
      <c r="SFP364" s="271"/>
      <c r="SFQ364" s="272"/>
      <c r="SFR364" s="273"/>
      <c r="SFS364" s="274"/>
      <c r="SFT364" s="643"/>
      <c r="SFU364" s="324"/>
      <c r="SFV364" s="366"/>
      <c r="SFW364" s="269"/>
      <c r="SFX364" s="644"/>
      <c r="SFY364" s="271"/>
      <c r="SFZ364" s="272"/>
      <c r="SGA364" s="273"/>
      <c r="SGB364" s="274"/>
      <c r="SGC364" s="643"/>
      <c r="SGD364" s="324"/>
      <c r="SGE364" s="366"/>
      <c r="SGF364" s="269"/>
      <c r="SGG364" s="644"/>
      <c r="SGH364" s="271"/>
      <c r="SGI364" s="272"/>
      <c r="SGJ364" s="273"/>
      <c r="SGK364" s="274"/>
      <c r="SGL364" s="643"/>
      <c r="SGM364" s="324"/>
      <c r="SGN364" s="366"/>
      <c r="SGO364" s="269"/>
      <c r="SGP364" s="644"/>
      <c r="SGQ364" s="271"/>
      <c r="SGR364" s="272"/>
      <c r="SGS364" s="273"/>
      <c r="SGT364" s="274"/>
      <c r="SGU364" s="643"/>
      <c r="SGV364" s="324"/>
      <c r="SGW364" s="366"/>
      <c r="SGX364" s="269"/>
      <c r="SGY364" s="644"/>
      <c r="SGZ364" s="271"/>
      <c r="SHA364" s="272"/>
      <c r="SHB364" s="273"/>
      <c r="SHC364" s="274"/>
      <c r="SHD364" s="643"/>
      <c r="SHE364" s="324"/>
      <c r="SHF364" s="366"/>
      <c r="SHG364" s="269"/>
      <c r="SHH364" s="644"/>
      <c r="SHI364" s="271"/>
      <c r="SHJ364" s="272"/>
      <c r="SHK364" s="273"/>
      <c r="SHL364" s="274"/>
      <c r="SHM364" s="643"/>
      <c r="SHN364" s="324"/>
      <c r="SHO364" s="366"/>
      <c r="SHP364" s="269"/>
      <c r="SHQ364" s="644"/>
      <c r="SHR364" s="271"/>
      <c r="SHS364" s="272"/>
      <c r="SHT364" s="273"/>
      <c r="SHU364" s="274"/>
      <c r="SHV364" s="643"/>
      <c r="SHW364" s="324"/>
      <c r="SHX364" s="366"/>
      <c r="SHY364" s="269"/>
      <c r="SHZ364" s="644"/>
      <c r="SIA364" s="271"/>
      <c r="SIB364" s="272"/>
      <c r="SIC364" s="273"/>
      <c r="SID364" s="274"/>
      <c r="SIE364" s="643"/>
      <c r="SIF364" s="324"/>
      <c r="SIG364" s="366"/>
      <c r="SIH364" s="269"/>
      <c r="SII364" s="644"/>
      <c r="SIJ364" s="271"/>
      <c r="SIK364" s="272"/>
      <c r="SIL364" s="273"/>
      <c r="SIM364" s="274"/>
      <c r="SIN364" s="643"/>
      <c r="SIO364" s="324"/>
      <c r="SIP364" s="366"/>
      <c r="SIQ364" s="269"/>
      <c r="SIR364" s="644"/>
      <c r="SIS364" s="271"/>
      <c r="SIT364" s="272"/>
      <c r="SIU364" s="273"/>
      <c r="SIV364" s="274"/>
      <c r="SIW364" s="643"/>
      <c r="SIX364" s="324"/>
      <c r="SIY364" s="366"/>
      <c r="SIZ364" s="269"/>
      <c r="SJA364" s="644"/>
      <c r="SJB364" s="271"/>
      <c r="SJC364" s="272"/>
      <c r="SJD364" s="273"/>
      <c r="SJE364" s="274"/>
      <c r="SJF364" s="643"/>
      <c r="SJG364" s="324"/>
      <c r="SJH364" s="366"/>
      <c r="SJI364" s="269"/>
      <c r="SJJ364" s="644"/>
      <c r="SJK364" s="271"/>
      <c r="SJL364" s="272"/>
      <c r="SJM364" s="273"/>
      <c r="SJN364" s="274"/>
      <c r="SJO364" s="643"/>
      <c r="SJP364" s="324"/>
      <c r="SJQ364" s="366"/>
      <c r="SJR364" s="269"/>
      <c r="SJS364" s="644"/>
      <c r="SJT364" s="271"/>
      <c r="SJU364" s="272"/>
      <c r="SJV364" s="273"/>
      <c r="SJW364" s="274"/>
      <c r="SJX364" s="643"/>
      <c r="SJY364" s="324"/>
      <c r="SJZ364" s="366"/>
      <c r="SKA364" s="269"/>
      <c r="SKB364" s="644"/>
      <c r="SKC364" s="271"/>
      <c r="SKD364" s="272"/>
      <c r="SKE364" s="273"/>
      <c r="SKF364" s="274"/>
      <c r="SKG364" s="643"/>
      <c r="SKH364" s="324"/>
      <c r="SKI364" s="366"/>
      <c r="SKJ364" s="269"/>
      <c r="SKK364" s="644"/>
      <c r="SKL364" s="271"/>
      <c r="SKM364" s="272"/>
      <c r="SKN364" s="273"/>
      <c r="SKO364" s="274"/>
      <c r="SKP364" s="643"/>
      <c r="SKQ364" s="324"/>
      <c r="SKR364" s="366"/>
      <c r="SKS364" s="269"/>
      <c r="SKT364" s="644"/>
      <c r="SKU364" s="271"/>
      <c r="SKV364" s="272"/>
      <c r="SKW364" s="273"/>
      <c r="SKX364" s="274"/>
      <c r="SKY364" s="643"/>
      <c r="SKZ364" s="324"/>
      <c r="SLA364" s="366"/>
      <c r="SLB364" s="269"/>
      <c r="SLC364" s="644"/>
      <c r="SLD364" s="271"/>
      <c r="SLE364" s="272"/>
      <c r="SLF364" s="273"/>
      <c r="SLG364" s="274"/>
      <c r="SLH364" s="643"/>
      <c r="SLI364" s="324"/>
      <c r="SLJ364" s="366"/>
      <c r="SLK364" s="269"/>
      <c r="SLL364" s="644"/>
      <c r="SLM364" s="271"/>
      <c r="SLN364" s="272"/>
      <c r="SLO364" s="273"/>
      <c r="SLP364" s="274"/>
      <c r="SLQ364" s="643"/>
      <c r="SLR364" s="324"/>
      <c r="SLS364" s="366"/>
      <c r="SLT364" s="269"/>
      <c r="SLU364" s="644"/>
      <c r="SLV364" s="271"/>
      <c r="SLW364" s="272"/>
      <c r="SLX364" s="273"/>
      <c r="SLY364" s="274"/>
      <c r="SLZ364" s="643"/>
      <c r="SMA364" s="324"/>
      <c r="SMB364" s="366"/>
      <c r="SMC364" s="269"/>
      <c r="SMD364" s="644"/>
      <c r="SME364" s="271"/>
      <c r="SMF364" s="272"/>
      <c r="SMG364" s="273"/>
      <c r="SMH364" s="274"/>
      <c r="SMI364" s="643"/>
      <c r="SMJ364" s="324"/>
      <c r="SMK364" s="366"/>
      <c r="SML364" s="269"/>
      <c r="SMM364" s="644"/>
      <c r="SMN364" s="271"/>
      <c r="SMO364" s="272"/>
      <c r="SMP364" s="273"/>
      <c r="SMQ364" s="274"/>
      <c r="SMR364" s="643"/>
      <c r="SMS364" s="324"/>
      <c r="SMT364" s="366"/>
      <c r="SMU364" s="269"/>
      <c r="SMV364" s="644"/>
      <c r="SMW364" s="271"/>
      <c r="SMX364" s="272"/>
      <c r="SMY364" s="273"/>
      <c r="SMZ364" s="274"/>
      <c r="SNA364" s="643"/>
      <c r="SNB364" s="324"/>
      <c r="SNC364" s="366"/>
      <c r="SND364" s="269"/>
      <c r="SNE364" s="644"/>
      <c r="SNF364" s="271"/>
      <c r="SNG364" s="272"/>
      <c r="SNH364" s="273"/>
      <c r="SNI364" s="274"/>
      <c r="SNJ364" s="643"/>
      <c r="SNK364" s="324"/>
      <c r="SNL364" s="366"/>
      <c r="SNM364" s="269"/>
      <c r="SNN364" s="644"/>
      <c r="SNO364" s="271"/>
      <c r="SNP364" s="272"/>
      <c r="SNQ364" s="273"/>
      <c r="SNR364" s="274"/>
      <c r="SNS364" s="643"/>
      <c r="SNT364" s="324"/>
      <c r="SNU364" s="366"/>
      <c r="SNV364" s="269"/>
      <c r="SNW364" s="644"/>
      <c r="SNX364" s="271"/>
      <c r="SNY364" s="272"/>
      <c r="SNZ364" s="273"/>
      <c r="SOA364" s="274"/>
      <c r="SOB364" s="643"/>
      <c r="SOC364" s="324"/>
      <c r="SOD364" s="366"/>
      <c r="SOE364" s="269"/>
      <c r="SOF364" s="644"/>
      <c r="SOG364" s="271"/>
      <c r="SOH364" s="272"/>
      <c r="SOI364" s="273"/>
      <c r="SOJ364" s="274"/>
      <c r="SOK364" s="643"/>
      <c r="SOL364" s="324"/>
      <c r="SOM364" s="366"/>
      <c r="SON364" s="269"/>
      <c r="SOO364" s="644"/>
      <c r="SOP364" s="271"/>
      <c r="SOQ364" s="272"/>
      <c r="SOR364" s="273"/>
      <c r="SOS364" s="274"/>
      <c r="SOT364" s="643"/>
      <c r="SOU364" s="324"/>
      <c r="SOV364" s="366"/>
      <c r="SOW364" s="269"/>
      <c r="SOX364" s="644"/>
      <c r="SOY364" s="271"/>
      <c r="SOZ364" s="272"/>
      <c r="SPA364" s="273"/>
      <c r="SPB364" s="274"/>
      <c r="SPC364" s="643"/>
      <c r="SPD364" s="324"/>
      <c r="SPE364" s="366"/>
      <c r="SPF364" s="269"/>
      <c r="SPG364" s="644"/>
      <c r="SPH364" s="271"/>
      <c r="SPI364" s="272"/>
      <c r="SPJ364" s="273"/>
      <c r="SPK364" s="274"/>
      <c r="SPL364" s="643"/>
      <c r="SPM364" s="324"/>
      <c r="SPN364" s="366"/>
      <c r="SPO364" s="269"/>
      <c r="SPP364" s="644"/>
      <c r="SPQ364" s="271"/>
      <c r="SPR364" s="272"/>
      <c r="SPS364" s="273"/>
      <c r="SPT364" s="274"/>
      <c r="SPU364" s="643"/>
      <c r="SPV364" s="324"/>
      <c r="SPW364" s="366"/>
      <c r="SPX364" s="269"/>
      <c r="SPY364" s="644"/>
      <c r="SPZ364" s="271"/>
      <c r="SQA364" s="272"/>
      <c r="SQB364" s="273"/>
      <c r="SQC364" s="274"/>
      <c r="SQD364" s="643"/>
      <c r="SQE364" s="324"/>
      <c r="SQF364" s="366"/>
      <c r="SQG364" s="269"/>
      <c r="SQH364" s="644"/>
      <c r="SQI364" s="271"/>
      <c r="SQJ364" s="272"/>
      <c r="SQK364" s="273"/>
      <c r="SQL364" s="274"/>
      <c r="SQM364" s="643"/>
      <c r="SQN364" s="324"/>
      <c r="SQO364" s="366"/>
      <c r="SQP364" s="269"/>
      <c r="SQQ364" s="644"/>
      <c r="SQR364" s="271"/>
      <c r="SQS364" s="272"/>
      <c r="SQT364" s="273"/>
      <c r="SQU364" s="274"/>
      <c r="SQV364" s="643"/>
      <c r="SQW364" s="324"/>
      <c r="SQX364" s="366"/>
      <c r="SQY364" s="269"/>
      <c r="SQZ364" s="644"/>
      <c r="SRA364" s="271"/>
      <c r="SRB364" s="272"/>
      <c r="SRC364" s="273"/>
      <c r="SRD364" s="274"/>
      <c r="SRE364" s="643"/>
      <c r="SRF364" s="324"/>
      <c r="SRG364" s="366"/>
      <c r="SRH364" s="269"/>
      <c r="SRI364" s="644"/>
      <c r="SRJ364" s="271"/>
      <c r="SRK364" s="272"/>
      <c r="SRL364" s="273"/>
      <c r="SRM364" s="274"/>
      <c r="SRN364" s="643"/>
      <c r="SRO364" s="324"/>
      <c r="SRP364" s="366"/>
      <c r="SRQ364" s="269"/>
      <c r="SRR364" s="644"/>
      <c r="SRS364" s="271"/>
      <c r="SRT364" s="272"/>
      <c r="SRU364" s="273"/>
      <c r="SRV364" s="274"/>
      <c r="SRW364" s="643"/>
      <c r="SRX364" s="324"/>
      <c r="SRY364" s="366"/>
      <c r="SRZ364" s="269"/>
      <c r="SSA364" s="644"/>
      <c r="SSB364" s="271"/>
      <c r="SSC364" s="272"/>
      <c r="SSD364" s="273"/>
      <c r="SSE364" s="274"/>
      <c r="SSF364" s="643"/>
      <c r="SSG364" s="324"/>
      <c r="SSH364" s="366"/>
      <c r="SSI364" s="269"/>
      <c r="SSJ364" s="644"/>
      <c r="SSK364" s="271"/>
      <c r="SSL364" s="272"/>
      <c r="SSM364" s="273"/>
      <c r="SSN364" s="274"/>
      <c r="SSO364" s="643"/>
      <c r="SSP364" s="324"/>
      <c r="SSQ364" s="366"/>
      <c r="SSR364" s="269"/>
      <c r="SSS364" s="644"/>
      <c r="SST364" s="271"/>
      <c r="SSU364" s="272"/>
      <c r="SSV364" s="273"/>
      <c r="SSW364" s="274"/>
      <c r="SSX364" s="643"/>
      <c r="SSY364" s="324"/>
      <c r="SSZ364" s="366"/>
      <c r="STA364" s="269"/>
      <c r="STB364" s="644"/>
      <c r="STC364" s="271"/>
      <c r="STD364" s="272"/>
      <c r="STE364" s="273"/>
      <c r="STF364" s="274"/>
      <c r="STG364" s="643"/>
      <c r="STH364" s="324"/>
      <c r="STI364" s="366"/>
      <c r="STJ364" s="269"/>
      <c r="STK364" s="644"/>
      <c r="STL364" s="271"/>
      <c r="STM364" s="272"/>
      <c r="STN364" s="273"/>
      <c r="STO364" s="274"/>
      <c r="STP364" s="643"/>
      <c r="STQ364" s="324"/>
      <c r="STR364" s="366"/>
      <c r="STS364" s="269"/>
      <c r="STT364" s="644"/>
      <c r="STU364" s="271"/>
      <c r="STV364" s="272"/>
      <c r="STW364" s="273"/>
      <c r="STX364" s="274"/>
      <c r="STY364" s="643"/>
      <c r="STZ364" s="324"/>
      <c r="SUA364" s="366"/>
      <c r="SUB364" s="269"/>
      <c r="SUC364" s="644"/>
      <c r="SUD364" s="271"/>
      <c r="SUE364" s="272"/>
      <c r="SUF364" s="273"/>
      <c r="SUG364" s="274"/>
      <c r="SUH364" s="643"/>
      <c r="SUI364" s="324"/>
      <c r="SUJ364" s="366"/>
      <c r="SUK364" s="269"/>
      <c r="SUL364" s="644"/>
      <c r="SUM364" s="271"/>
      <c r="SUN364" s="272"/>
      <c r="SUO364" s="273"/>
      <c r="SUP364" s="274"/>
      <c r="SUQ364" s="643"/>
      <c r="SUR364" s="324"/>
      <c r="SUS364" s="366"/>
      <c r="SUT364" s="269"/>
      <c r="SUU364" s="644"/>
      <c r="SUV364" s="271"/>
      <c r="SUW364" s="272"/>
      <c r="SUX364" s="273"/>
      <c r="SUY364" s="274"/>
      <c r="SUZ364" s="643"/>
      <c r="SVA364" s="324"/>
      <c r="SVB364" s="366"/>
      <c r="SVC364" s="269"/>
      <c r="SVD364" s="644"/>
      <c r="SVE364" s="271"/>
      <c r="SVF364" s="272"/>
      <c r="SVG364" s="273"/>
      <c r="SVH364" s="274"/>
      <c r="SVI364" s="643"/>
      <c r="SVJ364" s="324"/>
      <c r="SVK364" s="366"/>
      <c r="SVL364" s="269"/>
      <c r="SVM364" s="644"/>
      <c r="SVN364" s="271"/>
      <c r="SVO364" s="272"/>
      <c r="SVP364" s="273"/>
      <c r="SVQ364" s="274"/>
      <c r="SVR364" s="643"/>
      <c r="SVS364" s="324"/>
      <c r="SVT364" s="366"/>
      <c r="SVU364" s="269"/>
      <c r="SVV364" s="644"/>
      <c r="SVW364" s="271"/>
      <c r="SVX364" s="272"/>
      <c r="SVY364" s="273"/>
      <c r="SVZ364" s="274"/>
      <c r="SWA364" s="643"/>
      <c r="SWB364" s="324"/>
      <c r="SWC364" s="366"/>
      <c r="SWD364" s="269"/>
      <c r="SWE364" s="644"/>
      <c r="SWF364" s="271"/>
      <c r="SWG364" s="272"/>
      <c r="SWH364" s="273"/>
      <c r="SWI364" s="274"/>
      <c r="SWJ364" s="643"/>
      <c r="SWK364" s="324"/>
      <c r="SWL364" s="366"/>
      <c r="SWM364" s="269"/>
      <c r="SWN364" s="644"/>
      <c r="SWO364" s="271"/>
      <c r="SWP364" s="272"/>
      <c r="SWQ364" s="273"/>
      <c r="SWR364" s="274"/>
      <c r="SWS364" s="643"/>
      <c r="SWT364" s="324"/>
      <c r="SWU364" s="366"/>
      <c r="SWV364" s="269"/>
      <c r="SWW364" s="644"/>
      <c r="SWX364" s="271"/>
      <c r="SWY364" s="272"/>
      <c r="SWZ364" s="273"/>
      <c r="SXA364" s="274"/>
      <c r="SXB364" s="643"/>
      <c r="SXC364" s="324"/>
      <c r="SXD364" s="366"/>
      <c r="SXE364" s="269"/>
      <c r="SXF364" s="644"/>
      <c r="SXG364" s="271"/>
      <c r="SXH364" s="272"/>
      <c r="SXI364" s="273"/>
      <c r="SXJ364" s="274"/>
      <c r="SXK364" s="643"/>
      <c r="SXL364" s="324"/>
      <c r="SXM364" s="366"/>
      <c r="SXN364" s="269"/>
      <c r="SXO364" s="644"/>
      <c r="SXP364" s="271"/>
      <c r="SXQ364" s="272"/>
      <c r="SXR364" s="273"/>
      <c r="SXS364" s="274"/>
      <c r="SXT364" s="643"/>
      <c r="SXU364" s="324"/>
      <c r="SXV364" s="366"/>
      <c r="SXW364" s="269"/>
      <c r="SXX364" s="644"/>
      <c r="SXY364" s="271"/>
      <c r="SXZ364" s="272"/>
      <c r="SYA364" s="273"/>
      <c r="SYB364" s="274"/>
      <c r="SYC364" s="643"/>
      <c r="SYD364" s="324"/>
      <c r="SYE364" s="366"/>
      <c r="SYF364" s="269"/>
      <c r="SYG364" s="644"/>
      <c r="SYH364" s="271"/>
      <c r="SYI364" s="272"/>
      <c r="SYJ364" s="273"/>
      <c r="SYK364" s="274"/>
      <c r="SYL364" s="643"/>
      <c r="SYM364" s="324"/>
      <c r="SYN364" s="366"/>
      <c r="SYO364" s="269"/>
      <c r="SYP364" s="644"/>
      <c r="SYQ364" s="271"/>
      <c r="SYR364" s="272"/>
      <c r="SYS364" s="273"/>
      <c r="SYT364" s="274"/>
      <c r="SYU364" s="643"/>
      <c r="SYV364" s="324"/>
      <c r="SYW364" s="366"/>
      <c r="SYX364" s="269"/>
      <c r="SYY364" s="644"/>
      <c r="SYZ364" s="271"/>
      <c r="SZA364" s="272"/>
      <c r="SZB364" s="273"/>
      <c r="SZC364" s="274"/>
      <c r="SZD364" s="643"/>
      <c r="SZE364" s="324"/>
      <c r="SZF364" s="366"/>
      <c r="SZG364" s="269"/>
      <c r="SZH364" s="644"/>
      <c r="SZI364" s="271"/>
      <c r="SZJ364" s="272"/>
      <c r="SZK364" s="273"/>
      <c r="SZL364" s="274"/>
      <c r="SZM364" s="643"/>
      <c r="SZN364" s="324"/>
      <c r="SZO364" s="366"/>
      <c r="SZP364" s="269"/>
      <c r="SZQ364" s="644"/>
      <c r="SZR364" s="271"/>
      <c r="SZS364" s="272"/>
      <c r="SZT364" s="273"/>
      <c r="SZU364" s="274"/>
      <c r="SZV364" s="643"/>
      <c r="SZW364" s="324"/>
      <c r="SZX364" s="366"/>
      <c r="SZY364" s="269"/>
      <c r="SZZ364" s="644"/>
      <c r="TAA364" s="271"/>
      <c r="TAB364" s="272"/>
      <c r="TAC364" s="273"/>
      <c r="TAD364" s="274"/>
      <c r="TAE364" s="643"/>
      <c r="TAF364" s="324"/>
      <c r="TAG364" s="366"/>
      <c r="TAH364" s="269"/>
      <c r="TAI364" s="644"/>
      <c r="TAJ364" s="271"/>
      <c r="TAK364" s="272"/>
      <c r="TAL364" s="273"/>
      <c r="TAM364" s="274"/>
      <c r="TAN364" s="643"/>
      <c r="TAO364" s="324"/>
      <c r="TAP364" s="366"/>
      <c r="TAQ364" s="269"/>
      <c r="TAR364" s="644"/>
      <c r="TAS364" s="271"/>
      <c r="TAT364" s="272"/>
      <c r="TAU364" s="273"/>
      <c r="TAV364" s="274"/>
      <c r="TAW364" s="643"/>
      <c r="TAX364" s="324"/>
      <c r="TAY364" s="366"/>
      <c r="TAZ364" s="269"/>
      <c r="TBA364" s="644"/>
      <c r="TBB364" s="271"/>
      <c r="TBC364" s="272"/>
      <c r="TBD364" s="273"/>
      <c r="TBE364" s="274"/>
      <c r="TBF364" s="643"/>
      <c r="TBG364" s="324"/>
      <c r="TBH364" s="366"/>
      <c r="TBI364" s="269"/>
      <c r="TBJ364" s="644"/>
      <c r="TBK364" s="271"/>
      <c r="TBL364" s="272"/>
      <c r="TBM364" s="273"/>
      <c r="TBN364" s="274"/>
      <c r="TBO364" s="643"/>
      <c r="TBP364" s="324"/>
      <c r="TBQ364" s="366"/>
      <c r="TBR364" s="269"/>
      <c r="TBS364" s="644"/>
      <c r="TBT364" s="271"/>
      <c r="TBU364" s="272"/>
      <c r="TBV364" s="273"/>
      <c r="TBW364" s="274"/>
      <c r="TBX364" s="643"/>
      <c r="TBY364" s="324"/>
      <c r="TBZ364" s="366"/>
      <c r="TCA364" s="269"/>
      <c r="TCB364" s="644"/>
      <c r="TCC364" s="271"/>
      <c r="TCD364" s="272"/>
      <c r="TCE364" s="273"/>
      <c r="TCF364" s="274"/>
      <c r="TCG364" s="643"/>
      <c r="TCH364" s="324"/>
      <c r="TCI364" s="366"/>
      <c r="TCJ364" s="269"/>
      <c r="TCK364" s="644"/>
      <c r="TCL364" s="271"/>
      <c r="TCM364" s="272"/>
      <c r="TCN364" s="273"/>
      <c r="TCO364" s="274"/>
      <c r="TCP364" s="643"/>
      <c r="TCQ364" s="324"/>
      <c r="TCR364" s="366"/>
      <c r="TCS364" s="269"/>
      <c r="TCT364" s="644"/>
      <c r="TCU364" s="271"/>
      <c r="TCV364" s="272"/>
      <c r="TCW364" s="273"/>
      <c r="TCX364" s="274"/>
      <c r="TCY364" s="643"/>
      <c r="TCZ364" s="324"/>
      <c r="TDA364" s="366"/>
      <c r="TDB364" s="269"/>
      <c r="TDC364" s="644"/>
      <c r="TDD364" s="271"/>
      <c r="TDE364" s="272"/>
      <c r="TDF364" s="273"/>
      <c r="TDG364" s="274"/>
      <c r="TDH364" s="643"/>
      <c r="TDI364" s="324"/>
      <c r="TDJ364" s="366"/>
      <c r="TDK364" s="269"/>
      <c r="TDL364" s="644"/>
      <c r="TDM364" s="271"/>
      <c r="TDN364" s="272"/>
      <c r="TDO364" s="273"/>
      <c r="TDP364" s="274"/>
      <c r="TDQ364" s="643"/>
      <c r="TDR364" s="324"/>
      <c r="TDS364" s="366"/>
      <c r="TDT364" s="269"/>
      <c r="TDU364" s="644"/>
      <c r="TDV364" s="271"/>
      <c r="TDW364" s="272"/>
      <c r="TDX364" s="273"/>
      <c r="TDY364" s="274"/>
      <c r="TDZ364" s="643"/>
      <c r="TEA364" s="324"/>
      <c r="TEB364" s="366"/>
      <c r="TEC364" s="269"/>
      <c r="TED364" s="644"/>
      <c r="TEE364" s="271"/>
      <c r="TEF364" s="272"/>
      <c r="TEG364" s="273"/>
      <c r="TEH364" s="274"/>
      <c r="TEI364" s="643"/>
      <c r="TEJ364" s="324"/>
      <c r="TEK364" s="366"/>
      <c r="TEL364" s="269"/>
      <c r="TEM364" s="644"/>
      <c r="TEN364" s="271"/>
      <c r="TEO364" s="272"/>
      <c r="TEP364" s="273"/>
      <c r="TEQ364" s="274"/>
      <c r="TER364" s="643"/>
      <c r="TES364" s="324"/>
      <c r="TET364" s="366"/>
      <c r="TEU364" s="269"/>
      <c r="TEV364" s="644"/>
      <c r="TEW364" s="271"/>
      <c r="TEX364" s="272"/>
      <c r="TEY364" s="273"/>
      <c r="TEZ364" s="274"/>
      <c r="TFA364" s="643"/>
      <c r="TFB364" s="324"/>
      <c r="TFC364" s="366"/>
      <c r="TFD364" s="269"/>
      <c r="TFE364" s="644"/>
      <c r="TFF364" s="271"/>
      <c r="TFG364" s="272"/>
      <c r="TFH364" s="273"/>
      <c r="TFI364" s="274"/>
      <c r="TFJ364" s="643"/>
      <c r="TFK364" s="324"/>
      <c r="TFL364" s="366"/>
      <c r="TFM364" s="269"/>
      <c r="TFN364" s="644"/>
      <c r="TFO364" s="271"/>
      <c r="TFP364" s="272"/>
      <c r="TFQ364" s="273"/>
      <c r="TFR364" s="274"/>
      <c r="TFS364" s="643"/>
      <c r="TFT364" s="324"/>
      <c r="TFU364" s="366"/>
      <c r="TFV364" s="269"/>
      <c r="TFW364" s="644"/>
      <c r="TFX364" s="271"/>
      <c r="TFY364" s="272"/>
      <c r="TFZ364" s="273"/>
      <c r="TGA364" s="274"/>
      <c r="TGB364" s="643"/>
      <c r="TGC364" s="324"/>
      <c r="TGD364" s="366"/>
      <c r="TGE364" s="269"/>
      <c r="TGF364" s="644"/>
      <c r="TGG364" s="271"/>
      <c r="TGH364" s="272"/>
      <c r="TGI364" s="273"/>
      <c r="TGJ364" s="274"/>
      <c r="TGK364" s="643"/>
      <c r="TGL364" s="324"/>
      <c r="TGM364" s="366"/>
      <c r="TGN364" s="269"/>
      <c r="TGO364" s="644"/>
      <c r="TGP364" s="271"/>
      <c r="TGQ364" s="272"/>
      <c r="TGR364" s="273"/>
      <c r="TGS364" s="274"/>
      <c r="TGT364" s="643"/>
      <c r="TGU364" s="324"/>
      <c r="TGV364" s="366"/>
      <c r="TGW364" s="269"/>
      <c r="TGX364" s="644"/>
      <c r="TGY364" s="271"/>
      <c r="TGZ364" s="272"/>
      <c r="THA364" s="273"/>
      <c r="THB364" s="274"/>
      <c r="THC364" s="643"/>
      <c r="THD364" s="324"/>
      <c r="THE364" s="366"/>
      <c r="THF364" s="269"/>
      <c r="THG364" s="644"/>
      <c r="THH364" s="271"/>
      <c r="THI364" s="272"/>
      <c r="THJ364" s="273"/>
      <c r="THK364" s="274"/>
      <c r="THL364" s="643"/>
      <c r="THM364" s="324"/>
      <c r="THN364" s="366"/>
      <c r="THO364" s="269"/>
      <c r="THP364" s="644"/>
      <c r="THQ364" s="271"/>
      <c r="THR364" s="272"/>
      <c r="THS364" s="273"/>
      <c r="THT364" s="274"/>
      <c r="THU364" s="643"/>
      <c r="THV364" s="324"/>
      <c r="THW364" s="366"/>
      <c r="THX364" s="269"/>
      <c r="THY364" s="644"/>
      <c r="THZ364" s="271"/>
      <c r="TIA364" s="272"/>
      <c r="TIB364" s="273"/>
      <c r="TIC364" s="274"/>
      <c r="TID364" s="643"/>
      <c r="TIE364" s="324"/>
      <c r="TIF364" s="366"/>
      <c r="TIG364" s="269"/>
      <c r="TIH364" s="644"/>
      <c r="TII364" s="271"/>
      <c r="TIJ364" s="272"/>
      <c r="TIK364" s="273"/>
      <c r="TIL364" s="274"/>
      <c r="TIM364" s="643"/>
      <c r="TIN364" s="324"/>
      <c r="TIO364" s="366"/>
      <c r="TIP364" s="269"/>
      <c r="TIQ364" s="644"/>
      <c r="TIR364" s="271"/>
      <c r="TIS364" s="272"/>
      <c r="TIT364" s="273"/>
      <c r="TIU364" s="274"/>
      <c r="TIV364" s="643"/>
      <c r="TIW364" s="324"/>
      <c r="TIX364" s="366"/>
      <c r="TIY364" s="269"/>
      <c r="TIZ364" s="644"/>
      <c r="TJA364" s="271"/>
      <c r="TJB364" s="272"/>
      <c r="TJC364" s="273"/>
      <c r="TJD364" s="274"/>
      <c r="TJE364" s="643"/>
      <c r="TJF364" s="324"/>
      <c r="TJG364" s="366"/>
      <c r="TJH364" s="269"/>
      <c r="TJI364" s="644"/>
      <c r="TJJ364" s="271"/>
      <c r="TJK364" s="272"/>
      <c r="TJL364" s="273"/>
      <c r="TJM364" s="274"/>
      <c r="TJN364" s="643"/>
      <c r="TJO364" s="324"/>
      <c r="TJP364" s="366"/>
      <c r="TJQ364" s="269"/>
      <c r="TJR364" s="644"/>
      <c r="TJS364" s="271"/>
      <c r="TJT364" s="272"/>
      <c r="TJU364" s="273"/>
      <c r="TJV364" s="274"/>
      <c r="TJW364" s="643"/>
      <c r="TJX364" s="324"/>
      <c r="TJY364" s="366"/>
      <c r="TJZ364" s="269"/>
      <c r="TKA364" s="644"/>
      <c r="TKB364" s="271"/>
      <c r="TKC364" s="272"/>
      <c r="TKD364" s="273"/>
      <c r="TKE364" s="274"/>
      <c r="TKF364" s="643"/>
      <c r="TKG364" s="324"/>
      <c r="TKH364" s="366"/>
      <c r="TKI364" s="269"/>
      <c r="TKJ364" s="644"/>
      <c r="TKK364" s="271"/>
      <c r="TKL364" s="272"/>
      <c r="TKM364" s="273"/>
      <c r="TKN364" s="274"/>
      <c r="TKO364" s="643"/>
      <c r="TKP364" s="324"/>
      <c r="TKQ364" s="366"/>
      <c r="TKR364" s="269"/>
      <c r="TKS364" s="644"/>
      <c r="TKT364" s="271"/>
      <c r="TKU364" s="272"/>
      <c r="TKV364" s="273"/>
      <c r="TKW364" s="274"/>
      <c r="TKX364" s="643"/>
      <c r="TKY364" s="324"/>
      <c r="TKZ364" s="366"/>
      <c r="TLA364" s="269"/>
      <c r="TLB364" s="644"/>
      <c r="TLC364" s="271"/>
      <c r="TLD364" s="272"/>
      <c r="TLE364" s="273"/>
      <c r="TLF364" s="274"/>
      <c r="TLG364" s="643"/>
      <c r="TLH364" s="324"/>
      <c r="TLI364" s="366"/>
      <c r="TLJ364" s="269"/>
      <c r="TLK364" s="644"/>
      <c r="TLL364" s="271"/>
      <c r="TLM364" s="272"/>
      <c r="TLN364" s="273"/>
      <c r="TLO364" s="274"/>
      <c r="TLP364" s="643"/>
      <c r="TLQ364" s="324"/>
      <c r="TLR364" s="366"/>
      <c r="TLS364" s="269"/>
      <c r="TLT364" s="644"/>
      <c r="TLU364" s="271"/>
      <c r="TLV364" s="272"/>
      <c r="TLW364" s="273"/>
      <c r="TLX364" s="274"/>
      <c r="TLY364" s="643"/>
      <c r="TLZ364" s="324"/>
      <c r="TMA364" s="366"/>
      <c r="TMB364" s="269"/>
      <c r="TMC364" s="644"/>
      <c r="TMD364" s="271"/>
      <c r="TME364" s="272"/>
      <c r="TMF364" s="273"/>
      <c r="TMG364" s="274"/>
      <c r="TMH364" s="643"/>
      <c r="TMI364" s="324"/>
      <c r="TMJ364" s="366"/>
      <c r="TMK364" s="269"/>
      <c r="TML364" s="644"/>
      <c r="TMM364" s="271"/>
      <c r="TMN364" s="272"/>
      <c r="TMO364" s="273"/>
      <c r="TMP364" s="274"/>
      <c r="TMQ364" s="643"/>
      <c r="TMR364" s="324"/>
      <c r="TMS364" s="366"/>
      <c r="TMT364" s="269"/>
      <c r="TMU364" s="644"/>
      <c r="TMV364" s="271"/>
      <c r="TMW364" s="272"/>
      <c r="TMX364" s="273"/>
      <c r="TMY364" s="274"/>
      <c r="TMZ364" s="643"/>
      <c r="TNA364" s="324"/>
      <c r="TNB364" s="366"/>
      <c r="TNC364" s="269"/>
      <c r="TND364" s="644"/>
      <c r="TNE364" s="271"/>
      <c r="TNF364" s="272"/>
      <c r="TNG364" s="273"/>
      <c r="TNH364" s="274"/>
      <c r="TNI364" s="643"/>
      <c r="TNJ364" s="324"/>
      <c r="TNK364" s="366"/>
      <c r="TNL364" s="269"/>
      <c r="TNM364" s="644"/>
      <c r="TNN364" s="271"/>
      <c r="TNO364" s="272"/>
      <c r="TNP364" s="273"/>
      <c r="TNQ364" s="274"/>
      <c r="TNR364" s="643"/>
      <c r="TNS364" s="324"/>
      <c r="TNT364" s="366"/>
      <c r="TNU364" s="269"/>
      <c r="TNV364" s="644"/>
      <c r="TNW364" s="271"/>
      <c r="TNX364" s="272"/>
      <c r="TNY364" s="273"/>
      <c r="TNZ364" s="274"/>
      <c r="TOA364" s="643"/>
      <c r="TOB364" s="324"/>
      <c r="TOC364" s="366"/>
      <c r="TOD364" s="269"/>
      <c r="TOE364" s="644"/>
      <c r="TOF364" s="271"/>
      <c r="TOG364" s="272"/>
      <c r="TOH364" s="273"/>
      <c r="TOI364" s="274"/>
      <c r="TOJ364" s="643"/>
      <c r="TOK364" s="324"/>
      <c r="TOL364" s="366"/>
      <c r="TOM364" s="269"/>
      <c r="TON364" s="644"/>
      <c r="TOO364" s="271"/>
      <c r="TOP364" s="272"/>
      <c r="TOQ364" s="273"/>
      <c r="TOR364" s="274"/>
      <c r="TOS364" s="643"/>
      <c r="TOT364" s="324"/>
      <c r="TOU364" s="366"/>
      <c r="TOV364" s="269"/>
      <c r="TOW364" s="644"/>
      <c r="TOX364" s="271"/>
      <c r="TOY364" s="272"/>
      <c r="TOZ364" s="273"/>
      <c r="TPA364" s="274"/>
      <c r="TPB364" s="643"/>
      <c r="TPC364" s="324"/>
      <c r="TPD364" s="366"/>
      <c r="TPE364" s="269"/>
      <c r="TPF364" s="644"/>
      <c r="TPG364" s="271"/>
      <c r="TPH364" s="272"/>
      <c r="TPI364" s="273"/>
      <c r="TPJ364" s="274"/>
      <c r="TPK364" s="643"/>
      <c r="TPL364" s="324"/>
      <c r="TPM364" s="366"/>
      <c r="TPN364" s="269"/>
      <c r="TPO364" s="644"/>
      <c r="TPP364" s="271"/>
      <c r="TPQ364" s="272"/>
      <c r="TPR364" s="273"/>
      <c r="TPS364" s="274"/>
      <c r="TPT364" s="643"/>
      <c r="TPU364" s="324"/>
      <c r="TPV364" s="366"/>
      <c r="TPW364" s="269"/>
      <c r="TPX364" s="644"/>
      <c r="TPY364" s="271"/>
      <c r="TPZ364" s="272"/>
      <c r="TQA364" s="273"/>
      <c r="TQB364" s="274"/>
      <c r="TQC364" s="643"/>
      <c r="TQD364" s="324"/>
      <c r="TQE364" s="366"/>
      <c r="TQF364" s="269"/>
      <c r="TQG364" s="644"/>
      <c r="TQH364" s="271"/>
      <c r="TQI364" s="272"/>
      <c r="TQJ364" s="273"/>
      <c r="TQK364" s="274"/>
      <c r="TQL364" s="643"/>
      <c r="TQM364" s="324"/>
      <c r="TQN364" s="366"/>
      <c r="TQO364" s="269"/>
      <c r="TQP364" s="644"/>
      <c r="TQQ364" s="271"/>
      <c r="TQR364" s="272"/>
      <c r="TQS364" s="273"/>
      <c r="TQT364" s="274"/>
      <c r="TQU364" s="643"/>
      <c r="TQV364" s="324"/>
      <c r="TQW364" s="366"/>
      <c r="TQX364" s="269"/>
      <c r="TQY364" s="644"/>
      <c r="TQZ364" s="271"/>
      <c r="TRA364" s="272"/>
      <c r="TRB364" s="273"/>
      <c r="TRC364" s="274"/>
      <c r="TRD364" s="643"/>
      <c r="TRE364" s="324"/>
      <c r="TRF364" s="366"/>
      <c r="TRG364" s="269"/>
      <c r="TRH364" s="644"/>
      <c r="TRI364" s="271"/>
      <c r="TRJ364" s="272"/>
      <c r="TRK364" s="273"/>
      <c r="TRL364" s="274"/>
      <c r="TRM364" s="643"/>
      <c r="TRN364" s="324"/>
      <c r="TRO364" s="366"/>
      <c r="TRP364" s="269"/>
      <c r="TRQ364" s="644"/>
      <c r="TRR364" s="271"/>
      <c r="TRS364" s="272"/>
      <c r="TRT364" s="273"/>
      <c r="TRU364" s="274"/>
      <c r="TRV364" s="643"/>
      <c r="TRW364" s="324"/>
      <c r="TRX364" s="366"/>
      <c r="TRY364" s="269"/>
      <c r="TRZ364" s="644"/>
      <c r="TSA364" s="271"/>
      <c r="TSB364" s="272"/>
      <c r="TSC364" s="273"/>
      <c r="TSD364" s="274"/>
      <c r="TSE364" s="643"/>
      <c r="TSF364" s="324"/>
      <c r="TSG364" s="366"/>
      <c r="TSH364" s="269"/>
      <c r="TSI364" s="644"/>
      <c r="TSJ364" s="271"/>
      <c r="TSK364" s="272"/>
      <c r="TSL364" s="273"/>
      <c r="TSM364" s="274"/>
      <c r="TSN364" s="643"/>
      <c r="TSO364" s="324"/>
      <c r="TSP364" s="366"/>
      <c r="TSQ364" s="269"/>
      <c r="TSR364" s="644"/>
      <c r="TSS364" s="271"/>
      <c r="TST364" s="272"/>
      <c r="TSU364" s="273"/>
      <c r="TSV364" s="274"/>
      <c r="TSW364" s="643"/>
      <c r="TSX364" s="324"/>
      <c r="TSY364" s="366"/>
      <c r="TSZ364" s="269"/>
      <c r="TTA364" s="644"/>
      <c r="TTB364" s="271"/>
      <c r="TTC364" s="272"/>
      <c r="TTD364" s="273"/>
      <c r="TTE364" s="274"/>
      <c r="TTF364" s="643"/>
      <c r="TTG364" s="324"/>
      <c r="TTH364" s="366"/>
      <c r="TTI364" s="269"/>
      <c r="TTJ364" s="644"/>
      <c r="TTK364" s="271"/>
      <c r="TTL364" s="272"/>
      <c r="TTM364" s="273"/>
      <c r="TTN364" s="274"/>
      <c r="TTO364" s="643"/>
      <c r="TTP364" s="324"/>
      <c r="TTQ364" s="366"/>
      <c r="TTR364" s="269"/>
      <c r="TTS364" s="644"/>
      <c r="TTT364" s="271"/>
      <c r="TTU364" s="272"/>
      <c r="TTV364" s="273"/>
      <c r="TTW364" s="274"/>
      <c r="TTX364" s="643"/>
      <c r="TTY364" s="324"/>
      <c r="TTZ364" s="366"/>
      <c r="TUA364" s="269"/>
      <c r="TUB364" s="644"/>
      <c r="TUC364" s="271"/>
      <c r="TUD364" s="272"/>
      <c r="TUE364" s="273"/>
      <c r="TUF364" s="274"/>
      <c r="TUG364" s="643"/>
      <c r="TUH364" s="324"/>
      <c r="TUI364" s="366"/>
      <c r="TUJ364" s="269"/>
      <c r="TUK364" s="644"/>
      <c r="TUL364" s="271"/>
      <c r="TUM364" s="272"/>
      <c r="TUN364" s="273"/>
      <c r="TUO364" s="274"/>
      <c r="TUP364" s="643"/>
      <c r="TUQ364" s="324"/>
      <c r="TUR364" s="366"/>
      <c r="TUS364" s="269"/>
      <c r="TUT364" s="644"/>
      <c r="TUU364" s="271"/>
      <c r="TUV364" s="272"/>
      <c r="TUW364" s="273"/>
      <c r="TUX364" s="274"/>
      <c r="TUY364" s="643"/>
      <c r="TUZ364" s="324"/>
      <c r="TVA364" s="366"/>
      <c r="TVB364" s="269"/>
      <c r="TVC364" s="644"/>
      <c r="TVD364" s="271"/>
      <c r="TVE364" s="272"/>
      <c r="TVF364" s="273"/>
      <c r="TVG364" s="274"/>
      <c r="TVH364" s="643"/>
      <c r="TVI364" s="324"/>
      <c r="TVJ364" s="366"/>
      <c r="TVK364" s="269"/>
      <c r="TVL364" s="644"/>
      <c r="TVM364" s="271"/>
      <c r="TVN364" s="272"/>
      <c r="TVO364" s="273"/>
      <c r="TVP364" s="274"/>
      <c r="TVQ364" s="643"/>
      <c r="TVR364" s="324"/>
      <c r="TVS364" s="366"/>
      <c r="TVT364" s="269"/>
      <c r="TVU364" s="644"/>
      <c r="TVV364" s="271"/>
      <c r="TVW364" s="272"/>
      <c r="TVX364" s="273"/>
      <c r="TVY364" s="274"/>
      <c r="TVZ364" s="643"/>
      <c r="TWA364" s="324"/>
      <c r="TWB364" s="366"/>
      <c r="TWC364" s="269"/>
      <c r="TWD364" s="644"/>
      <c r="TWE364" s="271"/>
      <c r="TWF364" s="272"/>
      <c r="TWG364" s="273"/>
      <c r="TWH364" s="274"/>
      <c r="TWI364" s="643"/>
      <c r="TWJ364" s="324"/>
      <c r="TWK364" s="366"/>
      <c r="TWL364" s="269"/>
      <c r="TWM364" s="644"/>
      <c r="TWN364" s="271"/>
      <c r="TWO364" s="272"/>
      <c r="TWP364" s="273"/>
      <c r="TWQ364" s="274"/>
      <c r="TWR364" s="643"/>
      <c r="TWS364" s="324"/>
      <c r="TWT364" s="366"/>
      <c r="TWU364" s="269"/>
      <c r="TWV364" s="644"/>
      <c r="TWW364" s="271"/>
      <c r="TWX364" s="272"/>
      <c r="TWY364" s="273"/>
      <c r="TWZ364" s="274"/>
      <c r="TXA364" s="643"/>
      <c r="TXB364" s="324"/>
      <c r="TXC364" s="366"/>
      <c r="TXD364" s="269"/>
      <c r="TXE364" s="644"/>
      <c r="TXF364" s="271"/>
      <c r="TXG364" s="272"/>
      <c r="TXH364" s="273"/>
      <c r="TXI364" s="274"/>
      <c r="TXJ364" s="643"/>
      <c r="TXK364" s="324"/>
      <c r="TXL364" s="366"/>
      <c r="TXM364" s="269"/>
      <c r="TXN364" s="644"/>
      <c r="TXO364" s="271"/>
      <c r="TXP364" s="272"/>
      <c r="TXQ364" s="273"/>
      <c r="TXR364" s="274"/>
      <c r="TXS364" s="643"/>
      <c r="TXT364" s="324"/>
      <c r="TXU364" s="366"/>
      <c r="TXV364" s="269"/>
      <c r="TXW364" s="644"/>
      <c r="TXX364" s="271"/>
      <c r="TXY364" s="272"/>
      <c r="TXZ364" s="273"/>
      <c r="TYA364" s="274"/>
      <c r="TYB364" s="643"/>
      <c r="TYC364" s="324"/>
      <c r="TYD364" s="366"/>
      <c r="TYE364" s="269"/>
      <c r="TYF364" s="644"/>
      <c r="TYG364" s="271"/>
      <c r="TYH364" s="272"/>
      <c r="TYI364" s="273"/>
      <c r="TYJ364" s="274"/>
      <c r="TYK364" s="643"/>
      <c r="TYL364" s="324"/>
      <c r="TYM364" s="366"/>
      <c r="TYN364" s="269"/>
      <c r="TYO364" s="644"/>
      <c r="TYP364" s="271"/>
      <c r="TYQ364" s="272"/>
      <c r="TYR364" s="273"/>
      <c r="TYS364" s="274"/>
      <c r="TYT364" s="643"/>
      <c r="TYU364" s="324"/>
      <c r="TYV364" s="366"/>
      <c r="TYW364" s="269"/>
      <c r="TYX364" s="644"/>
      <c r="TYY364" s="271"/>
      <c r="TYZ364" s="272"/>
      <c r="TZA364" s="273"/>
      <c r="TZB364" s="274"/>
      <c r="TZC364" s="643"/>
      <c r="TZD364" s="324"/>
      <c r="TZE364" s="366"/>
      <c r="TZF364" s="269"/>
      <c r="TZG364" s="644"/>
      <c r="TZH364" s="271"/>
      <c r="TZI364" s="272"/>
      <c r="TZJ364" s="273"/>
      <c r="TZK364" s="274"/>
      <c r="TZL364" s="643"/>
      <c r="TZM364" s="324"/>
      <c r="TZN364" s="366"/>
      <c r="TZO364" s="269"/>
      <c r="TZP364" s="644"/>
      <c r="TZQ364" s="271"/>
      <c r="TZR364" s="272"/>
      <c r="TZS364" s="273"/>
      <c r="TZT364" s="274"/>
      <c r="TZU364" s="643"/>
      <c r="TZV364" s="324"/>
      <c r="TZW364" s="366"/>
      <c r="TZX364" s="269"/>
      <c r="TZY364" s="644"/>
      <c r="TZZ364" s="271"/>
      <c r="UAA364" s="272"/>
      <c r="UAB364" s="273"/>
      <c r="UAC364" s="274"/>
      <c r="UAD364" s="643"/>
      <c r="UAE364" s="324"/>
      <c r="UAF364" s="366"/>
      <c r="UAG364" s="269"/>
      <c r="UAH364" s="644"/>
      <c r="UAI364" s="271"/>
      <c r="UAJ364" s="272"/>
      <c r="UAK364" s="273"/>
      <c r="UAL364" s="274"/>
      <c r="UAM364" s="643"/>
      <c r="UAN364" s="324"/>
      <c r="UAO364" s="366"/>
      <c r="UAP364" s="269"/>
      <c r="UAQ364" s="644"/>
      <c r="UAR364" s="271"/>
      <c r="UAS364" s="272"/>
      <c r="UAT364" s="273"/>
      <c r="UAU364" s="274"/>
      <c r="UAV364" s="643"/>
      <c r="UAW364" s="324"/>
      <c r="UAX364" s="366"/>
      <c r="UAY364" s="269"/>
      <c r="UAZ364" s="644"/>
      <c r="UBA364" s="271"/>
      <c r="UBB364" s="272"/>
      <c r="UBC364" s="273"/>
      <c r="UBD364" s="274"/>
      <c r="UBE364" s="643"/>
      <c r="UBF364" s="324"/>
      <c r="UBG364" s="366"/>
      <c r="UBH364" s="269"/>
      <c r="UBI364" s="644"/>
      <c r="UBJ364" s="271"/>
      <c r="UBK364" s="272"/>
      <c r="UBL364" s="273"/>
      <c r="UBM364" s="274"/>
      <c r="UBN364" s="643"/>
      <c r="UBO364" s="324"/>
      <c r="UBP364" s="366"/>
      <c r="UBQ364" s="269"/>
      <c r="UBR364" s="644"/>
      <c r="UBS364" s="271"/>
      <c r="UBT364" s="272"/>
      <c r="UBU364" s="273"/>
      <c r="UBV364" s="274"/>
      <c r="UBW364" s="643"/>
      <c r="UBX364" s="324"/>
      <c r="UBY364" s="366"/>
      <c r="UBZ364" s="269"/>
      <c r="UCA364" s="644"/>
      <c r="UCB364" s="271"/>
      <c r="UCC364" s="272"/>
      <c r="UCD364" s="273"/>
      <c r="UCE364" s="274"/>
      <c r="UCF364" s="643"/>
      <c r="UCG364" s="324"/>
      <c r="UCH364" s="366"/>
      <c r="UCI364" s="269"/>
      <c r="UCJ364" s="644"/>
      <c r="UCK364" s="271"/>
      <c r="UCL364" s="272"/>
      <c r="UCM364" s="273"/>
      <c r="UCN364" s="274"/>
      <c r="UCO364" s="643"/>
      <c r="UCP364" s="324"/>
      <c r="UCQ364" s="366"/>
      <c r="UCR364" s="269"/>
      <c r="UCS364" s="644"/>
      <c r="UCT364" s="271"/>
      <c r="UCU364" s="272"/>
      <c r="UCV364" s="273"/>
      <c r="UCW364" s="274"/>
      <c r="UCX364" s="643"/>
      <c r="UCY364" s="324"/>
      <c r="UCZ364" s="366"/>
      <c r="UDA364" s="269"/>
      <c r="UDB364" s="644"/>
      <c r="UDC364" s="271"/>
      <c r="UDD364" s="272"/>
      <c r="UDE364" s="273"/>
      <c r="UDF364" s="274"/>
      <c r="UDG364" s="643"/>
      <c r="UDH364" s="324"/>
      <c r="UDI364" s="366"/>
      <c r="UDJ364" s="269"/>
      <c r="UDK364" s="644"/>
      <c r="UDL364" s="271"/>
      <c r="UDM364" s="272"/>
      <c r="UDN364" s="273"/>
      <c r="UDO364" s="274"/>
      <c r="UDP364" s="643"/>
      <c r="UDQ364" s="324"/>
      <c r="UDR364" s="366"/>
      <c r="UDS364" s="269"/>
      <c r="UDT364" s="644"/>
      <c r="UDU364" s="271"/>
      <c r="UDV364" s="272"/>
      <c r="UDW364" s="273"/>
      <c r="UDX364" s="274"/>
      <c r="UDY364" s="643"/>
      <c r="UDZ364" s="324"/>
      <c r="UEA364" s="366"/>
      <c r="UEB364" s="269"/>
      <c r="UEC364" s="644"/>
      <c r="UED364" s="271"/>
      <c r="UEE364" s="272"/>
      <c r="UEF364" s="273"/>
      <c r="UEG364" s="274"/>
      <c r="UEH364" s="643"/>
      <c r="UEI364" s="324"/>
      <c r="UEJ364" s="366"/>
      <c r="UEK364" s="269"/>
      <c r="UEL364" s="644"/>
      <c r="UEM364" s="271"/>
      <c r="UEN364" s="272"/>
      <c r="UEO364" s="273"/>
      <c r="UEP364" s="274"/>
      <c r="UEQ364" s="643"/>
      <c r="UER364" s="324"/>
      <c r="UES364" s="366"/>
      <c r="UET364" s="269"/>
      <c r="UEU364" s="644"/>
      <c r="UEV364" s="271"/>
      <c r="UEW364" s="272"/>
      <c r="UEX364" s="273"/>
      <c r="UEY364" s="274"/>
      <c r="UEZ364" s="643"/>
      <c r="UFA364" s="324"/>
      <c r="UFB364" s="366"/>
      <c r="UFC364" s="269"/>
      <c r="UFD364" s="644"/>
      <c r="UFE364" s="271"/>
      <c r="UFF364" s="272"/>
      <c r="UFG364" s="273"/>
      <c r="UFH364" s="274"/>
      <c r="UFI364" s="643"/>
      <c r="UFJ364" s="324"/>
      <c r="UFK364" s="366"/>
      <c r="UFL364" s="269"/>
      <c r="UFM364" s="644"/>
      <c r="UFN364" s="271"/>
      <c r="UFO364" s="272"/>
      <c r="UFP364" s="273"/>
      <c r="UFQ364" s="274"/>
      <c r="UFR364" s="643"/>
      <c r="UFS364" s="324"/>
      <c r="UFT364" s="366"/>
      <c r="UFU364" s="269"/>
      <c r="UFV364" s="644"/>
      <c r="UFW364" s="271"/>
      <c r="UFX364" s="272"/>
      <c r="UFY364" s="273"/>
      <c r="UFZ364" s="274"/>
      <c r="UGA364" s="643"/>
      <c r="UGB364" s="324"/>
      <c r="UGC364" s="366"/>
      <c r="UGD364" s="269"/>
      <c r="UGE364" s="644"/>
      <c r="UGF364" s="271"/>
      <c r="UGG364" s="272"/>
      <c r="UGH364" s="273"/>
      <c r="UGI364" s="274"/>
      <c r="UGJ364" s="643"/>
      <c r="UGK364" s="324"/>
      <c r="UGL364" s="366"/>
      <c r="UGM364" s="269"/>
      <c r="UGN364" s="644"/>
      <c r="UGO364" s="271"/>
      <c r="UGP364" s="272"/>
      <c r="UGQ364" s="273"/>
      <c r="UGR364" s="274"/>
      <c r="UGS364" s="643"/>
      <c r="UGT364" s="324"/>
      <c r="UGU364" s="366"/>
      <c r="UGV364" s="269"/>
      <c r="UGW364" s="644"/>
      <c r="UGX364" s="271"/>
      <c r="UGY364" s="272"/>
      <c r="UGZ364" s="273"/>
      <c r="UHA364" s="274"/>
      <c r="UHB364" s="643"/>
      <c r="UHC364" s="324"/>
      <c r="UHD364" s="366"/>
      <c r="UHE364" s="269"/>
      <c r="UHF364" s="644"/>
      <c r="UHG364" s="271"/>
      <c r="UHH364" s="272"/>
      <c r="UHI364" s="273"/>
      <c r="UHJ364" s="274"/>
      <c r="UHK364" s="643"/>
      <c r="UHL364" s="324"/>
      <c r="UHM364" s="366"/>
      <c r="UHN364" s="269"/>
      <c r="UHO364" s="644"/>
      <c r="UHP364" s="271"/>
      <c r="UHQ364" s="272"/>
      <c r="UHR364" s="273"/>
      <c r="UHS364" s="274"/>
      <c r="UHT364" s="643"/>
      <c r="UHU364" s="324"/>
      <c r="UHV364" s="366"/>
      <c r="UHW364" s="269"/>
      <c r="UHX364" s="644"/>
      <c r="UHY364" s="271"/>
      <c r="UHZ364" s="272"/>
      <c r="UIA364" s="273"/>
      <c r="UIB364" s="274"/>
      <c r="UIC364" s="643"/>
      <c r="UID364" s="324"/>
      <c r="UIE364" s="366"/>
      <c r="UIF364" s="269"/>
      <c r="UIG364" s="644"/>
      <c r="UIH364" s="271"/>
      <c r="UII364" s="272"/>
      <c r="UIJ364" s="273"/>
      <c r="UIK364" s="274"/>
      <c r="UIL364" s="643"/>
      <c r="UIM364" s="324"/>
      <c r="UIN364" s="366"/>
      <c r="UIO364" s="269"/>
      <c r="UIP364" s="644"/>
      <c r="UIQ364" s="271"/>
      <c r="UIR364" s="272"/>
      <c r="UIS364" s="273"/>
      <c r="UIT364" s="274"/>
      <c r="UIU364" s="643"/>
      <c r="UIV364" s="324"/>
      <c r="UIW364" s="366"/>
      <c r="UIX364" s="269"/>
      <c r="UIY364" s="644"/>
      <c r="UIZ364" s="271"/>
      <c r="UJA364" s="272"/>
      <c r="UJB364" s="273"/>
      <c r="UJC364" s="274"/>
      <c r="UJD364" s="643"/>
      <c r="UJE364" s="324"/>
      <c r="UJF364" s="366"/>
      <c r="UJG364" s="269"/>
      <c r="UJH364" s="644"/>
      <c r="UJI364" s="271"/>
      <c r="UJJ364" s="272"/>
      <c r="UJK364" s="273"/>
      <c r="UJL364" s="274"/>
      <c r="UJM364" s="643"/>
      <c r="UJN364" s="324"/>
      <c r="UJO364" s="366"/>
      <c r="UJP364" s="269"/>
      <c r="UJQ364" s="644"/>
      <c r="UJR364" s="271"/>
      <c r="UJS364" s="272"/>
      <c r="UJT364" s="273"/>
      <c r="UJU364" s="274"/>
      <c r="UJV364" s="643"/>
      <c r="UJW364" s="324"/>
      <c r="UJX364" s="366"/>
      <c r="UJY364" s="269"/>
      <c r="UJZ364" s="644"/>
      <c r="UKA364" s="271"/>
      <c r="UKB364" s="272"/>
      <c r="UKC364" s="273"/>
      <c r="UKD364" s="274"/>
      <c r="UKE364" s="643"/>
      <c r="UKF364" s="324"/>
      <c r="UKG364" s="366"/>
      <c r="UKH364" s="269"/>
      <c r="UKI364" s="644"/>
      <c r="UKJ364" s="271"/>
      <c r="UKK364" s="272"/>
      <c r="UKL364" s="273"/>
      <c r="UKM364" s="274"/>
      <c r="UKN364" s="643"/>
      <c r="UKO364" s="324"/>
      <c r="UKP364" s="366"/>
      <c r="UKQ364" s="269"/>
      <c r="UKR364" s="644"/>
      <c r="UKS364" s="271"/>
      <c r="UKT364" s="272"/>
      <c r="UKU364" s="273"/>
      <c r="UKV364" s="274"/>
      <c r="UKW364" s="643"/>
      <c r="UKX364" s="324"/>
      <c r="UKY364" s="366"/>
      <c r="UKZ364" s="269"/>
      <c r="ULA364" s="644"/>
      <c r="ULB364" s="271"/>
      <c r="ULC364" s="272"/>
      <c r="ULD364" s="273"/>
      <c r="ULE364" s="274"/>
      <c r="ULF364" s="643"/>
      <c r="ULG364" s="324"/>
      <c r="ULH364" s="366"/>
      <c r="ULI364" s="269"/>
      <c r="ULJ364" s="644"/>
      <c r="ULK364" s="271"/>
      <c r="ULL364" s="272"/>
      <c r="ULM364" s="273"/>
      <c r="ULN364" s="274"/>
      <c r="ULO364" s="643"/>
      <c r="ULP364" s="324"/>
      <c r="ULQ364" s="366"/>
      <c r="ULR364" s="269"/>
      <c r="ULS364" s="644"/>
      <c r="ULT364" s="271"/>
      <c r="ULU364" s="272"/>
      <c r="ULV364" s="273"/>
      <c r="ULW364" s="274"/>
      <c r="ULX364" s="643"/>
      <c r="ULY364" s="324"/>
      <c r="ULZ364" s="366"/>
      <c r="UMA364" s="269"/>
      <c r="UMB364" s="644"/>
      <c r="UMC364" s="271"/>
      <c r="UMD364" s="272"/>
      <c r="UME364" s="273"/>
      <c r="UMF364" s="274"/>
      <c r="UMG364" s="643"/>
      <c r="UMH364" s="324"/>
      <c r="UMI364" s="366"/>
      <c r="UMJ364" s="269"/>
      <c r="UMK364" s="644"/>
      <c r="UML364" s="271"/>
      <c r="UMM364" s="272"/>
      <c r="UMN364" s="273"/>
      <c r="UMO364" s="274"/>
      <c r="UMP364" s="643"/>
      <c r="UMQ364" s="324"/>
      <c r="UMR364" s="366"/>
      <c r="UMS364" s="269"/>
      <c r="UMT364" s="644"/>
      <c r="UMU364" s="271"/>
      <c r="UMV364" s="272"/>
      <c r="UMW364" s="273"/>
      <c r="UMX364" s="274"/>
      <c r="UMY364" s="643"/>
      <c r="UMZ364" s="324"/>
      <c r="UNA364" s="366"/>
      <c r="UNB364" s="269"/>
      <c r="UNC364" s="644"/>
      <c r="UND364" s="271"/>
      <c r="UNE364" s="272"/>
      <c r="UNF364" s="273"/>
      <c r="UNG364" s="274"/>
      <c r="UNH364" s="643"/>
      <c r="UNI364" s="324"/>
      <c r="UNJ364" s="366"/>
      <c r="UNK364" s="269"/>
      <c r="UNL364" s="644"/>
      <c r="UNM364" s="271"/>
      <c r="UNN364" s="272"/>
      <c r="UNO364" s="273"/>
      <c r="UNP364" s="274"/>
      <c r="UNQ364" s="643"/>
      <c r="UNR364" s="324"/>
      <c r="UNS364" s="366"/>
      <c r="UNT364" s="269"/>
      <c r="UNU364" s="644"/>
      <c r="UNV364" s="271"/>
      <c r="UNW364" s="272"/>
      <c r="UNX364" s="273"/>
      <c r="UNY364" s="274"/>
      <c r="UNZ364" s="643"/>
      <c r="UOA364" s="324"/>
      <c r="UOB364" s="366"/>
      <c r="UOC364" s="269"/>
      <c r="UOD364" s="644"/>
      <c r="UOE364" s="271"/>
      <c r="UOF364" s="272"/>
      <c r="UOG364" s="273"/>
      <c r="UOH364" s="274"/>
      <c r="UOI364" s="643"/>
      <c r="UOJ364" s="324"/>
      <c r="UOK364" s="366"/>
      <c r="UOL364" s="269"/>
      <c r="UOM364" s="644"/>
      <c r="UON364" s="271"/>
      <c r="UOO364" s="272"/>
      <c r="UOP364" s="273"/>
      <c r="UOQ364" s="274"/>
      <c r="UOR364" s="643"/>
      <c r="UOS364" s="324"/>
      <c r="UOT364" s="366"/>
      <c r="UOU364" s="269"/>
      <c r="UOV364" s="644"/>
      <c r="UOW364" s="271"/>
      <c r="UOX364" s="272"/>
      <c r="UOY364" s="273"/>
      <c r="UOZ364" s="274"/>
      <c r="UPA364" s="643"/>
      <c r="UPB364" s="324"/>
      <c r="UPC364" s="366"/>
      <c r="UPD364" s="269"/>
      <c r="UPE364" s="644"/>
      <c r="UPF364" s="271"/>
      <c r="UPG364" s="272"/>
      <c r="UPH364" s="273"/>
      <c r="UPI364" s="274"/>
      <c r="UPJ364" s="643"/>
      <c r="UPK364" s="324"/>
      <c r="UPL364" s="366"/>
      <c r="UPM364" s="269"/>
      <c r="UPN364" s="644"/>
      <c r="UPO364" s="271"/>
      <c r="UPP364" s="272"/>
      <c r="UPQ364" s="273"/>
      <c r="UPR364" s="274"/>
      <c r="UPS364" s="643"/>
      <c r="UPT364" s="324"/>
      <c r="UPU364" s="366"/>
      <c r="UPV364" s="269"/>
      <c r="UPW364" s="644"/>
      <c r="UPX364" s="271"/>
      <c r="UPY364" s="272"/>
      <c r="UPZ364" s="273"/>
      <c r="UQA364" s="274"/>
      <c r="UQB364" s="643"/>
      <c r="UQC364" s="324"/>
      <c r="UQD364" s="366"/>
      <c r="UQE364" s="269"/>
      <c r="UQF364" s="644"/>
      <c r="UQG364" s="271"/>
      <c r="UQH364" s="272"/>
      <c r="UQI364" s="273"/>
      <c r="UQJ364" s="274"/>
      <c r="UQK364" s="643"/>
      <c r="UQL364" s="324"/>
      <c r="UQM364" s="366"/>
      <c r="UQN364" s="269"/>
      <c r="UQO364" s="644"/>
      <c r="UQP364" s="271"/>
      <c r="UQQ364" s="272"/>
      <c r="UQR364" s="273"/>
      <c r="UQS364" s="274"/>
      <c r="UQT364" s="643"/>
      <c r="UQU364" s="324"/>
      <c r="UQV364" s="366"/>
      <c r="UQW364" s="269"/>
      <c r="UQX364" s="644"/>
      <c r="UQY364" s="271"/>
      <c r="UQZ364" s="272"/>
      <c r="URA364" s="273"/>
      <c r="URB364" s="274"/>
      <c r="URC364" s="643"/>
      <c r="URD364" s="324"/>
      <c r="URE364" s="366"/>
      <c r="URF364" s="269"/>
      <c r="URG364" s="644"/>
      <c r="URH364" s="271"/>
      <c r="URI364" s="272"/>
      <c r="URJ364" s="273"/>
      <c r="URK364" s="274"/>
      <c r="URL364" s="643"/>
      <c r="URM364" s="324"/>
      <c r="URN364" s="366"/>
      <c r="URO364" s="269"/>
      <c r="URP364" s="644"/>
      <c r="URQ364" s="271"/>
      <c r="URR364" s="272"/>
      <c r="URS364" s="273"/>
      <c r="URT364" s="274"/>
      <c r="URU364" s="643"/>
      <c r="URV364" s="324"/>
      <c r="URW364" s="366"/>
      <c r="URX364" s="269"/>
      <c r="URY364" s="644"/>
      <c r="URZ364" s="271"/>
      <c r="USA364" s="272"/>
      <c r="USB364" s="273"/>
      <c r="USC364" s="274"/>
      <c r="USD364" s="643"/>
      <c r="USE364" s="324"/>
      <c r="USF364" s="366"/>
      <c r="USG364" s="269"/>
      <c r="USH364" s="644"/>
      <c r="USI364" s="271"/>
      <c r="USJ364" s="272"/>
      <c r="USK364" s="273"/>
      <c r="USL364" s="274"/>
      <c r="USM364" s="643"/>
      <c r="USN364" s="324"/>
      <c r="USO364" s="366"/>
      <c r="USP364" s="269"/>
      <c r="USQ364" s="644"/>
      <c r="USR364" s="271"/>
      <c r="USS364" s="272"/>
      <c r="UST364" s="273"/>
      <c r="USU364" s="274"/>
      <c r="USV364" s="643"/>
      <c r="USW364" s="324"/>
      <c r="USX364" s="366"/>
      <c r="USY364" s="269"/>
      <c r="USZ364" s="644"/>
      <c r="UTA364" s="271"/>
      <c r="UTB364" s="272"/>
      <c r="UTC364" s="273"/>
      <c r="UTD364" s="274"/>
      <c r="UTE364" s="643"/>
      <c r="UTF364" s="324"/>
      <c r="UTG364" s="366"/>
      <c r="UTH364" s="269"/>
      <c r="UTI364" s="644"/>
      <c r="UTJ364" s="271"/>
      <c r="UTK364" s="272"/>
      <c r="UTL364" s="273"/>
      <c r="UTM364" s="274"/>
      <c r="UTN364" s="643"/>
      <c r="UTO364" s="324"/>
      <c r="UTP364" s="366"/>
      <c r="UTQ364" s="269"/>
      <c r="UTR364" s="644"/>
      <c r="UTS364" s="271"/>
      <c r="UTT364" s="272"/>
      <c r="UTU364" s="273"/>
      <c r="UTV364" s="274"/>
      <c r="UTW364" s="643"/>
      <c r="UTX364" s="324"/>
      <c r="UTY364" s="366"/>
      <c r="UTZ364" s="269"/>
      <c r="UUA364" s="644"/>
      <c r="UUB364" s="271"/>
      <c r="UUC364" s="272"/>
      <c r="UUD364" s="273"/>
      <c r="UUE364" s="274"/>
      <c r="UUF364" s="643"/>
      <c r="UUG364" s="324"/>
      <c r="UUH364" s="366"/>
      <c r="UUI364" s="269"/>
      <c r="UUJ364" s="644"/>
      <c r="UUK364" s="271"/>
      <c r="UUL364" s="272"/>
      <c r="UUM364" s="273"/>
      <c r="UUN364" s="274"/>
      <c r="UUO364" s="643"/>
      <c r="UUP364" s="324"/>
      <c r="UUQ364" s="366"/>
      <c r="UUR364" s="269"/>
      <c r="UUS364" s="644"/>
      <c r="UUT364" s="271"/>
      <c r="UUU364" s="272"/>
      <c r="UUV364" s="273"/>
      <c r="UUW364" s="274"/>
      <c r="UUX364" s="643"/>
      <c r="UUY364" s="324"/>
      <c r="UUZ364" s="366"/>
      <c r="UVA364" s="269"/>
      <c r="UVB364" s="644"/>
      <c r="UVC364" s="271"/>
      <c r="UVD364" s="272"/>
      <c r="UVE364" s="273"/>
      <c r="UVF364" s="274"/>
      <c r="UVG364" s="643"/>
      <c r="UVH364" s="324"/>
      <c r="UVI364" s="366"/>
      <c r="UVJ364" s="269"/>
      <c r="UVK364" s="644"/>
      <c r="UVL364" s="271"/>
      <c r="UVM364" s="272"/>
      <c r="UVN364" s="273"/>
      <c r="UVO364" s="274"/>
      <c r="UVP364" s="643"/>
      <c r="UVQ364" s="324"/>
      <c r="UVR364" s="366"/>
      <c r="UVS364" s="269"/>
      <c r="UVT364" s="644"/>
      <c r="UVU364" s="271"/>
      <c r="UVV364" s="272"/>
      <c r="UVW364" s="273"/>
      <c r="UVX364" s="274"/>
      <c r="UVY364" s="643"/>
      <c r="UVZ364" s="324"/>
      <c r="UWA364" s="366"/>
      <c r="UWB364" s="269"/>
      <c r="UWC364" s="644"/>
      <c r="UWD364" s="271"/>
      <c r="UWE364" s="272"/>
      <c r="UWF364" s="273"/>
      <c r="UWG364" s="274"/>
      <c r="UWH364" s="643"/>
      <c r="UWI364" s="324"/>
      <c r="UWJ364" s="366"/>
      <c r="UWK364" s="269"/>
      <c r="UWL364" s="644"/>
      <c r="UWM364" s="271"/>
      <c r="UWN364" s="272"/>
      <c r="UWO364" s="273"/>
      <c r="UWP364" s="274"/>
      <c r="UWQ364" s="643"/>
      <c r="UWR364" s="324"/>
      <c r="UWS364" s="366"/>
      <c r="UWT364" s="269"/>
      <c r="UWU364" s="644"/>
      <c r="UWV364" s="271"/>
      <c r="UWW364" s="272"/>
      <c r="UWX364" s="273"/>
      <c r="UWY364" s="274"/>
      <c r="UWZ364" s="643"/>
      <c r="UXA364" s="324"/>
      <c r="UXB364" s="366"/>
      <c r="UXC364" s="269"/>
      <c r="UXD364" s="644"/>
      <c r="UXE364" s="271"/>
      <c r="UXF364" s="272"/>
      <c r="UXG364" s="273"/>
      <c r="UXH364" s="274"/>
      <c r="UXI364" s="643"/>
      <c r="UXJ364" s="324"/>
      <c r="UXK364" s="366"/>
      <c r="UXL364" s="269"/>
      <c r="UXM364" s="644"/>
      <c r="UXN364" s="271"/>
      <c r="UXO364" s="272"/>
      <c r="UXP364" s="273"/>
      <c r="UXQ364" s="274"/>
      <c r="UXR364" s="643"/>
      <c r="UXS364" s="324"/>
      <c r="UXT364" s="366"/>
      <c r="UXU364" s="269"/>
      <c r="UXV364" s="644"/>
      <c r="UXW364" s="271"/>
      <c r="UXX364" s="272"/>
      <c r="UXY364" s="273"/>
      <c r="UXZ364" s="274"/>
      <c r="UYA364" s="643"/>
      <c r="UYB364" s="324"/>
      <c r="UYC364" s="366"/>
      <c r="UYD364" s="269"/>
      <c r="UYE364" s="644"/>
      <c r="UYF364" s="271"/>
      <c r="UYG364" s="272"/>
      <c r="UYH364" s="273"/>
      <c r="UYI364" s="274"/>
      <c r="UYJ364" s="643"/>
      <c r="UYK364" s="324"/>
      <c r="UYL364" s="366"/>
      <c r="UYM364" s="269"/>
      <c r="UYN364" s="644"/>
      <c r="UYO364" s="271"/>
      <c r="UYP364" s="272"/>
      <c r="UYQ364" s="273"/>
      <c r="UYR364" s="274"/>
      <c r="UYS364" s="643"/>
      <c r="UYT364" s="324"/>
      <c r="UYU364" s="366"/>
      <c r="UYV364" s="269"/>
      <c r="UYW364" s="644"/>
      <c r="UYX364" s="271"/>
      <c r="UYY364" s="272"/>
      <c r="UYZ364" s="273"/>
      <c r="UZA364" s="274"/>
      <c r="UZB364" s="643"/>
      <c r="UZC364" s="324"/>
      <c r="UZD364" s="366"/>
      <c r="UZE364" s="269"/>
      <c r="UZF364" s="644"/>
      <c r="UZG364" s="271"/>
      <c r="UZH364" s="272"/>
      <c r="UZI364" s="273"/>
      <c r="UZJ364" s="274"/>
      <c r="UZK364" s="643"/>
      <c r="UZL364" s="324"/>
      <c r="UZM364" s="366"/>
      <c r="UZN364" s="269"/>
      <c r="UZO364" s="644"/>
      <c r="UZP364" s="271"/>
      <c r="UZQ364" s="272"/>
      <c r="UZR364" s="273"/>
      <c r="UZS364" s="274"/>
      <c r="UZT364" s="643"/>
      <c r="UZU364" s="324"/>
      <c r="UZV364" s="366"/>
      <c r="UZW364" s="269"/>
      <c r="UZX364" s="644"/>
      <c r="UZY364" s="271"/>
      <c r="UZZ364" s="272"/>
      <c r="VAA364" s="273"/>
      <c r="VAB364" s="274"/>
      <c r="VAC364" s="643"/>
      <c r="VAD364" s="324"/>
      <c r="VAE364" s="366"/>
      <c r="VAF364" s="269"/>
      <c r="VAG364" s="644"/>
      <c r="VAH364" s="271"/>
      <c r="VAI364" s="272"/>
      <c r="VAJ364" s="273"/>
      <c r="VAK364" s="274"/>
      <c r="VAL364" s="643"/>
      <c r="VAM364" s="324"/>
      <c r="VAN364" s="366"/>
      <c r="VAO364" s="269"/>
      <c r="VAP364" s="644"/>
      <c r="VAQ364" s="271"/>
      <c r="VAR364" s="272"/>
      <c r="VAS364" s="273"/>
      <c r="VAT364" s="274"/>
      <c r="VAU364" s="643"/>
      <c r="VAV364" s="324"/>
      <c r="VAW364" s="366"/>
      <c r="VAX364" s="269"/>
      <c r="VAY364" s="644"/>
      <c r="VAZ364" s="271"/>
      <c r="VBA364" s="272"/>
      <c r="VBB364" s="273"/>
      <c r="VBC364" s="274"/>
      <c r="VBD364" s="643"/>
      <c r="VBE364" s="324"/>
      <c r="VBF364" s="366"/>
      <c r="VBG364" s="269"/>
      <c r="VBH364" s="644"/>
      <c r="VBI364" s="271"/>
      <c r="VBJ364" s="272"/>
      <c r="VBK364" s="273"/>
      <c r="VBL364" s="274"/>
      <c r="VBM364" s="643"/>
      <c r="VBN364" s="324"/>
      <c r="VBO364" s="366"/>
      <c r="VBP364" s="269"/>
      <c r="VBQ364" s="644"/>
      <c r="VBR364" s="271"/>
      <c r="VBS364" s="272"/>
      <c r="VBT364" s="273"/>
      <c r="VBU364" s="274"/>
      <c r="VBV364" s="643"/>
      <c r="VBW364" s="324"/>
      <c r="VBX364" s="366"/>
      <c r="VBY364" s="269"/>
      <c r="VBZ364" s="644"/>
      <c r="VCA364" s="271"/>
      <c r="VCB364" s="272"/>
      <c r="VCC364" s="273"/>
      <c r="VCD364" s="274"/>
      <c r="VCE364" s="643"/>
      <c r="VCF364" s="324"/>
      <c r="VCG364" s="366"/>
      <c r="VCH364" s="269"/>
      <c r="VCI364" s="644"/>
      <c r="VCJ364" s="271"/>
      <c r="VCK364" s="272"/>
      <c r="VCL364" s="273"/>
      <c r="VCM364" s="274"/>
      <c r="VCN364" s="643"/>
      <c r="VCO364" s="324"/>
      <c r="VCP364" s="366"/>
      <c r="VCQ364" s="269"/>
      <c r="VCR364" s="644"/>
      <c r="VCS364" s="271"/>
      <c r="VCT364" s="272"/>
      <c r="VCU364" s="273"/>
      <c r="VCV364" s="274"/>
      <c r="VCW364" s="643"/>
      <c r="VCX364" s="324"/>
      <c r="VCY364" s="366"/>
      <c r="VCZ364" s="269"/>
      <c r="VDA364" s="644"/>
      <c r="VDB364" s="271"/>
      <c r="VDC364" s="272"/>
      <c r="VDD364" s="273"/>
      <c r="VDE364" s="274"/>
      <c r="VDF364" s="643"/>
      <c r="VDG364" s="324"/>
      <c r="VDH364" s="366"/>
      <c r="VDI364" s="269"/>
      <c r="VDJ364" s="644"/>
      <c r="VDK364" s="271"/>
      <c r="VDL364" s="272"/>
      <c r="VDM364" s="273"/>
      <c r="VDN364" s="274"/>
      <c r="VDO364" s="643"/>
      <c r="VDP364" s="324"/>
      <c r="VDQ364" s="366"/>
      <c r="VDR364" s="269"/>
      <c r="VDS364" s="644"/>
      <c r="VDT364" s="271"/>
      <c r="VDU364" s="272"/>
      <c r="VDV364" s="273"/>
      <c r="VDW364" s="274"/>
      <c r="VDX364" s="643"/>
      <c r="VDY364" s="324"/>
      <c r="VDZ364" s="366"/>
      <c r="VEA364" s="269"/>
      <c r="VEB364" s="644"/>
      <c r="VEC364" s="271"/>
      <c r="VED364" s="272"/>
      <c r="VEE364" s="273"/>
      <c r="VEF364" s="274"/>
      <c r="VEG364" s="643"/>
      <c r="VEH364" s="324"/>
      <c r="VEI364" s="366"/>
      <c r="VEJ364" s="269"/>
      <c r="VEK364" s="644"/>
      <c r="VEL364" s="271"/>
      <c r="VEM364" s="272"/>
      <c r="VEN364" s="273"/>
      <c r="VEO364" s="274"/>
      <c r="VEP364" s="643"/>
      <c r="VEQ364" s="324"/>
      <c r="VER364" s="366"/>
      <c r="VES364" s="269"/>
      <c r="VET364" s="644"/>
      <c r="VEU364" s="271"/>
      <c r="VEV364" s="272"/>
      <c r="VEW364" s="273"/>
      <c r="VEX364" s="274"/>
      <c r="VEY364" s="643"/>
      <c r="VEZ364" s="324"/>
      <c r="VFA364" s="366"/>
      <c r="VFB364" s="269"/>
      <c r="VFC364" s="644"/>
      <c r="VFD364" s="271"/>
      <c r="VFE364" s="272"/>
      <c r="VFF364" s="273"/>
      <c r="VFG364" s="274"/>
      <c r="VFH364" s="643"/>
      <c r="VFI364" s="324"/>
      <c r="VFJ364" s="366"/>
      <c r="VFK364" s="269"/>
      <c r="VFL364" s="644"/>
      <c r="VFM364" s="271"/>
      <c r="VFN364" s="272"/>
      <c r="VFO364" s="273"/>
      <c r="VFP364" s="274"/>
      <c r="VFQ364" s="643"/>
      <c r="VFR364" s="324"/>
      <c r="VFS364" s="366"/>
      <c r="VFT364" s="269"/>
      <c r="VFU364" s="644"/>
      <c r="VFV364" s="271"/>
      <c r="VFW364" s="272"/>
      <c r="VFX364" s="273"/>
      <c r="VFY364" s="274"/>
      <c r="VFZ364" s="643"/>
      <c r="VGA364" s="324"/>
      <c r="VGB364" s="366"/>
      <c r="VGC364" s="269"/>
      <c r="VGD364" s="644"/>
      <c r="VGE364" s="271"/>
      <c r="VGF364" s="272"/>
      <c r="VGG364" s="273"/>
      <c r="VGH364" s="274"/>
      <c r="VGI364" s="643"/>
      <c r="VGJ364" s="324"/>
      <c r="VGK364" s="366"/>
      <c r="VGL364" s="269"/>
      <c r="VGM364" s="644"/>
      <c r="VGN364" s="271"/>
      <c r="VGO364" s="272"/>
      <c r="VGP364" s="273"/>
      <c r="VGQ364" s="274"/>
      <c r="VGR364" s="643"/>
      <c r="VGS364" s="324"/>
      <c r="VGT364" s="366"/>
      <c r="VGU364" s="269"/>
      <c r="VGV364" s="644"/>
      <c r="VGW364" s="271"/>
      <c r="VGX364" s="272"/>
      <c r="VGY364" s="273"/>
      <c r="VGZ364" s="274"/>
      <c r="VHA364" s="643"/>
      <c r="VHB364" s="324"/>
      <c r="VHC364" s="366"/>
      <c r="VHD364" s="269"/>
      <c r="VHE364" s="644"/>
      <c r="VHF364" s="271"/>
      <c r="VHG364" s="272"/>
      <c r="VHH364" s="273"/>
      <c r="VHI364" s="274"/>
      <c r="VHJ364" s="643"/>
      <c r="VHK364" s="324"/>
      <c r="VHL364" s="366"/>
      <c r="VHM364" s="269"/>
      <c r="VHN364" s="644"/>
      <c r="VHO364" s="271"/>
      <c r="VHP364" s="272"/>
      <c r="VHQ364" s="273"/>
      <c r="VHR364" s="274"/>
      <c r="VHS364" s="643"/>
      <c r="VHT364" s="324"/>
      <c r="VHU364" s="366"/>
      <c r="VHV364" s="269"/>
      <c r="VHW364" s="644"/>
      <c r="VHX364" s="271"/>
      <c r="VHY364" s="272"/>
      <c r="VHZ364" s="273"/>
      <c r="VIA364" s="274"/>
      <c r="VIB364" s="643"/>
      <c r="VIC364" s="324"/>
      <c r="VID364" s="366"/>
      <c r="VIE364" s="269"/>
      <c r="VIF364" s="644"/>
      <c r="VIG364" s="271"/>
      <c r="VIH364" s="272"/>
      <c r="VII364" s="273"/>
      <c r="VIJ364" s="274"/>
      <c r="VIK364" s="643"/>
      <c r="VIL364" s="324"/>
      <c r="VIM364" s="366"/>
      <c r="VIN364" s="269"/>
      <c r="VIO364" s="644"/>
      <c r="VIP364" s="271"/>
      <c r="VIQ364" s="272"/>
      <c r="VIR364" s="273"/>
      <c r="VIS364" s="274"/>
      <c r="VIT364" s="643"/>
      <c r="VIU364" s="324"/>
      <c r="VIV364" s="366"/>
      <c r="VIW364" s="269"/>
      <c r="VIX364" s="644"/>
      <c r="VIY364" s="271"/>
      <c r="VIZ364" s="272"/>
      <c r="VJA364" s="273"/>
      <c r="VJB364" s="274"/>
      <c r="VJC364" s="643"/>
      <c r="VJD364" s="324"/>
      <c r="VJE364" s="366"/>
      <c r="VJF364" s="269"/>
      <c r="VJG364" s="644"/>
      <c r="VJH364" s="271"/>
      <c r="VJI364" s="272"/>
      <c r="VJJ364" s="273"/>
      <c r="VJK364" s="274"/>
      <c r="VJL364" s="643"/>
      <c r="VJM364" s="324"/>
      <c r="VJN364" s="366"/>
      <c r="VJO364" s="269"/>
      <c r="VJP364" s="644"/>
      <c r="VJQ364" s="271"/>
      <c r="VJR364" s="272"/>
      <c r="VJS364" s="273"/>
      <c r="VJT364" s="274"/>
      <c r="VJU364" s="643"/>
      <c r="VJV364" s="324"/>
      <c r="VJW364" s="366"/>
      <c r="VJX364" s="269"/>
      <c r="VJY364" s="644"/>
      <c r="VJZ364" s="271"/>
      <c r="VKA364" s="272"/>
      <c r="VKB364" s="273"/>
      <c r="VKC364" s="274"/>
      <c r="VKD364" s="643"/>
      <c r="VKE364" s="324"/>
      <c r="VKF364" s="366"/>
      <c r="VKG364" s="269"/>
      <c r="VKH364" s="644"/>
      <c r="VKI364" s="271"/>
      <c r="VKJ364" s="272"/>
      <c r="VKK364" s="273"/>
      <c r="VKL364" s="274"/>
      <c r="VKM364" s="643"/>
      <c r="VKN364" s="324"/>
      <c r="VKO364" s="366"/>
      <c r="VKP364" s="269"/>
      <c r="VKQ364" s="644"/>
      <c r="VKR364" s="271"/>
      <c r="VKS364" s="272"/>
      <c r="VKT364" s="273"/>
      <c r="VKU364" s="274"/>
      <c r="VKV364" s="643"/>
      <c r="VKW364" s="324"/>
      <c r="VKX364" s="366"/>
      <c r="VKY364" s="269"/>
      <c r="VKZ364" s="644"/>
      <c r="VLA364" s="271"/>
      <c r="VLB364" s="272"/>
      <c r="VLC364" s="273"/>
      <c r="VLD364" s="274"/>
      <c r="VLE364" s="643"/>
      <c r="VLF364" s="324"/>
      <c r="VLG364" s="366"/>
      <c r="VLH364" s="269"/>
      <c r="VLI364" s="644"/>
      <c r="VLJ364" s="271"/>
      <c r="VLK364" s="272"/>
      <c r="VLL364" s="273"/>
      <c r="VLM364" s="274"/>
      <c r="VLN364" s="643"/>
      <c r="VLO364" s="324"/>
      <c r="VLP364" s="366"/>
      <c r="VLQ364" s="269"/>
      <c r="VLR364" s="644"/>
      <c r="VLS364" s="271"/>
      <c r="VLT364" s="272"/>
      <c r="VLU364" s="273"/>
      <c r="VLV364" s="274"/>
      <c r="VLW364" s="643"/>
      <c r="VLX364" s="324"/>
      <c r="VLY364" s="366"/>
      <c r="VLZ364" s="269"/>
      <c r="VMA364" s="644"/>
      <c r="VMB364" s="271"/>
      <c r="VMC364" s="272"/>
      <c r="VMD364" s="273"/>
      <c r="VME364" s="274"/>
      <c r="VMF364" s="643"/>
      <c r="VMG364" s="324"/>
      <c r="VMH364" s="366"/>
      <c r="VMI364" s="269"/>
      <c r="VMJ364" s="644"/>
      <c r="VMK364" s="271"/>
      <c r="VML364" s="272"/>
      <c r="VMM364" s="273"/>
      <c r="VMN364" s="274"/>
      <c r="VMO364" s="643"/>
      <c r="VMP364" s="324"/>
      <c r="VMQ364" s="366"/>
      <c r="VMR364" s="269"/>
      <c r="VMS364" s="644"/>
      <c r="VMT364" s="271"/>
      <c r="VMU364" s="272"/>
      <c r="VMV364" s="273"/>
      <c r="VMW364" s="274"/>
      <c r="VMX364" s="643"/>
      <c r="VMY364" s="324"/>
      <c r="VMZ364" s="366"/>
      <c r="VNA364" s="269"/>
      <c r="VNB364" s="644"/>
      <c r="VNC364" s="271"/>
      <c r="VND364" s="272"/>
      <c r="VNE364" s="273"/>
      <c r="VNF364" s="274"/>
      <c r="VNG364" s="643"/>
      <c r="VNH364" s="324"/>
      <c r="VNI364" s="366"/>
      <c r="VNJ364" s="269"/>
      <c r="VNK364" s="644"/>
      <c r="VNL364" s="271"/>
      <c r="VNM364" s="272"/>
      <c r="VNN364" s="273"/>
      <c r="VNO364" s="274"/>
      <c r="VNP364" s="643"/>
      <c r="VNQ364" s="324"/>
      <c r="VNR364" s="366"/>
      <c r="VNS364" s="269"/>
      <c r="VNT364" s="644"/>
      <c r="VNU364" s="271"/>
      <c r="VNV364" s="272"/>
      <c r="VNW364" s="273"/>
      <c r="VNX364" s="274"/>
      <c r="VNY364" s="643"/>
      <c r="VNZ364" s="324"/>
      <c r="VOA364" s="366"/>
      <c r="VOB364" s="269"/>
      <c r="VOC364" s="644"/>
      <c r="VOD364" s="271"/>
      <c r="VOE364" s="272"/>
      <c r="VOF364" s="273"/>
      <c r="VOG364" s="274"/>
      <c r="VOH364" s="643"/>
      <c r="VOI364" s="324"/>
      <c r="VOJ364" s="366"/>
      <c r="VOK364" s="269"/>
      <c r="VOL364" s="644"/>
      <c r="VOM364" s="271"/>
      <c r="VON364" s="272"/>
      <c r="VOO364" s="273"/>
      <c r="VOP364" s="274"/>
      <c r="VOQ364" s="643"/>
      <c r="VOR364" s="324"/>
      <c r="VOS364" s="366"/>
      <c r="VOT364" s="269"/>
      <c r="VOU364" s="644"/>
      <c r="VOV364" s="271"/>
      <c r="VOW364" s="272"/>
      <c r="VOX364" s="273"/>
      <c r="VOY364" s="274"/>
      <c r="VOZ364" s="643"/>
      <c r="VPA364" s="324"/>
      <c r="VPB364" s="366"/>
      <c r="VPC364" s="269"/>
      <c r="VPD364" s="644"/>
      <c r="VPE364" s="271"/>
      <c r="VPF364" s="272"/>
      <c r="VPG364" s="273"/>
      <c r="VPH364" s="274"/>
      <c r="VPI364" s="643"/>
      <c r="VPJ364" s="324"/>
      <c r="VPK364" s="366"/>
      <c r="VPL364" s="269"/>
      <c r="VPM364" s="644"/>
      <c r="VPN364" s="271"/>
      <c r="VPO364" s="272"/>
      <c r="VPP364" s="273"/>
      <c r="VPQ364" s="274"/>
      <c r="VPR364" s="643"/>
      <c r="VPS364" s="324"/>
      <c r="VPT364" s="366"/>
      <c r="VPU364" s="269"/>
      <c r="VPV364" s="644"/>
      <c r="VPW364" s="271"/>
      <c r="VPX364" s="272"/>
      <c r="VPY364" s="273"/>
      <c r="VPZ364" s="274"/>
      <c r="VQA364" s="643"/>
      <c r="VQB364" s="324"/>
      <c r="VQC364" s="366"/>
      <c r="VQD364" s="269"/>
      <c r="VQE364" s="644"/>
      <c r="VQF364" s="271"/>
      <c r="VQG364" s="272"/>
      <c r="VQH364" s="273"/>
      <c r="VQI364" s="274"/>
      <c r="VQJ364" s="643"/>
      <c r="VQK364" s="324"/>
      <c r="VQL364" s="366"/>
      <c r="VQM364" s="269"/>
      <c r="VQN364" s="644"/>
      <c r="VQO364" s="271"/>
      <c r="VQP364" s="272"/>
      <c r="VQQ364" s="273"/>
      <c r="VQR364" s="274"/>
      <c r="VQS364" s="643"/>
      <c r="VQT364" s="324"/>
      <c r="VQU364" s="366"/>
      <c r="VQV364" s="269"/>
      <c r="VQW364" s="644"/>
      <c r="VQX364" s="271"/>
      <c r="VQY364" s="272"/>
      <c r="VQZ364" s="273"/>
      <c r="VRA364" s="274"/>
      <c r="VRB364" s="643"/>
      <c r="VRC364" s="324"/>
      <c r="VRD364" s="366"/>
      <c r="VRE364" s="269"/>
      <c r="VRF364" s="644"/>
      <c r="VRG364" s="271"/>
      <c r="VRH364" s="272"/>
      <c r="VRI364" s="273"/>
      <c r="VRJ364" s="274"/>
      <c r="VRK364" s="643"/>
      <c r="VRL364" s="324"/>
      <c r="VRM364" s="366"/>
      <c r="VRN364" s="269"/>
      <c r="VRO364" s="644"/>
      <c r="VRP364" s="271"/>
      <c r="VRQ364" s="272"/>
      <c r="VRR364" s="273"/>
      <c r="VRS364" s="274"/>
      <c r="VRT364" s="643"/>
      <c r="VRU364" s="324"/>
      <c r="VRV364" s="366"/>
      <c r="VRW364" s="269"/>
      <c r="VRX364" s="644"/>
      <c r="VRY364" s="271"/>
      <c r="VRZ364" s="272"/>
      <c r="VSA364" s="273"/>
      <c r="VSB364" s="274"/>
      <c r="VSC364" s="643"/>
      <c r="VSD364" s="324"/>
      <c r="VSE364" s="366"/>
      <c r="VSF364" s="269"/>
      <c r="VSG364" s="644"/>
      <c r="VSH364" s="271"/>
      <c r="VSI364" s="272"/>
      <c r="VSJ364" s="273"/>
      <c r="VSK364" s="274"/>
      <c r="VSL364" s="643"/>
      <c r="VSM364" s="324"/>
      <c r="VSN364" s="366"/>
      <c r="VSO364" s="269"/>
      <c r="VSP364" s="644"/>
      <c r="VSQ364" s="271"/>
      <c r="VSR364" s="272"/>
      <c r="VSS364" s="273"/>
      <c r="VST364" s="274"/>
      <c r="VSU364" s="643"/>
      <c r="VSV364" s="324"/>
      <c r="VSW364" s="366"/>
      <c r="VSX364" s="269"/>
      <c r="VSY364" s="644"/>
      <c r="VSZ364" s="271"/>
      <c r="VTA364" s="272"/>
      <c r="VTB364" s="273"/>
      <c r="VTC364" s="274"/>
      <c r="VTD364" s="643"/>
      <c r="VTE364" s="324"/>
      <c r="VTF364" s="366"/>
      <c r="VTG364" s="269"/>
      <c r="VTH364" s="644"/>
      <c r="VTI364" s="271"/>
      <c r="VTJ364" s="272"/>
      <c r="VTK364" s="273"/>
      <c r="VTL364" s="274"/>
      <c r="VTM364" s="643"/>
      <c r="VTN364" s="324"/>
      <c r="VTO364" s="366"/>
      <c r="VTP364" s="269"/>
      <c r="VTQ364" s="644"/>
      <c r="VTR364" s="271"/>
      <c r="VTS364" s="272"/>
      <c r="VTT364" s="273"/>
      <c r="VTU364" s="274"/>
      <c r="VTV364" s="643"/>
      <c r="VTW364" s="324"/>
      <c r="VTX364" s="366"/>
      <c r="VTY364" s="269"/>
      <c r="VTZ364" s="644"/>
      <c r="VUA364" s="271"/>
      <c r="VUB364" s="272"/>
      <c r="VUC364" s="273"/>
      <c r="VUD364" s="274"/>
      <c r="VUE364" s="643"/>
      <c r="VUF364" s="324"/>
      <c r="VUG364" s="366"/>
      <c r="VUH364" s="269"/>
      <c r="VUI364" s="644"/>
      <c r="VUJ364" s="271"/>
      <c r="VUK364" s="272"/>
      <c r="VUL364" s="273"/>
      <c r="VUM364" s="274"/>
      <c r="VUN364" s="643"/>
      <c r="VUO364" s="324"/>
      <c r="VUP364" s="366"/>
      <c r="VUQ364" s="269"/>
      <c r="VUR364" s="644"/>
      <c r="VUS364" s="271"/>
      <c r="VUT364" s="272"/>
      <c r="VUU364" s="273"/>
      <c r="VUV364" s="274"/>
      <c r="VUW364" s="643"/>
      <c r="VUX364" s="324"/>
      <c r="VUY364" s="366"/>
      <c r="VUZ364" s="269"/>
      <c r="VVA364" s="644"/>
      <c r="VVB364" s="271"/>
      <c r="VVC364" s="272"/>
      <c r="VVD364" s="273"/>
      <c r="VVE364" s="274"/>
      <c r="VVF364" s="643"/>
      <c r="VVG364" s="324"/>
      <c r="VVH364" s="366"/>
      <c r="VVI364" s="269"/>
      <c r="VVJ364" s="644"/>
      <c r="VVK364" s="271"/>
      <c r="VVL364" s="272"/>
      <c r="VVM364" s="273"/>
      <c r="VVN364" s="274"/>
      <c r="VVO364" s="643"/>
      <c r="VVP364" s="324"/>
      <c r="VVQ364" s="366"/>
      <c r="VVR364" s="269"/>
      <c r="VVS364" s="644"/>
      <c r="VVT364" s="271"/>
      <c r="VVU364" s="272"/>
      <c r="VVV364" s="273"/>
      <c r="VVW364" s="274"/>
      <c r="VVX364" s="643"/>
      <c r="VVY364" s="324"/>
      <c r="VVZ364" s="366"/>
      <c r="VWA364" s="269"/>
      <c r="VWB364" s="644"/>
      <c r="VWC364" s="271"/>
      <c r="VWD364" s="272"/>
      <c r="VWE364" s="273"/>
      <c r="VWF364" s="274"/>
      <c r="VWG364" s="643"/>
      <c r="VWH364" s="324"/>
      <c r="VWI364" s="366"/>
      <c r="VWJ364" s="269"/>
      <c r="VWK364" s="644"/>
      <c r="VWL364" s="271"/>
      <c r="VWM364" s="272"/>
      <c r="VWN364" s="273"/>
      <c r="VWO364" s="274"/>
      <c r="VWP364" s="643"/>
      <c r="VWQ364" s="324"/>
      <c r="VWR364" s="366"/>
      <c r="VWS364" s="269"/>
      <c r="VWT364" s="644"/>
      <c r="VWU364" s="271"/>
      <c r="VWV364" s="272"/>
      <c r="VWW364" s="273"/>
      <c r="VWX364" s="274"/>
      <c r="VWY364" s="643"/>
      <c r="VWZ364" s="324"/>
      <c r="VXA364" s="366"/>
      <c r="VXB364" s="269"/>
      <c r="VXC364" s="644"/>
      <c r="VXD364" s="271"/>
      <c r="VXE364" s="272"/>
      <c r="VXF364" s="273"/>
      <c r="VXG364" s="274"/>
      <c r="VXH364" s="643"/>
      <c r="VXI364" s="324"/>
      <c r="VXJ364" s="366"/>
      <c r="VXK364" s="269"/>
      <c r="VXL364" s="644"/>
      <c r="VXM364" s="271"/>
      <c r="VXN364" s="272"/>
      <c r="VXO364" s="273"/>
      <c r="VXP364" s="274"/>
      <c r="VXQ364" s="643"/>
      <c r="VXR364" s="324"/>
      <c r="VXS364" s="366"/>
      <c r="VXT364" s="269"/>
      <c r="VXU364" s="644"/>
      <c r="VXV364" s="271"/>
      <c r="VXW364" s="272"/>
      <c r="VXX364" s="273"/>
      <c r="VXY364" s="274"/>
      <c r="VXZ364" s="643"/>
      <c r="VYA364" s="324"/>
      <c r="VYB364" s="366"/>
      <c r="VYC364" s="269"/>
      <c r="VYD364" s="644"/>
      <c r="VYE364" s="271"/>
      <c r="VYF364" s="272"/>
      <c r="VYG364" s="273"/>
      <c r="VYH364" s="274"/>
      <c r="VYI364" s="643"/>
      <c r="VYJ364" s="324"/>
      <c r="VYK364" s="366"/>
      <c r="VYL364" s="269"/>
      <c r="VYM364" s="644"/>
      <c r="VYN364" s="271"/>
      <c r="VYO364" s="272"/>
      <c r="VYP364" s="273"/>
      <c r="VYQ364" s="274"/>
      <c r="VYR364" s="643"/>
      <c r="VYS364" s="324"/>
      <c r="VYT364" s="366"/>
      <c r="VYU364" s="269"/>
      <c r="VYV364" s="644"/>
      <c r="VYW364" s="271"/>
      <c r="VYX364" s="272"/>
      <c r="VYY364" s="273"/>
      <c r="VYZ364" s="274"/>
      <c r="VZA364" s="643"/>
      <c r="VZB364" s="324"/>
      <c r="VZC364" s="366"/>
      <c r="VZD364" s="269"/>
      <c r="VZE364" s="644"/>
      <c r="VZF364" s="271"/>
      <c r="VZG364" s="272"/>
      <c r="VZH364" s="273"/>
      <c r="VZI364" s="274"/>
      <c r="VZJ364" s="643"/>
      <c r="VZK364" s="324"/>
      <c r="VZL364" s="366"/>
      <c r="VZM364" s="269"/>
      <c r="VZN364" s="644"/>
      <c r="VZO364" s="271"/>
      <c r="VZP364" s="272"/>
      <c r="VZQ364" s="273"/>
      <c r="VZR364" s="274"/>
      <c r="VZS364" s="643"/>
      <c r="VZT364" s="324"/>
      <c r="VZU364" s="366"/>
      <c r="VZV364" s="269"/>
      <c r="VZW364" s="644"/>
      <c r="VZX364" s="271"/>
      <c r="VZY364" s="272"/>
      <c r="VZZ364" s="273"/>
      <c r="WAA364" s="274"/>
      <c r="WAB364" s="643"/>
      <c r="WAC364" s="324"/>
      <c r="WAD364" s="366"/>
      <c r="WAE364" s="269"/>
      <c r="WAF364" s="644"/>
      <c r="WAG364" s="271"/>
      <c r="WAH364" s="272"/>
      <c r="WAI364" s="273"/>
      <c r="WAJ364" s="274"/>
      <c r="WAK364" s="643"/>
      <c r="WAL364" s="324"/>
      <c r="WAM364" s="366"/>
      <c r="WAN364" s="269"/>
      <c r="WAO364" s="644"/>
      <c r="WAP364" s="271"/>
      <c r="WAQ364" s="272"/>
      <c r="WAR364" s="273"/>
      <c r="WAS364" s="274"/>
      <c r="WAT364" s="643"/>
      <c r="WAU364" s="324"/>
      <c r="WAV364" s="366"/>
      <c r="WAW364" s="269"/>
      <c r="WAX364" s="644"/>
      <c r="WAY364" s="271"/>
      <c r="WAZ364" s="272"/>
      <c r="WBA364" s="273"/>
      <c r="WBB364" s="274"/>
      <c r="WBC364" s="643"/>
      <c r="WBD364" s="324"/>
      <c r="WBE364" s="366"/>
      <c r="WBF364" s="269"/>
      <c r="WBG364" s="644"/>
      <c r="WBH364" s="271"/>
      <c r="WBI364" s="272"/>
      <c r="WBJ364" s="273"/>
      <c r="WBK364" s="274"/>
      <c r="WBL364" s="643"/>
      <c r="WBM364" s="324"/>
      <c r="WBN364" s="366"/>
      <c r="WBO364" s="269"/>
      <c r="WBP364" s="644"/>
      <c r="WBQ364" s="271"/>
      <c r="WBR364" s="272"/>
      <c r="WBS364" s="273"/>
      <c r="WBT364" s="274"/>
      <c r="WBU364" s="643"/>
      <c r="WBV364" s="324"/>
      <c r="WBW364" s="366"/>
      <c r="WBX364" s="269"/>
      <c r="WBY364" s="644"/>
      <c r="WBZ364" s="271"/>
      <c r="WCA364" s="272"/>
      <c r="WCB364" s="273"/>
      <c r="WCC364" s="274"/>
      <c r="WCD364" s="643"/>
      <c r="WCE364" s="324"/>
      <c r="WCF364" s="366"/>
      <c r="WCG364" s="269"/>
      <c r="WCH364" s="644"/>
      <c r="WCI364" s="271"/>
      <c r="WCJ364" s="272"/>
      <c r="WCK364" s="273"/>
      <c r="WCL364" s="274"/>
      <c r="WCM364" s="643"/>
      <c r="WCN364" s="324"/>
      <c r="WCO364" s="366"/>
      <c r="WCP364" s="269"/>
      <c r="WCQ364" s="644"/>
      <c r="WCR364" s="271"/>
      <c r="WCS364" s="272"/>
      <c r="WCT364" s="273"/>
      <c r="WCU364" s="274"/>
      <c r="WCV364" s="643"/>
      <c r="WCW364" s="324"/>
      <c r="WCX364" s="366"/>
      <c r="WCY364" s="269"/>
      <c r="WCZ364" s="644"/>
      <c r="WDA364" s="271"/>
      <c r="WDB364" s="272"/>
      <c r="WDC364" s="273"/>
      <c r="WDD364" s="274"/>
      <c r="WDE364" s="643"/>
      <c r="WDF364" s="324"/>
      <c r="WDG364" s="366"/>
      <c r="WDH364" s="269"/>
      <c r="WDI364" s="644"/>
      <c r="WDJ364" s="271"/>
      <c r="WDK364" s="272"/>
      <c r="WDL364" s="273"/>
      <c r="WDM364" s="274"/>
      <c r="WDN364" s="643"/>
      <c r="WDO364" s="324"/>
      <c r="WDP364" s="366"/>
      <c r="WDQ364" s="269"/>
      <c r="WDR364" s="644"/>
      <c r="WDS364" s="271"/>
      <c r="WDT364" s="272"/>
      <c r="WDU364" s="273"/>
      <c r="WDV364" s="274"/>
      <c r="WDW364" s="643"/>
      <c r="WDX364" s="324"/>
      <c r="WDY364" s="366"/>
      <c r="WDZ364" s="269"/>
      <c r="WEA364" s="644"/>
      <c r="WEB364" s="271"/>
      <c r="WEC364" s="272"/>
      <c r="WED364" s="273"/>
      <c r="WEE364" s="274"/>
      <c r="WEF364" s="643"/>
      <c r="WEG364" s="324"/>
      <c r="WEH364" s="366"/>
      <c r="WEI364" s="269"/>
      <c r="WEJ364" s="644"/>
      <c r="WEK364" s="271"/>
      <c r="WEL364" s="272"/>
      <c r="WEM364" s="273"/>
      <c r="WEN364" s="274"/>
      <c r="WEO364" s="643"/>
      <c r="WEP364" s="324"/>
      <c r="WEQ364" s="366"/>
      <c r="WER364" s="269"/>
      <c r="WES364" s="644"/>
      <c r="WET364" s="271"/>
      <c r="WEU364" s="272"/>
      <c r="WEV364" s="273"/>
      <c r="WEW364" s="274"/>
      <c r="WEX364" s="643"/>
      <c r="WEY364" s="324"/>
      <c r="WEZ364" s="366"/>
      <c r="WFA364" s="269"/>
      <c r="WFB364" s="644"/>
      <c r="WFC364" s="271"/>
      <c r="WFD364" s="272"/>
      <c r="WFE364" s="273"/>
      <c r="WFF364" s="274"/>
      <c r="WFG364" s="643"/>
      <c r="WFH364" s="324"/>
      <c r="WFI364" s="366"/>
      <c r="WFJ364" s="269"/>
      <c r="WFK364" s="644"/>
      <c r="WFL364" s="271"/>
      <c r="WFM364" s="272"/>
      <c r="WFN364" s="273"/>
      <c r="WFO364" s="274"/>
      <c r="WFP364" s="643"/>
      <c r="WFQ364" s="324"/>
      <c r="WFR364" s="366"/>
      <c r="WFS364" s="269"/>
      <c r="WFT364" s="644"/>
      <c r="WFU364" s="271"/>
      <c r="WFV364" s="272"/>
      <c r="WFW364" s="273"/>
      <c r="WFX364" s="274"/>
      <c r="WFY364" s="643"/>
      <c r="WFZ364" s="324"/>
      <c r="WGA364" s="366"/>
      <c r="WGB364" s="269"/>
      <c r="WGC364" s="644"/>
      <c r="WGD364" s="271"/>
      <c r="WGE364" s="272"/>
      <c r="WGF364" s="273"/>
      <c r="WGG364" s="274"/>
      <c r="WGH364" s="643"/>
      <c r="WGI364" s="324"/>
      <c r="WGJ364" s="366"/>
      <c r="WGK364" s="269"/>
      <c r="WGL364" s="644"/>
      <c r="WGM364" s="271"/>
      <c r="WGN364" s="272"/>
      <c r="WGO364" s="273"/>
      <c r="WGP364" s="274"/>
      <c r="WGQ364" s="643"/>
      <c r="WGR364" s="324"/>
      <c r="WGS364" s="366"/>
      <c r="WGT364" s="269"/>
      <c r="WGU364" s="644"/>
      <c r="WGV364" s="271"/>
      <c r="WGW364" s="272"/>
      <c r="WGX364" s="273"/>
      <c r="WGY364" s="274"/>
      <c r="WGZ364" s="643"/>
      <c r="WHA364" s="324"/>
      <c r="WHB364" s="366"/>
      <c r="WHC364" s="269"/>
      <c r="WHD364" s="644"/>
      <c r="WHE364" s="271"/>
      <c r="WHF364" s="272"/>
      <c r="WHG364" s="273"/>
      <c r="WHH364" s="274"/>
      <c r="WHI364" s="643"/>
      <c r="WHJ364" s="324"/>
      <c r="WHK364" s="366"/>
      <c r="WHL364" s="269"/>
      <c r="WHM364" s="644"/>
      <c r="WHN364" s="271"/>
      <c r="WHO364" s="272"/>
      <c r="WHP364" s="273"/>
      <c r="WHQ364" s="274"/>
      <c r="WHR364" s="643"/>
      <c r="WHS364" s="324"/>
      <c r="WHT364" s="366"/>
      <c r="WHU364" s="269"/>
      <c r="WHV364" s="644"/>
      <c r="WHW364" s="271"/>
      <c r="WHX364" s="272"/>
      <c r="WHY364" s="273"/>
      <c r="WHZ364" s="274"/>
      <c r="WIA364" s="643"/>
      <c r="WIB364" s="324"/>
      <c r="WIC364" s="366"/>
      <c r="WID364" s="269"/>
      <c r="WIE364" s="644"/>
      <c r="WIF364" s="271"/>
      <c r="WIG364" s="272"/>
      <c r="WIH364" s="273"/>
      <c r="WII364" s="274"/>
      <c r="WIJ364" s="643"/>
      <c r="WIK364" s="324"/>
      <c r="WIL364" s="366"/>
      <c r="WIM364" s="269"/>
      <c r="WIN364" s="644"/>
      <c r="WIO364" s="271"/>
      <c r="WIP364" s="272"/>
      <c r="WIQ364" s="273"/>
      <c r="WIR364" s="274"/>
      <c r="WIS364" s="643"/>
      <c r="WIT364" s="324"/>
      <c r="WIU364" s="366"/>
      <c r="WIV364" s="269"/>
      <c r="WIW364" s="644"/>
      <c r="WIX364" s="271"/>
      <c r="WIY364" s="272"/>
      <c r="WIZ364" s="273"/>
      <c r="WJA364" s="274"/>
      <c r="WJB364" s="643"/>
      <c r="WJC364" s="324"/>
      <c r="WJD364" s="366"/>
      <c r="WJE364" s="269"/>
      <c r="WJF364" s="644"/>
      <c r="WJG364" s="271"/>
      <c r="WJH364" s="272"/>
      <c r="WJI364" s="273"/>
      <c r="WJJ364" s="274"/>
      <c r="WJK364" s="643"/>
      <c r="WJL364" s="324"/>
      <c r="WJM364" s="366"/>
      <c r="WJN364" s="269"/>
      <c r="WJO364" s="644"/>
      <c r="WJP364" s="271"/>
      <c r="WJQ364" s="272"/>
      <c r="WJR364" s="273"/>
      <c r="WJS364" s="274"/>
      <c r="WJT364" s="643"/>
      <c r="WJU364" s="324"/>
      <c r="WJV364" s="366"/>
      <c r="WJW364" s="269"/>
      <c r="WJX364" s="644"/>
      <c r="WJY364" s="271"/>
      <c r="WJZ364" s="272"/>
      <c r="WKA364" s="273"/>
      <c r="WKB364" s="274"/>
      <c r="WKC364" s="643"/>
      <c r="WKD364" s="324"/>
      <c r="WKE364" s="366"/>
      <c r="WKF364" s="269"/>
      <c r="WKG364" s="644"/>
      <c r="WKH364" s="271"/>
      <c r="WKI364" s="272"/>
      <c r="WKJ364" s="273"/>
      <c r="WKK364" s="274"/>
      <c r="WKL364" s="643"/>
      <c r="WKM364" s="324"/>
      <c r="WKN364" s="366"/>
      <c r="WKO364" s="269"/>
      <c r="WKP364" s="644"/>
      <c r="WKQ364" s="271"/>
      <c r="WKR364" s="272"/>
      <c r="WKS364" s="273"/>
      <c r="WKT364" s="274"/>
      <c r="WKU364" s="643"/>
      <c r="WKV364" s="324"/>
      <c r="WKW364" s="366"/>
      <c r="WKX364" s="269"/>
      <c r="WKY364" s="644"/>
      <c r="WKZ364" s="271"/>
      <c r="WLA364" s="272"/>
      <c r="WLB364" s="273"/>
      <c r="WLC364" s="274"/>
      <c r="WLD364" s="643"/>
      <c r="WLE364" s="324"/>
      <c r="WLF364" s="366"/>
      <c r="WLG364" s="269"/>
      <c r="WLH364" s="644"/>
      <c r="WLI364" s="271"/>
      <c r="WLJ364" s="272"/>
      <c r="WLK364" s="273"/>
      <c r="WLL364" s="274"/>
      <c r="WLM364" s="643"/>
      <c r="WLN364" s="324"/>
      <c r="WLO364" s="366"/>
      <c r="WLP364" s="269"/>
      <c r="WLQ364" s="644"/>
      <c r="WLR364" s="271"/>
      <c r="WLS364" s="272"/>
      <c r="WLT364" s="273"/>
      <c r="WLU364" s="274"/>
      <c r="WLV364" s="643"/>
      <c r="WLW364" s="324"/>
      <c r="WLX364" s="366"/>
      <c r="WLY364" s="269"/>
      <c r="WLZ364" s="644"/>
      <c r="WMA364" s="271"/>
      <c r="WMB364" s="272"/>
      <c r="WMC364" s="273"/>
      <c r="WMD364" s="274"/>
      <c r="WME364" s="643"/>
      <c r="WMF364" s="324"/>
      <c r="WMG364" s="366"/>
      <c r="WMH364" s="269"/>
      <c r="WMI364" s="644"/>
      <c r="WMJ364" s="271"/>
      <c r="WMK364" s="272"/>
      <c r="WML364" s="273"/>
      <c r="WMM364" s="274"/>
      <c r="WMN364" s="643"/>
      <c r="WMO364" s="324"/>
      <c r="WMP364" s="366"/>
      <c r="WMQ364" s="269"/>
      <c r="WMR364" s="644"/>
      <c r="WMS364" s="271"/>
      <c r="WMT364" s="272"/>
      <c r="WMU364" s="273"/>
      <c r="WMV364" s="274"/>
      <c r="WMW364" s="643"/>
      <c r="WMX364" s="324"/>
      <c r="WMY364" s="366"/>
      <c r="WMZ364" s="269"/>
      <c r="WNA364" s="644"/>
      <c r="WNB364" s="271"/>
      <c r="WNC364" s="272"/>
      <c r="WND364" s="273"/>
      <c r="WNE364" s="274"/>
      <c r="WNF364" s="643"/>
      <c r="WNG364" s="324"/>
      <c r="WNH364" s="366"/>
      <c r="WNI364" s="269"/>
      <c r="WNJ364" s="644"/>
      <c r="WNK364" s="271"/>
      <c r="WNL364" s="272"/>
      <c r="WNM364" s="273"/>
      <c r="WNN364" s="274"/>
      <c r="WNO364" s="643"/>
      <c r="WNP364" s="324"/>
      <c r="WNQ364" s="366"/>
      <c r="WNR364" s="269"/>
      <c r="WNS364" s="644"/>
      <c r="WNT364" s="271"/>
      <c r="WNU364" s="272"/>
      <c r="WNV364" s="273"/>
      <c r="WNW364" s="274"/>
      <c r="WNX364" s="643"/>
      <c r="WNY364" s="324"/>
      <c r="WNZ364" s="366"/>
      <c r="WOA364" s="269"/>
      <c r="WOB364" s="644"/>
      <c r="WOC364" s="271"/>
      <c r="WOD364" s="272"/>
      <c r="WOE364" s="273"/>
      <c r="WOF364" s="274"/>
      <c r="WOG364" s="643"/>
      <c r="WOH364" s="324"/>
      <c r="WOI364" s="366"/>
      <c r="WOJ364" s="269"/>
      <c r="WOK364" s="644"/>
      <c r="WOL364" s="271"/>
      <c r="WOM364" s="272"/>
      <c r="WON364" s="273"/>
      <c r="WOO364" s="274"/>
      <c r="WOP364" s="643"/>
      <c r="WOQ364" s="324"/>
      <c r="WOR364" s="366"/>
      <c r="WOS364" s="269"/>
      <c r="WOT364" s="644"/>
      <c r="WOU364" s="271"/>
      <c r="WOV364" s="272"/>
      <c r="WOW364" s="273"/>
      <c r="WOX364" s="274"/>
      <c r="WOY364" s="643"/>
      <c r="WOZ364" s="324"/>
      <c r="WPA364" s="366"/>
      <c r="WPB364" s="269"/>
      <c r="WPC364" s="644"/>
      <c r="WPD364" s="271"/>
      <c r="WPE364" s="272"/>
      <c r="WPF364" s="273"/>
      <c r="WPG364" s="274"/>
      <c r="WPH364" s="643"/>
      <c r="WPI364" s="324"/>
      <c r="WPJ364" s="366"/>
      <c r="WPK364" s="269"/>
      <c r="WPL364" s="644"/>
      <c r="WPM364" s="271"/>
      <c r="WPN364" s="272"/>
      <c r="WPO364" s="273"/>
      <c r="WPP364" s="274"/>
      <c r="WPQ364" s="643"/>
      <c r="WPR364" s="324"/>
      <c r="WPS364" s="366"/>
      <c r="WPT364" s="269"/>
      <c r="WPU364" s="644"/>
      <c r="WPV364" s="271"/>
      <c r="WPW364" s="272"/>
      <c r="WPX364" s="273"/>
      <c r="WPY364" s="274"/>
      <c r="WPZ364" s="643"/>
      <c r="WQA364" s="324"/>
      <c r="WQB364" s="366"/>
      <c r="WQC364" s="269"/>
      <c r="WQD364" s="644"/>
      <c r="WQE364" s="271"/>
      <c r="WQF364" s="272"/>
      <c r="WQG364" s="273"/>
      <c r="WQH364" s="274"/>
      <c r="WQI364" s="643"/>
      <c r="WQJ364" s="324"/>
      <c r="WQK364" s="366"/>
      <c r="WQL364" s="269"/>
      <c r="WQM364" s="644"/>
      <c r="WQN364" s="271"/>
      <c r="WQO364" s="272"/>
      <c r="WQP364" s="273"/>
      <c r="WQQ364" s="274"/>
      <c r="WQR364" s="643"/>
      <c r="WQS364" s="324"/>
      <c r="WQT364" s="366"/>
      <c r="WQU364" s="269"/>
      <c r="WQV364" s="644"/>
      <c r="WQW364" s="271"/>
      <c r="WQX364" s="272"/>
      <c r="WQY364" s="273"/>
      <c r="WQZ364" s="274"/>
      <c r="WRA364" s="643"/>
      <c r="WRB364" s="324"/>
      <c r="WRC364" s="366"/>
      <c r="WRD364" s="269"/>
      <c r="WRE364" s="644"/>
      <c r="WRF364" s="271"/>
      <c r="WRG364" s="272"/>
      <c r="WRH364" s="273"/>
      <c r="WRI364" s="274"/>
      <c r="WRJ364" s="643"/>
      <c r="WRK364" s="324"/>
      <c r="WRL364" s="366"/>
      <c r="WRM364" s="269"/>
      <c r="WRN364" s="644"/>
      <c r="WRO364" s="271"/>
      <c r="WRP364" s="272"/>
      <c r="WRQ364" s="273"/>
      <c r="WRR364" s="274"/>
      <c r="WRS364" s="643"/>
      <c r="WRT364" s="324"/>
      <c r="WRU364" s="366"/>
      <c r="WRV364" s="269"/>
      <c r="WRW364" s="644"/>
      <c r="WRX364" s="271"/>
      <c r="WRY364" s="272"/>
      <c r="WRZ364" s="273"/>
      <c r="WSA364" s="274"/>
      <c r="WSB364" s="643"/>
      <c r="WSC364" s="324"/>
      <c r="WSD364" s="366"/>
      <c r="WSE364" s="269"/>
      <c r="WSF364" s="644"/>
      <c r="WSG364" s="271"/>
      <c r="WSH364" s="272"/>
      <c r="WSI364" s="273"/>
      <c r="WSJ364" s="274"/>
      <c r="WSK364" s="643"/>
      <c r="WSL364" s="324"/>
      <c r="WSM364" s="366"/>
      <c r="WSN364" s="269"/>
      <c r="WSO364" s="644"/>
      <c r="WSP364" s="271"/>
      <c r="WSQ364" s="272"/>
      <c r="WSR364" s="273"/>
      <c r="WSS364" s="274"/>
      <c r="WST364" s="643"/>
      <c r="WSU364" s="324"/>
      <c r="WSV364" s="366"/>
      <c r="WSW364" s="269"/>
      <c r="WSX364" s="644"/>
      <c r="WSY364" s="271"/>
      <c r="WSZ364" s="272"/>
      <c r="WTA364" s="273"/>
      <c r="WTB364" s="274"/>
      <c r="WTC364" s="643"/>
      <c r="WTD364" s="324"/>
      <c r="WTE364" s="366"/>
      <c r="WTF364" s="269"/>
      <c r="WTG364" s="644"/>
      <c r="WTH364" s="271"/>
      <c r="WTI364" s="272"/>
      <c r="WTJ364" s="273"/>
      <c r="WTK364" s="274"/>
      <c r="WTL364" s="643"/>
      <c r="WTM364" s="324"/>
      <c r="WTN364" s="366"/>
      <c r="WTO364" s="269"/>
      <c r="WTP364" s="644"/>
      <c r="WTQ364" s="271"/>
      <c r="WTR364" s="272"/>
      <c r="WTS364" s="273"/>
      <c r="WTT364" s="274"/>
      <c r="WTU364" s="643"/>
      <c r="WTV364" s="324"/>
      <c r="WTW364" s="366"/>
      <c r="WTX364" s="269"/>
      <c r="WTY364" s="644"/>
      <c r="WTZ364" s="271"/>
      <c r="WUA364" s="272"/>
      <c r="WUB364" s="273"/>
      <c r="WUC364" s="274"/>
      <c r="WUD364" s="643"/>
      <c r="WUE364" s="324"/>
      <c r="WUF364" s="366"/>
      <c r="WUG364" s="269"/>
      <c r="WUH364" s="644"/>
      <c r="WUI364" s="271"/>
      <c r="WUJ364" s="272"/>
      <c r="WUK364" s="273"/>
      <c r="WUL364" s="274"/>
      <c r="WUM364" s="643"/>
      <c r="WUN364" s="324"/>
      <c r="WUO364" s="366"/>
      <c r="WUP364" s="269"/>
      <c r="WUQ364" s="644"/>
      <c r="WUR364" s="271"/>
      <c r="WUS364" s="272"/>
      <c r="WUT364" s="273"/>
      <c r="WUU364" s="274"/>
      <c r="WUV364" s="643"/>
      <c r="WUW364" s="324"/>
      <c r="WUX364" s="366"/>
      <c r="WUY364" s="269"/>
      <c r="WUZ364" s="644"/>
      <c r="WVA364" s="271"/>
      <c r="WVB364" s="272"/>
      <c r="WVC364" s="273"/>
      <c r="WVD364" s="274"/>
      <c r="WVE364" s="643"/>
      <c r="WVF364" s="324"/>
      <c r="WVG364" s="366"/>
      <c r="WVH364" s="269"/>
      <c r="WVI364" s="644"/>
      <c r="WVJ364" s="271"/>
      <c r="WVK364" s="272"/>
      <c r="WVL364" s="273"/>
      <c r="WVM364" s="274"/>
      <c r="WVN364" s="643"/>
      <c r="WVO364" s="324"/>
      <c r="WVP364" s="366"/>
      <c r="WVQ364" s="269"/>
      <c r="WVR364" s="644"/>
      <c r="WVS364" s="271"/>
      <c r="WVT364" s="272"/>
      <c r="WVU364" s="273"/>
      <c r="WVV364" s="274"/>
      <c r="WVW364" s="643"/>
      <c r="WVX364" s="324"/>
      <c r="WVY364" s="366"/>
      <c r="WVZ364" s="269"/>
      <c r="WWA364" s="644"/>
      <c r="WWB364" s="271"/>
      <c r="WWC364" s="272"/>
      <c r="WWD364" s="273"/>
      <c r="WWE364" s="274"/>
      <c r="WWF364" s="643"/>
      <c r="WWG364" s="324"/>
      <c r="WWH364" s="366"/>
      <c r="WWI364" s="269"/>
      <c r="WWJ364" s="644"/>
      <c r="WWK364" s="271"/>
      <c r="WWL364" s="272"/>
      <c r="WWM364" s="273"/>
      <c r="WWN364" s="274"/>
      <c r="WWO364" s="643"/>
      <c r="WWP364" s="324"/>
      <c r="WWQ364" s="366"/>
      <c r="WWR364" s="269"/>
      <c r="WWS364" s="644"/>
      <c r="WWT364" s="271"/>
      <c r="WWU364" s="272"/>
      <c r="WWV364" s="273"/>
      <c r="WWW364" s="274"/>
      <c r="WWX364" s="643"/>
      <c r="WWY364" s="324"/>
      <c r="WWZ364" s="366"/>
      <c r="WXA364" s="269"/>
      <c r="WXB364" s="644"/>
      <c r="WXC364" s="271"/>
      <c r="WXD364" s="272"/>
      <c r="WXE364" s="273"/>
      <c r="WXF364" s="274"/>
      <c r="WXG364" s="643"/>
      <c r="WXH364" s="324"/>
      <c r="WXI364" s="366"/>
      <c r="WXJ364" s="269"/>
      <c r="WXK364" s="644"/>
      <c r="WXL364" s="271"/>
      <c r="WXM364" s="272"/>
      <c r="WXN364" s="273"/>
      <c r="WXO364" s="274"/>
      <c r="WXP364" s="643"/>
      <c r="WXQ364" s="324"/>
      <c r="WXR364" s="366"/>
      <c r="WXS364" s="269"/>
      <c r="WXT364" s="644"/>
      <c r="WXU364" s="271"/>
      <c r="WXV364" s="272"/>
      <c r="WXW364" s="273"/>
      <c r="WXX364" s="274"/>
      <c r="WXY364" s="643"/>
      <c r="WXZ364" s="324"/>
      <c r="WYA364" s="366"/>
      <c r="WYB364" s="269"/>
      <c r="WYC364" s="644"/>
      <c r="WYD364" s="271"/>
      <c r="WYE364" s="272"/>
      <c r="WYF364" s="273"/>
      <c r="WYG364" s="274"/>
      <c r="WYH364" s="643"/>
      <c r="WYI364" s="324"/>
      <c r="WYJ364" s="366"/>
      <c r="WYK364" s="269"/>
      <c r="WYL364" s="644"/>
      <c r="WYM364" s="271"/>
      <c r="WYN364" s="272"/>
      <c r="WYO364" s="273"/>
      <c r="WYP364" s="274"/>
      <c r="WYQ364" s="643"/>
      <c r="WYR364" s="324"/>
      <c r="WYS364" s="366"/>
      <c r="WYT364" s="269"/>
      <c r="WYU364" s="644"/>
      <c r="WYV364" s="271"/>
      <c r="WYW364" s="272"/>
      <c r="WYX364" s="273"/>
      <c r="WYY364" s="274"/>
      <c r="WYZ364" s="643"/>
      <c r="WZA364" s="324"/>
      <c r="WZB364" s="366"/>
      <c r="WZC364" s="269"/>
      <c r="WZD364" s="644"/>
      <c r="WZE364" s="271"/>
      <c r="WZF364" s="272"/>
      <c r="WZG364" s="273"/>
      <c r="WZH364" s="274"/>
      <c r="WZI364" s="643"/>
      <c r="WZJ364" s="324"/>
      <c r="WZK364" s="366"/>
      <c r="WZL364" s="269"/>
      <c r="WZM364" s="644"/>
      <c r="WZN364" s="271"/>
      <c r="WZO364" s="272"/>
      <c r="WZP364" s="273"/>
      <c r="WZQ364" s="274"/>
      <c r="WZR364" s="643"/>
      <c r="WZS364" s="324"/>
      <c r="WZT364" s="366"/>
      <c r="WZU364" s="269"/>
      <c r="WZV364" s="644"/>
      <c r="WZW364" s="271"/>
      <c r="WZX364" s="272"/>
      <c r="WZY364" s="273"/>
      <c r="WZZ364" s="274"/>
      <c r="XAA364" s="643"/>
      <c r="XAB364" s="324"/>
      <c r="XAC364" s="366"/>
      <c r="XAD364" s="269"/>
      <c r="XAE364" s="644"/>
      <c r="XAF364" s="271"/>
      <c r="XAG364" s="272"/>
      <c r="XAH364" s="273"/>
      <c r="XAI364" s="274"/>
      <c r="XAJ364" s="643"/>
      <c r="XAK364" s="324"/>
      <c r="XAL364" s="366"/>
      <c r="XAM364" s="269"/>
      <c r="XAN364" s="644"/>
      <c r="XAO364" s="271"/>
      <c r="XAP364" s="272"/>
      <c r="XAQ364" s="273"/>
      <c r="XAR364" s="274"/>
      <c r="XAS364" s="643"/>
      <c r="XAT364" s="324"/>
      <c r="XAU364" s="366"/>
      <c r="XAV364" s="269"/>
      <c r="XAW364" s="644"/>
      <c r="XAX364" s="271"/>
      <c r="XAY364" s="272"/>
      <c r="XAZ364" s="273"/>
      <c r="XBA364" s="274"/>
      <c r="XBB364" s="643"/>
      <c r="XBC364" s="324"/>
      <c r="XBD364" s="366"/>
      <c r="XBE364" s="269"/>
      <c r="XBF364" s="644"/>
      <c r="XBG364" s="271"/>
      <c r="XBH364" s="272"/>
      <c r="XBI364" s="273"/>
      <c r="XBJ364" s="274"/>
      <c r="XBK364" s="643"/>
      <c r="XBL364" s="324"/>
      <c r="XBM364" s="366"/>
      <c r="XBN364" s="269"/>
      <c r="XBO364" s="644"/>
      <c r="XBP364" s="271"/>
      <c r="XBQ364" s="272"/>
      <c r="XBR364" s="273"/>
      <c r="XBS364" s="274"/>
      <c r="XBT364" s="643"/>
      <c r="XBU364" s="324"/>
      <c r="XBV364" s="366"/>
      <c r="XBW364" s="269"/>
      <c r="XBX364" s="644"/>
      <c r="XBY364" s="271"/>
      <c r="XBZ364" s="272"/>
      <c r="XCA364" s="273"/>
      <c r="XCB364" s="274"/>
      <c r="XCC364" s="643"/>
      <c r="XCD364" s="324"/>
      <c r="XCE364" s="366"/>
      <c r="XCF364" s="269"/>
      <c r="XCG364" s="644"/>
      <c r="XCH364" s="271"/>
      <c r="XCI364" s="272"/>
      <c r="XCJ364" s="273"/>
      <c r="XCK364" s="274"/>
      <c r="XCL364" s="643"/>
      <c r="XCM364" s="324"/>
      <c r="XCN364" s="366"/>
      <c r="XCO364" s="269"/>
      <c r="XCP364" s="644"/>
      <c r="XCQ364" s="271"/>
      <c r="XCR364" s="272"/>
      <c r="XCS364" s="273"/>
      <c r="XCT364" s="274"/>
      <c r="XCU364" s="643"/>
      <c r="XCV364" s="324"/>
      <c r="XCW364" s="366"/>
      <c r="XCX364" s="269"/>
      <c r="XCY364" s="644"/>
      <c r="XCZ364" s="271"/>
      <c r="XDA364" s="272"/>
      <c r="XDB364" s="273"/>
      <c r="XDC364" s="274"/>
      <c r="XDD364" s="643"/>
      <c r="XDE364" s="324"/>
      <c r="XDF364" s="366"/>
      <c r="XDG364" s="269"/>
      <c r="XDH364" s="644"/>
      <c r="XDI364" s="271"/>
      <c r="XDJ364" s="272"/>
      <c r="XDK364" s="273"/>
      <c r="XDL364" s="274"/>
      <c r="XDM364" s="643"/>
      <c r="XDN364" s="324"/>
      <c r="XDO364" s="366"/>
      <c r="XDP364" s="269"/>
      <c r="XDQ364" s="644"/>
      <c r="XDR364" s="271"/>
      <c r="XDS364" s="272"/>
      <c r="XDT364" s="273"/>
      <c r="XDU364" s="274"/>
      <c r="XDV364" s="643"/>
      <c r="XDW364" s="324"/>
      <c r="XDX364" s="366"/>
      <c r="XDY364" s="269"/>
      <c r="XDZ364" s="644"/>
      <c r="XEA364" s="271"/>
      <c r="XEB364" s="272"/>
      <c r="XEC364" s="273"/>
      <c r="XED364" s="274"/>
      <c r="XEE364" s="643"/>
      <c r="XEF364" s="324"/>
      <c r="XEG364" s="366"/>
      <c r="XEH364" s="269"/>
      <c r="XEI364" s="644"/>
      <c r="XEJ364" s="271"/>
      <c r="XEK364" s="272"/>
      <c r="XEL364" s="273"/>
      <c r="XEM364" s="274"/>
      <c r="XEN364" s="643"/>
      <c r="XEO364" s="324"/>
      <c r="XEP364" s="366"/>
      <c r="XEQ364" s="269"/>
      <c r="XER364" s="644"/>
      <c r="XES364" s="271"/>
      <c r="XET364" s="272"/>
      <c r="XEU364" s="273"/>
      <c r="XEV364" s="274"/>
      <c r="XEW364" s="643"/>
      <c r="XEX364" s="324"/>
      <c r="XEY364" s="366"/>
      <c r="XEZ364" s="269"/>
      <c r="XFA364" s="644"/>
      <c r="XFB364" s="271"/>
      <c r="XFC364" s="272"/>
    </row>
    <row r="365" spans="1:16383" hidden="1" outlineLevel="2" x14ac:dyDescent="0.35">
      <c r="A365" s="197" t="s">
        <v>49</v>
      </c>
      <c r="B365" s="289">
        <v>267.423</v>
      </c>
      <c r="C365" s="290">
        <v>179</v>
      </c>
      <c r="D365" s="291">
        <f t="shared" si="26"/>
        <v>47868.716999999997</v>
      </c>
      <c r="E365" s="292">
        <f>(C365-C353)/C365</f>
        <v>-6.2011173184358306E-3</v>
      </c>
      <c r="F365" s="645">
        <f>D365/D372</f>
        <v>0.18603021238826767</v>
      </c>
      <c r="G365" s="520">
        <v>48</v>
      </c>
      <c r="H365" s="521">
        <v>0.56000000000000005</v>
      </c>
      <c r="I365" s="542">
        <f>D365-D353</f>
        <v>-220.6530000000057</v>
      </c>
      <c r="J365" s="632"/>
      <c r="K365" s="595"/>
      <c r="L365" s="633"/>
      <c r="M365" s="634"/>
      <c r="N365" s="646"/>
      <c r="O365" s="622"/>
      <c r="P365" s="636"/>
      <c r="Q365" s="637"/>
      <c r="R365" s="638"/>
      <c r="S365" s="632"/>
      <c r="T365" s="595"/>
      <c r="U365" s="633"/>
      <c r="V365" s="634"/>
      <c r="W365" s="646"/>
      <c r="X365" s="622"/>
      <c r="Y365" s="636"/>
      <c r="Z365" s="637"/>
      <c r="AA365" s="632"/>
      <c r="AB365" s="595"/>
      <c r="AC365" s="633"/>
      <c r="AD365" s="634"/>
      <c r="AE365" s="646"/>
      <c r="AF365" s="622"/>
      <c r="AG365" s="636"/>
      <c r="AH365" s="637"/>
      <c r="AI365" s="638"/>
      <c r="AJ365" s="632"/>
      <c r="AK365" s="595"/>
      <c r="AL365" s="633"/>
      <c r="AM365" s="634"/>
      <c r="AN365" s="646"/>
      <c r="AO365" s="622"/>
      <c r="AP365" s="636"/>
      <c r="AQ365" s="637"/>
      <c r="AR365" s="638"/>
      <c r="AS365" s="632"/>
      <c r="AT365" s="595"/>
      <c r="AU365" s="633"/>
      <c r="AV365" s="634"/>
      <c r="AW365" s="646"/>
      <c r="AX365" s="622"/>
      <c r="AY365" s="636"/>
      <c r="AZ365" s="637"/>
      <c r="BA365" s="638"/>
      <c r="BB365" s="632"/>
      <c r="BC365" s="595"/>
      <c r="BD365" s="633"/>
      <c r="BE365" s="634"/>
      <c r="BF365" s="646"/>
      <c r="BG365" s="622"/>
      <c r="BH365" s="636"/>
      <c r="BI365" s="637"/>
      <c r="BJ365" s="638"/>
      <c r="BK365" s="632"/>
      <c r="BL365" s="595"/>
      <c r="BM365" s="633"/>
      <c r="BN365" s="634"/>
      <c r="BO365" s="646"/>
      <c r="BP365" s="622"/>
      <c r="BQ365" s="636"/>
      <c r="BR365" s="637"/>
      <c r="BS365" s="638"/>
      <c r="BT365" s="632"/>
      <c r="BU365" s="595"/>
      <c r="BV365" s="633"/>
      <c r="BW365" s="634"/>
      <c r="BX365" s="646"/>
      <c r="BY365" s="622"/>
      <c r="BZ365" s="636"/>
      <c r="CA365" s="637"/>
      <c r="CB365" s="638"/>
      <c r="CC365" s="632"/>
      <c r="CD365" s="595"/>
      <c r="CE365" s="633"/>
      <c r="CF365" s="634"/>
      <c r="CG365" s="646"/>
      <c r="CH365" s="622"/>
      <c r="CI365" s="636"/>
      <c r="CJ365" s="637"/>
      <c r="CK365" s="638"/>
      <c r="CL365" s="632"/>
      <c r="CM365" s="595"/>
      <c r="CN365" s="633"/>
      <c r="CO365" s="634"/>
      <c r="CP365" s="646"/>
      <c r="CQ365" s="622"/>
      <c r="CR365" s="636"/>
      <c r="CS365" s="637"/>
      <c r="CT365" s="638"/>
      <c r="CU365" s="632"/>
      <c r="CV365" s="595"/>
      <c r="CW365" s="633"/>
      <c r="CX365" s="634"/>
      <c r="CY365" s="646"/>
      <c r="CZ365" s="622"/>
      <c r="DA365" s="636"/>
      <c r="DB365" s="637"/>
      <c r="DC365" s="638"/>
      <c r="DD365" s="632"/>
      <c r="DE365" s="595"/>
      <c r="DF365" s="633"/>
      <c r="DG365" s="634"/>
      <c r="DH365" s="646"/>
      <c r="DI365" s="622"/>
      <c r="DJ365" s="636"/>
      <c r="DK365" s="637"/>
      <c r="DL365" s="638"/>
      <c r="DM365" s="632"/>
      <c r="DN365" s="595"/>
      <c r="DO365" s="633"/>
      <c r="DP365" s="634"/>
      <c r="DQ365" s="646"/>
      <c r="DR365" s="622"/>
      <c r="DS365" s="636"/>
      <c r="DT365" s="637"/>
      <c r="DU365" s="638"/>
      <c r="DV365" s="632"/>
      <c r="DW365" s="595"/>
      <c r="DX365" s="633"/>
      <c r="DY365" s="634"/>
      <c r="DZ365" s="646"/>
      <c r="EA365" s="622"/>
      <c r="EB365" s="636"/>
      <c r="EC365" s="637"/>
      <c r="ED365" s="638"/>
      <c r="EE365" s="632"/>
      <c r="EF365" s="595"/>
      <c r="EG365" s="633"/>
      <c r="EH365" s="634"/>
      <c r="EI365" s="646"/>
      <c r="EJ365" s="622"/>
      <c r="EK365" s="636"/>
      <c r="EL365" s="637"/>
      <c r="EM365" s="638"/>
      <c r="EN365" s="632"/>
      <c r="EO365" s="595"/>
      <c r="EP365" s="633"/>
      <c r="EQ365" s="634"/>
      <c r="ER365" s="646"/>
      <c r="ES365" s="622"/>
      <c r="ET365" s="636"/>
      <c r="EU365" s="637"/>
      <c r="EV365" s="638"/>
      <c r="EW365" s="632"/>
      <c r="EX365" s="595"/>
      <c r="EY365" s="633"/>
      <c r="EZ365" s="634"/>
      <c r="FA365" s="646"/>
      <c r="FB365" s="622"/>
      <c r="FC365" s="636"/>
      <c r="FD365" s="637"/>
      <c r="FE365" s="638"/>
      <c r="FF365" s="632"/>
      <c r="FG365" s="595"/>
      <c r="FH365" s="633"/>
      <c r="FI365" s="634"/>
      <c r="FJ365" s="646"/>
      <c r="FK365" s="622"/>
      <c r="FL365" s="636"/>
      <c r="FM365" s="637"/>
      <c r="FN365" s="638"/>
      <c r="FO365" s="632"/>
      <c r="FP365" s="595"/>
      <c r="FQ365" s="633"/>
      <c r="FR365" s="634"/>
      <c r="FS365" s="647"/>
      <c r="FT365" s="626"/>
      <c r="FU365" s="640"/>
      <c r="FV365" s="641"/>
      <c r="FW365" s="277"/>
      <c r="FX365" s="261"/>
      <c r="FY365" s="118"/>
      <c r="FZ365" s="219"/>
      <c r="GA365" s="247"/>
      <c r="GB365" s="647"/>
      <c r="GC365" s="626"/>
      <c r="GD365" s="640"/>
      <c r="GE365" s="641"/>
      <c r="GF365" s="277"/>
      <c r="GG365" s="261"/>
      <c r="GH365" s="118"/>
      <c r="GI365" s="219"/>
      <c r="GJ365" s="247"/>
      <c r="GK365" s="647"/>
      <c r="GL365" s="626"/>
      <c r="GM365" s="640"/>
      <c r="GN365" s="641"/>
      <c r="GO365" s="277"/>
      <c r="GP365" s="261"/>
      <c r="GQ365" s="118"/>
      <c r="GR365" s="219"/>
      <c r="GS365" s="247"/>
      <c r="GT365" s="647"/>
      <c r="GU365" s="626"/>
      <c r="GV365" s="640"/>
      <c r="GW365" s="641"/>
      <c r="GX365" s="277"/>
      <c r="GY365" s="261"/>
      <c r="GZ365" s="118"/>
      <c r="HA365" s="219"/>
      <c r="HB365" s="247"/>
      <c r="HC365" s="647"/>
      <c r="HD365" s="626"/>
      <c r="HE365" s="640"/>
      <c r="HF365" s="641"/>
      <c r="HG365" s="277"/>
      <c r="HH365" s="261"/>
      <c r="HI365" s="118"/>
      <c r="HJ365" s="219"/>
      <c r="HK365" s="247"/>
      <c r="HL365" s="647"/>
      <c r="HM365" s="626"/>
      <c r="HN365" s="640"/>
      <c r="HO365" s="641"/>
      <c r="HP365" s="277"/>
      <c r="HQ365" s="261"/>
      <c r="HR365" s="118"/>
      <c r="HS365" s="219"/>
      <c r="HT365" s="247"/>
      <c r="HU365" s="647"/>
      <c r="HV365" s="626"/>
      <c r="HW365" s="640"/>
      <c r="HX365" s="641"/>
      <c r="HY365" s="277"/>
      <c r="HZ365" s="261"/>
      <c r="IA365" s="118"/>
      <c r="IB365" s="219"/>
      <c r="IC365" s="247"/>
      <c r="ID365" s="647"/>
      <c r="IE365" s="626"/>
      <c r="IF365" s="640"/>
      <c r="IG365" s="641"/>
      <c r="IH365" s="277"/>
      <c r="II365" s="261"/>
      <c r="IJ365" s="118"/>
      <c r="IK365" s="219"/>
      <c r="IL365" s="247"/>
      <c r="IM365" s="647"/>
      <c r="IN365" s="626"/>
      <c r="IO365" s="640"/>
      <c r="IP365" s="641"/>
      <c r="IQ365" s="277"/>
      <c r="IR365" s="261"/>
      <c r="IS365" s="118"/>
      <c r="IT365" s="219"/>
      <c r="IU365" s="247"/>
      <c r="IV365" s="647"/>
      <c r="IW365" s="626"/>
      <c r="IX365" s="640"/>
      <c r="IY365" s="641"/>
      <c r="IZ365" s="277"/>
      <c r="JA365" s="261"/>
      <c r="JB365" s="118"/>
      <c r="JC365" s="219"/>
      <c r="JD365" s="247"/>
      <c r="JE365" s="647"/>
      <c r="JF365" s="626"/>
      <c r="JG365" s="640"/>
      <c r="JH365" s="641"/>
      <c r="JI365" s="277"/>
      <c r="JJ365" s="261"/>
      <c r="JK365" s="118"/>
      <c r="JL365" s="219"/>
      <c r="JM365" s="247"/>
      <c r="JN365" s="647"/>
      <c r="JO365" s="626"/>
      <c r="JP365" s="640"/>
      <c r="JQ365" s="641"/>
      <c r="JR365" s="277"/>
      <c r="JS365" s="261"/>
      <c r="JT365" s="118"/>
      <c r="JU365" s="219"/>
      <c r="JV365" s="247"/>
      <c r="JW365" s="647"/>
      <c r="JX365" s="626"/>
      <c r="JY365" s="640"/>
      <c r="JZ365" s="641"/>
      <c r="KA365" s="277"/>
      <c r="KB365" s="261"/>
      <c r="KC365" s="118"/>
      <c r="KD365" s="219"/>
      <c r="KE365" s="247"/>
      <c r="KF365" s="647"/>
      <c r="KG365" s="626"/>
      <c r="KH365" s="640"/>
      <c r="KI365" s="641"/>
      <c r="KJ365" s="277"/>
      <c r="KK365" s="261"/>
      <c r="KL365" s="118"/>
      <c r="KM365" s="219"/>
      <c r="KN365" s="247"/>
      <c r="KO365" s="647"/>
      <c r="KP365" s="626"/>
      <c r="KQ365" s="640"/>
      <c r="KR365" s="641"/>
      <c r="KS365" s="277"/>
      <c r="KT365" s="261"/>
      <c r="KU365" s="118"/>
      <c r="KV365" s="219"/>
      <c r="KW365" s="247"/>
      <c r="KX365" s="647"/>
      <c r="KY365" s="626"/>
      <c r="KZ365" s="640"/>
      <c r="LA365" s="641"/>
      <c r="LB365" s="277"/>
      <c r="LC365" s="261"/>
      <c r="LD365" s="118"/>
      <c r="LE365" s="219"/>
      <c r="LF365" s="247"/>
      <c r="LG365" s="647"/>
      <c r="LH365" s="626"/>
      <c r="LI365" s="640"/>
      <c r="LJ365" s="641"/>
      <c r="LK365" s="277"/>
      <c r="LL365" s="261"/>
      <c r="LM365" s="118"/>
      <c r="LN365" s="219"/>
      <c r="LO365" s="247"/>
      <c r="LP365" s="647"/>
      <c r="LQ365" s="626"/>
      <c r="LR365" s="640"/>
      <c r="LS365" s="641"/>
      <c r="LT365" s="277"/>
      <c r="LU365" s="261"/>
      <c r="LV365" s="118"/>
      <c r="LW365" s="219"/>
      <c r="LX365" s="247"/>
      <c r="LY365" s="647"/>
      <c r="LZ365" s="626"/>
      <c r="MA365" s="640"/>
      <c r="MB365" s="641"/>
      <c r="MC365" s="277"/>
      <c r="MD365" s="261"/>
      <c r="ME365" s="118"/>
      <c r="MF365" s="219"/>
      <c r="MG365" s="247"/>
      <c r="MH365" s="647"/>
      <c r="MI365" s="626"/>
      <c r="MJ365" s="640"/>
      <c r="MK365" s="641"/>
      <c r="ML365" s="277"/>
      <c r="MM365" s="261"/>
      <c r="MN365" s="118"/>
      <c r="MO365" s="219"/>
      <c r="MP365" s="247"/>
      <c r="MQ365" s="647"/>
      <c r="MR365" s="626"/>
      <c r="MS365" s="640"/>
      <c r="MT365" s="641"/>
      <c r="MU365" s="277"/>
      <c r="MV365" s="261"/>
      <c r="MW365" s="118"/>
      <c r="MX365" s="219"/>
      <c r="MY365" s="247"/>
      <c r="MZ365" s="647"/>
      <c r="NA365" s="626"/>
      <c r="NB365" s="640"/>
      <c r="NC365" s="641"/>
      <c r="ND365" s="277"/>
      <c r="NE365" s="261"/>
      <c r="NF365" s="118"/>
      <c r="NG365" s="219"/>
      <c r="NH365" s="247"/>
      <c r="NI365" s="647"/>
      <c r="NJ365" s="626"/>
      <c r="NK365" s="640"/>
      <c r="NL365" s="641"/>
      <c r="NM365" s="277"/>
      <c r="NN365" s="261"/>
      <c r="NO365" s="118"/>
      <c r="NP365" s="219"/>
      <c r="NQ365" s="247"/>
      <c r="NR365" s="647"/>
      <c r="NS365" s="626"/>
      <c r="NT365" s="640"/>
      <c r="NU365" s="641"/>
      <c r="NV365" s="277"/>
      <c r="NW365" s="261"/>
      <c r="NX365" s="118"/>
      <c r="NY365" s="219"/>
      <c r="NZ365" s="247"/>
      <c r="OA365" s="647"/>
      <c r="OB365" s="626"/>
      <c r="OC365" s="640"/>
      <c r="OD365" s="641"/>
      <c r="OE365" s="277"/>
      <c r="OF365" s="261"/>
      <c r="OG365" s="118"/>
      <c r="OH365" s="219"/>
      <c r="OI365" s="247"/>
      <c r="OJ365" s="647"/>
      <c r="OK365" s="626"/>
      <c r="OL365" s="640"/>
      <c r="OM365" s="641"/>
      <c r="ON365" s="277"/>
      <c r="OO365" s="261"/>
      <c r="OP365" s="118"/>
      <c r="OQ365" s="219"/>
      <c r="OR365" s="247"/>
      <c r="OS365" s="647"/>
      <c r="OT365" s="626"/>
      <c r="OU365" s="640"/>
      <c r="OV365" s="641"/>
      <c r="OW365" s="277"/>
      <c r="OX365" s="261"/>
      <c r="OY365" s="118"/>
      <c r="OZ365" s="219"/>
      <c r="PA365" s="247"/>
      <c r="PB365" s="647"/>
      <c r="PC365" s="626"/>
      <c r="PD365" s="640"/>
      <c r="PE365" s="641"/>
      <c r="PF365" s="277"/>
      <c r="PG365" s="261"/>
      <c r="PH365" s="118"/>
      <c r="PI365" s="219"/>
      <c r="PJ365" s="247"/>
      <c r="PK365" s="647"/>
      <c r="PL365" s="626"/>
      <c r="PM365" s="640"/>
      <c r="PN365" s="641"/>
      <c r="PO365" s="277"/>
      <c r="PP365" s="261"/>
      <c r="PQ365" s="118"/>
      <c r="PR365" s="219"/>
      <c r="PS365" s="247"/>
      <c r="PT365" s="647"/>
      <c r="PU365" s="626"/>
      <c r="PV365" s="640"/>
      <c r="PW365" s="641"/>
      <c r="PX365" s="277"/>
      <c r="PY365" s="261"/>
      <c r="PZ365" s="118"/>
      <c r="QA365" s="219"/>
      <c r="QB365" s="247"/>
      <c r="QC365" s="647"/>
      <c r="QD365" s="626"/>
      <c r="QE365" s="640"/>
      <c r="QF365" s="641"/>
      <c r="QG365" s="277"/>
      <c r="QH365" s="261"/>
      <c r="QI365" s="118"/>
      <c r="QJ365" s="219"/>
      <c r="QK365" s="247"/>
      <c r="QL365" s="647"/>
      <c r="QM365" s="626"/>
      <c r="QN365" s="640"/>
      <c r="QO365" s="641"/>
      <c r="QP365" s="277"/>
      <c r="QQ365" s="261"/>
      <c r="QR365" s="118"/>
      <c r="QS365" s="219"/>
      <c r="QT365" s="247"/>
      <c r="QU365" s="647"/>
      <c r="QV365" s="626"/>
      <c r="QW365" s="640"/>
      <c r="QX365" s="641"/>
      <c r="QY365" s="277"/>
      <c r="QZ365" s="261"/>
      <c r="RA365" s="118"/>
      <c r="RB365" s="219"/>
      <c r="RC365" s="247"/>
      <c r="RD365" s="647"/>
      <c r="RE365" s="626"/>
      <c r="RF365" s="640"/>
      <c r="RG365" s="641"/>
      <c r="RH365" s="277"/>
      <c r="RI365" s="261"/>
      <c r="RJ365" s="118"/>
      <c r="RK365" s="219"/>
      <c r="RL365" s="247"/>
      <c r="RM365" s="647"/>
      <c r="RN365" s="626"/>
      <c r="RO365" s="640"/>
      <c r="RP365" s="641"/>
      <c r="RQ365" s="277"/>
      <c r="RR365" s="261"/>
      <c r="RS365" s="118"/>
      <c r="RT365" s="219"/>
      <c r="RU365" s="247"/>
      <c r="RV365" s="647"/>
      <c r="RW365" s="626"/>
      <c r="RX365" s="640"/>
      <c r="RY365" s="641"/>
      <c r="RZ365" s="277"/>
      <c r="SA365" s="261"/>
      <c r="SB365" s="118"/>
      <c r="SC365" s="219"/>
      <c r="SD365" s="247"/>
      <c r="SE365" s="647"/>
      <c r="SF365" s="626"/>
      <c r="SG365" s="640"/>
      <c r="SH365" s="641"/>
      <c r="SI365" s="277"/>
      <c r="SJ365" s="261"/>
      <c r="SK365" s="118"/>
      <c r="SL365" s="219"/>
      <c r="SM365" s="247"/>
      <c r="SN365" s="647"/>
      <c r="SO365" s="626"/>
      <c r="SP365" s="640"/>
      <c r="SQ365" s="641"/>
      <c r="SR365" s="277"/>
      <c r="SS365" s="261"/>
      <c r="ST365" s="118"/>
      <c r="SU365" s="219"/>
      <c r="SV365" s="247"/>
      <c r="SW365" s="647"/>
      <c r="SX365" s="626"/>
      <c r="SY365" s="640"/>
      <c r="SZ365" s="641"/>
      <c r="TA365" s="277"/>
      <c r="TB365" s="261"/>
      <c r="TC365" s="118"/>
      <c r="TD365" s="219"/>
      <c r="TE365" s="247"/>
      <c r="TF365" s="647"/>
      <c r="TG365" s="626"/>
      <c r="TH365" s="640"/>
      <c r="TI365" s="641"/>
      <c r="TJ365" s="277"/>
      <c r="TK365" s="261"/>
      <c r="TL365" s="118"/>
      <c r="TM365" s="219"/>
      <c r="TN365" s="247"/>
      <c r="TO365" s="647"/>
      <c r="TP365" s="626"/>
      <c r="TQ365" s="640"/>
      <c r="TR365" s="641"/>
      <c r="TS365" s="277"/>
      <c r="TT365" s="261"/>
      <c r="TU365" s="118"/>
      <c r="TV365" s="219"/>
      <c r="TW365" s="247"/>
      <c r="TX365" s="647"/>
      <c r="TY365" s="626"/>
      <c r="TZ365" s="640"/>
      <c r="UA365" s="641"/>
      <c r="UB365" s="277"/>
      <c r="UC365" s="261"/>
      <c r="UD365" s="118"/>
      <c r="UE365" s="219"/>
      <c r="UF365" s="247"/>
      <c r="UG365" s="647"/>
      <c r="UH365" s="626"/>
      <c r="UI365" s="640"/>
      <c r="UJ365" s="641"/>
      <c r="UK365" s="277"/>
      <c r="UL365" s="261"/>
      <c r="UM365" s="118"/>
      <c r="UN365" s="219"/>
      <c r="UO365" s="247"/>
      <c r="UP365" s="647"/>
      <c r="UQ365" s="626"/>
      <c r="UR365" s="640"/>
      <c r="US365" s="641"/>
      <c r="UT365" s="277"/>
      <c r="UU365" s="261"/>
      <c r="UV365" s="118"/>
      <c r="UW365" s="219"/>
      <c r="UX365" s="247"/>
      <c r="UY365" s="647"/>
      <c r="UZ365" s="626"/>
      <c r="VA365" s="640"/>
      <c r="VB365" s="641"/>
      <c r="VC365" s="277"/>
      <c r="VD365" s="261"/>
      <c r="VE365" s="118"/>
      <c r="VF365" s="219"/>
      <c r="VG365" s="247"/>
      <c r="VH365" s="647"/>
      <c r="VI365" s="626"/>
      <c r="VJ365" s="640"/>
      <c r="VK365" s="641"/>
      <c r="VL365" s="277"/>
      <c r="VM365" s="261"/>
      <c r="VN365" s="118"/>
      <c r="VO365" s="219"/>
      <c r="VP365" s="247"/>
      <c r="VQ365" s="647"/>
      <c r="VR365" s="626"/>
      <c r="VS365" s="640"/>
      <c r="VT365" s="641"/>
      <c r="VU365" s="277"/>
      <c r="VV365" s="261"/>
      <c r="VW365" s="118"/>
      <c r="VX365" s="219"/>
      <c r="VY365" s="247"/>
      <c r="VZ365" s="647"/>
      <c r="WA365" s="626"/>
      <c r="WB365" s="640"/>
      <c r="WC365" s="641"/>
      <c r="WD365" s="277"/>
      <c r="WE365" s="261"/>
      <c r="WF365" s="118"/>
      <c r="WG365" s="219"/>
      <c r="WH365" s="247"/>
      <c r="WI365" s="647"/>
      <c r="WJ365" s="626"/>
      <c r="WK365" s="640"/>
      <c r="WL365" s="641"/>
      <c r="WM365" s="277"/>
      <c r="WN365" s="261"/>
      <c r="WO365" s="118"/>
      <c r="WP365" s="219"/>
      <c r="WQ365" s="247"/>
      <c r="WR365" s="647"/>
      <c r="WS365" s="626"/>
      <c r="WT365" s="640"/>
      <c r="WU365" s="641"/>
      <c r="WV365" s="277"/>
      <c r="WW365" s="261"/>
      <c r="WX365" s="118"/>
      <c r="WY365" s="219"/>
      <c r="WZ365" s="247"/>
      <c r="XA365" s="647"/>
      <c r="XB365" s="626"/>
      <c r="XC365" s="640"/>
      <c r="XD365" s="641"/>
      <c r="XE365" s="277"/>
      <c r="XF365" s="261"/>
      <c r="XG365" s="118"/>
      <c r="XH365" s="219"/>
      <c r="XI365" s="247"/>
      <c r="XJ365" s="647"/>
      <c r="XK365" s="626"/>
      <c r="XL365" s="640"/>
      <c r="XM365" s="641"/>
      <c r="XN365" s="277"/>
      <c r="XO365" s="261"/>
      <c r="XP365" s="118"/>
      <c r="XQ365" s="219"/>
      <c r="XR365" s="247"/>
      <c r="XS365" s="647"/>
      <c r="XT365" s="626"/>
      <c r="XU365" s="640"/>
      <c r="XV365" s="641"/>
      <c r="XW365" s="277"/>
      <c r="XX365" s="261"/>
      <c r="XY365" s="118"/>
      <c r="XZ365" s="219"/>
      <c r="YA365" s="247"/>
      <c r="YB365" s="647"/>
      <c r="YC365" s="626"/>
      <c r="YD365" s="640"/>
      <c r="YE365" s="641"/>
      <c r="YF365" s="277"/>
      <c r="YG365" s="261"/>
      <c r="YH365" s="118"/>
      <c r="YI365" s="219"/>
      <c r="YJ365" s="247"/>
      <c r="YK365" s="647"/>
      <c r="YL365" s="626"/>
      <c r="YM365" s="640"/>
      <c r="YN365" s="641"/>
      <c r="YO365" s="277"/>
      <c r="YP365" s="261"/>
      <c r="YQ365" s="118"/>
      <c r="YR365" s="219"/>
      <c r="YS365" s="247"/>
      <c r="YT365" s="647"/>
      <c r="YU365" s="626"/>
      <c r="YV365" s="640"/>
      <c r="YW365" s="641"/>
      <c r="YX365" s="277"/>
      <c r="YY365" s="261"/>
      <c r="YZ365" s="118"/>
      <c r="ZA365" s="219"/>
      <c r="ZB365" s="247"/>
      <c r="ZC365" s="647"/>
      <c r="ZD365" s="626"/>
      <c r="ZE365" s="640"/>
      <c r="ZF365" s="641"/>
      <c r="ZG365" s="277"/>
      <c r="ZH365" s="261"/>
      <c r="ZI365" s="118"/>
      <c r="ZJ365" s="219"/>
      <c r="ZK365" s="247"/>
      <c r="ZL365" s="647"/>
      <c r="ZM365" s="626"/>
      <c r="ZN365" s="640"/>
      <c r="ZO365" s="641"/>
      <c r="ZP365" s="277"/>
      <c r="ZQ365" s="261"/>
      <c r="ZR365" s="118"/>
      <c r="ZS365" s="219"/>
      <c r="ZT365" s="247"/>
      <c r="ZU365" s="647"/>
      <c r="ZV365" s="626"/>
      <c r="ZW365" s="640"/>
      <c r="ZX365" s="641"/>
      <c r="ZY365" s="277"/>
      <c r="ZZ365" s="261"/>
      <c r="AAA365" s="118"/>
      <c r="AAB365" s="219"/>
      <c r="AAC365" s="247"/>
      <c r="AAD365" s="647"/>
      <c r="AAE365" s="626"/>
      <c r="AAF365" s="640"/>
      <c r="AAG365" s="641"/>
      <c r="AAH365" s="277"/>
      <c r="AAI365" s="261"/>
      <c r="AAJ365" s="118"/>
      <c r="AAK365" s="219"/>
      <c r="AAL365" s="247"/>
      <c r="AAM365" s="647"/>
      <c r="AAN365" s="626"/>
      <c r="AAO365" s="640"/>
      <c r="AAP365" s="641"/>
      <c r="AAQ365" s="277"/>
      <c r="AAR365" s="261"/>
      <c r="AAS365" s="118"/>
      <c r="AAT365" s="219"/>
      <c r="AAU365" s="247"/>
      <c r="AAV365" s="647"/>
      <c r="AAW365" s="626"/>
      <c r="AAX365" s="640"/>
      <c r="AAY365" s="641"/>
      <c r="AAZ365" s="277"/>
      <c r="ABA365" s="261"/>
      <c r="ABB365" s="118"/>
      <c r="ABC365" s="219"/>
      <c r="ABD365" s="247"/>
      <c r="ABE365" s="647"/>
      <c r="ABF365" s="626"/>
      <c r="ABG365" s="640"/>
      <c r="ABH365" s="641"/>
      <c r="ABI365" s="277"/>
      <c r="ABJ365" s="261"/>
      <c r="ABK365" s="118"/>
      <c r="ABL365" s="219"/>
      <c r="ABM365" s="247"/>
      <c r="ABN365" s="647"/>
      <c r="ABO365" s="626"/>
      <c r="ABP365" s="640"/>
      <c r="ABQ365" s="641"/>
      <c r="ABR365" s="277"/>
      <c r="ABS365" s="261"/>
      <c r="ABT365" s="118"/>
      <c r="ABU365" s="219"/>
      <c r="ABV365" s="247"/>
      <c r="ABW365" s="647"/>
      <c r="ABX365" s="626"/>
      <c r="ABY365" s="640"/>
      <c r="ABZ365" s="641"/>
      <c r="ACA365" s="277"/>
      <c r="ACB365" s="261"/>
      <c r="ACC365" s="118"/>
      <c r="ACD365" s="219"/>
      <c r="ACE365" s="247"/>
      <c r="ACF365" s="647"/>
      <c r="ACG365" s="626"/>
      <c r="ACH365" s="640"/>
      <c r="ACI365" s="641"/>
      <c r="ACJ365" s="277"/>
      <c r="ACK365" s="261"/>
      <c r="ACL365" s="118"/>
      <c r="ACM365" s="219"/>
      <c r="ACN365" s="247"/>
      <c r="ACO365" s="647"/>
      <c r="ACP365" s="626"/>
      <c r="ACQ365" s="640"/>
      <c r="ACR365" s="641"/>
      <c r="ACS365" s="277"/>
      <c r="ACT365" s="261"/>
      <c r="ACU365" s="118"/>
      <c r="ACV365" s="219"/>
      <c r="ACW365" s="247"/>
      <c r="ACX365" s="647"/>
      <c r="ACY365" s="626"/>
      <c r="ACZ365" s="640"/>
      <c r="ADA365" s="641"/>
      <c r="ADB365" s="277"/>
      <c r="ADC365" s="261"/>
      <c r="ADD365" s="118"/>
      <c r="ADE365" s="219"/>
      <c r="ADF365" s="247"/>
      <c r="ADG365" s="647"/>
      <c r="ADH365" s="626"/>
      <c r="ADI365" s="640"/>
      <c r="ADJ365" s="641"/>
      <c r="ADK365" s="277"/>
      <c r="ADL365" s="261"/>
      <c r="ADM365" s="118"/>
      <c r="ADN365" s="219"/>
      <c r="ADO365" s="247"/>
      <c r="ADP365" s="647"/>
      <c r="ADQ365" s="626"/>
      <c r="ADR365" s="640"/>
      <c r="ADS365" s="641"/>
      <c r="ADT365" s="277"/>
      <c r="ADU365" s="261"/>
      <c r="ADV365" s="118"/>
      <c r="ADW365" s="219"/>
      <c r="ADX365" s="247"/>
      <c r="ADY365" s="647"/>
      <c r="ADZ365" s="626"/>
      <c r="AEA365" s="640"/>
      <c r="AEB365" s="641"/>
      <c r="AEC365" s="277"/>
      <c r="AED365" s="261"/>
      <c r="AEE365" s="118"/>
      <c r="AEF365" s="219"/>
      <c r="AEG365" s="247"/>
      <c r="AEH365" s="647"/>
      <c r="AEI365" s="626"/>
      <c r="AEJ365" s="640"/>
      <c r="AEK365" s="641"/>
      <c r="AEL365" s="277"/>
      <c r="AEM365" s="261"/>
      <c r="AEN365" s="118"/>
      <c r="AEO365" s="219"/>
      <c r="AEP365" s="247"/>
      <c r="AEQ365" s="647"/>
      <c r="AER365" s="626"/>
      <c r="AES365" s="640"/>
      <c r="AET365" s="641"/>
      <c r="AEU365" s="277"/>
      <c r="AEV365" s="261"/>
      <c r="AEW365" s="118"/>
      <c r="AEX365" s="219"/>
      <c r="AEY365" s="247"/>
      <c r="AEZ365" s="647"/>
      <c r="AFA365" s="626"/>
      <c r="AFB365" s="640"/>
      <c r="AFC365" s="641"/>
      <c r="AFD365" s="277"/>
      <c r="AFE365" s="261"/>
      <c r="AFF365" s="118"/>
      <c r="AFG365" s="219"/>
      <c r="AFH365" s="247"/>
      <c r="AFI365" s="647"/>
      <c r="AFJ365" s="626"/>
      <c r="AFK365" s="640"/>
      <c r="AFL365" s="641"/>
      <c r="AFM365" s="277"/>
      <c r="AFN365" s="261"/>
      <c r="AFO365" s="118"/>
      <c r="AFP365" s="219"/>
      <c r="AFQ365" s="247"/>
      <c r="AFR365" s="647"/>
      <c r="AFS365" s="626"/>
      <c r="AFT365" s="640"/>
      <c r="AFU365" s="641"/>
      <c r="AFV365" s="277"/>
      <c r="AFW365" s="261"/>
      <c r="AFX365" s="118"/>
      <c r="AFY365" s="219"/>
      <c r="AFZ365" s="247"/>
      <c r="AGA365" s="647"/>
      <c r="AGB365" s="626"/>
      <c r="AGC365" s="640"/>
      <c r="AGD365" s="641"/>
      <c r="AGE365" s="277"/>
      <c r="AGF365" s="261"/>
      <c r="AGG365" s="118"/>
      <c r="AGH365" s="219"/>
      <c r="AGI365" s="247"/>
      <c r="AGJ365" s="647"/>
      <c r="AGK365" s="626"/>
      <c r="AGL365" s="640"/>
      <c r="AGM365" s="641"/>
      <c r="AGN365" s="277"/>
      <c r="AGO365" s="261"/>
      <c r="AGP365" s="118"/>
      <c r="AGQ365" s="219"/>
      <c r="AGR365" s="247"/>
      <c r="AGS365" s="647"/>
      <c r="AGT365" s="626"/>
      <c r="AGU365" s="640"/>
      <c r="AGV365" s="641"/>
      <c r="AGW365" s="277"/>
      <c r="AGX365" s="261"/>
      <c r="AGY365" s="118"/>
      <c r="AGZ365" s="219"/>
      <c r="AHA365" s="247"/>
      <c r="AHB365" s="647"/>
      <c r="AHC365" s="626"/>
      <c r="AHD365" s="640"/>
      <c r="AHE365" s="641"/>
      <c r="AHF365" s="277"/>
      <c r="AHG365" s="261"/>
      <c r="AHH365" s="118"/>
      <c r="AHI365" s="219"/>
      <c r="AHJ365" s="247"/>
      <c r="AHK365" s="647"/>
      <c r="AHL365" s="626"/>
      <c r="AHM365" s="640"/>
      <c r="AHN365" s="641"/>
      <c r="AHO365" s="277"/>
      <c r="AHP365" s="261"/>
      <c r="AHQ365" s="118"/>
      <c r="AHR365" s="219"/>
      <c r="AHS365" s="247"/>
      <c r="AHT365" s="647"/>
      <c r="AHU365" s="626"/>
      <c r="AHV365" s="640"/>
      <c r="AHW365" s="641"/>
      <c r="AHX365" s="277"/>
      <c r="AHY365" s="261"/>
      <c r="AHZ365" s="118"/>
      <c r="AIA365" s="219"/>
      <c r="AIB365" s="247"/>
      <c r="AIC365" s="647"/>
      <c r="AID365" s="626"/>
      <c r="AIE365" s="640"/>
      <c r="AIF365" s="641"/>
      <c r="AIG365" s="277"/>
      <c r="AIH365" s="261"/>
      <c r="AII365" s="118"/>
      <c r="AIJ365" s="219"/>
      <c r="AIK365" s="247"/>
      <c r="AIL365" s="647"/>
      <c r="AIM365" s="626"/>
      <c r="AIN365" s="640"/>
      <c r="AIO365" s="641"/>
      <c r="AIP365" s="277"/>
      <c r="AIQ365" s="261"/>
      <c r="AIR365" s="118"/>
      <c r="AIS365" s="219"/>
      <c r="AIT365" s="247"/>
      <c r="AIU365" s="647"/>
      <c r="AIV365" s="626"/>
      <c r="AIW365" s="640"/>
      <c r="AIX365" s="641"/>
      <c r="AIY365" s="277"/>
      <c r="AIZ365" s="261"/>
      <c r="AJA365" s="118"/>
      <c r="AJB365" s="219"/>
      <c r="AJC365" s="247"/>
      <c r="AJD365" s="647"/>
      <c r="AJE365" s="626"/>
      <c r="AJF365" s="640"/>
      <c r="AJG365" s="641"/>
      <c r="AJH365" s="277"/>
      <c r="AJI365" s="261"/>
      <c r="AJJ365" s="118"/>
      <c r="AJK365" s="219"/>
      <c r="AJL365" s="247"/>
      <c r="AJM365" s="647"/>
      <c r="AJN365" s="626"/>
      <c r="AJO365" s="640"/>
      <c r="AJP365" s="641"/>
      <c r="AJQ365" s="277"/>
      <c r="AJR365" s="261"/>
      <c r="AJS365" s="118"/>
      <c r="AJT365" s="219"/>
      <c r="AJU365" s="247"/>
      <c r="AJV365" s="647"/>
      <c r="AJW365" s="626"/>
      <c r="AJX365" s="640"/>
      <c r="AJY365" s="641"/>
      <c r="AJZ365" s="277"/>
      <c r="AKA365" s="261"/>
      <c r="AKB365" s="118"/>
      <c r="AKC365" s="219"/>
      <c r="AKD365" s="247"/>
      <c r="AKE365" s="647"/>
      <c r="AKF365" s="626"/>
      <c r="AKG365" s="640"/>
      <c r="AKH365" s="641"/>
      <c r="AKI365" s="277"/>
      <c r="AKJ365" s="261"/>
      <c r="AKK365" s="118"/>
      <c r="AKL365" s="219"/>
      <c r="AKM365" s="247"/>
      <c r="AKN365" s="647"/>
      <c r="AKO365" s="626"/>
      <c r="AKP365" s="640"/>
      <c r="AKQ365" s="641"/>
      <c r="AKR365" s="277"/>
      <c r="AKS365" s="261"/>
      <c r="AKT365" s="118"/>
      <c r="AKU365" s="219"/>
      <c r="AKV365" s="247"/>
      <c r="AKW365" s="647"/>
      <c r="AKX365" s="626"/>
      <c r="AKY365" s="640"/>
      <c r="AKZ365" s="641"/>
      <c r="ALA365" s="277"/>
      <c r="ALB365" s="261"/>
      <c r="ALC365" s="118"/>
      <c r="ALD365" s="219"/>
      <c r="ALE365" s="247"/>
      <c r="ALF365" s="647"/>
      <c r="ALG365" s="626"/>
      <c r="ALH365" s="640"/>
      <c r="ALI365" s="641"/>
      <c r="ALJ365" s="277"/>
      <c r="ALK365" s="261"/>
      <c r="ALL365" s="118"/>
      <c r="ALM365" s="219"/>
      <c r="ALN365" s="247"/>
      <c r="ALO365" s="647"/>
      <c r="ALP365" s="626"/>
      <c r="ALQ365" s="640"/>
      <c r="ALR365" s="641"/>
      <c r="ALS365" s="277"/>
      <c r="ALT365" s="261"/>
      <c r="ALU365" s="118"/>
      <c r="ALV365" s="219"/>
      <c r="ALW365" s="247"/>
      <c r="ALX365" s="647"/>
      <c r="ALY365" s="626"/>
      <c r="ALZ365" s="640"/>
      <c r="AMA365" s="641"/>
      <c r="AMB365" s="277"/>
      <c r="AMC365" s="261"/>
      <c r="AMD365" s="118"/>
      <c r="AME365" s="219"/>
      <c r="AMF365" s="247"/>
      <c r="AMG365" s="647"/>
      <c r="AMH365" s="626"/>
      <c r="AMI365" s="640"/>
      <c r="AMJ365" s="641"/>
      <c r="AMK365" s="277"/>
      <c r="AML365" s="261"/>
      <c r="AMM365" s="118"/>
      <c r="AMN365" s="219"/>
      <c r="AMO365" s="247"/>
      <c r="AMP365" s="647"/>
      <c r="AMQ365" s="626"/>
      <c r="AMR365" s="640"/>
      <c r="AMS365" s="641"/>
      <c r="AMT365" s="277"/>
      <c r="AMU365" s="261"/>
      <c r="AMV365" s="118"/>
      <c r="AMW365" s="219"/>
      <c r="AMX365" s="247"/>
      <c r="AMY365" s="647"/>
      <c r="AMZ365" s="626"/>
      <c r="ANA365" s="640"/>
      <c r="ANB365" s="641"/>
      <c r="ANC365" s="277"/>
      <c r="AND365" s="261"/>
      <c r="ANE365" s="118"/>
      <c r="ANF365" s="219"/>
      <c r="ANG365" s="247"/>
      <c r="ANH365" s="647"/>
      <c r="ANI365" s="626"/>
      <c r="ANJ365" s="640"/>
      <c r="ANK365" s="641"/>
      <c r="ANL365" s="277"/>
      <c r="ANM365" s="261"/>
      <c r="ANN365" s="118"/>
      <c r="ANO365" s="219"/>
      <c r="ANP365" s="247"/>
      <c r="ANQ365" s="647"/>
      <c r="ANR365" s="626"/>
      <c r="ANS365" s="640"/>
      <c r="ANT365" s="641"/>
      <c r="ANU365" s="277"/>
      <c r="ANV365" s="261"/>
      <c r="ANW365" s="118"/>
      <c r="ANX365" s="219"/>
      <c r="ANY365" s="247"/>
      <c r="ANZ365" s="647"/>
      <c r="AOA365" s="626"/>
      <c r="AOB365" s="640"/>
      <c r="AOC365" s="641"/>
      <c r="AOD365" s="277"/>
      <c r="AOE365" s="261"/>
      <c r="AOF365" s="118"/>
      <c r="AOG365" s="219"/>
      <c r="AOH365" s="247"/>
      <c r="AOI365" s="647"/>
      <c r="AOJ365" s="626"/>
      <c r="AOK365" s="640"/>
      <c r="AOL365" s="641"/>
      <c r="AOM365" s="277"/>
      <c r="AON365" s="261"/>
      <c r="AOO365" s="118"/>
      <c r="AOP365" s="219"/>
      <c r="AOQ365" s="247"/>
      <c r="AOR365" s="647"/>
      <c r="AOS365" s="626"/>
      <c r="AOT365" s="640"/>
      <c r="AOU365" s="641"/>
      <c r="AOV365" s="277"/>
      <c r="AOW365" s="261"/>
      <c r="AOX365" s="118"/>
      <c r="AOY365" s="219"/>
      <c r="AOZ365" s="247"/>
      <c r="APA365" s="647"/>
      <c r="APB365" s="626"/>
      <c r="APC365" s="640"/>
      <c r="APD365" s="641"/>
      <c r="APE365" s="277"/>
      <c r="APF365" s="261"/>
      <c r="APG365" s="118"/>
      <c r="APH365" s="219"/>
      <c r="API365" s="247"/>
      <c r="APJ365" s="647"/>
      <c r="APK365" s="626"/>
      <c r="APL365" s="640"/>
      <c r="APM365" s="641"/>
      <c r="APN365" s="277"/>
      <c r="APO365" s="261"/>
      <c r="APP365" s="118"/>
      <c r="APQ365" s="219"/>
      <c r="APR365" s="247"/>
      <c r="APS365" s="647"/>
      <c r="APT365" s="626"/>
      <c r="APU365" s="640"/>
      <c r="APV365" s="641"/>
      <c r="APW365" s="277"/>
      <c r="APX365" s="261"/>
      <c r="APY365" s="118"/>
      <c r="APZ365" s="219"/>
      <c r="AQA365" s="247"/>
      <c r="AQB365" s="647"/>
      <c r="AQC365" s="626"/>
      <c r="AQD365" s="640"/>
      <c r="AQE365" s="641"/>
      <c r="AQF365" s="277"/>
      <c r="AQG365" s="261"/>
      <c r="AQH365" s="118"/>
      <c r="AQI365" s="219"/>
      <c r="AQJ365" s="247"/>
      <c r="AQK365" s="647"/>
      <c r="AQL365" s="626"/>
      <c r="AQM365" s="640"/>
      <c r="AQN365" s="641"/>
      <c r="AQO365" s="277"/>
      <c r="AQP365" s="261"/>
      <c r="AQQ365" s="118"/>
      <c r="AQR365" s="219"/>
      <c r="AQS365" s="247"/>
      <c r="AQT365" s="647"/>
      <c r="AQU365" s="626"/>
      <c r="AQV365" s="640"/>
      <c r="AQW365" s="641"/>
      <c r="AQX365" s="277"/>
      <c r="AQY365" s="261"/>
      <c r="AQZ365" s="118"/>
      <c r="ARA365" s="219"/>
      <c r="ARB365" s="247"/>
      <c r="ARC365" s="647"/>
      <c r="ARD365" s="626"/>
      <c r="ARE365" s="640"/>
      <c r="ARF365" s="641"/>
      <c r="ARG365" s="277"/>
      <c r="ARH365" s="261"/>
      <c r="ARI365" s="118"/>
      <c r="ARJ365" s="219"/>
      <c r="ARK365" s="247"/>
      <c r="ARL365" s="647"/>
      <c r="ARM365" s="626"/>
      <c r="ARN365" s="640"/>
      <c r="ARO365" s="641"/>
      <c r="ARP365" s="277"/>
      <c r="ARQ365" s="261"/>
      <c r="ARR365" s="118"/>
      <c r="ARS365" s="219"/>
      <c r="ART365" s="247"/>
      <c r="ARU365" s="647"/>
      <c r="ARV365" s="626"/>
      <c r="ARW365" s="640"/>
      <c r="ARX365" s="641"/>
      <c r="ARY365" s="277"/>
      <c r="ARZ365" s="261"/>
      <c r="ASA365" s="118"/>
      <c r="ASB365" s="219"/>
      <c r="ASC365" s="247"/>
      <c r="ASD365" s="647"/>
      <c r="ASE365" s="626"/>
      <c r="ASF365" s="640"/>
      <c r="ASG365" s="641"/>
      <c r="ASH365" s="277"/>
      <c r="ASI365" s="261"/>
      <c r="ASJ365" s="118"/>
      <c r="ASK365" s="219"/>
      <c r="ASL365" s="247"/>
      <c r="ASM365" s="647"/>
      <c r="ASN365" s="626"/>
      <c r="ASO365" s="640"/>
      <c r="ASP365" s="641"/>
      <c r="ASQ365" s="277"/>
      <c r="ASR365" s="261"/>
      <c r="ASS365" s="118"/>
      <c r="AST365" s="219"/>
      <c r="ASU365" s="247"/>
      <c r="ASV365" s="647"/>
      <c r="ASW365" s="626"/>
      <c r="ASX365" s="640"/>
      <c r="ASY365" s="641"/>
      <c r="ASZ365" s="277"/>
      <c r="ATA365" s="261"/>
      <c r="ATB365" s="118"/>
      <c r="ATC365" s="219"/>
      <c r="ATD365" s="247"/>
      <c r="ATE365" s="647"/>
      <c r="ATF365" s="626"/>
      <c r="ATG365" s="640"/>
      <c r="ATH365" s="641"/>
      <c r="ATI365" s="277"/>
      <c r="ATJ365" s="261"/>
      <c r="ATK365" s="118"/>
      <c r="ATL365" s="219"/>
      <c r="ATM365" s="247"/>
      <c r="ATN365" s="647"/>
      <c r="ATO365" s="626"/>
      <c r="ATP365" s="640"/>
      <c r="ATQ365" s="641"/>
      <c r="ATR365" s="277"/>
      <c r="ATS365" s="261"/>
      <c r="ATT365" s="118"/>
      <c r="ATU365" s="219"/>
      <c r="ATV365" s="247"/>
      <c r="ATW365" s="647"/>
      <c r="ATX365" s="626"/>
      <c r="ATY365" s="640"/>
      <c r="ATZ365" s="641"/>
      <c r="AUA365" s="277"/>
      <c r="AUB365" s="261"/>
      <c r="AUC365" s="118"/>
      <c r="AUD365" s="219"/>
      <c r="AUE365" s="247"/>
      <c r="AUF365" s="647"/>
      <c r="AUG365" s="626"/>
      <c r="AUH365" s="640"/>
      <c r="AUI365" s="641"/>
      <c r="AUJ365" s="277"/>
      <c r="AUK365" s="261"/>
      <c r="AUL365" s="118"/>
      <c r="AUM365" s="219"/>
      <c r="AUN365" s="247"/>
      <c r="AUO365" s="647"/>
      <c r="AUP365" s="626"/>
      <c r="AUQ365" s="640"/>
      <c r="AUR365" s="641"/>
      <c r="AUS365" s="277"/>
      <c r="AUT365" s="261"/>
      <c r="AUU365" s="118"/>
      <c r="AUV365" s="219"/>
      <c r="AUW365" s="247"/>
      <c r="AUX365" s="647"/>
      <c r="AUY365" s="626"/>
      <c r="AUZ365" s="640"/>
      <c r="AVA365" s="641"/>
      <c r="AVB365" s="277"/>
      <c r="AVC365" s="261"/>
      <c r="AVD365" s="118"/>
      <c r="AVE365" s="219"/>
      <c r="AVF365" s="247"/>
      <c r="AVG365" s="647"/>
      <c r="AVH365" s="626"/>
      <c r="AVI365" s="640"/>
      <c r="AVJ365" s="641"/>
      <c r="AVK365" s="277"/>
      <c r="AVL365" s="261"/>
      <c r="AVM365" s="118"/>
      <c r="AVN365" s="219"/>
      <c r="AVO365" s="247"/>
      <c r="AVP365" s="647"/>
      <c r="AVQ365" s="626"/>
      <c r="AVR365" s="640"/>
      <c r="AVS365" s="641"/>
      <c r="AVT365" s="277"/>
      <c r="AVU365" s="261"/>
      <c r="AVV365" s="118"/>
      <c r="AVW365" s="219"/>
      <c r="AVX365" s="247"/>
      <c r="AVY365" s="647"/>
      <c r="AVZ365" s="626"/>
      <c r="AWA365" s="640"/>
      <c r="AWB365" s="641"/>
      <c r="AWC365" s="277"/>
      <c r="AWD365" s="261"/>
      <c r="AWE365" s="118"/>
      <c r="AWF365" s="219"/>
      <c r="AWG365" s="247"/>
      <c r="AWH365" s="647"/>
      <c r="AWI365" s="626"/>
      <c r="AWJ365" s="640"/>
      <c r="AWK365" s="641"/>
      <c r="AWL365" s="277"/>
      <c r="AWM365" s="261"/>
      <c r="AWN365" s="118"/>
      <c r="AWO365" s="219"/>
      <c r="AWP365" s="247"/>
      <c r="AWQ365" s="647"/>
      <c r="AWR365" s="626"/>
      <c r="AWS365" s="640"/>
      <c r="AWT365" s="641"/>
      <c r="AWU365" s="277"/>
      <c r="AWV365" s="261"/>
      <c r="AWW365" s="118"/>
      <c r="AWX365" s="219"/>
      <c r="AWY365" s="247"/>
      <c r="AWZ365" s="647"/>
      <c r="AXA365" s="626"/>
      <c r="AXB365" s="640"/>
      <c r="AXC365" s="641"/>
      <c r="AXD365" s="277"/>
      <c r="AXE365" s="261"/>
      <c r="AXF365" s="118"/>
      <c r="AXG365" s="219"/>
      <c r="AXH365" s="247"/>
      <c r="AXI365" s="647"/>
      <c r="AXJ365" s="626"/>
      <c r="AXK365" s="640"/>
      <c r="AXL365" s="641"/>
      <c r="AXM365" s="277"/>
      <c r="AXN365" s="261"/>
      <c r="AXO365" s="118"/>
      <c r="AXP365" s="219"/>
      <c r="AXQ365" s="247"/>
      <c r="AXR365" s="647"/>
      <c r="AXS365" s="626"/>
      <c r="AXT365" s="640"/>
      <c r="AXU365" s="641"/>
      <c r="AXV365" s="277"/>
      <c r="AXW365" s="261"/>
      <c r="AXX365" s="118"/>
      <c r="AXY365" s="219"/>
      <c r="AXZ365" s="247"/>
      <c r="AYA365" s="647"/>
      <c r="AYB365" s="626"/>
      <c r="AYC365" s="640"/>
      <c r="AYD365" s="641"/>
      <c r="AYE365" s="277"/>
      <c r="AYF365" s="261"/>
      <c r="AYG365" s="118"/>
      <c r="AYH365" s="219"/>
      <c r="AYI365" s="247"/>
      <c r="AYJ365" s="647"/>
      <c r="AYK365" s="626"/>
      <c r="AYL365" s="640"/>
      <c r="AYM365" s="641"/>
      <c r="AYN365" s="277"/>
      <c r="AYO365" s="261"/>
      <c r="AYP365" s="118"/>
      <c r="AYQ365" s="219"/>
      <c r="AYR365" s="247"/>
      <c r="AYS365" s="647"/>
      <c r="AYT365" s="626"/>
      <c r="AYU365" s="640"/>
      <c r="AYV365" s="641"/>
      <c r="AYW365" s="277"/>
      <c r="AYX365" s="261"/>
      <c r="AYY365" s="118"/>
      <c r="AYZ365" s="219"/>
      <c r="AZA365" s="247"/>
      <c r="AZB365" s="647"/>
      <c r="AZC365" s="626"/>
      <c r="AZD365" s="640"/>
      <c r="AZE365" s="641"/>
      <c r="AZF365" s="277"/>
      <c r="AZG365" s="261"/>
      <c r="AZH365" s="118"/>
      <c r="AZI365" s="219"/>
      <c r="AZJ365" s="247"/>
      <c r="AZK365" s="647"/>
      <c r="AZL365" s="626"/>
      <c r="AZM365" s="640"/>
      <c r="AZN365" s="641"/>
      <c r="AZO365" s="277"/>
      <c r="AZP365" s="261"/>
      <c r="AZQ365" s="118"/>
      <c r="AZR365" s="219"/>
      <c r="AZS365" s="247"/>
      <c r="AZT365" s="647"/>
      <c r="AZU365" s="626"/>
      <c r="AZV365" s="640"/>
      <c r="AZW365" s="641"/>
      <c r="AZX365" s="277"/>
      <c r="AZY365" s="261"/>
      <c r="AZZ365" s="118"/>
      <c r="BAA365" s="219"/>
      <c r="BAB365" s="247"/>
      <c r="BAC365" s="647"/>
      <c r="BAD365" s="626"/>
      <c r="BAE365" s="640"/>
      <c r="BAF365" s="641"/>
      <c r="BAG365" s="277"/>
      <c r="BAH365" s="261"/>
      <c r="BAI365" s="118"/>
      <c r="BAJ365" s="219"/>
      <c r="BAK365" s="247"/>
      <c r="BAL365" s="647"/>
      <c r="BAM365" s="626"/>
      <c r="BAN365" s="640"/>
      <c r="BAO365" s="641"/>
      <c r="BAP365" s="277"/>
      <c r="BAQ365" s="261"/>
      <c r="BAR365" s="118"/>
      <c r="BAS365" s="219"/>
      <c r="BAT365" s="247"/>
      <c r="BAU365" s="647"/>
      <c r="BAV365" s="626"/>
      <c r="BAW365" s="640"/>
      <c r="BAX365" s="641"/>
      <c r="BAY365" s="277"/>
      <c r="BAZ365" s="261"/>
      <c r="BBA365" s="118"/>
      <c r="BBB365" s="219"/>
      <c r="BBC365" s="247"/>
      <c r="BBD365" s="647"/>
      <c r="BBE365" s="626"/>
      <c r="BBF365" s="640"/>
      <c r="BBG365" s="641"/>
      <c r="BBH365" s="277"/>
      <c r="BBI365" s="261"/>
      <c r="BBJ365" s="118"/>
      <c r="BBK365" s="219"/>
      <c r="BBL365" s="247"/>
      <c r="BBM365" s="647"/>
      <c r="BBN365" s="626"/>
      <c r="BBO365" s="640"/>
      <c r="BBP365" s="641"/>
      <c r="BBQ365" s="277"/>
      <c r="BBR365" s="261"/>
      <c r="BBS365" s="118"/>
      <c r="BBT365" s="219"/>
      <c r="BBU365" s="247"/>
      <c r="BBV365" s="647"/>
      <c r="BBW365" s="626"/>
      <c r="BBX365" s="640"/>
      <c r="BBY365" s="641"/>
      <c r="BBZ365" s="277"/>
      <c r="BCA365" s="261"/>
      <c r="BCB365" s="118"/>
      <c r="BCC365" s="219"/>
      <c r="BCD365" s="247"/>
      <c r="BCE365" s="647"/>
      <c r="BCF365" s="626"/>
      <c r="BCG365" s="640"/>
      <c r="BCH365" s="641"/>
      <c r="BCI365" s="277"/>
      <c r="BCJ365" s="261"/>
      <c r="BCK365" s="118"/>
      <c r="BCL365" s="219"/>
      <c r="BCM365" s="247"/>
      <c r="BCN365" s="647"/>
      <c r="BCO365" s="626"/>
      <c r="BCP365" s="640"/>
      <c r="BCQ365" s="641"/>
      <c r="BCR365" s="277"/>
      <c r="BCS365" s="261"/>
      <c r="BCT365" s="118"/>
      <c r="BCU365" s="219"/>
      <c r="BCV365" s="247"/>
      <c r="BCW365" s="647"/>
      <c r="BCX365" s="626"/>
      <c r="BCY365" s="640"/>
      <c r="BCZ365" s="641"/>
      <c r="BDA365" s="277"/>
      <c r="BDB365" s="261"/>
      <c r="BDC365" s="118"/>
      <c r="BDD365" s="219"/>
      <c r="BDE365" s="247"/>
      <c r="BDF365" s="647"/>
      <c r="BDG365" s="626"/>
      <c r="BDH365" s="640"/>
      <c r="BDI365" s="641"/>
      <c r="BDJ365" s="277"/>
      <c r="BDK365" s="261"/>
      <c r="BDL365" s="118"/>
      <c r="BDM365" s="219"/>
      <c r="BDN365" s="247"/>
      <c r="BDO365" s="647"/>
      <c r="BDP365" s="626"/>
      <c r="BDQ365" s="640"/>
      <c r="BDR365" s="641"/>
      <c r="BDS365" s="277"/>
      <c r="BDT365" s="261"/>
      <c r="BDU365" s="118"/>
      <c r="BDV365" s="219"/>
      <c r="BDW365" s="247"/>
      <c r="BDX365" s="647"/>
      <c r="BDY365" s="626"/>
      <c r="BDZ365" s="640"/>
      <c r="BEA365" s="641"/>
      <c r="BEB365" s="277"/>
      <c r="BEC365" s="261"/>
      <c r="BED365" s="118"/>
      <c r="BEE365" s="219"/>
      <c r="BEF365" s="247"/>
      <c r="BEG365" s="647"/>
      <c r="BEH365" s="626"/>
      <c r="BEI365" s="640"/>
      <c r="BEJ365" s="641"/>
      <c r="BEK365" s="277"/>
      <c r="BEL365" s="261"/>
      <c r="BEM365" s="118"/>
      <c r="BEN365" s="219"/>
      <c r="BEO365" s="247"/>
      <c r="BEP365" s="647"/>
      <c r="BEQ365" s="626"/>
      <c r="BER365" s="640"/>
      <c r="BES365" s="641"/>
      <c r="BET365" s="277"/>
      <c r="BEU365" s="261"/>
      <c r="BEV365" s="118"/>
      <c r="BEW365" s="219"/>
      <c r="BEX365" s="247"/>
      <c r="BEY365" s="647"/>
      <c r="BEZ365" s="626"/>
      <c r="BFA365" s="640"/>
      <c r="BFB365" s="641"/>
      <c r="BFC365" s="277"/>
      <c r="BFD365" s="261"/>
      <c r="BFE365" s="118"/>
      <c r="BFF365" s="219"/>
      <c r="BFG365" s="247"/>
      <c r="BFH365" s="647"/>
      <c r="BFI365" s="626"/>
      <c r="BFJ365" s="640"/>
      <c r="BFK365" s="641"/>
      <c r="BFL365" s="277"/>
      <c r="BFM365" s="261"/>
      <c r="BFN365" s="118"/>
      <c r="BFO365" s="219"/>
      <c r="BFP365" s="247"/>
      <c r="BFQ365" s="647"/>
      <c r="BFR365" s="626"/>
      <c r="BFS365" s="640"/>
      <c r="BFT365" s="641"/>
      <c r="BFU365" s="277"/>
      <c r="BFV365" s="261"/>
      <c r="BFW365" s="118"/>
      <c r="BFX365" s="219"/>
      <c r="BFY365" s="247"/>
      <c r="BFZ365" s="647"/>
      <c r="BGA365" s="626"/>
      <c r="BGB365" s="640"/>
      <c r="BGC365" s="641"/>
      <c r="BGD365" s="277"/>
      <c r="BGE365" s="261"/>
      <c r="BGF365" s="118"/>
      <c r="BGG365" s="219"/>
      <c r="BGH365" s="247"/>
      <c r="BGI365" s="647"/>
      <c r="BGJ365" s="626"/>
      <c r="BGK365" s="640"/>
      <c r="BGL365" s="641"/>
      <c r="BGM365" s="277"/>
      <c r="BGN365" s="261"/>
      <c r="BGO365" s="118"/>
      <c r="BGP365" s="219"/>
      <c r="BGQ365" s="247"/>
      <c r="BGR365" s="647"/>
      <c r="BGS365" s="626"/>
      <c r="BGT365" s="640"/>
      <c r="BGU365" s="641"/>
      <c r="BGV365" s="277"/>
      <c r="BGW365" s="261"/>
      <c r="BGX365" s="118"/>
      <c r="BGY365" s="219"/>
      <c r="BGZ365" s="247"/>
      <c r="BHA365" s="647"/>
      <c r="BHB365" s="626"/>
      <c r="BHC365" s="640"/>
      <c r="BHD365" s="641"/>
      <c r="BHE365" s="277"/>
      <c r="BHF365" s="261"/>
      <c r="BHG365" s="118"/>
      <c r="BHH365" s="219"/>
      <c r="BHI365" s="247"/>
      <c r="BHJ365" s="647"/>
      <c r="BHK365" s="626"/>
      <c r="BHL365" s="640"/>
      <c r="BHM365" s="641"/>
      <c r="BHN365" s="277"/>
      <c r="BHO365" s="261"/>
      <c r="BHP365" s="118"/>
      <c r="BHQ365" s="219"/>
      <c r="BHR365" s="247"/>
      <c r="BHS365" s="647"/>
      <c r="BHT365" s="626"/>
      <c r="BHU365" s="640"/>
      <c r="BHV365" s="641"/>
      <c r="BHW365" s="277"/>
      <c r="BHX365" s="261"/>
      <c r="BHY365" s="118"/>
      <c r="BHZ365" s="219"/>
      <c r="BIA365" s="247"/>
      <c r="BIB365" s="647"/>
      <c r="BIC365" s="626"/>
      <c r="BID365" s="640"/>
      <c r="BIE365" s="641"/>
      <c r="BIF365" s="277"/>
      <c r="BIG365" s="261"/>
      <c r="BIH365" s="118"/>
      <c r="BII365" s="219"/>
      <c r="BIJ365" s="247"/>
      <c r="BIK365" s="647"/>
      <c r="BIL365" s="626"/>
      <c r="BIM365" s="640"/>
      <c r="BIN365" s="641"/>
      <c r="BIO365" s="277"/>
      <c r="BIP365" s="261"/>
      <c r="BIQ365" s="118"/>
      <c r="BIR365" s="219"/>
      <c r="BIS365" s="247"/>
      <c r="BIT365" s="647"/>
      <c r="BIU365" s="626"/>
      <c r="BIV365" s="640"/>
      <c r="BIW365" s="641"/>
      <c r="BIX365" s="277"/>
      <c r="BIY365" s="261"/>
      <c r="BIZ365" s="118"/>
      <c r="BJA365" s="219"/>
      <c r="BJB365" s="247"/>
      <c r="BJC365" s="647"/>
      <c r="BJD365" s="626"/>
      <c r="BJE365" s="640"/>
      <c r="BJF365" s="641"/>
      <c r="BJG365" s="277"/>
      <c r="BJH365" s="261"/>
      <c r="BJI365" s="118"/>
      <c r="BJJ365" s="219"/>
      <c r="BJK365" s="247"/>
      <c r="BJL365" s="647"/>
      <c r="BJM365" s="626"/>
      <c r="BJN365" s="640"/>
      <c r="BJO365" s="641"/>
      <c r="BJP365" s="277"/>
      <c r="BJQ365" s="261"/>
      <c r="BJR365" s="118"/>
      <c r="BJS365" s="219"/>
      <c r="BJT365" s="247"/>
      <c r="BJU365" s="647"/>
      <c r="BJV365" s="626"/>
      <c r="BJW365" s="640"/>
      <c r="BJX365" s="641"/>
      <c r="BJY365" s="277"/>
      <c r="BJZ365" s="261"/>
      <c r="BKA365" s="118"/>
      <c r="BKB365" s="219"/>
      <c r="BKC365" s="247"/>
      <c r="BKD365" s="647"/>
      <c r="BKE365" s="626"/>
      <c r="BKF365" s="640"/>
      <c r="BKG365" s="641"/>
      <c r="BKH365" s="277"/>
      <c r="BKI365" s="261"/>
      <c r="BKJ365" s="118"/>
      <c r="BKK365" s="219"/>
      <c r="BKL365" s="247"/>
      <c r="BKM365" s="647"/>
      <c r="BKN365" s="626"/>
      <c r="BKO365" s="640"/>
      <c r="BKP365" s="641"/>
      <c r="BKQ365" s="277"/>
      <c r="BKR365" s="261"/>
      <c r="BKS365" s="118"/>
      <c r="BKT365" s="219"/>
      <c r="BKU365" s="247"/>
      <c r="BKV365" s="647"/>
      <c r="BKW365" s="626"/>
      <c r="BKX365" s="640"/>
      <c r="BKY365" s="641"/>
      <c r="BKZ365" s="277"/>
      <c r="BLA365" s="261"/>
      <c r="BLB365" s="118"/>
      <c r="BLC365" s="219"/>
      <c r="BLD365" s="247"/>
      <c r="BLE365" s="647"/>
      <c r="BLF365" s="626"/>
      <c r="BLG365" s="640"/>
      <c r="BLH365" s="641"/>
      <c r="BLI365" s="277"/>
      <c r="BLJ365" s="261"/>
      <c r="BLK365" s="118"/>
      <c r="BLL365" s="219"/>
      <c r="BLM365" s="247"/>
      <c r="BLN365" s="647"/>
      <c r="BLO365" s="626"/>
      <c r="BLP365" s="640"/>
      <c r="BLQ365" s="641"/>
      <c r="BLR365" s="277"/>
      <c r="BLS365" s="261"/>
      <c r="BLT365" s="118"/>
      <c r="BLU365" s="219"/>
      <c r="BLV365" s="247"/>
      <c r="BLW365" s="647"/>
      <c r="BLX365" s="626"/>
      <c r="BLY365" s="640"/>
      <c r="BLZ365" s="641"/>
      <c r="BMA365" s="277"/>
      <c r="BMB365" s="261"/>
      <c r="BMC365" s="118"/>
      <c r="BMD365" s="219"/>
      <c r="BME365" s="247"/>
      <c r="BMF365" s="647"/>
      <c r="BMG365" s="626"/>
      <c r="BMH365" s="640"/>
      <c r="BMI365" s="641"/>
      <c r="BMJ365" s="277"/>
      <c r="BMK365" s="261"/>
      <c r="BML365" s="118"/>
      <c r="BMM365" s="219"/>
      <c r="BMN365" s="247"/>
      <c r="BMO365" s="647"/>
      <c r="BMP365" s="626"/>
      <c r="BMQ365" s="640"/>
      <c r="BMR365" s="641"/>
      <c r="BMS365" s="277"/>
      <c r="BMT365" s="261"/>
      <c r="BMU365" s="118"/>
      <c r="BMV365" s="219"/>
      <c r="BMW365" s="247"/>
      <c r="BMX365" s="647"/>
      <c r="BMY365" s="626"/>
      <c r="BMZ365" s="640"/>
      <c r="BNA365" s="641"/>
      <c r="BNB365" s="277"/>
      <c r="BNC365" s="261"/>
      <c r="BND365" s="118"/>
      <c r="BNE365" s="219"/>
      <c r="BNF365" s="247"/>
      <c r="BNG365" s="647"/>
      <c r="BNH365" s="626"/>
      <c r="BNI365" s="640"/>
      <c r="BNJ365" s="641"/>
      <c r="BNK365" s="277"/>
      <c r="BNL365" s="261"/>
      <c r="BNM365" s="118"/>
      <c r="BNN365" s="219"/>
      <c r="BNO365" s="247"/>
      <c r="BNP365" s="647"/>
      <c r="BNQ365" s="626"/>
      <c r="BNR365" s="640"/>
      <c r="BNS365" s="641"/>
      <c r="BNT365" s="277"/>
      <c r="BNU365" s="261"/>
      <c r="BNV365" s="118"/>
      <c r="BNW365" s="219"/>
      <c r="BNX365" s="247"/>
      <c r="BNY365" s="647"/>
      <c r="BNZ365" s="626"/>
      <c r="BOA365" s="640"/>
      <c r="BOB365" s="641"/>
      <c r="BOC365" s="277"/>
      <c r="BOD365" s="261"/>
      <c r="BOE365" s="118"/>
      <c r="BOF365" s="219"/>
      <c r="BOG365" s="247"/>
      <c r="BOH365" s="647"/>
      <c r="BOI365" s="626"/>
      <c r="BOJ365" s="640"/>
      <c r="BOK365" s="641"/>
      <c r="BOL365" s="277"/>
      <c r="BOM365" s="261"/>
      <c r="BON365" s="118"/>
      <c r="BOO365" s="219"/>
      <c r="BOP365" s="247"/>
      <c r="BOQ365" s="647"/>
      <c r="BOR365" s="626"/>
      <c r="BOS365" s="640"/>
      <c r="BOT365" s="641"/>
      <c r="BOU365" s="277"/>
      <c r="BOV365" s="261"/>
      <c r="BOW365" s="118"/>
      <c r="BOX365" s="219"/>
      <c r="BOY365" s="247"/>
      <c r="BOZ365" s="647"/>
      <c r="BPA365" s="626"/>
      <c r="BPB365" s="640"/>
      <c r="BPC365" s="641"/>
      <c r="BPD365" s="277"/>
      <c r="BPE365" s="261"/>
      <c r="BPF365" s="118"/>
      <c r="BPG365" s="219"/>
      <c r="BPH365" s="247"/>
      <c r="BPI365" s="647"/>
      <c r="BPJ365" s="626"/>
      <c r="BPK365" s="640"/>
      <c r="BPL365" s="641"/>
      <c r="BPM365" s="277"/>
      <c r="BPN365" s="261"/>
      <c r="BPO365" s="118"/>
      <c r="BPP365" s="219"/>
      <c r="BPQ365" s="247"/>
      <c r="BPR365" s="647"/>
      <c r="BPS365" s="626"/>
      <c r="BPT365" s="640"/>
      <c r="BPU365" s="641"/>
      <c r="BPV365" s="277"/>
      <c r="BPW365" s="261"/>
      <c r="BPX365" s="118"/>
      <c r="BPY365" s="219"/>
      <c r="BPZ365" s="247"/>
      <c r="BQA365" s="647"/>
      <c r="BQB365" s="626"/>
      <c r="BQC365" s="640"/>
      <c r="BQD365" s="641"/>
      <c r="BQE365" s="277"/>
      <c r="BQF365" s="261"/>
      <c r="BQG365" s="118"/>
      <c r="BQH365" s="219"/>
      <c r="BQI365" s="247"/>
      <c r="BQJ365" s="647"/>
      <c r="BQK365" s="626"/>
      <c r="BQL365" s="640"/>
      <c r="BQM365" s="641"/>
      <c r="BQN365" s="277"/>
      <c r="BQO365" s="261"/>
      <c r="BQP365" s="118"/>
      <c r="BQQ365" s="219"/>
      <c r="BQR365" s="247"/>
      <c r="BQS365" s="647"/>
      <c r="BQT365" s="626"/>
      <c r="BQU365" s="640"/>
      <c r="BQV365" s="641"/>
      <c r="BQW365" s="277"/>
      <c r="BQX365" s="261"/>
      <c r="BQY365" s="118"/>
      <c r="BQZ365" s="219"/>
      <c r="BRA365" s="247"/>
      <c r="BRB365" s="647"/>
      <c r="BRC365" s="626"/>
      <c r="BRD365" s="640"/>
      <c r="BRE365" s="641"/>
      <c r="BRF365" s="277"/>
      <c r="BRG365" s="261"/>
      <c r="BRH365" s="118"/>
      <c r="BRI365" s="219"/>
      <c r="BRJ365" s="247"/>
      <c r="BRK365" s="647"/>
      <c r="BRL365" s="626"/>
      <c r="BRM365" s="640"/>
      <c r="BRN365" s="641"/>
      <c r="BRO365" s="277"/>
      <c r="BRP365" s="261"/>
      <c r="BRQ365" s="118"/>
      <c r="BRR365" s="219"/>
      <c r="BRS365" s="247"/>
      <c r="BRT365" s="647"/>
      <c r="BRU365" s="626"/>
      <c r="BRV365" s="640"/>
      <c r="BRW365" s="641"/>
      <c r="BRX365" s="277"/>
      <c r="BRY365" s="261"/>
      <c r="BRZ365" s="118"/>
      <c r="BSA365" s="219"/>
      <c r="BSB365" s="247"/>
      <c r="BSC365" s="647"/>
      <c r="BSD365" s="626"/>
      <c r="BSE365" s="640"/>
      <c r="BSF365" s="641"/>
      <c r="BSG365" s="277"/>
      <c r="BSH365" s="261"/>
      <c r="BSI365" s="118"/>
      <c r="BSJ365" s="219"/>
      <c r="BSK365" s="247"/>
      <c r="BSL365" s="647"/>
      <c r="BSM365" s="626"/>
      <c r="BSN365" s="640"/>
      <c r="BSO365" s="641"/>
      <c r="BSP365" s="277"/>
      <c r="BSQ365" s="261"/>
      <c r="BSR365" s="118"/>
      <c r="BSS365" s="219"/>
      <c r="BST365" s="247"/>
      <c r="BSU365" s="647"/>
      <c r="BSV365" s="626"/>
      <c r="BSW365" s="640"/>
      <c r="BSX365" s="641"/>
      <c r="BSY365" s="277"/>
      <c r="BSZ365" s="261"/>
      <c r="BTA365" s="118"/>
      <c r="BTB365" s="219"/>
      <c r="BTC365" s="247"/>
      <c r="BTD365" s="647"/>
      <c r="BTE365" s="626"/>
      <c r="BTF365" s="640"/>
      <c r="BTG365" s="641"/>
      <c r="BTH365" s="277"/>
      <c r="BTI365" s="261"/>
      <c r="BTJ365" s="118"/>
      <c r="BTK365" s="219"/>
      <c r="BTL365" s="247"/>
      <c r="BTM365" s="647"/>
      <c r="BTN365" s="626"/>
      <c r="BTO365" s="640"/>
      <c r="BTP365" s="641"/>
      <c r="BTQ365" s="277"/>
      <c r="BTR365" s="261"/>
      <c r="BTS365" s="118"/>
      <c r="BTT365" s="219"/>
      <c r="BTU365" s="247"/>
      <c r="BTV365" s="647"/>
      <c r="BTW365" s="626"/>
      <c r="BTX365" s="640"/>
      <c r="BTY365" s="641"/>
      <c r="BTZ365" s="277"/>
      <c r="BUA365" s="261"/>
      <c r="BUB365" s="118"/>
      <c r="BUC365" s="219"/>
      <c r="BUD365" s="247"/>
      <c r="BUE365" s="647"/>
      <c r="BUF365" s="626"/>
      <c r="BUG365" s="640"/>
      <c r="BUH365" s="641"/>
      <c r="BUI365" s="277"/>
      <c r="BUJ365" s="261"/>
      <c r="BUK365" s="118"/>
      <c r="BUL365" s="219"/>
      <c r="BUM365" s="247"/>
      <c r="BUN365" s="647"/>
      <c r="BUO365" s="626"/>
      <c r="BUP365" s="640"/>
      <c r="BUQ365" s="641"/>
      <c r="BUR365" s="277"/>
      <c r="BUS365" s="261"/>
      <c r="BUT365" s="118"/>
      <c r="BUU365" s="219"/>
      <c r="BUV365" s="247"/>
      <c r="BUW365" s="647"/>
      <c r="BUX365" s="626"/>
      <c r="BUY365" s="640"/>
      <c r="BUZ365" s="641"/>
      <c r="BVA365" s="277"/>
      <c r="BVB365" s="261"/>
      <c r="BVC365" s="118"/>
      <c r="BVD365" s="219"/>
      <c r="BVE365" s="247"/>
      <c r="BVF365" s="647"/>
      <c r="BVG365" s="626"/>
      <c r="BVH365" s="640"/>
      <c r="BVI365" s="641"/>
      <c r="BVJ365" s="277"/>
      <c r="BVK365" s="261"/>
      <c r="BVL365" s="118"/>
      <c r="BVM365" s="219"/>
      <c r="BVN365" s="247"/>
      <c r="BVO365" s="647"/>
      <c r="BVP365" s="626"/>
      <c r="BVQ365" s="640"/>
      <c r="BVR365" s="641"/>
      <c r="BVS365" s="277"/>
      <c r="BVT365" s="261"/>
      <c r="BVU365" s="118"/>
      <c r="BVV365" s="219"/>
      <c r="BVW365" s="247"/>
      <c r="BVX365" s="647"/>
      <c r="BVY365" s="626"/>
      <c r="BVZ365" s="640"/>
      <c r="BWA365" s="641"/>
      <c r="BWB365" s="277"/>
      <c r="BWC365" s="261"/>
      <c r="BWD365" s="118"/>
      <c r="BWE365" s="219"/>
      <c r="BWF365" s="247"/>
      <c r="BWG365" s="647"/>
      <c r="BWH365" s="626"/>
      <c r="BWI365" s="640"/>
      <c r="BWJ365" s="641"/>
      <c r="BWK365" s="277"/>
      <c r="BWL365" s="261"/>
      <c r="BWM365" s="118"/>
      <c r="BWN365" s="219"/>
      <c r="BWO365" s="247"/>
      <c r="BWP365" s="647"/>
      <c r="BWQ365" s="626"/>
      <c r="BWR365" s="640"/>
      <c r="BWS365" s="641"/>
      <c r="BWT365" s="277"/>
      <c r="BWU365" s="261"/>
      <c r="BWV365" s="118"/>
      <c r="BWW365" s="219"/>
      <c r="BWX365" s="247"/>
      <c r="BWY365" s="647"/>
      <c r="BWZ365" s="626"/>
      <c r="BXA365" s="640"/>
      <c r="BXB365" s="641"/>
      <c r="BXC365" s="277"/>
      <c r="BXD365" s="261"/>
      <c r="BXE365" s="118"/>
      <c r="BXF365" s="219"/>
      <c r="BXG365" s="247"/>
      <c r="BXH365" s="647"/>
      <c r="BXI365" s="626"/>
      <c r="BXJ365" s="640"/>
      <c r="BXK365" s="641"/>
      <c r="BXL365" s="277"/>
      <c r="BXM365" s="261"/>
      <c r="BXN365" s="118"/>
      <c r="BXO365" s="219"/>
      <c r="BXP365" s="247"/>
      <c r="BXQ365" s="647"/>
      <c r="BXR365" s="626"/>
      <c r="BXS365" s="640"/>
      <c r="BXT365" s="641"/>
      <c r="BXU365" s="277"/>
      <c r="BXV365" s="261"/>
      <c r="BXW365" s="118"/>
      <c r="BXX365" s="219"/>
      <c r="BXY365" s="247"/>
      <c r="BXZ365" s="647"/>
      <c r="BYA365" s="626"/>
      <c r="BYB365" s="640"/>
      <c r="BYC365" s="641"/>
      <c r="BYD365" s="277"/>
      <c r="BYE365" s="261"/>
      <c r="BYF365" s="118"/>
      <c r="BYG365" s="219"/>
      <c r="BYH365" s="247"/>
      <c r="BYI365" s="647"/>
      <c r="BYJ365" s="626"/>
      <c r="BYK365" s="640"/>
      <c r="BYL365" s="641"/>
      <c r="BYM365" s="277"/>
      <c r="BYN365" s="261"/>
      <c r="BYO365" s="118"/>
      <c r="BYP365" s="219"/>
      <c r="BYQ365" s="247"/>
      <c r="BYR365" s="647"/>
      <c r="BYS365" s="626"/>
      <c r="BYT365" s="640"/>
      <c r="BYU365" s="641"/>
      <c r="BYV365" s="277"/>
      <c r="BYW365" s="261"/>
      <c r="BYX365" s="118"/>
      <c r="BYY365" s="219"/>
      <c r="BYZ365" s="247"/>
      <c r="BZA365" s="647"/>
      <c r="BZB365" s="626"/>
      <c r="BZC365" s="640"/>
      <c r="BZD365" s="641"/>
      <c r="BZE365" s="277"/>
      <c r="BZF365" s="261"/>
      <c r="BZG365" s="118"/>
      <c r="BZH365" s="219"/>
      <c r="BZI365" s="247"/>
      <c r="BZJ365" s="647"/>
      <c r="BZK365" s="626"/>
      <c r="BZL365" s="640"/>
      <c r="BZM365" s="641"/>
      <c r="BZN365" s="277"/>
      <c r="BZO365" s="261"/>
      <c r="BZP365" s="118"/>
      <c r="BZQ365" s="219"/>
      <c r="BZR365" s="247"/>
      <c r="BZS365" s="647"/>
      <c r="BZT365" s="626"/>
      <c r="BZU365" s="640"/>
      <c r="BZV365" s="641"/>
      <c r="BZW365" s="277"/>
      <c r="BZX365" s="261"/>
      <c r="BZY365" s="118"/>
      <c r="BZZ365" s="219"/>
      <c r="CAA365" s="247"/>
      <c r="CAB365" s="647"/>
      <c r="CAC365" s="626"/>
      <c r="CAD365" s="640"/>
      <c r="CAE365" s="641"/>
      <c r="CAF365" s="277"/>
      <c r="CAG365" s="261"/>
      <c r="CAH365" s="118"/>
      <c r="CAI365" s="219"/>
      <c r="CAJ365" s="247"/>
      <c r="CAK365" s="647"/>
      <c r="CAL365" s="626"/>
      <c r="CAM365" s="640"/>
      <c r="CAN365" s="641"/>
      <c r="CAO365" s="277"/>
      <c r="CAP365" s="261"/>
      <c r="CAQ365" s="118"/>
      <c r="CAR365" s="219"/>
      <c r="CAS365" s="247"/>
      <c r="CAT365" s="647"/>
      <c r="CAU365" s="626"/>
      <c r="CAV365" s="640"/>
      <c r="CAW365" s="641"/>
      <c r="CAX365" s="277"/>
      <c r="CAY365" s="261"/>
      <c r="CAZ365" s="118"/>
      <c r="CBA365" s="219"/>
      <c r="CBB365" s="247"/>
      <c r="CBC365" s="647"/>
      <c r="CBD365" s="626"/>
      <c r="CBE365" s="640"/>
      <c r="CBF365" s="641"/>
      <c r="CBG365" s="277"/>
      <c r="CBH365" s="261"/>
      <c r="CBI365" s="118"/>
      <c r="CBJ365" s="219"/>
      <c r="CBK365" s="247"/>
      <c r="CBL365" s="647"/>
      <c r="CBM365" s="626"/>
      <c r="CBN365" s="640"/>
      <c r="CBO365" s="641"/>
      <c r="CBP365" s="277"/>
      <c r="CBQ365" s="261"/>
      <c r="CBR365" s="118"/>
      <c r="CBS365" s="219"/>
      <c r="CBT365" s="247"/>
      <c r="CBU365" s="647"/>
      <c r="CBV365" s="626"/>
      <c r="CBW365" s="640"/>
      <c r="CBX365" s="641"/>
      <c r="CBY365" s="277"/>
      <c r="CBZ365" s="261"/>
      <c r="CCA365" s="118"/>
      <c r="CCB365" s="219"/>
      <c r="CCC365" s="247"/>
      <c r="CCD365" s="647"/>
      <c r="CCE365" s="626"/>
      <c r="CCF365" s="640"/>
      <c r="CCG365" s="641"/>
      <c r="CCH365" s="277"/>
      <c r="CCI365" s="261"/>
      <c r="CCJ365" s="118"/>
      <c r="CCK365" s="219"/>
      <c r="CCL365" s="247"/>
      <c r="CCM365" s="647"/>
      <c r="CCN365" s="626"/>
      <c r="CCO365" s="640"/>
      <c r="CCP365" s="641"/>
      <c r="CCQ365" s="277"/>
      <c r="CCR365" s="261"/>
      <c r="CCS365" s="118"/>
      <c r="CCT365" s="219"/>
      <c r="CCU365" s="247"/>
      <c r="CCV365" s="647"/>
      <c r="CCW365" s="626"/>
      <c r="CCX365" s="640"/>
      <c r="CCY365" s="641"/>
      <c r="CCZ365" s="277"/>
      <c r="CDA365" s="261"/>
      <c r="CDB365" s="118"/>
      <c r="CDC365" s="219"/>
      <c r="CDD365" s="247"/>
      <c r="CDE365" s="647"/>
      <c r="CDF365" s="626"/>
      <c r="CDG365" s="640"/>
      <c r="CDH365" s="641"/>
      <c r="CDI365" s="277"/>
      <c r="CDJ365" s="261"/>
      <c r="CDK365" s="118"/>
      <c r="CDL365" s="219"/>
      <c r="CDM365" s="247"/>
      <c r="CDN365" s="647"/>
      <c r="CDO365" s="626"/>
      <c r="CDP365" s="640"/>
      <c r="CDQ365" s="641"/>
      <c r="CDR365" s="277"/>
      <c r="CDS365" s="261"/>
      <c r="CDT365" s="118"/>
      <c r="CDU365" s="219"/>
      <c r="CDV365" s="247"/>
      <c r="CDW365" s="647"/>
      <c r="CDX365" s="626"/>
      <c r="CDY365" s="640"/>
      <c r="CDZ365" s="641"/>
      <c r="CEA365" s="277"/>
      <c r="CEB365" s="261"/>
      <c r="CEC365" s="118"/>
      <c r="CED365" s="219"/>
      <c r="CEE365" s="247"/>
      <c r="CEF365" s="647"/>
      <c r="CEG365" s="626"/>
      <c r="CEH365" s="640"/>
      <c r="CEI365" s="641"/>
      <c r="CEJ365" s="277"/>
      <c r="CEK365" s="261"/>
      <c r="CEL365" s="118"/>
      <c r="CEM365" s="219"/>
      <c r="CEN365" s="247"/>
      <c r="CEO365" s="647"/>
      <c r="CEP365" s="626"/>
      <c r="CEQ365" s="640"/>
      <c r="CER365" s="641"/>
      <c r="CES365" s="277"/>
      <c r="CET365" s="261"/>
      <c r="CEU365" s="118"/>
      <c r="CEV365" s="219"/>
      <c r="CEW365" s="247"/>
      <c r="CEX365" s="647"/>
      <c r="CEY365" s="626"/>
      <c r="CEZ365" s="640"/>
      <c r="CFA365" s="641"/>
      <c r="CFB365" s="277"/>
      <c r="CFC365" s="261"/>
      <c r="CFD365" s="118"/>
      <c r="CFE365" s="219"/>
      <c r="CFF365" s="247"/>
      <c r="CFG365" s="647"/>
      <c r="CFH365" s="626"/>
      <c r="CFI365" s="640"/>
      <c r="CFJ365" s="641"/>
      <c r="CFK365" s="277"/>
      <c r="CFL365" s="261"/>
      <c r="CFM365" s="118"/>
      <c r="CFN365" s="219"/>
      <c r="CFO365" s="247"/>
      <c r="CFP365" s="647"/>
      <c r="CFQ365" s="626"/>
      <c r="CFR365" s="640"/>
      <c r="CFS365" s="641"/>
      <c r="CFT365" s="277"/>
      <c r="CFU365" s="261"/>
      <c r="CFV365" s="118"/>
      <c r="CFW365" s="219"/>
      <c r="CFX365" s="247"/>
      <c r="CFY365" s="647"/>
      <c r="CFZ365" s="626"/>
      <c r="CGA365" s="640"/>
      <c r="CGB365" s="641"/>
      <c r="CGC365" s="277"/>
      <c r="CGD365" s="261"/>
      <c r="CGE365" s="118"/>
      <c r="CGF365" s="219"/>
      <c r="CGG365" s="247"/>
      <c r="CGH365" s="647"/>
      <c r="CGI365" s="626"/>
      <c r="CGJ365" s="640"/>
      <c r="CGK365" s="641"/>
      <c r="CGL365" s="277"/>
      <c r="CGM365" s="261"/>
      <c r="CGN365" s="118"/>
      <c r="CGO365" s="219"/>
      <c r="CGP365" s="247"/>
      <c r="CGQ365" s="647"/>
      <c r="CGR365" s="626"/>
      <c r="CGS365" s="640"/>
      <c r="CGT365" s="641"/>
      <c r="CGU365" s="277"/>
      <c r="CGV365" s="261"/>
      <c r="CGW365" s="118"/>
      <c r="CGX365" s="219"/>
      <c r="CGY365" s="247"/>
      <c r="CGZ365" s="647"/>
      <c r="CHA365" s="626"/>
      <c r="CHB365" s="640"/>
      <c r="CHC365" s="641"/>
      <c r="CHD365" s="277"/>
      <c r="CHE365" s="261"/>
      <c r="CHF365" s="118"/>
      <c r="CHG365" s="219"/>
      <c r="CHH365" s="247"/>
      <c r="CHI365" s="647"/>
      <c r="CHJ365" s="626"/>
      <c r="CHK365" s="640"/>
      <c r="CHL365" s="641"/>
      <c r="CHM365" s="277"/>
      <c r="CHN365" s="261"/>
      <c r="CHO365" s="118"/>
      <c r="CHP365" s="219"/>
      <c r="CHQ365" s="247"/>
      <c r="CHR365" s="647"/>
      <c r="CHS365" s="626"/>
      <c r="CHT365" s="640"/>
      <c r="CHU365" s="641"/>
      <c r="CHV365" s="277"/>
      <c r="CHW365" s="261"/>
      <c r="CHX365" s="118"/>
      <c r="CHY365" s="219"/>
      <c r="CHZ365" s="247"/>
      <c r="CIA365" s="647"/>
      <c r="CIB365" s="626"/>
      <c r="CIC365" s="640"/>
      <c r="CID365" s="641"/>
      <c r="CIE365" s="277"/>
      <c r="CIF365" s="261"/>
      <c r="CIG365" s="118"/>
      <c r="CIH365" s="219"/>
      <c r="CII365" s="247"/>
      <c r="CIJ365" s="647"/>
      <c r="CIK365" s="626"/>
      <c r="CIL365" s="640"/>
      <c r="CIM365" s="641"/>
      <c r="CIN365" s="277"/>
      <c r="CIO365" s="261"/>
      <c r="CIP365" s="118"/>
      <c r="CIQ365" s="219"/>
      <c r="CIR365" s="247"/>
      <c r="CIS365" s="647"/>
      <c r="CIT365" s="626"/>
      <c r="CIU365" s="640"/>
      <c r="CIV365" s="641"/>
      <c r="CIW365" s="277"/>
      <c r="CIX365" s="261"/>
      <c r="CIY365" s="118"/>
      <c r="CIZ365" s="219"/>
      <c r="CJA365" s="247"/>
      <c r="CJB365" s="647"/>
      <c r="CJC365" s="626"/>
      <c r="CJD365" s="640"/>
      <c r="CJE365" s="641"/>
      <c r="CJF365" s="277"/>
      <c r="CJG365" s="261"/>
      <c r="CJH365" s="118"/>
      <c r="CJI365" s="219"/>
      <c r="CJJ365" s="247"/>
      <c r="CJK365" s="647"/>
      <c r="CJL365" s="626"/>
      <c r="CJM365" s="640"/>
      <c r="CJN365" s="641"/>
      <c r="CJO365" s="277"/>
      <c r="CJP365" s="261"/>
      <c r="CJQ365" s="118"/>
      <c r="CJR365" s="219"/>
      <c r="CJS365" s="247"/>
      <c r="CJT365" s="647"/>
      <c r="CJU365" s="626"/>
      <c r="CJV365" s="640"/>
      <c r="CJW365" s="641"/>
      <c r="CJX365" s="277"/>
      <c r="CJY365" s="261"/>
      <c r="CJZ365" s="118"/>
      <c r="CKA365" s="219"/>
      <c r="CKB365" s="247"/>
      <c r="CKC365" s="647"/>
      <c r="CKD365" s="626"/>
      <c r="CKE365" s="640"/>
      <c r="CKF365" s="641"/>
      <c r="CKG365" s="277"/>
      <c r="CKH365" s="261"/>
      <c r="CKI365" s="118"/>
      <c r="CKJ365" s="219"/>
      <c r="CKK365" s="247"/>
      <c r="CKL365" s="647"/>
      <c r="CKM365" s="626"/>
      <c r="CKN365" s="640"/>
      <c r="CKO365" s="641"/>
      <c r="CKP365" s="277"/>
      <c r="CKQ365" s="261"/>
      <c r="CKR365" s="118"/>
      <c r="CKS365" s="219"/>
      <c r="CKT365" s="247"/>
      <c r="CKU365" s="647"/>
      <c r="CKV365" s="626"/>
      <c r="CKW365" s="640"/>
      <c r="CKX365" s="641"/>
      <c r="CKY365" s="277"/>
      <c r="CKZ365" s="261"/>
      <c r="CLA365" s="118"/>
      <c r="CLB365" s="219"/>
      <c r="CLC365" s="247"/>
      <c r="CLD365" s="647"/>
      <c r="CLE365" s="626"/>
      <c r="CLF365" s="640"/>
      <c r="CLG365" s="641"/>
      <c r="CLH365" s="277"/>
      <c r="CLI365" s="261"/>
      <c r="CLJ365" s="118"/>
      <c r="CLK365" s="219"/>
      <c r="CLL365" s="247"/>
      <c r="CLM365" s="647"/>
      <c r="CLN365" s="626"/>
      <c r="CLO365" s="640"/>
      <c r="CLP365" s="641"/>
      <c r="CLQ365" s="277"/>
      <c r="CLR365" s="261"/>
      <c r="CLS365" s="118"/>
      <c r="CLT365" s="219"/>
      <c r="CLU365" s="247"/>
      <c r="CLV365" s="647"/>
      <c r="CLW365" s="626"/>
      <c r="CLX365" s="640"/>
      <c r="CLY365" s="641"/>
      <c r="CLZ365" s="277"/>
      <c r="CMA365" s="261"/>
      <c r="CMB365" s="118"/>
      <c r="CMC365" s="219"/>
      <c r="CMD365" s="247"/>
      <c r="CME365" s="647"/>
      <c r="CMF365" s="626"/>
      <c r="CMG365" s="640"/>
      <c r="CMH365" s="641"/>
      <c r="CMI365" s="277"/>
      <c r="CMJ365" s="261"/>
      <c r="CMK365" s="118"/>
      <c r="CML365" s="219"/>
      <c r="CMM365" s="247"/>
      <c r="CMN365" s="647"/>
      <c r="CMO365" s="626"/>
      <c r="CMP365" s="640"/>
      <c r="CMQ365" s="641"/>
      <c r="CMR365" s="277"/>
      <c r="CMS365" s="261"/>
      <c r="CMT365" s="118"/>
      <c r="CMU365" s="219"/>
      <c r="CMV365" s="247"/>
      <c r="CMW365" s="647"/>
      <c r="CMX365" s="626"/>
      <c r="CMY365" s="640"/>
      <c r="CMZ365" s="641"/>
      <c r="CNA365" s="277"/>
      <c r="CNB365" s="261"/>
      <c r="CNC365" s="118"/>
      <c r="CND365" s="219"/>
      <c r="CNE365" s="247"/>
      <c r="CNF365" s="647"/>
      <c r="CNG365" s="626"/>
      <c r="CNH365" s="640"/>
      <c r="CNI365" s="641"/>
      <c r="CNJ365" s="277"/>
      <c r="CNK365" s="261"/>
      <c r="CNL365" s="118"/>
      <c r="CNM365" s="219"/>
      <c r="CNN365" s="247"/>
      <c r="CNO365" s="647"/>
      <c r="CNP365" s="626"/>
      <c r="CNQ365" s="640"/>
      <c r="CNR365" s="641"/>
      <c r="CNS365" s="277"/>
      <c r="CNT365" s="261"/>
      <c r="CNU365" s="118"/>
      <c r="CNV365" s="219"/>
      <c r="CNW365" s="247"/>
      <c r="CNX365" s="647"/>
      <c r="CNY365" s="626"/>
      <c r="CNZ365" s="640"/>
      <c r="COA365" s="641"/>
      <c r="COB365" s="277"/>
      <c r="COC365" s="261"/>
      <c r="COD365" s="118"/>
      <c r="COE365" s="219"/>
      <c r="COF365" s="247"/>
      <c r="COG365" s="647"/>
      <c r="COH365" s="626"/>
      <c r="COI365" s="640"/>
      <c r="COJ365" s="641"/>
      <c r="COK365" s="277"/>
      <c r="COL365" s="261"/>
      <c r="COM365" s="118"/>
      <c r="CON365" s="219"/>
      <c r="COO365" s="247"/>
      <c r="COP365" s="647"/>
      <c r="COQ365" s="626"/>
      <c r="COR365" s="640"/>
      <c r="COS365" s="641"/>
      <c r="COT365" s="277"/>
      <c r="COU365" s="261"/>
      <c r="COV365" s="118"/>
      <c r="COW365" s="219"/>
      <c r="COX365" s="247"/>
      <c r="COY365" s="647"/>
      <c r="COZ365" s="626"/>
      <c r="CPA365" s="640"/>
      <c r="CPB365" s="641"/>
      <c r="CPC365" s="277"/>
      <c r="CPD365" s="261"/>
      <c r="CPE365" s="118"/>
      <c r="CPF365" s="219"/>
      <c r="CPG365" s="247"/>
      <c r="CPH365" s="647"/>
      <c r="CPI365" s="626"/>
      <c r="CPJ365" s="640"/>
      <c r="CPK365" s="641"/>
      <c r="CPL365" s="277"/>
      <c r="CPM365" s="261"/>
      <c r="CPN365" s="118"/>
      <c r="CPO365" s="219"/>
      <c r="CPP365" s="247"/>
      <c r="CPQ365" s="647"/>
      <c r="CPR365" s="626"/>
      <c r="CPS365" s="640"/>
      <c r="CPT365" s="641"/>
      <c r="CPU365" s="277"/>
      <c r="CPV365" s="261"/>
      <c r="CPW365" s="118"/>
      <c r="CPX365" s="219"/>
      <c r="CPY365" s="247"/>
      <c r="CPZ365" s="647"/>
      <c r="CQA365" s="626"/>
      <c r="CQB365" s="640"/>
      <c r="CQC365" s="641"/>
      <c r="CQD365" s="277"/>
      <c r="CQE365" s="261"/>
      <c r="CQF365" s="118"/>
      <c r="CQG365" s="219"/>
      <c r="CQH365" s="247"/>
      <c r="CQI365" s="647"/>
      <c r="CQJ365" s="626"/>
      <c r="CQK365" s="640"/>
      <c r="CQL365" s="641"/>
      <c r="CQM365" s="277"/>
      <c r="CQN365" s="261"/>
      <c r="CQO365" s="118"/>
      <c r="CQP365" s="219"/>
      <c r="CQQ365" s="247"/>
      <c r="CQR365" s="647"/>
      <c r="CQS365" s="626"/>
      <c r="CQT365" s="640"/>
      <c r="CQU365" s="641"/>
      <c r="CQV365" s="277"/>
      <c r="CQW365" s="261"/>
      <c r="CQX365" s="118"/>
      <c r="CQY365" s="219"/>
      <c r="CQZ365" s="247"/>
      <c r="CRA365" s="647"/>
      <c r="CRB365" s="626"/>
      <c r="CRC365" s="640"/>
      <c r="CRD365" s="641"/>
      <c r="CRE365" s="277"/>
      <c r="CRF365" s="261"/>
      <c r="CRG365" s="118"/>
      <c r="CRH365" s="219"/>
      <c r="CRI365" s="247"/>
      <c r="CRJ365" s="647"/>
      <c r="CRK365" s="626"/>
      <c r="CRL365" s="640"/>
      <c r="CRM365" s="641"/>
      <c r="CRN365" s="277"/>
      <c r="CRO365" s="261"/>
      <c r="CRP365" s="118"/>
      <c r="CRQ365" s="219"/>
      <c r="CRR365" s="247"/>
      <c r="CRS365" s="647"/>
      <c r="CRT365" s="626"/>
      <c r="CRU365" s="640"/>
      <c r="CRV365" s="641"/>
      <c r="CRW365" s="277"/>
      <c r="CRX365" s="261"/>
      <c r="CRY365" s="118"/>
      <c r="CRZ365" s="219"/>
      <c r="CSA365" s="247"/>
      <c r="CSB365" s="647"/>
      <c r="CSC365" s="626"/>
      <c r="CSD365" s="640"/>
      <c r="CSE365" s="641"/>
      <c r="CSF365" s="277"/>
      <c r="CSG365" s="261"/>
      <c r="CSH365" s="118"/>
      <c r="CSI365" s="219"/>
      <c r="CSJ365" s="247"/>
      <c r="CSK365" s="647"/>
      <c r="CSL365" s="626"/>
      <c r="CSM365" s="640"/>
      <c r="CSN365" s="641"/>
      <c r="CSO365" s="277"/>
      <c r="CSP365" s="261"/>
      <c r="CSQ365" s="118"/>
      <c r="CSR365" s="219"/>
      <c r="CSS365" s="247"/>
      <c r="CST365" s="647"/>
      <c r="CSU365" s="626"/>
      <c r="CSV365" s="640"/>
      <c r="CSW365" s="641"/>
      <c r="CSX365" s="277"/>
      <c r="CSY365" s="261"/>
      <c r="CSZ365" s="118"/>
      <c r="CTA365" s="219"/>
      <c r="CTB365" s="247"/>
      <c r="CTC365" s="647"/>
      <c r="CTD365" s="626"/>
      <c r="CTE365" s="640"/>
      <c r="CTF365" s="641"/>
      <c r="CTG365" s="277"/>
      <c r="CTH365" s="261"/>
      <c r="CTI365" s="118"/>
      <c r="CTJ365" s="219"/>
      <c r="CTK365" s="247"/>
      <c r="CTL365" s="647"/>
      <c r="CTM365" s="626"/>
      <c r="CTN365" s="640"/>
      <c r="CTO365" s="641"/>
      <c r="CTP365" s="277"/>
      <c r="CTQ365" s="261"/>
      <c r="CTR365" s="118"/>
      <c r="CTS365" s="219"/>
      <c r="CTT365" s="247"/>
      <c r="CTU365" s="647"/>
      <c r="CTV365" s="626"/>
      <c r="CTW365" s="640"/>
      <c r="CTX365" s="641"/>
      <c r="CTY365" s="277"/>
      <c r="CTZ365" s="261"/>
      <c r="CUA365" s="118"/>
      <c r="CUB365" s="219"/>
      <c r="CUC365" s="247"/>
      <c r="CUD365" s="647"/>
      <c r="CUE365" s="626"/>
      <c r="CUF365" s="640"/>
      <c r="CUG365" s="641"/>
      <c r="CUH365" s="277"/>
      <c r="CUI365" s="261"/>
      <c r="CUJ365" s="118"/>
      <c r="CUK365" s="219"/>
      <c r="CUL365" s="247"/>
      <c r="CUM365" s="647"/>
      <c r="CUN365" s="626"/>
      <c r="CUO365" s="640"/>
      <c r="CUP365" s="641"/>
      <c r="CUQ365" s="277"/>
      <c r="CUR365" s="261"/>
      <c r="CUS365" s="118"/>
      <c r="CUT365" s="219"/>
      <c r="CUU365" s="247"/>
      <c r="CUV365" s="647"/>
      <c r="CUW365" s="626"/>
      <c r="CUX365" s="640"/>
      <c r="CUY365" s="641"/>
      <c r="CUZ365" s="277"/>
      <c r="CVA365" s="261"/>
      <c r="CVB365" s="118"/>
      <c r="CVC365" s="219"/>
      <c r="CVD365" s="247"/>
      <c r="CVE365" s="647"/>
      <c r="CVF365" s="626"/>
      <c r="CVG365" s="640"/>
      <c r="CVH365" s="641"/>
      <c r="CVI365" s="277"/>
      <c r="CVJ365" s="261"/>
      <c r="CVK365" s="118"/>
      <c r="CVL365" s="219"/>
      <c r="CVM365" s="247"/>
      <c r="CVN365" s="647"/>
      <c r="CVO365" s="626"/>
      <c r="CVP365" s="640"/>
      <c r="CVQ365" s="641"/>
      <c r="CVR365" s="277"/>
      <c r="CVS365" s="261"/>
      <c r="CVT365" s="118"/>
      <c r="CVU365" s="219"/>
      <c r="CVV365" s="247"/>
      <c r="CVW365" s="647"/>
      <c r="CVX365" s="626"/>
      <c r="CVY365" s="640"/>
      <c r="CVZ365" s="641"/>
      <c r="CWA365" s="277"/>
      <c r="CWB365" s="261"/>
      <c r="CWC365" s="118"/>
      <c r="CWD365" s="219"/>
      <c r="CWE365" s="247"/>
      <c r="CWF365" s="647"/>
      <c r="CWG365" s="626"/>
      <c r="CWH365" s="640"/>
      <c r="CWI365" s="641"/>
      <c r="CWJ365" s="277"/>
      <c r="CWK365" s="261"/>
      <c r="CWL365" s="118"/>
      <c r="CWM365" s="219"/>
      <c r="CWN365" s="247"/>
      <c r="CWO365" s="647"/>
      <c r="CWP365" s="626"/>
      <c r="CWQ365" s="640"/>
      <c r="CWR365" s="641"/>
      <c r="CWS365" s="277"/>
      <c r="CWT365" s="261"/>
      <c r="CWU365" s="118"/>
      <c r="CWV365" s="219"/>
      <c r="CWW365" s="247"/>
      <c r="CWX365" s="647"/>
      <c r="CWY365" s="626"/>
      <c r="CWZ365" s="640"/>
      <c r="CXA365" s="641"/>
      <c r="CXB365" s="277"/>
      <c r="CXC365" s="261"/>
      <c r="CXD365" s="118"/>
      <c r="CXE365" s="219"/>
      <c r="CXF365" s="247"/>
      <c r="CXG365" s="647"/>
      <c r="CXH365" s="626"/>
      <c r="CXI365" s="640"/>
      <c r="CXJ365" s="641"/>
      <c r="CXK365" s="277"/>
      <c r="CXL365" s="261"/>
      <c r="CXM365" s="118"/>
      <c r="CXN365" s="219"/>
      <c r="CXO365" s="247"/>
      <c r="CXP365" s="647"/>
      <c r="CXQ365" s="626"/>
      <c r="CXR365" s="640"/>
      <c r="CXS365" s="641"/>
      <c r="CXT365" s="277"/>
      <c r="CXU365" s="261"/>
      <c r="CXV365" s="118"/>
      <c r="CXW365" s="219"/>
      <c r="CXX365" s="247"/>
      <c r="CXY365" s="647"/>
      <c r="CXZ365" s="626"/>
      <c r="CYA365" s="640"/>
      <c r="CYB365" s="641"/>
      <c r="CYC365" s="277"/>
      <c r="CYD365" s="261"/>
      <c r="CYE365" s="118"/>
      <c r="CYF365" s="219"/>
      <c r="CYG365" s="247"/>
      <c r="CYH365" s="647"/>
      <c r="CYI365" s="626"/>
      <c r="CYJ365" s="640"/>
      <c r="CYK365" s="641"/>
      <c r="CYL365" s="277"/>
      <c r="CYM365" s="261"/>
      <c r="CYN365" s="118"/>
      <c r="CYO365" s="219"/>
      <c r="CYP365" s="247"/>
      <c r="CYQ365" s="647"/>
      <c r="CYR365" s="626"/>
      <c r="CYS365" s="640"/>
      <c r="CYT365" s="641"/>
      <c r="CYU365" s="277"/>
      <c r="CYV365" s="261"/>
      <c r="CYW365" s="118"/>
      <c r="CYX365" s="219"/>
      <c r="CYY365" s="247"/>
      <c r="CYZ365" s="647"/>
      <c r="CZA365" s="626"/>
      <c r="CZB365" s="640"/>
      <c r="CZC365" s="641"/>
      <c r="CZD365" s="277"/>
      <c r="CZE365" s="261"/>
      <c r="CZF365" s="118"/>
      <c r="CZG365" s="219"/>
      <c r="CZH365" s="247"/>
      <c r="CZI365" s="647"/>
      <c r="CZJ365" s="626"/>
      <c r="CZK365" s="640"/>
      <c r="CZL365" s="641"/>
      <c r="CZM365" s="277"/>
      <c r="CZN365" s="261"/>
      <c r="CZO365" s="118"/>
      <c r="CZP365" s="219"/>
      <c r="CZQ365" s="247"/>
      <c r="CZR365" s="647"/>
      <c r="CZS365" s="626"/>
      <c r="CZT365" s="640"/>
      <c r="CZU365" s="641"/>
      <c r="CZV365" s="277"/>
      <c r="CZW365" s="261"/>
      <c r="CZX365" s="118"/>
      <c r="CZY365" s="219"/>
      <c r="CZZ365" s="247"/>
      <c r="DAA365" s="647"/>
      <c r="DAB365" s="626"/>
      <c r="DAC365" s="640"/>
      <c r="DAD365" s="641"/>
      <c r="DAE365" s="277"/>
      <c r="DAF365" s="261"/>
      <c r="DAG365" s="118"/>
      <c r="DAH365" s="219"/>
      <c r="DAI365" s="247"/>
      <c r="DAJ365" s="647"/>
      <c r="DAK365" s="626"/>
      <c r="DAL365" s="640"/>
      <c r="DAM365" s="641"/>
      <c r="DAN365" s="277"/>
      <c r="DAO365" s="261"/>
      <c r="DAP365" s="118"/>
      <c r="DAQ365" s="219"/>
      <c r="DAR365" s="247"/>
      <c r="DAS365" s="647"/>
      <c r="DAT365" s="626"/>
      <c r="DAU365" s="640"/>
      <c r="DAV365" s="641"/>
      <c r="DAW365" s="277"/>
      <c r="DAX365" s="261"/>
      <c r="DAY365" s="118"/>
      <c r="DAZ365" s="219"/>
      <c r="DBA365" s="247"/>
      <c r="DBB365" s="647"/>
      <c r="DBC365" s="626"/>
      <c r="DBD365" s="640"/>
      <c r="DBE365" s="641"/>
      <c r="DBF365" s="277"/>
      <c r="DBG365" s="261"/>
      <c r="DBH365" s="118"/>
      <c r="DBI365" s="219"/>
      <c r="DBJ365" s="247"/>
      <c r="DBK365" s="647"/>
      <c r="DBL365" s="626"/>
      <c r="DBM365" s="640"/>
      <c r="DBN365" s="641"/>
      <c r="DBO365" s="277"/>
      <c r="DBP365" s="261"/>
      <c r="DBQ365" s="118"/>
      <c r="DBR365" s="219"/>
      <c r="DBS365" s="247"/>
      <c r="DBT365" s="647"/>
      <c r="DBU365" s="626"/>
      <c r="DBV365" s="640"/>
      <c r="DBW365" s="641"/>
      <c r="DBX365" s="277"/>
      <c r="DBY365" s="261"/>
      <c r="DBZ365" s="118"/>
      <c r="DCA365" s="219"/>
      <c r="DCB365" s="247"/>
      <c r="DCC365" s="647"/>
      <c r="DCD365" s="626"/>
      <c r="DCE365" s="640"/>
      <c r="DCF365" s="641"/>
      <c r="DCG365" s="277"/>
      <c r="DCH365" s="261"/>
      <c r="DCI365" s="118"/>
      <c r="DCJ365" s="219"/>
      <c r="DCK365" s="247"/>
      <c r="DCL365" s="647"/>
      <c r="DCM365" s="626"/>
      <c r="DCN365" s="640"/>
      <c r="DCO365" s="641"/>
      <c r="DCP365" s="277"/>
      <c r="DCQ365" s="261"/>
      <c r="DCR365" s="118"/>
      <c r="DCS365" s="219"/>
      <c r="DCT365" s="247"/>
      <c r="DCU365" s="647"/>
      <c r="DCV365" s="626"/>
      <c r="DCW365" s="640"/>
      <c r="DCX365" s="641"/>
      <c r="DCY365" s="277"/>
      <c r="DCZ365" s="261"/>
      <c r="DDA365" s="118"/>
      <c r="DDB365" s="219"/>
      <c r="DDC365" s="247"/>
      <c r="DDD365" s="647"/>
      <c r="DDE365" s="626"/>
      <c r="DDF365" s="640"/>
      <c r="DDG365" s="641"/>
      <c r="DDH365" s="277"/>
      <c r="DDI365" s="261"/>
      <c r="DDJ365" s="118"/>
      <c r="DDK365" s="219"/>
      <c r="DDL365" s="247"/>
      <c r="DDM365" s="647"/>
      <c r="DDN365" s="626"/>
      <c r="DDO365" s="640"/>
      <c r="DDP365" s="641"/>
      <c r="DDQ365" s="277"/>
      <c r="DDR365" s="261"/>
      <c r="DDS365" s="118"/>
      <c r="DDT365" s="219"/>
      <c r="DDU365" s="247"/>
      <c r="DDV365" s="647"/>
      <c r="DDW365" s="626"/>
      <c r="DDX365" s="640"/>
      <c r="DDY365" s="641"/>
      <c r="DDZ365" s="277"/>
      <c r="DEA365" s="261"/>
      <c r="DEB365" s="118"/>
      <c r="DEC365" s="219"/>
      <c r="DED365" s="247"/>
      <c r="DEE365" s="647"/>
      <c r="DEF365" s="626"/>
      <c r="DEG365" s="640"/>
      <c r="DEH365" s="641"/>
      <c r="DEI365" s="277"/>
      <c r="DEJ365" s="261"/>
      <c r="DEK365" s="118"/>
      <c r="DEL365" s="219"/>
      <c r="DEM365" s="247"/>
      <c r="DEN365" s="647"/>
      <c r="DEO365" s="626"/>
      <c r="DEP365" s="640"/>
      <c r="DEQ365" s="641"/>
      <c r="DER365" s="277"/>
      <c r="DES365" s="261"/>
      <c r="DET365" s="118"/>
      <c r="DEU365" s="219"/>
      <c r="DEV365" s="247"/>
      <c r="DEW365" s="647"/>
      <c r="DEX365" s="626"/>
      <c r="DEY365" s="640"/>
      <c r="DEZ365" s="641"/>
      <c r="DFA365" s="277"/>
      <c r="DFB365" s="261"/>
      <c r="DFC365" s="118"/>
      <c r="DFD365" s="219"/>
      <c r="DFE365" s="247"/>
      <c r="DFF365" s="647"/>
      <c r="DFG365" s="626"/>
      <c r="DFH365" s="640"/>
      <c r="DFI365" s="641"/>
      <c r="DFJ365" s="277"/>
      <c r="DFK365" s="261"/>
      <c r="DFL365" s="118"/>
      <c r="DFM365" s="219"/>
      <c r="DFN365" s="247"/>
      <c r="DFO365" s="647"/>
      <c r="DFP365" s="626"/>
      <c r="DFQ365" s="640"/>
      <c r="DFR365" s="641"/>
      <c r="DFS365" s="277"/>
      <c r="DFT365" s="261"/>
      <c r="DFU365" s="118"/>
      <c r="DFV365" s="219"/>
      <c r="DFW365" s="247"/>
      <c r="DFX365" s="647"/>
      <c r="DFY365" s="626"/>
      <c r="DFZ365" s="640"/>
      <c r="DGA365" s="641"/>
      <c r="DGB365" s="277"/>
      <c r="DGC365" s="261"/>
      <c r="DGD365" s="118"/>
      <c r="DGE365" s="219"/>
      <c r="DGF365" s="247"/>
      <c r="DGG365" s="647"/>
      <c r="DGH365" s="626"/>
      <c r="DGI365" s="640"/>
      <c r="DGJ365" s="641"/>
      <c r="DGK365" s="277"/>
      <c r="DGL365" s="261"/>
      <c r="DGM365" s="118"/>
      <c r="DGN365" s="219"/>
      <c r="DGO365" s="247"/>
      <c r="DGP365" s="647"/>
      <c r="DGQ365" s="626"/>
      <c r="DGR365" s="640"/>
      <c r="DGS365" s="641"/>
      <c r="DGT365" s="277"/>
      <c r="DGU365" s="261"/>
      <c r="DGV365" s="118"/>
      <c r="DGW365" s="219"/>
      <c r="DGX365" s="247"/>
      <c r="DGY365" s="647"/>
      <c r="DGZ365" s="626"/>
      <c r="DHA365" s="640"/>
      <c r="DHB365" s="641"/>
      <c r="DHC365" s="277"/>
      <c r="DHD365" s="261"/>
      <c r="DHE365" s="118"/>
      <c r="DHF365" s="219"/>
      <c r="DHG365" s="247"/>
      <c r="DHH365" s="647"/>
      <c r="DHI365" s="626"/>
      <c r="DHJ365" s="640"/>
      <c r="DHK365" s="641"/>
      <c r="DHL365" s="277"/>
      <c r="DHM365" s="261"/>
      <c r="DHN365" s="118"/>
      <c r="DHO365" s="219"/>
      <c r="DHP365" s="247"/>
      <c r="DHQ365" s="647"/>
      <c r="DHR365" s="626"/>
      <c r="DHS365" s="640"/>
      <c r="DHT365" s="641"/>
      <c r="DHU365" s="277"/>
      <c r="DHV365" s="261"/>
      <c r="DHW365" s="118"/>
      <c r="DHX365" s="219"/>
      <c r="DHY365" s="247"/>
      <c r="DHZ365" s="647"/>
      <c r="DIA365" s="626"/>
      <c r="DIB365" s="640"/>
      <c r="DIC365" s="641"/>
      <c r="DID365" s="277"/>
      <c r="DIE365" s="261"/>
      <c r="DIF365" s="118"/>
      <c r="DIG365" s="219"/>
      <c r="DIH365" s="247"/>
      <c r="DII365" s="647"/>
      <c r="DIJ365" s="626"/>
      <c r="DIK365" s="640"/>
      <c r="DIL365" s="641"/>
      <c r="DIM365" s="277"/>
      <c r="DIN365" s="261"/>
      <c r="DIO365" s="118"/>
      <c r="DIP365" s="219"/>
      <c r="DIQ365" s="247"/>
      <c r="DIR365" s="647"/>
      <c r="DIS365" s="626"/>
      <c r="DIT365" s="640"/>
      <c r="DIU365" s="641"/>
      <c r="DIV365" s="277"/>
      <c r="DIW365" s="261"/>
      <c r="DIX365" s="118"/>
      <c r="DIY365" s="219"/>
      <c r="DIZ365" s="247"/>
      <c r="DJA365" s="647"/>
      <c r="DJB365" s="626"/>
      <c r="DJC365" s="640"/>
      <c r="DJD365" s="641"/>
      <c r="DJE365" s="277"/>
      <c r="DJF365" s="261"/>
      <c r="DJG365" s="118"/>
      <c r="DJH365" s="219"/>
      <c r="DJI365" s="247"/>
      <c r="DJJ365" s="647"/>
      <c r="DJK365" s="626"/>
      <c r="DJL365" s="640"/>
      <c r="DJM365" s="641"/>
      <c r="DJN365" s="277"/>
      <c r="DJO365" s="261"/>
      <c r="DJP365" s="118"/>
      <c r="DJQ365" s="219"/>
      <c r="DJR365" s="247"/>
      <c r="DJS365" s="647"/>
      <c r="DJT365" s="626"/>
      <c r="DJU365" s="640"/>
      <c r="DJV365" s="641"/>
      <c r="DJW365" s="277"/>
      <c r="DJX365" s="261"/>
      <c r="DJY365" s="118"/>
      <c r="DJZ365" s="219"/>
      <c r="DKA365" s="247"/>
      <c r="DKB365" s="647"/>
      <c r="DKC365" s="626"/>
      <c r="DKD365" s="640"/>
      <c r="DKE365" s="641"/>
      <c r="DKF365" s="277"/>
      <c r="DKG365" s="261"/>
      <c r="DKH365" s="118"/>
      <c r="DKI365" s="219"/>
      <c r="DKJ365" s="247"/>
      <c r="DKK365" s="647"/>
      <c r="DKL365" s="626"/>
      <c r="DKM365" s="640"/>
      <c r="DKN365" s="641"/>
      <c r="DKO365" s="277"/>
      <c r="DKP365" s="261"/>
      <c r="DKQ365" s="118"/>
      <c r="DKR365" s="219"/>
      <c r="DKS365" s="247"/>
      <c r="DKT365" s="647"/>
      <c r="DKU365" s="626"/>
      <c r="DKV365" s="640"/>
      <c r="DKW365" s="641"/>
      <c r="DKX365" s="277"/>
      <c r="DKY365" s="261"/>
      <c r="DKZ365" s="118"/>
      <c r="DLA365" s="219"/>
      <c r="DLB365" s="247"/>
      <c r="DLC365" s="647"/>
      <c r="DLD365" s="626"/>
      <c r="DLE365" s="640"/>
      <c r="DLF365" s="641"/>
      <c r="DLG365" s="277"/>
      <c r="DLH365" s="261"/>
      <c r="DLI365" s="118"/>
      <c r="DLJ365" s="219"/>
      <c r="DLK365" s="247"/>
      <c r="DLL365" s="647"/>
      <c r="DLM365" s="626"/>
      <c r="DLN365" s="640"/>
      <c r="DLO365" s="641"/>
      <c r="DLP365" s="277"/>
      <c r="DLQ365" s="261"/>
      <c r="DLR365" s="118"/>
      <c r="DLS365" s="219"/>
      <c r="DLT365" s="247"/>
      <c r="DLU365" s="647"/>
      <c r="DLV365" s="626"/>
      <c r="DLW365" s="640"/>
      <c r="DLX365" s="641"/>
      <c r="DLY365" s="277"/>
      <c r="DLZ365" s="261"/>
      <c r="DMA365" s="118"/>
      <c r="DMB365" s="219"/>
      <c r="DMC365" s="247"/>
      <c r="DMD365" s="647"/>
      <c r="DME365" s="626"/>
      <c r="DMF365" s="640"/>
      <c r="DMG365" s="641"/>
      <c r="DMH365" s="277"/>
      <c r="DMI365" s="261"/>
      <c r="DMJ365" s="118"/>
      <c r="DMK365" s="219"/>
      <c r="DML365" s="247"/>
      <c r="DMM365" s="647"/>
      <c r="DMN365" s="626"/>
      <c r="DMO365" s="640"/>
      <c r="DMP365" s="641"/>
      <c r="DMQ365" s="277"/>
      <c r="DMR365" s="261"/>
      <c r="DMS365" s="118"/>
      <c r="DMT365" s="219"/>
      <c r="DMU365" s="247"/>
      <c r="DMV365" s="647"/>
      <c r="DMW365" s="626"/>
      <c r="DMX365" s="640"/>
      <c r="DMY365" s="641"/>
      <c r="DMZ365" s="277"/>
      <c r="DNA365" s="261"/>
      <c r="DNB365" s="118"/>
      <c r="DNC365" s="219"/>
      <c r="DND365" s="247"/>
      <c r="DNE365" s="647"/>
      <c r="DNF365" s="626"/>
      <c r="DNG365" s="640"/>
      <c r="DNH365" s="641"/>
      <c r="DNI365" s="277"/>
      <c r="DNJ365" s="261"/>
      <c r="DNK365" s="118"/>
      <c r="DNL365" s="219"/>
      <c r="DNM365" s="247"/>
      <c r="DNN365" s="647"/>
      <c r="DNO365" s="626"/>
      <c r="DNP365" s="640"/>
      <c r="DNQ365" s="641"/>
      <c r="DNR365" s="277"/>
      <c r="DNS365" s="261"/>
      <c r="DNT365" s="118"/>
      <c r="DNU365" s="219"/>
      <c r="DNV365" s="247"/>
      <c r="DNW365" s="647"/>
      <c r="DNX365" s="626"/>
      <c r="DNY365" s="640"/>
      <c r="DNZ365" s="641"/>
      <c r="DOA365" s="277"/>
      <c r="DOB365" s="261"/>
      <c r="DOC365" s="118"/>
      <c r="DOD365" s="219"/>
      <c r="DOE365" s="247"/>
      <c r="DOF365" s="647"/>
      <c r="DOG365" s="626"/>
      <c r="DOH365" s="640"/>
      <c r="DOI365" s="641"/>
      <c r="DOJ365" s="277"/>
      <c r="DOK365" s="261"/>
      <c r="DOL365" s="118"/>
      <c r="DOM365" s="219"/>
      <c r="DON365" s="247"/>
      <c r="DOO365" s="647"/>
      <c r="DOP365" s="626"/>
      <c r="DOQ365" s="640"/>
      <c r="DOR365" s="641"/>
      <c r="DOS365" s="277"/>
      <c r="DOT365" s="261"/>
      <c r="DOU365" s="118"/>
      <c r="DOV365" s="219"/>
      <c r="DOW365" s="247"/>
      <c r="DOX365" s="647"/>
      <c r="DOY365" s="626"/>
      <c r="DOZ365" s="640"/>
      <c r="DPA365" s="641"/>
      <c r="DPB365" s="277"/>
      <c r="DPC365" s="261"/>
      <c r="DPD365" s="118"/>
      <c r="DPE365" s="219"/>
      <c r="DPF365" s="247"/>
      <c r="DPG365" s="647"/>
      <c r="DPH365" s="626"/>
      <c r="DPI365" s="640"/>
      <c r="DPJ365" s="641"/>
      <c r="DPK365" s="277"/>
      <c r="DPL365" s="261"/>
      <c r="DPM365" s="118"/>
      <c r="DPN365" s="219"/>
      <c r="DPO365" s="247"/>
      <c r="DPP365" s="647"/>
      <c r="DPQ365" s="626"/>
      <c r="DPR365" s="640"/>
      <c r="DPS365" s="641"/>
      <c r="DPT365" s="277"/>
      <c r="DPU365" s="261"/>
      <c r="DPV365" s="118"/>
      <c r="DPW365" s="219"/>
      <c r="DPX365" s="247"/>
      <c r="DPY365" s="647"/>
      <c r="DPZ365" s="626"/>
      <c r="DQA365" s="640"/>
      <c r="DQB365" s="641"/>
      <c r="DQC365" s="277"/>
      <c r="DQD365" s="261"/>
      <c r="DQE365" s="118"/>
      <c r="DQF365" s="219"/>
      <c r="DQG365" s="247"/>
      <c r="DQH365" s="647"/>
      <c r="DQI365" s="626"/>
      <c r="DQJ365" s="640"/>
      <c r="DQK365" s="641"/>
      <c r="DQL365" s="277"/>
      <c r="DQM365" s="261"/>
      <c r="DQN365" s="118"/>
      <c r="DQO365" s="219"/>
      <c r="DQP365" s="247"/>
      <c r="DQQ365" s="647"/>
      <c r="DQR365" s="626"/>
      <c r="DQS365" s="640"/>
      <c r="DQT365" s="641"/>
      <c r="DQU365" s="277"/>
      <c r="DQV365" s="261"/>
      <c r="DQW365" s="118"/>
      <c r="DQX365" s="219"/>
      <c r="DQY365" s="247"/>
      <c r="DQZ365" s="647"/>
      <c r="DRA365" s="626"/>
      <c r="DRB365" s="640"/>
      <c r="DRC365" s="641"/>
      <c r="DRD365" s="277"/>
      <c r="DRE365" s="261"/>
      <c r="DRF365" s="118"/>
      <c r="DRG365" s="219"/>
      <c r="DRH365" s="247"/>
      <c r="DRI365" s="647"/>
      <c r="DRJ365" s="626"/>
      <c r="DRK365" s="640"/>
      <c r="DRL365" s="641"/>
      <c r="DRM365" s="277"/>
      <c r="DRN365" s="261"/>
      <c r="DRO365" s="118"/>
      <c r="DRP365" s="219"/>
      <c r="DRQ365" s="247"/>
      <c r="DRR365" s="647"/>
      <c r="DRS365" s="626"/>
      <c r="DRT365" s="640"/>
      <c r="DRU365" s="641"/>
      <c r="DRV365" s="277"/>
      <c r="DRW365" s="261"/>
      <c r="DRX365" s="118"/>
      <c r="DRY365" s="219"/>
      <c r="DRZ365" s="247"/>
      <c r="DSA365" s="647"/>
      <c r="DSB365" s="626"/>
      <c r="DSC365" s="640"/>
      <c r="DSD365" s="641"/>
      <c r="DSE365" s="277"/>
      <c r="DSF365" s="261"/>
      <c r="DSG365" s="118"/>
      <c r="DSH365" s="219"/>
      <c r="DSI365" s="247"/>
      <c r="DSJ365" s="647"/>
      <c r="DSK365" s="626"/>
      <c r="DSL365" s="640"/>
      <c r="DSM365" s="641"/>
      <c r="DSN365" s="277"/>
      <c r="DSO365" s="261"/>
      <c r="DSP365" s="118"/>
      <c r="DSQ365" s="219"/>
      <c r="DSR365" s="247"/>
      <c r="DSS365" s="647"/>
      <c r="DST365" s="626"/>
      <c r="DSU365" s="640"/>
      <c r="DSV365" s="641"/>
      <c r="DSW365" s="277"/>
      <c r="DSX365" s="261"/>
      <c r="DSY365" s="118"/>
      <c r="DSZ365" s="219"/>
      <c r="DTA365" s="247"/>
      <c r="DTB365" s="647"/>
      <c r="DTC365" s="626"/>
      <c r="DTD365" s="640"/>
      <c r="DTE365" s="641"/>
      <c r="DTF365" s="277"/>
      <c r="DTG365" s="261"/>
      <c r="DTH365" s="118"/>
      <c r="DTI365" s="219"/>
      <c r="DTJ365" s="247"/>
      <c r="DTK365" s="647"/>
      <c r="DTL365" s="626"/>
      <c r="DTM365" s="640"/>
      <c r="DTN365" s="641"/>
      <c r="DTO365" s="277"/>
      <c r="DTP365" s="261"/>
      <c r="DTQ365" s="118"/>
      <c r="DTR365" s="219"/>
      <c r="DTS365" s="247"/>
      <c r="DTT365" s="647"/>
      <c r="DTU365" s="626"/>
      <c r="DTV365" s="640"/>
      <c r="DTW365" s="641"/>
      <c r="DTX365" s="277"/>
      <c r="DTY365" s="261"/>
      <c r="DTZ365" s="118"/>
      <c r="DUA365" s="219"/>
      <c r="DUB365" s="247"/>
      <c r="DUC365" s="647"/>
      <c r="DUD365" s="626"/>
      <c r="DUE365" s="640"/>
      <c r="DUF365" s="641"/>
      <c r="DUG365" s="277"/>
      <c r="DUH365" s="261"/>
      <c r="DUI365" s="118"/>
      <c r="DUJ365" s="219"/>
      <c r="DUK365" s="247"/>
      <c r="DUL365" s="647"/>
      <c r="DUM365" s="626"/>
      <c r="DUN365" s="640"/>
      <c r="DUO365" s="641"/>
      <c r="DUP365" s="277"/>
      <c r="DUQ365" s="261"/>
      <c r="DUR365" s="118"/>
      <c r="DUS365" s="219"/>
      <c r="DUT365" s="247"/>
      <c r="DUU365" s="647"/>
      <c r="DUV365" s="626"/>
      <c r="DUW365" s="640"/>
      <c r="DUX365" s="641"/>
      <c r="DUY365" s="277"/>
      <c r="DUZ365" s="261"/>
      <c r="DVA365" s="118"/>
      <c r="DVB365" s="219"/>
      <c r="DVC365" s="247"/>
      <c r="DVD365" s="647"/>
      <c r="DVE365" s="626"/>
      <c r="DVF365" s="640"/>
      <c r="DVG365" s="641"/>
      <c r="DVH365" s="277"/>
      <c r="DVI365" s="261"/>
      <c r="DVJ365" s="118"/>
      <c r="DVK365" s="219"/>
      <c r="DVL365" s="247"/>
      <c r="DVM365" s="647"/>
      <c r="DVN365" s="626"/>
      <c r="DVO365" s="640"/>
      <c r="DVP365" s="641"/>
      <c r="DVQ365" s="277"/>
      <c r="DVR365" s="261"/>
      <c r="DVS365" s="118"/>
      <c r="DVT365" s="219"/>
      <c r="DVU365" s="247"/>
      <c r="DVV365" s="647"/>
      <c r="DVW365" s="626"/>
      <c r="DVX365" s="640"/>
      <c r="DVY365" s="641"/>
      <c r="DVZ365" s="277"/>
      <c r="DWA365" s="261"/>
      <c r="DWB365" s="118"/>
      <c r="DWC365" s="219"/>
      <c r="DWD365" s="247"/>
      <c r="DWE365" s="647"/>
      <c r="DWF365" s="626"/>
      <c r="DWG365" s="640"/>
      <c r="DWH365" s="641"/>
      <c r="DWI365" s="277"/>
      <c r="DWJ365" s="261"/>
      <c r="DWK365" s="118"/>
      <c r="DWL365" s="219"/>
      <c r="DWM365" s="247"/>
      <c r="DWN365" s="647"/>
      <c r="DWO365" s="626"/>
      <c r="DWP365" s="640"/>
      <c r="DWQ365" s="641"/>
      <c r="DWR365" s="277"/>
      <c r="DWS365" s="261"/>
      <c r="DWT365" s="118"/>
      <c r="DWU365" s="219"/>
      <c r="DWV365" s="247"/>
      <c r="DWW365" s="647"/>
      <c r="DWX365" s="626"/>
      <c r="DWY365" s="640"/>
      <c r="DWZ365" s="641"/>
      <c r="DXA365" s="277"/>
      <c r="DXB365" s="261"/>
      <c r="DXC365" s="118"/>
      <c r="DXD365" s="219"/>
      <c r="DXE365" s="247"/>
      <c r="DXF365" s="647"/>
      <c r="DXG365" s="626"/>
      <c r="DXH365" s="640"/>
      <c r="DXI365" s="641"/>
      <c r="DXJ365" s="277"/>
      <c r="DXK365" s="261"/>
      <c r="DXL365" s="118"/>
      <c r="DXM365" s="219"/>
      <c r="DXN365" s="247"/>
      <c r="DXO365" s="647"/>
      <c r="DXP365" s="626"/>
      <c r="DXQ365" s="640"/>
      <c r="DXR365" s="641"/>
      <c r="DXS365" s="277"/>
      <c r="DXT365" s="261"/>
      <c r="DXU365" s="118"/>
      <c r="DXV365" s="219"/>
      <c r="DXW365" s="247"/>
      <c r="DXX365" s="647"/>
      <c r="DXY365" s="626"/>
      <c r="DXZ365" s="640"/>
      <c r="DYA365" s="641"/>
      <c r="DYB365" s="277"/>
      <c r="DYC365" s="261"/>
      <c r="DYD365" s="118"/>
      <c r="DYE365" s="219"/>
      <c r="DYF365" s="247"/>
      <c r="DYG365" s="647"/>
      <c r="DYH365" s="626"/>
      <c r="DYI365" s="640"/>
      <c r="DYJ365" s="641"/>
      <c r="DYK365" s="277"/>
      <c r="DYL365" s="261"/>
      <c r="DYM365" s="118"/>
      <c r="DYN365" s="219"/>
      <c r="DYO365" s="247"/>
      <c r="DYP365" s="647"/>
      <c r="DYQ365" s="626"/>
      <c r="DYR365" s="640"/>
      <c r="DYS365" s="641"/>
      <c r="DYT365" s="277"/>
      <c r="DYU365" s="261"/>
      <c r="DYV365" s="118"/>
      <c r="DYW365" s="219"/>
      <c r="DYX365" s="247"/>
      <c r="DYY365" s="647"/>
      <c r="DYZ365" s="626"/>
      <c r="DZA365" s="640"/>
      <c r="DZB365" s="641"/>
      <c r="DZC365" s="277"/>
      <c r="DZD365" s="261"/>
      <c r="DZE365" s="118"/>
      <c r="DZF365" s="219"/>
      <c r="DZG365" s="247"/>
      <c r="DZH365" s="647"/>
      <c r="DZI365" s="626"/>
      <c r="DZJ365" s="640"/>
      <c r="DZK365" s="641"/>
      <c r="DZL365" s="277"/>
      <c r="DZM365" s="261"/>
      <c r="DZN365" s="118"/>
      <c r="DZO365" s="219"/>
      <c r="DZP365" s="247"/>
      <c r="DZQ365" s="647"/>
      <c r="DZR365" s="626"/>
      <c r="DZS365" s="640"/>
      <c r="DZT365" s="641"/>
      <c r="DZU365" s="277"/>
      <c r="DZV365" s="261"/>
      <c r="DZW365" s="118"/>
      <c r="DZX365" s="219"/>
      <c r="DZY365" s="247"/>
      <c r="DZZ365" s="647"/>
      <c r="EAA365" s="626"/>
      <c r="EAB365" s="640"/>
      <c r="EAC365" s="641"/>
      <c r="EAD365" s="277"/>
      <c r="EAE365" s="261"/>
      <c r="EAF365" s="118"/>
      <c r="EAG365" s="219"/>
      <c r="EAH365" s="247"/>
      <c r="EAI365" s="647"/>
      <c r="EAJ365" s="626"/>
      <c r="EAK365" s="640"/>
      <c r="EAL365" s="641"/>
      <c r="EAM365" s="277"/>
      <c r="EAN365" s="261"/>
      <c r="EAO365" s="118"/>
      <c r="EAP365" s="219"/>
      <c r="EAQ365" s="247"/>
      <c r="EAR365" s="647"/>
      <c r="EAS365" s="626"/>
      <c r="EAT365" s="640"/>
      <c r="EAU365" s="641"/>
      <c r="EAV365" s="277"/>
      <c r="EAW365" s="261"/>
      <c r="EAX365" s="118"/>
      <c r="EAY365" s="219"/>
      <c r="EAZ365" s="247"/>
      <c r="EBA365" s="647"/>
      <c r="EBB365" s="626"/>
      <c r="EBC365" s="640"/>
      <c r="EBD365" s="641"/>
      <c r="EBE365" s="277"/>
      <c r="EBF365" s="261"/>
      <c r="EBG365" s="118"/>
      <c r="EBH365" s="219"/>
      <c r="EBI365" s="247"/>
      <c r="EBJ365" s="647"/>
      <c r="EBK365" s="626"/>
      <c r="EBL365" s="640"/>
      <c r="EBM365" s="641"/>
      <c r="EBN365" s="277"/>
      <c r="EBO365" s="261"/>
      <c r="EBP365" s="118"/>
      <c r="EBQ365" s="219"/>
      <c r="EBR365" s="247"/>
      <c r="EBS365" s="647"/>
      <c r="EBT365" s="626"/>
      <c r="EBU365" s="640"/>
      <c r="EBV365" s="641"/>
      <c r="EBW365" s="277"/>
      <c r="EBX365" s="261"/>
      <c r="EBY365" s="118"/>
      <c r="EBZ365" s="219"/>
      <c r="ECA365" s="247"/>
      <c r="ECB365" s="647"/>
      <c r="ECC365" s="626"/>
      <c r="ECD365" s="640"/>
      <c r="ECE365" s="641"/>
      <c r="ECF365" s="277"/>
      <c r="ECG365" s="261"/>
      <c r="ECH365" s="118"/>
      <c r="ECI365" s="219"/>
      <c r="ECJ365" s="247"/>
      <c r="ECK365" s="647"/>
      <c r="ECL365" s="626"/>
      <c r="ECM365" s="640"/>
      <c r="ECN365" s="641"/>
      <c r="ECO365" s="277"/>
      <c r="ECP365" s="261"/>
      <c r="ECQ365" s="118"/>
      <c r="ECR365" s="219"/>
      <c r="ECS365" s="247"/>
      <c r="ECT365" s="647"/>
      <c r="ECU365" s="626"/>
      <c r="ECV365" s="640"/>
      <c r="ECW365" s="641"/>
      <c r="ECX365" s="277"/>
      <c r="ECY365" s="261"/>
      <c r="ECZ365" s="118"/>
      <c r="EDA365" s="219"/>
      <c r="EDB365" s="247"/>
      <c r="EDC365" s="647"/>
      <c r="EDD365" s="626"/>
      <c r="EDE365" s="640"/>
      <c r="EDF365" s="641"/>
      <c r="EDG365" s="277"/>
      <c r="EDH365" s="261"/>
      <c r="EDI365" s="118"/>
      <c r="EDJ365" s="219"/>
      <c r="EDK365" s="247"/>
      <c r="EDL365" s="647"/>
      <c r="EDM365" s="626"/>
      <c r="EDN365" s="640"/>
      <c r="EDO365" s="641"/>
      <c r="EDP365" s="277"/>
      <c r="EDQ365" s="261"/>
      <c r="EDR365" s="118"/>
      <c r="EDS365" s="219"/>
      <c r="EDT365" s="247"/>
      <c r="EDU365" s="647"/>
      <c r="EDV365" s="626"/>
      <c r="EDW365" s="640"/>
      <c r="EDX365" s="641"/>
      <c r="EDY365" s="277"/>
      <c r="EDZ365" s="261"/>
      <c r="EEA365" s="118"/>
      <c r="EEB365" s="219"/>
      <c r="EEC365" s="247"/>
      <c r="EED365" s="647"/>
      <c r="EEE365" s="626"/>
      <c r="EEF365" s="640"/>
      <c r="EEG365" s="641"/>
      <c r="EEH365" s="277"/>
      <c r="EEI365" s="261"/>
      <c r="EEJ365" s="118"/>
      <c r="EEK365" s="219"/>
      <c r="EEL365" s="247"/>
      <c r="EEM365" s="647"/>
      <c r="EEN365" s="626"/>
      <c r="EEO365" s="640"/>
      <c r="EEP365" s="641"/>
      <c r="EEQ365" s="277"/>
      <c r="EER365" s="261"/>
      <c r="EES365" s="118"/>
      <c r="EET365" s="219"/>
      <c r="EEU365" s="247"/>
      <c r="EEV365" s="647"/>
      <c r="EEW365" s="626"/>
      <c r="EEX365" s="640"/>
      <c r="EEY365" s="641"/>
      <c r="EEZ365" s="277"/>
      <c r="EFA365" s="261"/>
      <c r="EFB365" s="118"/>
      <c r="EFC365" s="219"/>
      <c r="EFD365" s="247"/>
      <c r="EFE365" s="647"/>
      <c r="EFF365" s="626"/>
      <c r="EFG365" s="640"/>
      <c r="EFH365" s="641"/>
      <c r="EFI365" s="277"/>
      <c r="EFJ365" s="261"/>
      <c r="EFK365" s="118"/>
      <c r="EFL365" s="219"/>
      <c r="EFM365" s="247"/>
      <c r="EFN365" s="647"/>
      <c r="EFO365" s="626"/>
      <c r="EFP365" s="640"/>
      <c r="EFQ365" s="641"/>
      <c r="EFR365" s="277"/>
      <c r="EFS365" s="261"/>
      <c r="EFT365" s="118"/>
      <c r="EFU365" s="219"/>
      <c r="EFV365" s="247"/>
      <c r="EFW365" s="647"/>
      <c r="EFX365" s="626"/>
      <c r="EFY365" s="640"/>
      <c r="EFZ365" s="641"/>
      <c r="EGA365" s="277"/>
      <c r="EGB365" s="261"/>
      <c r="EGC365" s="118"/>
      <c r="EGD365" s="219"/>
      <c r="EGE365" s="247"/>
      <c r="EGF365" s="647"/>
      <c r="EGG365" s="626"/>
      <c r="EGH365" s="640"/>
      <c r="EGI365" s="641"/>
      <c r="EGJ365" s="277"/>
      <c r="EGK365" s="261"/>
      <c r="EGL365" s="118"/>
      <c r="EGM365" s="219"/>
      <c r="EGN365" s="247"/>
      <c r="EGO365" s="647"/>
      <c r="EGP365" s="626"/>
      <c r="EGQ365" s="640"/>
      <c r="EGR365" s="641"/>
      <c r="EGS365" s="277"/>
      <c r="EGT365" s="261"/>
      <c r="EGU365" s="118"/>
      <c r="EGV365" s="219"/>
      <c r="EGW365" s="247"/>
      <c r="EGX365" s="647"/>
      <c r="EGY365" s="626"/>
      <c r="EGZ365" s="640"/>
      <c r="EHA365" s="641"/>
      <c r="EHB365" s="277"/>
      <c r="EHC365" s="261"/>
      <c r="EHD365" s="118"/>
      <c r="EHE365" s="219"/>
      <c r="EHF365" s="247"/>
      <c r="EHG365" s="647"/>
      <c r="EHH365" s="626"/>
      <c r="EHI365" s="640"/>
      <c r="EHJ365" s="641"/>
      <c r="EHK365" s="277"/>
      <c r="EHL365" s="261"/>
      <c r="EHM365" s="118"/>
      <c r="EHN365" s="219"/>
      <c r="EHO365" s="247"/>
      <c r="EHP365" s="647"/>
      <c r="EHQ365" s="626"/>
      <c r="EHR365" s="640"/>
      <c r="EHS365" s="641"/>
      <c r="EHT365" s="277"/>
      <c r="EHU365" s="261"/>
      <c r="EHV365" s="118"/>
      <c r="EHW365" s="219"/>
      <c r="EHX365" s="247"/>
      <c r="EHY365" s="647"/>
      <c r="EHZ365" s="626"/>
      <c r="EIA365" s="640"/>
      <c r="EIB365" s="641"/>
      <c r="EIC365" s="277"/>
      <c r="EID365" s="261"/>
      <c r="EIE365" s="118"/>
      <c r="EIF365" s="219"/>
      <c r="EIG365" s="247"/>
      <c r="EIH365" s="647"/>
      <c r="EII365" s="626"/>
      <c r="EIJ365" s="640"/>
      <c r="EIK365" s="641"/>
      <c r="EIL365" s="277"/>
      <c r="EIM365" s="261"/>
      <c r="EIN365" s="118"/>
      <c r="EIO365" s="219"/>
      <c r="EIP365" s="247"/>
      <c r="EIQ365" s="647"/>
      <c r="EIR365" s="626"/>
      <c r="EIS365" s="640"/>
      <c r="EIT365" s="641"/>
      <c r="EIU365" s="277"/>
      <c r="EIV365" s="261"/>
      <c r="EIW365" s="118"/>
      <c r="EIX365" s="219"/>
      <c r="EIY365" s="247"/>
      <c r="EIZ365" s="647"/>
      <c r="EJA365" s="626"/>
      <c r="EJB365" s="640"/>
      <c r="EJC365" s="641"/>
      <c r="EJD365" s="277"/>
      <c r="EJE365" s="261"/>
      <c r="EJF365" s="118"/>
      <c r="EJG365" s="219"/>
      <c r="EJH365" s="247"/>
      <c r="EJI365" s="647"/>
      <c r="EJJ365" s="626"/>
      <c r="EJK365" s="640"/>
      <c r="EJL365" s="641"/>
      <c r="EJM365" s="277"/>
      <c r="EJN365" s="261"/>
      <c r="EJO365" s="118"/>
      <c r="EJP365" s="219"/>
      <c r="EJQ365" s="247"/>
      <c r="EJR365" s="647"/>
      <c r="EJS365" s="626"/>
      <c r="EJT365" s="640"/>
      <c r="EJU365" s="641"/>
      <c r="EJV365" s="277"/>
      <c r="EJW365" s="261"/>
      <c r="EJX365" s="118"/>
      <c r="EJY365" s="219"/>
      <c r="EJZ365" s="247"/>
      <c r="EKA365" s="647"/>
      <c r="EKB365" s="626"/>
      <c r="EKC365" s="640"/>
      <c r="EKD365" s="641"/>
      <c r="EKE365" s="277"/>
      <c r="EKF365" s="261"/>
      <c r="EKG365" s="118"/>
      <c r="EKH365" s="219"/>
      <c r="EKI365" s="247"/>
      <c r="EKJ365" s="647"/>
      <c r="EKK365" s="626"/>
      <c r="EKL365" s="640"/>
      <c r="EKM365" s="641"/>
      <c r="EKN365" s="277"/>
      <c r="EKO365" s="261"/>
      <c r="EKP365" s="118"/>
      <c r="EKQ365" s="219"/>
      <c r="EKR365" s="247"/>
      <c r="EKS365" s="647"/>
      <c r="EKT365" s="626"/>
      <c r="EKU365" s="640"/>
      <c r="EKV365" s="641"/>
      <c r="EKW365" s="277"/>
      <c r="EKX365" s="261"/>
      <c r="EKY365" s="118"/>
      <c r="EKZ365" s="219"/>
      <c r="ELA365" s="247"/>
      <c r="ELB365" s="647"/>
      <c r="ELC365" s="626"/>
      <c r="ELD365" s="640"/>
      <c r="ELE365" s="641"/>
      <c r="ELF365" s="277"/>
      <c r="ELG365" s="261"/>
      <c r="ELH365" s="118"/>
      <c r="ELI365" s="219"/>
      <c r="ELJ365" s="247"/>
      <c r="ELK365" s="647"/>
      <c r="ELL365" s="626"/>
      <c r="ELM365" s="640"/>
      <c r="ELN365" s="641"/>
      <c r="ELO365" s="277"/>
      <c r="ELP365" s="261"/>
      <c r="ELQ365" s="118"/>
      <c r="ELR365" s="219"/>
      <c r="ELS365" s="247"/>
      <c r="ELT365" s="647"/>
      <c r="ELU365" s="626"/>
      <c r="ELV365" s="640"/>
      <c r="ELW365" s="641"/>
      <c r="ELX365" s="277"/>
      <c r="ELY365" s="261"/>
      <c r="ELZ365" s="118"/>
      <c r="EMA365" s="219"/>
      <c r="EMB365" s="247"/>
      <c r="EMC365" s="647"/>
      <c r="EMD365" s="626"/>
      <c r="EME365" s="640"/>
      <c r="EMF365" s="641"/>
      <c r="EMG365" s="277"/>
      <c r="EMH365" s="261"/>
      <c r="EMI365" s="118"/>
      <c r="EMJ365" s="219"/>
      <c r="EMK365" s="247"/>
      <c r="EML365" s="647"/>
      <c r="EMM365" s="626"/>
      <c r="EMN365" s="640"/>
      <c r="EMO365" s="641"/>
      <c r="EMP365" s="277"/>
      <c r="EMQ365" s="261"/>
      <c r="EMR365" s="118"/>
      <c r="EMS365" s="219"/>
      <c r="EMT365" s="247"/>
      <c r="EMU365" s="647"/>
      <c r="EMV365" s="626"/>
      <c r="EMW365" s="640"/>
      <c r="EMX365" s="641"/>
      <c r="EMY365" s="277"/>
      <c r="EMZ365" s="261"/>
      <c r="ENA365" s="118"/>
      <c r="ENB365" s="219"/>
      <c r="ENC365" s="247"/>
      <c r="END365" s="647"/>
      <c r="ENE365" s="626"/>
      <c r="ENF365" s="640"/>
      <c r="ENG365" s="641"/>
      <c r="ENH365" s="277"/>
      <c r="ENI365" s="261"/>
      <c r="ENJ365" s="118"/>
      <c r="ENK365" s="219"/>
      <c r="ENL365" s="247"/>
      <c r="ENM365" s="647"/>
      <c r="ENN365" s="626"/>
      <c r="ENO365" s="640"/>
      <c r="ENP365" s="641"/>
      <c r="ENQ365" s="277"/>
      <c r="ENR365" s="261"/>
      <c r="ENS365" s="118"/>
      <c r="ENT365" s="219"/>
      <c r="ENU365" s="247"/>
      <c r="ENV365" s="647"/>
      <c r="ENW365" s="626"/>
      <c r="ENX365" s="640"/>
      <c r="ENY365" s="641"/>
      <c r="ENZ365" s="277"/>
      <c r="EOA365" s="261"/>
      <c r="EOB365" s="118"/>
      <c r="EOC365" s="219"/>
      <c r="EOD365" s="247"/>
      <c r="EOE365" s="647"/>
      <c r="EOF365" s="626"/>
      <c r="EOG365" s="640"/>
      <c r="EOH365" s="641"/>
      <c r="EOI365" s="277"/>
      <c r="EOJ365" s="261"/>
      <c r="EOK365" s="118"/>
      <c r="EOL365" s="219"/>
      <c r="EOM365" s="247"/>
      <c r="EON365" s="647"/>
      <c r="EOO365" s="626"/>
      <c r="EOP365" s="640"/>
      <c r="EOQ365" s="641"/>
      <c r="EOR365" s="277"/>
      <c r="EOS365" s="261"/>
      <c r="EOT365" s="118"/>
      <c r="EOU365" s="219"/>
      <c r="EOV365" s="247"/>
      <c r="EOW365" s="647"/>
      <c r="EOX365" s="626"/>
      <c r="EOY365" s="640"/>
      <c r="EOZ365" s="641"/>
      <c r="EPA365" s="277"/>
      <c r="EPB365" s="261"/>
      <c r="EPC365" s="118"/>
      <c r="EPD365" s="219"/>
      <c r="EPE365" s="247"/>
      <c r="EPF365" s="647"/>
      <c r="EPG365" s="626"/>
      <c r="EPH365" s="640"/>
      <c r="EPI365" s="641"/>
      <c r="EPJ365" s="277"/>
      <c r="EPK365" s="261"/>
      <c r="EPL365" s="118"/>
      <c r="EPM365" s="219"/>
      <c r="EPN365" s="247"/>
      <c r="EPO365" s="647"/>
      <c r="EPP365" s="626"/>
      <c r="EPQ365" s="640"/>
      <c r="EPR365" s="641"/>
      <c r="EPS365" s="277"/>
      <c r="EPT365" s="261"/>
      <c r="EPU365" s="118"/>
      <c r="EPV365" s="219"/>
      <c r="EPW365" s="247"/>
      <c r="EPX365" s="647"/>
      <c r="EPY365" s="626"/>
      <c r="EPZ365" s="640"/>
      <c r="EQA365" s="641"/>
      <c r="EQB365" s="277"/>
      <c r="EQC365" s="261"/>
      <c r="EQD365" s="118"/>
      <c r="EQE365" s="219"/>
      <c r="EQF365" s="247"/>
      <c r="EQG365" s="647"/>
      <c r="EQH365" s="626"/>
      <c r="EQI365" s="640"/>
      <c r="EQJ365" s="641"/>
      <c r="EQK365" s="277"/>
      <c r="EQL365" s="261"/>
      <c r="EQM365" s="118"/>
      <c r="EQN365" s="219"/>
      <c r="EQO365" s="247"/>
      <c r="EQP365" s="647"/>
      <c r="EQQ365" s="626"/>
      <c r="EQR365" s="640"/>
      <c r="EQS365" s="641"/>
      <c r="EQT365" s="277"/>
      <c r="EQU365" s="261"/>
      <c r="EQV365" s="118"/>
      <c r="EQW365" s="219"/>
      <c r="EQX365" s="247"/>
      <c r="EQY365" s="647"/>
      <c r="EQZ365" s="626"/>
      <c r="ERA365" s="640"/>
      <c r="ERB365" s="641"/>
      <c r="ERC365" s="277"/>
      <c r="ERD365" s="261"/>
      <c r="ERE365" s="118"/>
      <c r="ERF365" s="219"/>
      <c r="ERG365" s="247"/>
      <c r="ERH365" s="647"/>
      <c r="ERI365" s="626"/>
      <c r="ERJ365" s="640"/>
      <c r="ERK365" s="641"/>
      <c r="ERL365" s="277"/>
      <c r="ERM365" s="261"/>
      <c r="ERN365" s="118"/>
      <c r="ERO365" s="219"/>
      <c r="ERP365" s="247"/>
      <c r="ERQ365" s="647"/>
      <c r="ERR365" s="626"/>
      <c r="ERS365" s="640"/>
      <c r="ERT365" s="641"/>
      <c r="ERU365" s="277"/>
      <c r="ERV365" s="261"/>
      <c r="ERW365" s="118"/>
      <c r="ERX365" s="219"/>
      <c r="ERY365" s="247"/>
      <c r="ERZ365" s="647"/>
      <c r="ESA365" s="626"/>
      <c r="ESB365" s="640"/>
      <c r="ESC365" s="641"/>
      <c r="ESD365" s="277"/>
      <c r="ESE365" s="261"/>
      <c r="ESF365" s="118"/>
      <c r="ESG365" s="219"/>
      <c r="ESH365" s="247"/>
      <c r="ESI365" s="647"/>
      <c r="ESJ365" s="626"/>
      <c r="ESK365" s="640"/>
      <c r="ESL365" s="641"/>
      <c r="ESM365" s="277"/>
      <c r="ESN365" s="261"/>
      <c r="ESO365" s="118"/>
      <c r="ESP365" s="219"/>
      <c r="ESQ365" s="247"/>
      <c r="ESR365" s="647"/>
      <c r="ESS365" s="626"/>
      <c r="EST365" s="640"/>
      <c r="ESU365" s="641"/>
      <c r="ESV365" s="277"/>
      <c r="ESW365" s="261"/>
      <c r="ESX365" s="118"/>
      <c r="ESY365" s="219"/>
      <c r="ESZ365" s="247"/>
      <c r="ETA365" s="647"/>
      <c r="ETB365" s="626"/>
      <c r="ETC365" s="640"/>
      <c r="ETD365" s="641"/>
      <c r="ETE365" s="277"/>
      <c r="ETF365" s="261"/>
      <c r="ETG365" s="118"/>
      <c r="ETH365" s="219"/>
      <c r="ETI365" s="247"/>
      <c r="ETJ365" s="647"/>
      <c r="ETK365" s="626"/>
      <c r="ETL365" s="640"/>
      <c r="ETM365" s="641"/>
      <c r="ETN365" s="277"/>
      <c r="ETO365" s="261"/>
      <c r="ETP365" s="118"/>
      <c r="ETQ365" s="219"/>
      <c r="ETR365" s="247"/>
      <c r="ETS365" s="647"/>
      <c r="ETT365" s="626"/>
      <c r="ETU365" s="640"/>
      <c r="ETV365" s="641"/>
      <c r="ETW365" s="277"/>
      <c r="ETX365" s="261"/>
      <c r="ETY365" s="118"/>
      <c r="ETZ365" s="219"/>
      <c r="EUA365" s="247"/>
      <c r="EUB365" s="647"/>
      <c r="EUC365" s="626"/>
      <c r="EUD365" s="640"/>
      <c r="EUE365" s="641"/>
      <c r="EUF365" s="277"/>
      <c r="EUG365" s="261"/>
      <c r="EUH365" s="118"/>
      <c r="EUI365" s="219"/>
      <c r="EUJ365" s="247"/>
      <c r="EUK365" s="647"/>
      <c r="EUL365" s="626"/>
      <c r="EUM365" s="640"/>
      <c r="EUN365" s="641"/>
      <c r="EUO365" s="277"/>
      <c r="EUP365" s="261"/>
      <c r="EUQ365" s="118"/>
      <c r="EUR365" s="219"/>
      <c r="EUS365" s="247"/>
      <c r="EUT365" s="647"/>
      <c r="EUU365" s="626"/>
      <c r="EUV365" s="640"/>
      <c r="EUW365" s="641"/>
      <c r="EUX365" s="277"/>
      <c r="EUY365" s="261"/>
      <c r="EUZ365" s="118"/>
      <c r="EVA365" s="219"/>
      <c r="EVB365" s="247"/>
      <c r="EVC365" s="647"/>
      <c r="EVD365" s="626"/>
      <c r="EVE365" s="640"/>
      <c r="EVF365" s="641"/>
      <c r="EVG365" s="277"/>
      <c r="EVH365" s="261"/>
      <c r="EVI365" s="118"/>
      <c r="EVJ365" s="219"/>
      <c r="EVK365" s="247"/>
      <c r="EVL365" s="647"/>
      <c r="EVM365" s="626"/>
      <c r="EVN365" s="640"/>
      <c r="EVO365" s="641"/>
      <c r="EVP365" s="277"/>
      <c r="EVQ365" s="261"/>
      <c r="EVR365" s="118"/>
      <c r="EVS365" s="219"/>
      <c r="EVT365" s="247"/>
      <c r="EVU365" s="647"/>
      <c r="EVV365" s="626"/>
      <c r="EVW365" s="640"/>
      <c r="EVX365" s="641"/>
      <c r="EVY365" s="277"/>
      <c r="EVZ365" s="261"/>
      <c r="EWA365" s="118"/>
      <c r="EWB365" s="219"/>
      <c r="EWC365" s="247"/>
      <c r="EWD365" s="647"/>
      <c r="EWE365" s="626"/>
      <c r="EWF365" s="640"/>
      <c r="EWG365" s="641"/>
      <c r="EWH365" s="277"/>
      <c r="EWI365" s="261"/>
      <c r="EWJ365" s="118"/>
      <c r="EWK365" s="219"/>
      <c r="EWL365" s="247"/>
      <c r="EWM365" s="647"/>
      <c r="EWN365" s="626"/>
      <c r="EWO365" s="640"/>
      <c r="EWP365" s="641"/>
      <c r="EWQ365" s="277"/>
      <c r="EWR365" s="261"/>
      <c r="EWS365" s="118"/>
      <c r="EWT365" s="219"/>
      <c r="EWU365" s="247"/>
      <c r="EWV365" s="647"/>
      <c r="EWW365" s="626"/>
      <c r="EWX365" s="640"/>
      <c r="EWY365" s="641"/>
      <c r="EWZ365" s="277"/>
      <c r="EXA365" s="261"/>
      <c r="EXB365" s="118"/>
      <c r="EXC365" s="219"/>
      <c r="EXD365" s="247"/>
      <c r="EXE365" s="647"/>
      <c r="EXF365" s="626"/>
      <c r="EXG365" s="640"/>
      <c r="EXH365" s="641"/>
      <c r="EXI365" s="277"/>
      <c r="EXJ365" s="261"/>
      <c r="EXK365" s="118"/>
      <c r="EXL365" s="219"/>
      <c r="EXM365" s="247"/>
      <c r="EXN365" s="647"/>
      <c r="EXO365" s="626"/>
      <c r="EXP365" s="640"/>
      <c r="EXQ365" s="641"/>
      <c r="EXR365" s="277"/>
      <c r="EXS365" s="261"/>
      <c r="EXT365" s="118"/>
      <c r="EXU365" s="219"/>
      <c r="EXV365" s="247"/>
      <c r="EXW365" s="647"/>
      <c r="EXX365" s="626"/>
      <c r="EXY365" s="640"/>
      <c r="EXZ365" s="641"/>
      <c r="EYA365" s="277"/>
      <c r="EYB365" s="261"/>
      <c r="EYC365" s="118"/>
      <c r="EYD365" s="219"/>
      <c r="EYE365" s="247"/>
      <c r="EYF365" s="647"/>
      <c r="EYG365" s="626"/>
      <c r="EYH365" s="640"/>
      <c r="EYI365" s="641"/>
      <c r="EYJ365" s="277"/>
      <c r="EYK365" s="261"/>
      <c r="EYL365" s="118"/>
      <c r="EYM365" s="219"/>
      <c r="EYN365" s="247"/>
      <c r="EYO365" s="647"/>
      <c r="EYP365" s="626"/>
      <c r="EYQ365" s="640"/>
      <c r="EYR365" s="641"/>
      <c r="EYS365" s="277"/>
      <c r="EYT365" s="261"/>
      <c r="EYU365" s="118"/>
      <c r="EYV365" s="219"/>
      <c r="EYW365" s="247"/>
      <c r="EYX365" s="647"/>
      <c r="EYY365" s="626"/>
      <c r="EYZ365" s="640"/>
      <c r="EZA365" s="641"/>
      <c r="EZB365" s="277"/>
      <c r="EZC365" s="261"/>
      <c r="EZD365" s="118"/>
      <c r="EZE365" s="219"/>
      <c r="EZF365" s="247"/>
      <c r="EZG365" s="647"/>
      <c r="EZH365" s="626"/>
      <c r="EZI365" s="640"/>
      <c r="EZJ365" s="641"/>
      <c r="EZK365" s="277"/>
      <c r="EZL365" s="261"/>
      <c r="EZM365" s="118"/>
      <c r="EZN365" s="219"/>
      <c r="EZO365" s="247"/>
      <c r="EZP365" s="647"/>
      <c r="EZQ365" s="626"/>
      <c r="EZR365" s="640"/>
      <c r="EZS365" s="641"/>
      <c r="EZT365" s="277"/>
      <c r="EZU365" s="261"/>
      <c r="EZV365" s="118"/>
      <c r="EZW365" s="219"/>
      <c r="EZX365" s="247"/>
      <c r="EZY365" s="647"/>
      <c r="EZZ365" s="626"/>
      <c r="FAA365" s="640"/>
      <c r="FAB365" s="641"/>
      <c r="FAC365" s="277"/>
      <c r="FAD365" s="261"/>
      <c r="FAE365" s="118"/>
      <c r="FAF365" s="219"/>
      <c r="FAG365" s="247"/>
      <c r="FAH365" s="647"/>
      <c r="FAI365" s="626"/>
      <c r="FAJ365" s="640"/>
      <c r="FAK365" s="641"/>
      <c r="FAL365" s="277"/>
      <c r="FAM365" s="261"/>
      <c r="FAN365" s="118"/>
      <c r="FAO365" s="219"/>
      <c r="FAP365" s="247"/>
      <c r="FAQ365" s="647"/>
      <c r="FAR365" s="626"/>
      <c r="FAS365" s="640"/>
      <c r="FAT365" s="641"/>
      <c r="FAU365" s="277"/>
      <c r="FAV365" s="261"/>
      <c r="FAW365" s="118"/>
      <c r="FAX365" s="219"/>
      <c r="FAY365" s="247"/>
      <c r="FAZ365" s="647"/>
      <c r="FBA365" s="626"/>
      <c r="FBB365" s="640"/>
      <c r="FBC365" s="641"/>
      <c r="FBD365" s="277"/>
      <c r="FBE365" s="261"/>
      <c r="FBF365" s="118"/>
      <c r="FBG365" s="219"/>
      <c r="FBH365" s="247"/>
      <c r="FBI365" s="647"/>
      <c r="FBJ365" s="626"/>
      <c r="FBK365" s="640"/>
      <c r="FBL365" s="641"/>
      <c r="FBM365" s="277"/>
      <c r="FBN365" s="261"/>
      <c r="FBO365" s="118"/>
      <c r="FBP365" s="219"/>
      <c r="FBQ365" s="247"/>
      <c r="FBR365" s="647"/>
      <c r="FBS365" s="626"/>
      <c r="FBT365" s="640"/>
      <c r="FBU365" s="641"/>
      <c r="FBV365" s="277"/>
      <c r="FBW365" s="261"/>
      <c r="FBX365" s="118"/>
      <c r="FBY365" s="219"/>
      <c r="FBZ365" s="247"/>
      <c r="FCA365" s="647"/>
      <c r="FCB365" s="626"/>
      <c r="FCC365" s="640"/>
      <c r="FCD365" s="641"/>
      <c r="FCE365" s="277"/>
      <c r="FCF365" s="261"/>
      <c r="FCG365" s="118"/>
      <c r="FCH365" s="219"/>
      <c r="FCI365" s="247"/>
      <c r="FCJ365" s="647"/>
      <c r="FCK365" s="626"/>
      <c r="FCL365" s="640"/>
      <c r="FCM365" s="641"/>
      <c r="FCN365" s="277"/>
      <c r="FCO365" s="261"/>
      <c r="FCP365" s="118"/>
      <c r="FCQ365" s="219"/>
      <c r="FCR365" s="247"/>
      <c r="FCS365" s="647"/>
      <c r="FCT365" s="626"/>
      <c r="FCU365" s="640"/>
      <c r="FCV365" s="641"/>
      <c r="FCW365" s="277"/>
      <c r="FCX365" s="261"/>
      <c r="FCY365" s="118"/>
      <c r="FCZ365" s="219"/>
      <c r="FDA365" s="247"/>
      <c r="FDB365" s="647"/>
      <c r="FDC365" s="626"/>
      <c r="FDD365" s="640"/>
      <c r="FDE365" s="641"/>
      <c r="FDF365" s="277"/>
      <c r="FDG365" s="261"/>
      <c r="FDH365" s="118"/>
      <c r="FDI365" s="219"/>
      <c r="FDJ365" s="247"/>
      <c r="FDK365" s="647"/>
      <c r="FDL365" s="626"/>
      <c r="FDM365" s="640"/>
      <c r="FDN365" s="641"/>
      <c r="FDO365" s="277"/>
      <c r="FDP365" s="261"/>
      <c r="FDQ365" s="118"/>
      <c r="FDR365" s="219"/>
      <c r="FDS365" s="247"/>
      <c r="FDT365" s="647"/>
      <c r="FDU365" s="626"/>
      <c r="FDV365" s="640"/>
      <c r="FDW365" s="641"/>
      <c r="FDX365" s="277"/>
      <c r="FDY365" s="261"/>
      <c r="FDZ365" s="118"/>
      <c r="FEA365" s="219"/>
      <c r="FEB365" s="247"/>
      <c r="FEC365" s="647"/>
      <c r="FED365" s="626"/>
      <c r="FEE365" s="640"/>
      <c r="FEF365" s="641"/>
      <c r="FEG365" s="277"/>
      <c r="FEH365" s="261"/>
      <c r="FEI365" s="118"/>
      <c r="FEJ365" s="219"/>
      <c r="FEK365" s="247"/>
      <c r="FEL365" s="647"/>
      <c r="FEM365" s="626"/>
      <c r="FEN365" s="640"/>
      <c r="FEO365" s="641"/>
      <c r="FEP365" s="277"/>
      <c r="FEQ365" s="261"/>
      <c r="FER365" s="118"/>
      <c r="FES365" s="219"/>
      <c r="FET365" s="247"/>
      <c r="FEU365" s="647"/>
      <c r="FEV365" s="626"/>
      <c r="FEW365" s="640"/>
      <c r="FEX365" s="641"/>
      <c r="FEY365" s="277"/>
      <c r="FEZ365" s="261"/>
      <c r="FFA365" s="118"/>
      <c r="FFB365" s="219"/>
      <c r="FFC365" s="247"/>
      <c r="FFD365" s="647"/>
      <c r="FFE365" s="626"/>
      <c r="FFF365" s="640"/>
      <c r="FFG365" s="641"/>
      <c r="FFH365" s="277"/>
      <c r="FFI365" s="261"/>
      <c r="FFJ365" s="118"/>
      <c r="FFK365" s="219"/>
      <c r="FFL365" s="247"/>
      <c r="FFM365" s="647"/>
      <c r="FFN365" s="626"/>
      <c r="FFO365" s="640"/>
      <c r="FFP365" s="641"/>
      <c r="FFQ365" s="277"/>
      <c r="FFR365" s="261"/>
      <c r="FFS365" s="118"/>
      <c r="FFT365" s="219"/>
      <c r="FFU365" s="247"/>
      <c r="FFV365" s="647"/>
      <c r="FFW365" s="626"/>
      <c r="FFX365" s="640"/>
      <c r="FFY365" s="641"/>
      <c r="FFZ365" s="277"/>
      <c r="FGA365" s="261"/>
      <c r="FGB365" s="118"/>
      <c r="FGC365" s="219"/>
      <c r="FGD365" s="247"/>
      <c r="FGE365" s="647"/>
      <c r="FGF365" s="626"/>
      <c r="FGG365" s="640"/>
      <c r="FGH365" s="641"/>
      <c r="FGI365" s="277"/>
      <c r="FGJ365" s="261"/>
      <c r="FGK365" s="118"/>
      <c r="FGL365" s="219"/>
      <c r="FGM365" s="247"/>
      <c r="FGN365" s="647"/>
      <c r="FGO365" s="626"/>
      <c r="FGP365" s="640"/>
      <c r="FGQ365" s="641"/>
      <c r="FGR365" s="277"/>
      <c r="FGS365" s="261"/>
      <c r="FGT365" s="118"/>
      <c r="FGU365" s="219"/>
      <c r="FGV365" s="247"/>
      <c r="FGW365" s="647"/>
      <c r="FGX365" s="626"/>
      <c r="FGY365" s="640"/>
      <c r="FGZ365" s="641"/>
      <c r="FHA365" s="277"/>
      <c r="FHB365" s="261"/>
      <c r="FHC365" s="118"/>
      <c r="FHD365" s="219"/>
      <c r="FHE365" s="247"/>
      <c r="FHF365" s="647"/>
      <c r="FHG365" s="626"/>
      <c r="FHH365" s="640"/>
      <c r="FHI365" s="641"/>
      <c r="FHJ365" s="277"/>
      <c r="FHK365" s="261"/>
      <c r="FHL365" s="118"/>
      <c r="FHM365" s="219"/>
      <c r="FHN365" s="247"/>
      <c r="FHO365" s="647"/>
      <c r="FHP365" s="626"/>
      <c r="FHQ365" s="640"/>
      <c r="FHR365" s="641"/>
      <c r="FHS365" s="277"/>
      <c r="FHT365" s="261"/>
      <c r="FHU365" s="118"/>
      <c r="FHV365" s="219"/>
      <c r="FHW365" s="247"/>
      <c r="FHX365" s="647"/>
      <c r="FHY365" s="626"/>
      <c r="FHZ365" s="640"/>
      <c r="FIA365" s="641"/>
      <c r="FIB365" s="277"/>
      <c r="FIC365" s="261"/>
      <c r="FID365" s="118"/>
      <c r="FIE365" s="219"/>
      <c r="FIF365" s="247"/>
      <c r="FIG365" s="647"/>
      <c r="FIH365" s="626"/>
      <c r="FII365" s="640"/>
      <c r="FIJ365" s="641"/>
      <c r="FIK365" s="277"/>
      <c r="FIL365" s="261"/>
      <c r="FIM365" s="118"/>
      <c r="FIN365" s="219"/>
      <c r="FIO365" s="247"/>
      <c r="FIP365" s="647"/>
      <c r="FIQ365" s="626"/>
      <c r="FIR365" s="640"/>
      <c r="FIS365" s="641"/>
      <c r="FIT365" s="277"/>
      <c r="FIU365" s="261"/>
      <c r="FIV365" s="118"/>
      <c r="FIW365" s="219"/>
      <c r="FIX365" s="247"/>
      <c r="FIY365" s="647"/>
      <c r="FIZ365" s="626"/>
      <c r="FJA365" s="640"/>
      <c r="FJB365" s="641"/>
      <c r="FJC365" s="277"/>
      <c r="FJD365" s="261"/>
      <c r="FJE365" s="118"/>
      <c r="FJF365" s="219"/>
      <c r="FJG365" s="247"/>
      <c r="FJH365" s="647"/>
      <c r="FJI365" s="626"/>
      <c r="FJJ365" s="640"/>
      <c r="FJK365" s="641"/>
      <c r="FJL365" s="277"/>
      <c r="FJM365" s="261"/>
      <c r="FJN365" s="118"/>
      <c r="FJO365" s="219"/>
      <c r="FJP365" s="247"/>
      <c r="FJQ365" s="647"/>
      <c r="FJR365" s="626"/>
      <c r="FJS365" s="640"/>
      <c r="FJT365" s="641"/>
      <c r="FJU365" s="277"/>
      <c r="FJV365" s="261"/>
      <c r="FJW365" s="118"/>
      <c r="FJX365" s="219"/>
      <c r="FJY365" s="247"/>
      <c r="FJZ365" s="647"/>
      <c r="FKA365" s="626"/>
      <c r="FKB365" s="640"/>
      <c r="FKC365" s="641"/>
      <c r="FKD365" s="277"/>
      <c r="FKE365" s="261"/>
      <c r="FKF365" s="118"/>
      <c r="FKG365" s="219"/>
      <c r="FKH365" s="247"/>
      <c r="FKI365" s="647"/>
      <c r="FKJ365" s="626"/>
      <c r="FKK365" s="640"/>
      <c r="FKL365" s="641"/>
      <c r="FKM365" s="277"/>
      <c r="FKN365" s="261"/>
      <c r="FKO365" s="118"/>
      <c r="FKP365" s="219"/>
      <c r="FKQ365" s="247"/>
      <c r="FKR365" s="647"/>
      <c r="FKS365" s="626"/>
      <c r="FKT365" s="640"/>
      <c r="FKU365" s="641"/>
      <c r="FKV365" s="277"/>
      <c r="FKW365" s="261"/>
      <c r="FKX365" s="118"/>
      <c r="FKY365" s="219"/>
      <c r="FKZ365" s="247"/>
      <c r="FLA365" s="647"/>
      <c r="FLB365" s="626"/>
      <c r="FLC365" s="640"/>
      <c r="FLD365" s="641"/>
      <c r="FLE365" s="277"/>
      <c r="FLF365" s="261"/>
      <c r="FLG365" s="118"/>
      <c r="FLH365" s="219"/>
      <c r="FLI365" s="247"/>
      <c r="FLJ365" s="647"/>
      <c r="FLK365" s="626"/>
      <c r="FLL365" s="640"/>
      <c r="FLM365" s="641"/>
      <c r="FLN365" s="277"/>
      <c r="FLO365" s="261"/>
      <c r="FLP365" s="118"/>
      <c r="FLQ365" s="219"/>
      <c r="FLR365" s="247"/>
      <c r="FLS365" s="647"/>
      <c r="FLT365" s="626"/>
      <c r="FLU365" s="640"/>
      <c r="FLV365" s="641"/>
      <c r="FLW365" s="277"/>
      <c r="FLX365" s="261"/>
      <c r="FLY365" s="118"/>
      <c r="FLZ365" s="219"/>
      <c r="FMA365" s="247"/>
      <c r="FMB365" s="647"/>
      <c r="FMC365" s="626"/>
      <c r="FMD365" s="640"/>
      <c r="FME365" s="641"/>
      <c r="FMF365" s="277"/>
      <c r="FMG365" s="261"/>
      <c r="FMH365" s="118"/>
      <c r="FMI365" s="219"/>
      <c r="FMJ365" s="247"/>
      <c r="FMK365" s="647"/>
      <c r="FML365" s="626"/>
      <c r="FMM365" s="640"/>
      <c r="FMN365" s="641"/>
      <c r="FMO365" s="277"/>
      <c r="FMP365" s="261"/>
      <c r="FMQ365" s="118"/>
      <c r="FMR365" s="219"/>
      <c r="FMS365" s="247"/>
      <c r="FMT365" s="647"/>
      <c r="FMU365" s="626"/>
      <c r="FMV365" s="640"/>
      <c r="FMW365" s="641"/>
      <c r="FMX365" s="277"/>
      <c r="FMY365" s="261"/>
      <c r="FMZ365" s="118"/>
      <c r="FNA365" s="219"/>
      <c r="FNB365" s="247"/>
      <c r="FNC365" s="647"/>
      <c r="FND365" s="626"/>
      <c r="FNE365" s="640"/>
      <c r="FNF365" s="641"/>
      <c r="FNG365" s="277"/>
      <c r="FNH365" s="261"/>
      <c r="FNI365" s="118"/>
      <c r="FNJ365" s="219"/>
      <c r="FNK365" s="247"/>
      <c r="FNL365" s="647"/>
      <c r="FNM365" s="626"/>
      <c r="FNN365" s="640"/>
      <c r="FNO365" s="641"/>
      <c r="FNP365" s="277"/>
      <c r="FNQ365" s="261"/>
      <c r="FNR365" s="118"/>
      <c r="FNS365" s="219"/>
      <c r="FNT365" s="247"/>
      <c r="FNU365" s="647"/>
      <c r="FNV365" s="626"/>
      <c r="FNW365" s="640"/>
      <c r="FNX365" s="641"/>
      <c r="FNY365" s="277"/>
      <c r="FNZ365" s="261"/>
      <c r="FOA365" s="118"/>
      <c r="FOB365" s="219"/>
      <c r="FOC365" s="247"/>
      <c r="FOD365" s="647"/>
      <c r="FOE365" s="626"/>
      <c r="FOF365" s="640"/>
      <c r="FOG365" s="641"/>
      <c r="FOH365" s="277"/>
      <c r="FOI365" s="261"/>
      <c r="FOJ365" s="118"/>
      <c r="FOK365" s="219"/>
      <c r="FOL365" s="247"/>
      <c r="FOM365" s="647"/>
      <c r="FON365" s="626"/>
      <c r="FOO365" s="640"/>
      <c r="FOP365" s="641"/>
      <c r="FOQ365" s="277"/>
      <c r="FOR365" s="261"/>
      <c r="FOS365" s="118"/>
      <c r="FOT365" s="219"/>
      <c r="FOU365" s="247"/>
      <c r="FOV365" s="647"/>
      <c r="FOW365" s="626"/>
      <c r="FOX365" s="640"/>
      <c r="FOY365" s="641"/>
      <c r="FOZ365" s="277"/>
      <c r="FPA365" s="261"/>
      <c r="FPB365" s="118"/>
      <c r="FPC365" s="219"/>
      <c r="FPD365" s="247"/>
      <c r="FPE365" s="647"/>
      <c r="FPF365" s="626"/>
      <c r="FPG365" s="640"/>
      <c r="FPH365" s="641"/>
      <c r="FPI365" s="277"/>
      <c r="FPJ365" s="261"/>
      <c r="FPK365" s="118"/>
      <c r="FPL365" s="219"/>
      <c r="FPM365" s="247"/>
      <c r="FPN365" s="647"/>
      <c r="FPO365" s="626"/>
      <c r="FPP365" s="640"/>
      <c r="FPQ365" s="641"/>
      <c r="FPR365" s="277"/>
      <c r="FPS365" s="261"/>
      <c r="FPT365" s="118"/>
      <c r="FPU365" s="219"/>
      <c r="FPV365" s="247"/>
      <c r="FPW365" s="647"/>
      <c r="FPX365" s="626"/>
      <c r="FPY365" s="640"/>
      <c r="FPZ365" s="641"/>
      <c r="FQA365" s="277"/>
      <c r="FQB365" s="261"/>
      <c r="FQC365" s="118"/>
      <c r="FQD365" s="219"/>
      <c r="FQE365" s="247"/>
      <c r="FQF365" s="647"/>
      <c r="FQG365" s="626"/>
      <c r="FQH365" s="640"/>
      <c r="FQI365" s="641"/>
      <c r="FQJ365" s="277"/>
      <c r="FQK365" s="261"/>
      <c r="FQL365" s="118"/>
      <c r="FQM365" s="219"/>
      <c r="FQN365" s="247"/>
      <c r="FQO365" s="647"/>
      <c r="FQP365" s="626"/>
      <c r="FQQ365" s="640"/>
      <c r="FQR365" s="641"/>
      <c r="FQS365" s="277"/>
      <c r="FQT365" s="261"/>
      <c r="FQU365" s="118"/>
      <c r="FQV365" s="219"/>
      <c r="FQW365" s="247"/>
      <c r="FQX365" s="647"/>
      <c r="FQY365" s="626"/>
      <c r="FQZ365" s="640"/>
      <c r="FRA365" s="641"/>
      <c r="FRB365" s="277"/>
      <c r="FRC365" s="261"/>
      <c r="FRD365" s="118"/>
      <c r="FRE365" s="219"/>
      <c r="FRF365" s="247"/>
      <c r="FRG365" s="647"/>
      <c r="FRH365" s="626"/>
      <c r="FRI365" s="640"/>
      <c r="FRJ365" s="641"/>
      <c r="FRK365" s="277"/>
      <c r="FRL365" s="261"/>
      <c r="FRM365" s="118"/>
      <c r="FRN365" s="219"/>
      <c r="FRO365" s="247"/>
      <c r="FRP365" s="647"/>
      <c r="FRQ365" s="626"/>
      <c r="FRR365" s="640"/>
      <c r="FRS365" s="641"/>
      <c r="FRT365" s="277"/>
      <c r="FRU365" s="261"/>
      <c r="FRV365" s="118"/>
      <c r="FRW365" s="219"/>
      <c r="FRX365" s="247"/>
      <c r="FRY365" s="647"/>
      <c r="FRZ365" s="626"/>
      <c r="FSA365" s="640"/>
      <c r="FSB365" s="641"/>
      <c r="FSC365" s="277"/>
      <c r="FSD365" s="261"/>
      <c r="FSE365" s="118"/>
      <c r="FSF365" s="219"/>
      <c r="FSG365" s="247"/>
      <c r="FSH365" s="647"/>
      <c r="FSI365" s="626"/>
      <c r="FSJ365" s="640"/>
      <c r="FSK365" s="641"/>
      <c r="FSL365" s="277"/>
      <c r="FSM365" s="261"/>
      <c r="FSN365" s="118"/>
      <c r="FSO365" s="219"/>
      <c r="FSP365" s="247"/>
      <c r="FSQ365" s="647"/>
      <c r="FSR365" s="626"/>
      <c r="FSS365" s="640"/>
      <c r="FST365" s="641"/>
      <c r="FSU365" s="277"/>
      <c r="FSV365" s="261"/>
      <c r="FSW365" s="118"/>
      <c r="FSX365" s="219"/>
      <c r="FSY365" s="247"/>
      <c r="FSZ365" s="647"/>
      <c r="FTA365" s="626"/>
      <c r="FTB365" s="640"/>
      <c r="FTC365" s="641"/>
      <c r="FTD365" s="277"/>
      <c r="FTE365" s="261"/>
      <c r="FTF365" s="118"/>
      <c r="FTG365" s="219"/>
      <c r="FTH365" s="247"/>
      <c r="FTI365" s="647"/>
      <c r="FTJ365" s="626"/>
      <c r="FTK365" s="640"/>
      <c r="FTL365" s="641"/>
      <c r="FTM365" s="277"/>
      <c r="FTN365" s="261"/>
      <c r="FTO365" s="118"/>
      <c r="FTP365" s="219"/>
      <c r="FTQ365" s="247"/>
      <c r="FTR365" s="647"/>
      <c r="FTS365" s="626"/>
      <c r="FTT365" s="640"/>
      <c r="FTU365" s="641"/>
      <c r="FTV365" s="277"/>
      <c r="FTW365" s="261"/>
      <c r="FTX365" s="118"/>
      <c r="FTY365" s="219"/>
      <c r="FTZ365" s="247"/>
      <c r="FUA365" s="647"/>
      <c r="FUB365" s="626"/>
      <c r="FUC365" s="640"/>
      <c r="FUD365" s="641"/>
      <c r="FUE365" s="277"/>
      <c r="FUF365" s="261"/>
      <c r="FUG365" s="118"/>
      <c r="FUH365" s="219"/>
      <c r="FUI365" s="247"/>
      <c r="FUJ365" s="647"/>
      <c r="FUK365" s="626"/>
      <c r="FUL365" s="640"/>
      <c r="FUM365" s="641"/>
      <c r="FUN365" s="277"/>
      <c r="FUO365" s="261"/>
      <c r="FUP365" s="118"/>
      <c r="FUQ365" s="219"/>
      <c r="FUR365" s="247"/>
      <c r="FUS365" s="647"/>
      <c r="FUT365" s="626"/>
      <c r="FUU365" s="640"/>
      <c r="FUV365" s="641"/>
      <c r="FUW365" s="277"/>
      <c r="FUX365" s="261"/>
      <c r="FUY365" s="118"/>
      <c r="FUZ365" s="219"/>
      <c r="FVA365" s="247"/>
      <c r="FVB365" s="647"/>
      <c r="FVC365" s="626"/>
      <c r="FVD365" s="640"/>
      <c r="FVE365" s="641"/>
      <c r="FVF365" s="277"/>
      <c r="FVG365" s="261"/>
      <c r="FVH365" s="648"/>
      <c r="FVI365" s="290"/>
      <c r="FVJ365" s="291"/>
      <c r="FVK365" s="384"/>
      <c r="FVL365" s="266"/>
      <c r="FVM365" s="649"/>
      <c r="FVN365" s="326"/>
      <c r="FVO365" s="368"/>
      <c r="FVP365" s="197"/>
      <c r="FVQ365" s="650"/>
      <c r="FVR365" s="290"/>
      <c r="FVS365" s="291"/>
      <c r="FVT365" s="384"/>
      <c r="FVU365" s="266"/>
      <c r="FVV365" s="649"/>
      <c r="FVW365" s="326"/>
      <c r="FVX365" s="368"/>
      <c r="FVY365" s="197"/>
      <c r="FVZ365" s="650"/>
      <c r="FWA365" s="290"/>
      <c r="FWB365" s="291"/>
      <c r="FWC365" s="384"/>
      <c r="FWD365" s="266"/>
      <c r="FWE365" s="649"/>
      <c r="FWF365" s="326"/>
      <c r="FWG365" s="368"/>
      <c r="FWH365" s="197"/>
      <c r="FWI365" s="650"/>
      <c r="FWJ365" s="290"/>
      <c r="FWK365" s="291"/>
      <c r="FWL365" s="384"/>
      <c r="FWM365" s="266"/>
      <c r="FWN365" s="649"/>
      <c r="FWO365" s="326"/>
      <c r="FWP365" s="368"/>
      <c r="FWQ365" s="197"/>
      <c r="FWR365" s="650"/>
      <c r="FWS365" s="290"/>
      <c r="FWT365" s="291"/>
      <c r="FWU365" s="384"/>
      <c r="FWV365" s="266"/>
      <c r="FWW365" s="649"/>
      <c r="FWX365" s="326"/>
      <c r="FWY365" s="368"/>
      <c r="FWZ365" s="197"/>
      <c r="FXA365" s="650"/>
      <c r="FXB365" s="290"/>
      <c r="FXC365" s="291"/>
      <c r="FXD365" s="384"/>
      <c r="FXE365" s="266"/>
      <c r="FXF365" s="649"/>
      <c r="FXG365" s="326"/>
      <c r="FXH365" s="368"/>
      <c r="FXI365" s="197"/>
      <c r="FXJ365" s="650"/>
      <c r="FXK365" s="290"/>
      <c r="FXL365" s="291"/>
      <c r="FXM365" s="384"/>
      <c r="FXN365" s="266"/>
      <c r="FXO365" s="649"/>
      <c r="FXP365" s="326"/>
      <c r="FXQ365" s="368"/>
      <c r="FXR365" s="197"/>
      <c r="FXS365" s="650"/>
      <c r="FXT365" s="290"/>
      <c r="FXU365" s="291"/>
      <c r="FXV365" s="384"/>
      <c r="FXW365" s="266"/>
      <c r="FXX365" s="649"/>
      <c r="FXY365" s="326"/>
      <c r="FXZ365" s="368"/>
      <c r="FYA365" s="197"/>
      <c r="FYB365" s="650"/>
      <c r="FYC365" s="290"/>
      <c r="FYD365" s="291"/>
      <c r="FYE365" s="384"/>
      <c r="FYF365" s="266"/>
      <c r="FYG365" s="649"/>
      <c r="FYH365" s="326"/>
      <c r="FYI365" s="368"/>
      <c r="FYJ365" s="197"/>
      <c r="FYK365" s="650"/>
      <c r="FYL365" s="290"/>
      <c r="FYM365" s="291"/>
      <c r="FYN365" s="384"/>
      <c r="FYO365" s="266"/>
      <c r="FYP365" s="649"/>
      <c r="FYQ365" s="326"/>
      <c r="FYR365" s="368"/>
      <c r="FYS365" s="197"/>
      <c r="FYT365" s="650"/>
      <c r="FYU365" s="290"/>
      <c r="FYV365" s="291"/>
      <c r="FYW365" s="384"/>
      <c r="FYX365" s="266"/>
      <c r="FYY365" s="649"/>
      <c r="FYZ365" s="326"/>
      <c r="FZA365" s="368"/>
      <c r="FZB365" s="197"/>
      <c r="FZC365" s="650"/>
      <c r="FZD365" s="290"/>
      <c r="FZE365" s="291"/>
      <c r="FZF365" s="384"/>
      <c r="FZG365" s="266"/>
      <c r="FZH365" s="649"/>
      <c r="FZI365" s="326"/>
      <c r="FZJ365" s="368"/>
      <c r="FZK365" s="197"/>
      <c r="FZL365" s="650"/>
      <c r="FZM365" s="290"/>
      <c r="FZN365" s="291"/>
      <c r="FZO365" s="384"/>
      <c r="FZP365" s="266"/>
      <c r="FZQ365" s="649"/>
      <c r="FZR365" s="326"/>
      <c r="FZS365" s="368"/>
      <c r="FZT365" s="197"/>
      <c r="FZU365" s="650"/>
      <c r="FZV365" s="290"/>
      <c r="FZW365" s="291"/>
      <c r="FZX365" s="384"/>
      <c r="FZY365" s="266"/>
      <c r="FZZ365" s="649"/>
      <c r="GAA365" s="326"/>
      <c r="GAB365" s="368"/>
      <c r="GAC365" s="197"/>
      <c r="GAD365" s="650"/>
      <c r="GAE365" s="290"/>
      <c r="GAF365" s="291"/>
      <c r="GAG365" s="384"/>
      <c r="GAH365" s="266"/>
      <c r="GAI365" s="649"/>
      <c r="GAJ365" s="326"/>
      <c r="GAK365" s="368"/>
      <c r="GAL365" s="197"/>
      <c r="GAM365" s="650"/>
      <c r="GAN365" s="290"/>
      <c r="GAO365" s="291"/>
      <c r="GAP365" s="384"/>
      <c r="GAQ365" s="266"/>
      <c r="GAR365" s="649"/>
      <c r="GAS365" s="326"/>
      <c r="GAT365" s="368"/>
      <c r="GAU365" s="197"/>
      <c r="GAV365" s="650"/>
      <c r="GAW365" s="290"/>
      <c r="GAX365" s="291"/>
      <c r="GAY365" s="384"/>
      <c r="GAZ365" s="266"/>
      <c r="GBA365" s="649"/>
      <c r="GBB365" s="326"/>
      <c r="GBC365" s="368"/>
      <c r="GBD365" s="197"/>
      <c r="GBE365" s="650"/>
      <c r="GBF365" s="290"/>
      <c r="GBG365" s="291"/>
      <c r="GBH365" s="384"/>
      <c r="GBI365" s="266"/>
      <c r="GBJ365" s="649"/>
      <c r="GBK365" s="326"/>
      <c r="GBL365" s="368"/>
      <c r="GBM365" s="197"/>
      <c r="GBN365" s="650"/>
      <c r="GBO365" s="290"/>
      <c r="GBP365" s="291"/>
      <c r="GBQ365" s="384"/>
      <c r="GBR365" s="266"/>
      <c r="GBS365" s="649"/>
      <c r="GBT365" s="326"/>
      <c r="GBU365" s="368"/>
      <c r="GBV365" s="197"/>
      <c r="GBW365" s="650"/>
      <c r="GBX365" s="290"/>
      <c r="GBY365" s="291"/>
      <c r="GBZ365" s="384"/>
      <c r="GCA365" s="266"/>
      <c r="GCB365" s="649"/>
      <c r="GCC365" s="326"/>
      <c r="GCD365" s="368"/>
      <c r="GCE365" s="197"/>
      <c r="GCF365" s="650"/>
      <c r="GCG365" s="290"/>
      <c r="GCH365" s="291"/>
      <c r="GCI365" s="384"/>
      <c r="GCJ365" s="266"/>
      <c r="GCK365" s="649"/>
      <c r="GCL365" s="326"/>
      <c r="GCM365" s="368"/>
      <c r="GCN365" s="197"/>
      <c r="GCO365" s="650"/>
      <c r="GCP365" s="290"/>
      <c r="GCQ365" s="291"/>
      <c r="GCR365" s="384"/>
      <c r="GCS365" s="266"/>
      <c r="GCT365" s="649"/>
      <c r="GCU365" s="326"/>
      <c r="GCV365" s="368"/>
      <c r="GCW365" s="197"/>
      <c r="GCX365" s="650"/>
      <c r="GCY365" s="290"/>
      <c r="GCZ365" s="291"/>
      <c r="GDA365" s="384"/>
      <c r="GDB365" s="266"/>
      <c r="GDC365" s="649"/>
      <c r="GDD365" s="326"/>
      <c r="GDE365" s="368"/>
      <c r="GDF365" s="197"/>
      <c r="GDG365" s="650"/>
      <c r="GDH365" s="290"/>
      <c r="GDI365" s="291"/>
      <c r="GDJ365" s="384"/>
      <c r="GDK365" s="266"/>
      <c r="GDL365" s="649"/>
      <c r="GDM365" s="326"/>
      <c r="GDN365" s="368"/>
      <c r="GDO365" s="197"/>
      <c r="GDP365" s="650"/>
      <c r="GDQ365" s="290"/>
      <c r="GDR365" s="291"/>
      <c r="GDS365" s="384"/>
      <c r="GDT365" s="266"/>
      <c r="GDU365" s="649"/>
      <c r="GDV365" s="326"/>
      <c r="GDW365" s="368"/>
      <c r="GDX365" s="197"/>
      <c r="GDY365" s="650"/>
      <c r="GDZ365" s="290"/>
      <c r="GEA365" s="291"/>
      <c r="GEB365" s="384"/>
      <c r="GEC365" s="266"/>
      <c r="GED365" s="649"/>
      <c r="GEE365" s="326"/>
      <c r="GEF365" s="368"/>
      <c r="GEG365" s="197"/>
      <c r="GEH365" s="650"/>
      <c r="GEI365" s="290"/>
      <c r="GEJ365" s="291"/>
      <c r="GEK365" s="384"/>
      <c r="GEL365" s="266"/>
      <c r="GEM365" s="649"/>
      <c r="GEN365" s="326"/>
      <c r="GEO365" s="368"/>
      <c r="GEP365" s="197"/>
      <c r="GEQ365" s="650"/>
      <c r="GER365" s="290"/>
      <c r="GES365" s="291"/>
      <c r="GET365" s="384"/>
      <c r="GEU365" s="266"/>
      <c r="GEV365" s="649"/>
      <c r="GEW365" s="326"/>
      <c r="GEX365" s="368"/>
      <c r="GEY365" s="197"/>
      <c r="GEZ365" s="650"/>
      <c r="GFA365" s="290"/>
      <c r="GFB365" s="291"/>
      <c r="GFC365" s="384"/>
      <c r="GFD365" s="266"/>
      <c r="GFE365" s="649"/>
      <c r="GFF365" s="326"/>
      <c r="GFG365" s="368"/>
      <c r="GFH365" s="197"/>
      <c r="GFI365" s="650"/>
      <c r="GFJ365" s="290"/>
      <c r="GFK365" s="291"/>
      <c r="GFL365" s="384"/>
      <c r="GFM365" s="266"/>
      <c r="GFN365" s="649"/>
      <c r="GFO365" s="326"/>
      <c r="GFP365" s="368"/>
      <c r="GFQ365" s="197"/>
      <c r="GFR365" s="650"/>
      <c r="GFS365" s="290"/>
      <c r="GFT365" s="291"/>
      <c r="GFU365" s="384"/>
      <c r="GFV365" s="266"/>
      <c r="GFW365" s="649"/>
      <c r="GFX365" s="326"/>
      <c r="GFY365" s="368"/>
      <c r="GFZ365" s="197"/>
      <c r="GGA365" s="650"/>
      <c r="GGB365" s="290"/>
      <c r="GGC365" s="291"/>
      <c r="GGD365" s="384"/>
      <c r="GGE365" s="266"/>
      <c r="GGF365" s="649"/>
      <c r="GGG365" s="326"/>
      <c r="GGH365" s="368"/>
      <c r="GGI365" s="197"/>
      <c r="GGJ365" s="650"/>
      <c r="GGK365" s="290"/>
      <c r="GGL365" s="291"/>
      <c r="GGM365" s="384"/>
      <c r="GGN365" s="266"/>
      <c r="GGO365" s="649"/>
      <c r="GGP365" s="326"/>
      <c r="GGQ365" s="368"/>
      <c r="GGR365" s="197"/>
      <c r="GGS365" s="650"/>
      <c r="GGT365" s="290"/>
      <c r="GGU365" s="291"/>
      <c r="GGV365" s="384"/>
      <c r="GGW365" s="266"/>
      <c r="GGX365" s="649"/>
      <c r="GGY365" s="326"/>
      <c r="GGZ365" s="368"/>
      <c r="GHA365" s="197"/>
      <c r="GHB365" s="650"/>
      <c r="GHC365" s="290"/>
      <c r="GHD365" s="291"/>
      <c r="GHE365" s="384"/>
      <c r="GHF365" s="266"/>
      <c r="GHG365" s="649"/>
      <c r="GHH365" s="326"/>
      <c r="GHI365" s="368"/>
      <c r="GHJ365" s="197"/>
      <c r="GHK365" s="650"/>
      <c r="GHL365" s="290"/>
      <c r="GHM365" s="291"/>
      <c r="GHN365" s="384"/>
      <c r="GHO365" s="266"/>
      <c r="GHP365" s="649"/>
      <c r="GHQ365" s="326"/>
      <c r="GHR365" s="368"/>
      <c r="GHS365" s="197"/>
      <c r="GHT365" s="650"/>
      <c r="GHU365" s="290"/>
      <c r="GHV365" s="291"/>
      <c r="GHW365" s="384"/>
      <c r="GHX365" s="266"/>
      <c r="GHY365" s="649"/>
      <c r="GHZ365" s="326"/>
      <c r="GIA365" s="368"/>
      <c r="GIB365" s="197"/>
      <c r="GIC365" s="650"/>
      <c r="GID365" s="290"/>
      <c r="GIE365" s="291"/>
      <c r="GIF365" s="384"/>
      <c r="GIG365" s="266"/>
      <c r="GIH365" s="649"/>
      <c r="GII365" s="326"/>
      <c r="GIJ365" s="368"/>
      <c r="GIK365" s="197"/>
      <c r="GIL365" s="650"/>
      <c r="GIM365" s="290"/>
      <c r="GIN365" s="291"/>
      <c r="GIO365" s="384"/>
      <c r="GIP365" s="266"/>
      <c r="GIQ365" s="649"/>
      <c r="GIR365" s="326"/>
      <c r="GIS365" s="368"/>
      <c r="GIT365" s="197"/>
      <c r="GIU365" s="650"/>
      <c r="GIV365" s="290"/>
      <c r="GIW365" s="291"/>
      <c r="GIX365" s="384"/>
      <c r="GIY365" s="266"/>
      <c r="GIZ365" s="649"/>
      <c r="GJA365" s="326"/>
      <c r="GJB365" s="368"/>
      <c r="GJC365" s="197"/>
      <c r="GJD365" s="650"/>
      <c r="GJE365" s="290"/>
      <c r="GJF365" s="291"/>
      <c r="GJG365" s="384"/>
      <c r="GJH365" s="266"/>
      <c r="GJI365" s="649"/>
      <c r="GJJ365" s="326"/>
      <c r="GJK365" s="368"/>
      <c r="GJL365" s="197"/>
      <c r="GJM365" s="650"/>
      <c r="GJN365" s="290"/>
      <c r="GJO365" s="291"/>
      <c r="GJP365" s="384"/>
      <c r="GJQ365" s="266"/>
      <c r="GJR365" s="649"/>
      <c r="GJS365" s="326"/>
      <c r="GJT365" s="368"/>
      <c r="GJU365" s="197"/>
      <c r="GJV365" s="650"/>
      <c r="GJW365" s="290"/>
      <c r="GJX365" s="291"/>
      <c r="GJY365" s="384"/>
      <c r="GJZ365" s="266"/>
      <c r="GKA365" s="649"/>
      <c r="GKB365" s="326"/>
      <c r="GKC365" s="368"/>
      <c r="GKD365" s="197"/>
      <c r="GKE365" s="650"/>
      <c r="GKF365" s="290"/>
      <c r="GKG365" s="291"/>
      <c r="GKH365" s="384"/>
      <c r="GKI365" s="266"/>
      <c r="GKJ365" s="649"/>
      <c r="GKK365" s="326"/>
      <c r="GKL365" s="368"/>
      <c r="GKM365" s="197"/>
      <c r="GKN365" s="650"/>
      <c r="GKO365" s="290"/>
      <c r="GKP365" s="291"/>
      <c r="GKQ365" s="384"/>
      <c r="GKR365" s="266"/>
      <c r="GKS365" s="649"/>
      <c r="GKT365" s="326"/>
      <c r="GKU365" s="368"/>
      <c r="GKV365" s="197"/>
      <c r="GKW365" s="650"/>
      <c r="GKX365" s="290"/>
      <c r="GKY365" s="291"/>
      <c r="GKZ365" s="384"/>
      <c r="GLA365" s="266"/>
      <c r="GLB365" s="649"/>
      <c r="GLC365" s="326"/>
      <c r="GLD365" s="368"/>
      <c r="GLE365" s="197"/>
      <c r="GLF365" s="650"/>
      <c r="GLG365" s="290"/>
      <c r="GLH365" s="291"/>
      <c r="GLI365" s="384"/>
      <c r="GLJ365" s="266"/>
      <c r="GLK365" s="649"/>
      <c r="GLL365" s="326"/>
      <c r="GLM365" s="368"/>
      <c r="GLN365" s="197"/>
      <c r="GLO365" s="650"/>
      <c r="GLP365" s="290"/>
      <c r="GLQ365" s="291"/>
      <c r="GLR365" s="384"/>
      <c r="GLS365" s="266"/>
      <c r="GLT365" s="649"/>
      <c r="GLU365" s="326"/>
      <c r="GLV365" s="368"/>
      <c r="GLW365" s="197"/>
      <c r="GLX365" s="650"/>
      <c r="GLY365" s="290"/>
      <c r="GLZ365" s="291"/>
      <c r="GMA365" s="384"/>
      <c r="GMB365" s="266"/>
      <c r="GMC365" s="649"/>
      <c r="GMD365" s="326"/>
      <c r="GME365" s="368"/>
      <c r="GMF365" s="197"/>
      <c r="GMG365" s="650"/>
      <c r="GMH365" s="290"/>
      <c r="GMI365" s="291"/>
      <c r="GMJ365" s="384"/>
      <c r="GMK365" s="266"/>
      <c r="GML365" s="649"/>
      <c r="GMM365" s="326"/>
      <c r="GMN365" s="368"/>
      <c r="GMO365" s="197"/>
      <c r="GMP365" s="650"/>
      <c r="GMQ365" s="290"/>
      <c r="GMR365" s="291"/>
      <c r="GMS365" s="384"/>
      <c r="GMT365" s="266"/>
      <c r="GMU365" s="649"/>
      <c r="GMV365" s="326"/>
      <c r="GMW365" s="368"/>
      <c r="GMX365" s="197"/>
      <c r="GMY365" s="650"/>
      <c r="GMZ365" s="290"/>
      <c r="GNA365" s="291"/>
      <c r="GNB365" s="384"/>
      <c r="GNC365" s="266"/>
      <c r="GND365" s="649"/>
      <c r="GNE365" s="326"/>
      <c r="GNF365" s="368"/>
      <c r="GNG365" s="197"/>
      <c r="GNH365" s="650"/>
      <c r="GNI365" s="290"/>
      <c r="GNJ365" s="291"/>
      <c r="GNK365" s="384"/>
      <c r="GNL365" s="266"/>
      <c r="GNM365" s="649"/>
      <c r="GNN365" s="326"/>
      <c r="GNO365" s="368"/>
      <c r="GNP365" s="197"/>
      <c r="GNQ365" s="650"/>
      <c r="GNR365" s="290"/>
      <c r="GNS365" s="291"/>
      <c r="GNT365" s="384"/>
      <c r="GNU365" s="266"/>
      <c r="GNV365" s="649"/>
      <c r="GNW365" s="326"/>
      <c r="GNX365" s="368"/>
      <c r="GNY365" s="197"/>
      <c r="GNZ365" s="650"/>
      <c r="GOA365" s="290"/>
      <c r="GOB365" s="291"/>
      <c r="GOC365" s="384"/>
      <c r="GOD365" s="266"/>
      <c r="GOE365" s="649"/>
      <c r="GOF365" s="326"/>
      <c r="GOG365" s="368"/>
      <c r="GOH365" s="197"/>
      <c r="GOI365" s="650"/>
      <c r="GOJ365" s="290"/>
      <c r="GOK365" s="291"/>
      <c r="GOL365" s="384"/>
      <c r="GOM365" s="266"/>
      <c r="GON365" s="649"/>
      <c r="GOO365" s="326"/>
      <c r="GOP365" s="368"/>
      <c r="GOQ365" s="197"/>
      <c r="GOR365" s="650"/>
      <c r="GOS365" s="290"/>
      <c r="GOT365" s="291"/>
      <c r="GOU365" s="384"/>
      <c r="GOV365" s="266"/>
      <c r="GOW365" s="649"/>
      <c r="GOX365" s="326"/>
      <c r="GOY365" s="368"/>
      <c r="GOZ365" s="197"/>
      <c r="GPA365" s="650"/>
      <c r="GPB365" s="290"/>
      <c r="GPC365" s="291"/>
      <c r="GPD365" s="384"/>
      <c r="GPE365" s="266"/>
      <c r="GPF365" s="649"/>
      <c r="GPG365" s="326"/>
      <c r="GPH365" s="368"/>
      <c r="GPI365" s="197"/>
      <c r="GPJ365" s="650"/>
      <c r="GPK365" s="290"/>
      <c r="GPL365" s="291"/>
      <c r="GPM365" s="384"/>
      <c r="GPN365" s="266"/>
      <c r="GPO365" s="649"/>
      <c r="GPP365" s="326"/>
      <c r="GPQ365" s="368"/>
      <c r="GPR365" s="197"/>
      <c r="GPS365" s="650"/>
      <c r="GPT365" s="290"/>
      <c r="GPU365" s="291"/>
      <c r="GPV365" s="384"/>
      <c r="GPW365" s="266"/>
      <c r="GPX365" s="649"/>
      <c r="GPY365" s="326"/>
      <c r="GPZ365" s="368"/>
      <c r="GQA365" s="197"/>
      <c r="GQB365" s="650"/>
      <c r="GQC365" s="290"/>
      <c r="GQD365" s="291"/>
      <c r="GQE365" s="384"/>
      <c r="GQF365" s="266"/>
      <c r="GQG365" s="649"/>
      <c r="GQH365" s="326"/>
      <c r="GQI365" s="368"/>
      <c r="GQJ365" s="197"/>
      <c r="GQK365" s="650"/>
      <c r="GQL365" s="290"/>
      <c r="GQM365" s="291"/>
      <c r="GQN365" s="384"/>
      <c r="GQO365" s="266"/>
      <c r="GQP365" s="649"/>
      <c r="GQQ365" s="326"/>
      <c r="GQR365" s="368"/>
      <c r="GQS365" s="197"/>
      <c r="GQT365" s="650"/>
      <c r="GQU365" s="290"/>
      <c r="GQV365" s="291"/>
      <c r="GQW365" s="384"/>
      <c r="GQX365" s="266"/>
      <c r="GQY365" s="649"/>
      <c r="GQZ365" s="326"/>
      <c r="GRA365" s="368"/>
      <c r="GRB365" s="197"/>
      <c r="GRC365" s="650"/>
      <c r="GRD365" s="290"/>
      <c r="GRE365" s="291"/>
      <c r="GRF365" s="384"/>
      <c r="GRG365" s="266"/>
      <c r="GRH365" s="649"/>
      <c r="GRI365" s="326"/>
      <c r="GRJ365" s="368"/>
      <c r="GRK365" s="197"/>
      <c r="GRL365" s="650"/>
      <c r="GRM365" s="290"/>
      <c r="GRN365" s="291"/>
      <c r="GRO365" s="384"/>
      <c r="GRP365" s="266"/>
      <c r="GRQ365" s="649"/>
      <c r="GRR365" s="326"/>
      <c r="GRS365" s="368"/>
      <c r="GRT365" s="197"/>
      <c r="GRU365" s="650"/>
      <c r="GRV365" s="290"/>
      <c r="GRW365" s="291"/>
      <c r="GRX365" s="384"/>
      <c r="GRY365" s="266"/>
      <c r="GRZ365" s="649"/>
      <c r="GSA365" s="326"/>
      <c r="GSB365" s="368"/>
      <c r="GSC365" s="197"/>
      <c r="GSD365" s="650"/>
      <c r="GSE365" s="290"/>
      <c r="GSF365" s="291"/>
      <c r="GSG365" s="384"/>
      <c r="GSH365" s="266"/>
      <c r="GSI365" s="649"/>
      <c r="GSJ365" s="326"/>
      <c r="GSK365" s="368"/>
      <c r="GSL365" s="197"/>
      <c r="GSM365" s="650"/>
      <c r="GSN365" s="290"/>
      <c r="GSO365" s="291"/>
      <c r="GSP365" s="384"/>
      <c r="GSQ365" s="266"/>
      <c r="GSR365" s="649"/>
      <c r="GSS365" s="326"/>
      <c r="GST365" s="368"/>
      <c r="GSU365" s="197"/>
      <c r="GSV365" s="650"/>
      <c r="GSW365" s="290"/>
      <c r="GSX365" s="291"/>
      <c r="GSY365" s="384"/>
      <c r="GSZ365" s="266"/>
      <c r="GTA365" s="649"/>
      <c r="GTB365" s="326"/>
      <c r="GTC365" s="368"/>
      <c r="GTD365" s="197"/>
      <c r="GTE365" s="650"/>
      <c r="GTF365" s="290"/>
      <c r="GTG365" s="291"/>
      <c r="GTH365" s="384"/>
      <c r="GTI365" s="266"/>
      <c r="GTJ365" s="649"/>
      <c r="GTK365" s="326"/>
      <c r="GTL365" s="368"/>
      <c r="GTM365" s="197"/>
      <c r="GTN365" s="650"/>
      <c r="GTO365" s="290"/>
      <c r="GTP365" s="291"/>
      <c r="GTQ365" s="384"/>
      <c r="GTR365" s="266"/>
      <c r="GTS365" s="649"/>
      <c r="GTT365" s="326"/>
      <c r="GTU365" s="368"/>
      <c r="GTV365" s="197"/>
      <c r="GTW365" s="650"/>
      <c r="GTX365" s="290"/>
      <c r="GTY365" s="291"/>
      <c r="GTZ365" s="384"/>
      <c r="GUA365" s="266"/>
      <c r="GUB365" s="649"/>
      <c r="GUC365" s="326"/>
      <c r="GUD365" s="368"/>
      <c r="GUE365" s="197"/>
      <c r="GUF365" s="650"/>
      <c r="GUG365" s="290"/>
      <c r="GUH365" s="291"/>
      <c r="GUI365" s="384"/>
      <c r="GUJ365" s="266"/>
      <c r="GUK365" s="649"/>
      <c r="GUL365" s="326"/>
      <c r="GUM365" s="368"/>
      <c r="GUN365" s="197"/>
      <c r="GUO365" s="650"/>
      <c r="GUP365" s="290"/>
      <c r="GUQ365" s="291"/>
      <c r="GUR365" s="384"/>
      <c r="GUS365" s="266"/>
      <c r="GUT365" s="649"/>
      <c r="GUU365" s="326"/>
      <c r="GUV365" s="368"/>
      <c r="GUW365" s="197"/>
      <c r="GUX365" s="650"/>
      <c r="GUY365" s="290"/>
      <c r="GUZ365" s="291"/>
      <c r="GVA365" s="384"/>
      <c r="GVB365" s="266"/>
      <c r="GVC365" s="649"/>
      <c r="GVD365" s="326"/>
      <c r="GVE365" s="368"/>
      <c r="GVF365" s="197"/>
      <c r="GVG365" s="650"/>
      <c r="GVH365" s="290"/>
      <c r="GVI365" s="291"/>
      <c r="GVJ365" s="384"/>
      <c r="GVK365" s="266"/>
      <c r="GVL365" s="649"/>
      <c r="GVM365" s="326"/>
      <c r="GVN365" s="368"/>
      <c r="GVO365" s="197"/>
      <c r="GVP365" s="650"/>
      <c r="GVQ365" s="290"/>
      <c r="GVR365" s="291"/>
      <c r="GVS365" s="384"/>
      <c r="GVT365" s="266"/>
      <c r="GVU365" s="649"/>
      <c r="GVV365" s="326"/>
      <c r="GVW365" s="368"/>
      <c r="GVX365" s="197"/>
      <c r="GVY365" s="650"/>
      <c r="GVZ365" s="290"/>
      <c r="GWA365" s="291"/>
      <c r="GWB365" s="384"/>
      <c r="GWC365" s="266"/>
      <c r="GWD365" s="649"/>
      <c r="GWE365" s="326"/>
      <c r="GWF365" s="368"/>
      <c r="GWG365" s="197"/>
      <c r="GWH365" s="650"/>
      <c r="GWI365" s="290"/>
      <c r="GWJ365" s="291"/>
      <c r="GWK365" s="384"/>
      <c r="GWL365" s="266"/>
      <c r="GWM365" s="649"/>
      <c r="GWN365" s="326"/>
      <c r="GWO365" s="368"/>
      <c r="GWP365" s="197"/>
      <c r="GWQ365" s="650"/>
      <c r="GWR365" s="290"/>
      <c r="GWS365" s="291"/>
      <c r="GWT365" s="384"/>
      <c r="GWU365" s="266"/>
      <c r="GWV365" s="649"/>
      <c r="GWW365" s="326"/>
      <c r="GWX365" s="368"/>
      <c r="GWY365" s="197"/>
      <c r="GWZ365" s="650"/>
      <c r="GXA365" s="290"/>
      <c r="GXB365" s="291"/>
      <c r="GXC365" s="384"/>
      <c r="GXD365" s="266"/>
      <c r="GXE365" s="649"/>
      <c r="GXF365" s="326"/>
      <c r="GXG365" s="368"/>
      <c r="GXH365" s="197"/>
      <c r="GXI365" s="650"/>
      <c r="GXJ365" s="290"/>
      <c r="GXK365" s="291"/>
      <c r="GXL365" s="384"/>
      <c r="GXM365" s="266"/>
      <c r="GXN365" s="649"/>
      <c r="GXO365" s="326"/>
      <c r="GXP365" s="368"/>
      <c r="GXQ365" s="197"/>
      <c r="GXR365" s="650"/>
      <c r="GXS365" s="290"/>
      <c r="GXT365" s="291"/>
      <c r="GXU365" s="384"/>
      <c r="GXV365" s="266"/>
      <c r="GXW365" s="649"/>
      <c r="GXX365" s="326"/>
      <c r="GXY365" s="368"/>
      <c r="GXZ365" s="197"/>
      <c r="GYA365" s="650"/>
      <c r="GYB365" s="290"/>
      <c r="GYC365" s="291"/>
      <c r="GYD365" s="384"/>
      <c r="GYE365" s="266"/>
      <c r="GYF365" s="649"/>
      <c r="GYG365" s="326"/>
      <c r="GYH365" s="368"/>
      <c r="GYI365" s="197"/>
      <c r="GYJ365" s="650"/>
      <c r="GYK365" s="290"/>
      <c r="GYL365" s="291"/>
      <c r="GYM365" s="384"/>
      <c r="GYN365" s="266"/>
      <c r="GYO365" s="649"/>
      <c r="GYP365" s="326"/>
      <c r="GYQ365" s="368"/>
      <c r="GYR365" s="197"/>
      <c r="GYS365" s="650"/>
      <c r="GYT365" s="290"/>
      <c r="GYU365" s="291"/>
      <c r="GYV365" s="384"/>
      <c r="GYW365" s="266"/>
      <c r="GYX365" s="649"/>
      <c r="GYY365" s="326"/>
      <c r="GYZ365" s="368"/>
      <c r="GZA365" s="197"/>
      <c r="GZB365" s="650"/>
      <c r="GZC365" s="290"/>
      <c r="GZD365" s="291"/>
      <c r="GZE365" s="384"/>
      <c r="GZF365" s="266"/>
      <c r="GZG365" s="649"/>
      <c r="GZH365" s="326"/>
      <c r="GZI365" s="368"/>
      <c r="GZJ365" s="197"/>
      <c r="GZK365" s="650"/>
      <c r="GZL365" s="290"/>
      <c r="GZM365" s="291"/>
      <c r="GZN365" s="384"/>
      <c r="GZO365" s="266"/>
      <c r="GZP365" s="649"/>
      <c r="GZQ365" s="326"/>
      <c r="GZR365" s="368"/>
      <c r="GZS365" s="197"/>
      <c r="GZT365" s="650"/>
      <c r="GZU365" s="290"/>
      <c r="GZV365" s="291"/>
      <c r="GZW365" s="384"/>
      <c r="GZX365" s="266"/>
      <c r="GZY365" s="649"/>
      <c r="GZZ365" s="326"/>
      <c r="HAA365" s="368"/>
      <c r="HAB365" s="197"/>
      <c r="HAC365" s="650"/>
      <c r="HAD365" s="290"/>
      <c r="HAE365" s="291"/>
      <c r="HAF365" s="384"/>
      <c r="HAG365" s="266"/>
      <c r="HAH365" s="649"/>
      <c r="HAI365" s="326"/>
      <c r="HAJ365" s="368"/>
      <c r="HAK365" s="197"/>
      <c r="HAL365" s="650"/>
      <c r="HAM365" s="290"/>
      <c r="HAN365" s="291"/>
      <c r="HAO365" s="384"/>
      <c r="HAP365" s="266"/>
      <c r="HAQ365" s="649"/>
      <c r="HAR365" s="326"/>
      <c r="HAS365" s="368"/>
      <c r="HAT365" s="197"/>
      <c r="HAU365" s="650"/>
      <c r="HAV365" s="290"/>
      <c r="HAW365" s="291"/>
      <c r="HAX365" s="384"/>
      <c r="HAY365" s="266"/>
      <c r="HAZ365" s="649"/>
      <c r="HBA365" s="326"/>
      <c r="HBB365" s="368"/>
      <c r="HBC365" s="197"/>
      <c r="HBD365" s="650"/>
      <c r="HBE365" s="290"/>
      <c r="HBF365" s="291"/>
      <c r="HBG365" s="384"/>
      <c r="HBH365" s="266"/>
      <c r="HBI365" s="649"/>
      <c r="HBJ365" s="326"/>
      <c r="HBK365" s="368"/>
      <c r="HBL365" s="197"/>
      <c r="HBM365" s="650"/>
      <c r="HBN365" s="290"/>
      <c r="HBO365" s="291"/>
      <c r="HBP365" s="384"/>
      <c r="HBQ365" s="266"/>
      <c r="HBR365" s="649"/>
      <c r="HBS365" s="326"/>
      <c r="HBT365" s="368"/>
      <c r="HBU365" s="197"/>
      <c r="HBV365" s="650"/>
      <c r="HBW365" s="290"/>
      <c r="HBX365" s="291"/>
      <c r="HBY365" s="384"/>
      <c r="HBZ365" s="266"/>
      <c r="HCA365" s="649"/>
      <c r="HCB365" s="326"/>
      <c r="HCC365" s="368"/>
      <c r="HCD365" s="197"/>
      <c r="HCE365" s="650"/>
      <c r="HCF365" s="290"/>
      <c r="HCG365" s="291"/>
      <c r="HCH365" s="384"/>
      <c r="HCI365" s="266"/>
      <c r="HCJ365" s="649"/>
      <c r="HCK365" s="326"/>
      <c r="HCL365" s="368"/>
      <c r="HCM365" s="197"/>
      <c r="HCN365" s="650"/>
      <c r="HCO365" s="290"/>
      <c r="HCP365" s="291"/>
      <c r="HCQ365" s="384"/>
      <c r="HCR365" s="266"/>
      <c r="HCS365" s="649"/>
      <c r="HCT365" s="326"/>
      <c r="HCU365" s="368"/>
      <c r="HCV365" s="197"/>
      <c r="HCW365" s="650"/>
      <c r="HCX365" s="290"/>
      <c r="HCY365" s="291"/>
      <c r="HCZ365" s="384"/>
      <c r="HDA365" s="266"/>
      <c r="HDB365" s="649"/>
      <c r="HDC365" s="326"/>
      <c r="HDD365" s="368"/>
      <c r="HDE365" s="197"/>
      <c r="HDF365" s="650"/>
      <c r="HDG365" s="290"/>
      <c r="HDH365" s="291"/>
      <c r="HDI365" s="384"/>
      <c r="HDJ365" s="266"/>
      <c r="HDK365" s="649"/>
      <c r="HDL365" s="326"/>
      <c r="HDM365" s="368"/>
      <c r="HDN365" s="197"/>
      <c r="HDO365" s="650"/>
      <c r="HDP365" s="290"/>
      <c r="HDQ365" s="291"/>
      <c r="HDR365" s="384"/>
      <c r="HDS365" s="266"/>
      <c r="HDT365" s="649"/>
      <c r="HDU365" s="326"/>
      <c r="HDV365" s="368"/>
      <c r="HDW365" s="197"/>
      <c r="HDX365" s="650"/>
      <c r="HDY365" s="290"/>
      <c r="HDZ365" s="291"/>
      <c r="HEA365" s="384"/>
      <c r="HEB365" s="266"/>
      <c r="HEC365" s="649"/>
      <c r="HED365" s="326"/>
      <c r="HEE365" s="368"/>
      <c r="HEF365" s="197"/>
      <c r="HEG365" s="650"/>
      <c r="HEH365" s="290"/>
      <c r="HEI365" s="291"/>
      <c r="HEJ365" s="384"/>
      <c r="HEK365" s="266"/>
      <c r="HEL365" s="649"/>
      <c r="HEM365" s="326"/>
      <c r="HEN365" s="368"/>
      <c r="HEO365" s="197"/>
      <c r="HEP365" s="650"/>
      <c r="HEQ365" s="290"/>
      <c r="HER365" s="291"/>
      <c r="HES365" s="384"/>
      <c r="HET365" s="266"/>
      <c r="HEU365" s="649"/>
      <c r="HEV365" s="326"/>
      <c r="HEW365" s="368"/>
      <c r="HEX365" s="197"/>
      <c r="HEY365" s="650"/>
      <c r="HEZ365" s="290"/>
      <c r="HFA365" s="291"/>
      <c r="HFB365" s="384"/>
      <c r="HFC365" s="266"/>
      <c r="HFD365" s="649"/>
      <c r="HFE365" s="326"/>
      <c r="HFF365" s="368"/>
      <c r="HFG365" s="197"/>
      <c r="HFH365" s="650"/>
      <c r="HFI365" s="290"/>
      <c r="HFJ365" s="291"/>
      <c r="HFK365" s="384"/>
      <c r="HFL365" s="266"/>
      <c r="HFM365" s="649"/>
      <c r="HFN365" s="326"/>
      <c r="HFO365" s="368"/>
      <c r="HFP365" s="197"/>
      <c r="HFQ365" s="650"/>
      <c r="HFR365" s="290"/>
      <c r="HFS365" s="291"/>
      <c r="HFT365" s="384"/>
      <c r="HFU365" s="266"/>
      <c r="HFV365" s="649"/>
      <c r="HFW365" s="326"/>
      <c r="HFX365" s="368"/>
      <c r="HFY365" s="197"/>
      <c r="HFZ365" s="650"/>
      <c r="HGA365" s="290"/>
      <c r="HGB365" s="291"/>
      <c r="HGC365" s="384"/>
      <c r="HGD365" s="266"/>
      <c r="HGE365" s="649"/>
      <c r="HGF365" s="326"/>
      <c r="HGG365" s="368"/>
      <c r="HGH365" s="197"/>
      <c r="HGI365" s="650"/>
      <c r="HGJ365" s="290"/>
      <c r="HGK365" s="291"/>
      <c r="HGL365" s="384"/>
      <c r="HGM365" s="266"/>
      <c r="HGN365" s="649"/>
      <c r="HGO365" s="326"/>
      <c r="HGP365" s="368"/>
      <c r="HGQ365" s="197"/>
      <c r="HGR365" s="650"/>
      <c r="HGS365" s="290"/>
      <c r="HGT365" s="291"/>
      <c r="HGU365" s="384"/>
      <c r="HGV365" s="266"/>
      <c r="HGW365" s="649"/>
      <c r="HGX365" s="326"/>
      <c r="HGY365" s="368"/>
      <c r="HGZ365" s="197"/>
      <c r="HHA365" s="650"/>
      <c r="HHB365" s="290"/>
      <c r="HHC365" s="291"/>
      <c r="HHD365" s="384"/>
      <c r="HHE365" s="266"/>
      <c r="HHF365" s="649"/>
      <c r="HHG365" s="326"/>
      <c r="HHH365" s="368"/>
      <c r="HHI365" s="197"/>
      <c r="HHJ365" s="650"/>
      <c r="HHK365" s="290"/>
      <c r="HHL365" s="291"/>
      <c r="HHM365" s="384"/>
      <c r="HHN365" s="266"/>
      <c r="HHO365" s="649"/>
      <c r="HHP365" s="326"/>
      <c r="HHQ365" s="368"/>
      <c r="HHR365" s="197"/>
      <c r="HHS365" s="650"/>
      <c r="HHT365" s="290"/>
      <c r="HHU365" s="291"/>
      <c r="HHV365" s="384"/>
      <c r="HHW365" s="266"/>
      <c r="HHX365" s="649"/>
      <c r="HHY365" s="326"/>
      <c r="HHZ365" s="368"/>
      <c r="HIA365" s="197"/>
      <c r="HIB365" s="650"/>
      <c r="HIC365" s="290"/>
      <c r="HID365" s="291"/>
      <c r="HIE365" s="384"/>
      <c r="HIF365" s="266"/>
      <c r="HIG365" s="649"/>
      <c r="HIH365" s="326"/>
      <c r="HII365" s="368"/>
      <c r="HIJ365" s="197"/>
      <c r="HIK365" s="650"/>
      <c r="HIL365" s="290"/>
      <c r="HIM365" s="291"/>
      <c r="HIN365" s="384"/>
      <c r="HIO365" s="266"/>
      <c r="HIP365" s="649"/>
      <c r="HIQ365" s="326"/>
      <c r="HIR365" s="368"/>
      <c r="HIS365" s="197"/>
      <c r="HIT365" s="650"/>
      <c r="HIU365" s="290"/>
      <c r="HIV365" s="291"/>
      <c r="HIW365" s="384"/>
      <c r="HIX365" s="266"/>
      <c r="HIY365" s="649"/>
      <c r="HIZ365" s="326"/>
      <c r="HJA365" s="368"/>
      <c r="HJB365" s="197"/>
      <c r="HJC365" s="650"/>
      <c r="HJD365" s="290"/>
      <c r="HJE365" s="291"/>
      <c r="HJF365" s="384"/>
      <c r="HJG365" s="266"/>
      <c r="HJH365" s="649"/>
      <c r="HJI365" s="326"/>
      <c r="HJJ365" s="368"/>
      <c r="HJK365" s="197"/>
      <c r="HJL365" s="650"/>
      <c r="HJM365" s="290"/>
      <c r="HJN365" s="291"/>
      <c r="HJO365" s="384"/>
      <c r="HJP365" s="266"/>
      <c r="HJQ365" s="649"/>
      <c r="HJR365" s="326"/>
      <c r="HJS365" s="368"/>
      <c r="HJT365" s="197"/>
      <c r="HJU365" s="650"/>
      <c r="HJV365" s="290"/>
      <c r="HJW365" s="291"/>
      <c r="HJX365" s="384"/>
      <c r="HJY365" s="266"/>
      <c r="HJZ365" s="649"/>
      <c r="HKA365" s="326"/>
      <c r="HKB365" s="368"/>
      <c r="HKC365" s="197"/>
      <c r="HKD365" s="650"/>
      <c r="HKE365" s="290"/>
      <c r="HKF365" s="291"/>
      <c r="HKG365" s="384"/>
      <c r="HKH365" s="266"/>
      <c r="HKI365" s="649"/>
      <c r="HKJ365" s="326"/>
      <c r="HKK365" s="368"/>
      <c r="HKL365" s="197"/>
      <c r="HKM365" s="650"/>
      <c r="HKN365" s="290"/>
      <c r="HKO365" s="291"/>
      <c r="HKP365" s="384"/>
      <c r="HKQ365" s="266"/>
      <c r="HKR365" s="649"/>
      <c r="HKS365" s="326"/>
      <c r="HKT365" s="368"/>
      <c r="HKU365" s="197"/>
      <c r="HKV365" s="650"/>
      <c r="HKW365" s="290"/>
      <c r="HKX365" s="291"/>
      <c r="HKY365" s="384"/>
      <c r="HKZ365" s="266"/>
      <c r="HLA365" s="649"/>
      <c r="HLB365" s="326"/>
      <c r="HLC365" s="368"/>
      <c r="HLD365" s="197"/>
      <c r="HLE365" s="650"/>
      <c r="HLF365" s="290"/>
      <c r="HLG365" s="291"/>
      <c r="HLH365" s="384"/>
      <c r="HLI365" s="266"/>
      <c r="HLJ365" s="649"/>
      <c r="HLK365" s="326"/>
      <c r="HLL365" s="368"/>
      <c r="HLM365" s="197"/>
      <c r="HLN365" s="650"/>
      <c r="HLO365" s="290"/>
      <c r="HLP365" s="291"/>
      <c r="HLQ365" s="384"/>
      <c r="HLR365" s="266"/>
      <c r="HLS365" s="649"/>
      <c r="HLT365" s="326"/>
      <c r="HLU365" s="368"/>
      <c r="HLV365" s="197"/>
      <c r="HLW365" s="650"/>
      <c r="HLX365" s="290"/>
      <c r="HLY365" s="291"/>
      <c r="HLZ365" s="384"/>
      <c r="HMA365" s="266"/>
      <c r="HMB365" s="649"/>
      <c r="HMC365" s="326"/>
      <c r="HMD365" s="368"/>
      <c r="HME365" s="197"/>
      <c r="HMF365" s="650"/>
      <c r="HMG365" s="290"/>
      <c r="HMH365" s="291"/>
      <c r="HMI365" s="384"/>
      <c r="HMJ365" s="266"/>
      <c r="HMK365" s="649"/>
      <c r="HML365" s="326"/>
      <c r="HMM365" s="368"/>
      <c r="HMN365" s="197"/>
      <c r="HMO365" s="650"/>
      <c r="HMP365" s="290"/>
      <c r="HMQ365" s="291"/>
      <c r="HMR365" s="384"/>
      <c r="HMS365" s="266"/>
      <c r="HMT365" s="649"/>
      <c r="HMU365" s="326"/>
      <c r="HMV365" s="368"/>
      <c r="HMW365" s="197"/>
      <c r="HMX365" s="650"/>
      <c r="HMY365" s="290"/>
      <c r="HMZ365" s="291"/>
      <c r="HNA365" s="384"/>
      <c r="HNB365" s="266"/>
      <c r="HNC365" s="649"/>
      <c r="HND365" s="326"/>
      <c r="HNE365" s="368"/>
      <c r="HNF365" s="197"/>
      <c r="HNG365" s="650"/>
      <c r="HNH365" s="290"/>
      <c r="HNI365" s="291"/>
      <c r="HNJ365" s="384"/>
      <c r="HNK365" s="266"/>
      <c r="HNL365" s="649"/>
      <c r="HNM365" s="326"/>
      <c r="HNN365" s="368"/>
      <c r="HNO365" s="197"/>
      <c r="HNP365" s="650"/>
      <c r="HNQ365" s="290"/>
      <c r="HNR365" s="291"/>
      <c r="HNS365" s="384"/>
      <c r="HNT365" s="266"/>
      <c r="HNU365" s="649"/>
      <c r="HNV365" s="326"/>
      <c r="HNW365" s="368"/>
      <c r="HNX365" s="197"/>
      <c r="HNY365" s="650"/>
      <c r="HNZ365" s="290"/>
      <c r="HOA365" s="291"/>
      <c r="HOB365" s="384"/>
      <c r="HOC365" s="266"/>
      <c r="HOD365" s="649"/>
      <c r="HOE365" s="326"/>
      <c r="HOF365" s="368"/>
      <c r="HOG365" s="197"/>
      <c r="HOH365" s="650"/>
      <c r="HOI365" s="290"/>
      <c r="HOJ365" s="291"/>
      <c r="HOK365" s="384"/>
      <c r="HOL365" s="266"/>
      <c r="HOM365" s="649"/>
      <c r="HON365" s="326"/>
      <c r="HOO365" s="368"/>
      <c r="HOP365" s="197"/>
      <c r="HOQ365" s="650"/>
      <c r="HOR365" s="290"/>
      <c r="HOS365" s="291"/>
      <c r="HOT365" s="384"/>
      <c r="HOU365" s="266"/>
      <c r="HOV365" s="649"/>
      <c r="HOW365" s="326"/>
      <c r="HOX365" s="368"/>
      <c r="HOY365" s="197"/>
      <c r="HOZ365" s="650"/>
      <c r="HPA365" s="290"/>
      <c r="HPB365" s="291"/>
      <c r="HPC365" s="384"/>
      <c r="HPD365" s="266"/>
      <c r="HPE365" s="649"/>
      <c r="HPF365" s="326"/>
      <c r="HPG365" s="368"/>
      <c r="HPH365" s="197"/>
      <c r="HPI365" s="650"/>
      <c r="HPJ365" s="290"/>
      <c r="HPK365" s="291"/>
      <c r="HPL365" s="384"/>
      <c r="HPM365" s="266"/>
      <c r="HPN365" s="649"/>
      <c r="HPO365" s="326"/>
      <c r="HPP365" s="368"/>
      <c r="HPQ365" s="197"/>
      <c r="HPR365" s="650"/>
      <c r="HPS365" s="290"/>
      <c r="HPT365" s="291"/>
      <c r="HPU365" s="384"/>
      <c r="HPV365" s="266"/>
      <c r="HPW365" s="649"/>
      <c r="HPX365" s="326"/>
      <c r="HPY365" s="368"/>
      <c r="HPZ365" s="197"/>
      <c r="HQA365" s="650"/>
      <c r="HQB365" s="290"/>
      <c r="HQC365" s="291"/>
      <c r="HQD365" s="384"/>
      <c r="HQE365" s="266"/>
      <c r="HQF365" s="649"/>
      <c r="HQG365" s="326"/>
      <c r="HQH365" s="368"/>
      <c r="HQI365" s="197"/>
      <c r="HQJ365" s="650"/>
      <c r="HQK365" s="290"/>
      <c r="HQL365" s="291"/>
      <c r="HQM365" s="384"/>
      <c r="HQN365" s="266"/>
      <c r="HQO365" s="649"/>
      <c r="HQP365" s="326"/>
      <c r="HQQ365" s="368"/>
      <c r="HQR365" s="197"/>
      <c r="HQS365" s="650"/>
      <c r="HQT365" s="290"/>
      <c r="HQU365" s="291"/>
      <c r="HQV365" s="384"/>
      <c r="HQW365" s="266"/>
      <c r="HQX365" s="649"/>
      <c r="HQY365" s="326"/>
      <c r="HQZ365" s="368"/>
      <c r="HRA365" s="197"/>
      <c r="HRB365" s="650"/>
      <c r="HRC365" s="290"/>
      <c r="HRD365" s="291"/>
      <c r="HRE365" s="384"/>
      <c r="HRF365" s="266"/>
      <c r="HRG365" s="649"/>
      <c r="HRH365" s="326"/>
      <c r="HRI365" s="368"/>
      <c r="HRJ365" s="197"/>
      <c r="HRK365" s="650"/>
      <c r="HRL365" s="290"/>
      <c r="HRM365" s="291"/>
      <c r="HRN365" s="384"/>
      <c r="HRO365" s="266"/>
      <c r="HRP365" s="649"/>
      <c r="HRQ365" s="326"/>
      <c r="HRR365" s="368"/>
      <c r="HRS365" s="197"/>
      <c r="HRT365" s="650"/>
      <c r="HRU365" s="290"/>
      <c r="HRV365" s="291"/>
      <c r="HRW365" s="384"/>
      <c r="HRX365" s="266"/>
      <c r="HRY365" s="649"/>
      <c r="HRZ365" s="326"/>
      <c r="HSA365" s="368"/>
      <c r="HSB365" s="197"/>
      <c r="HSC365" s="650"/>
      <c r="HSD365" s="290"/>
      <c r="HSE365" s="291"/>
      <c r="HSF365" s="384"/>
      <c r="HSG365" s="266"/>
      <c r="HSH365" s="649"/>
      <c r="HSI365" s="326"/>
      <c r="HSJ365" s="368"/>
      <c r="HSK365" s="197"/>
      <c r="HSL365" s="650"/>
      <c r="HSM365" s="290"/>
      <c r="HSN365" s="291"/>
      <c r="HSO365" s="384"/>
      <c r="HSP365" s="266"/>
      <c r="HSQ365" s="649"/>
      <c r="HSR365" s="326"/>
      <c r="HSS365" s="368"/>
      <c r="HST365" s="197"/>
      <c r="HSU365" s="650"/>
      <c r="HSV365" s="290"/>
      <c r="HSW365" s="291"/>
      <c r="HSX365" s="384"/>
      <c r="HSY365" s="266"/>
      <c r="HSZ365" s="649"/>
      <c r="HTA365" s="326"/>
      <c r="HTB365" s="368"/>
      <c r="HTC365" s="197"/>
      <c r="HTD365" s="650"/>
      <c r="HTE365" s="290"/>
      <c r="HTF365" s="291"/>
      <c r="HTG365" s="384"/>
      <c r="HTH365" s="266"/>
      <c r="HTI365" s="649"/>
      <c r="HTJ365" s="326"/>
      <c r="HTK365" s="368"/>
      <c r="HTL365" s="197"/>
      <c r="HTM365" s="650"/>
      <c r="HTN365" s="290"/>
      <c r="HTO365" s="291"/>
      <c r="HTP365" s="384"/>
      <c r="HTQ365" s="266"/>
      <c r="HTR365" s="649"/>
      <c r="HTS365" s="326"/>
      <c r="HTT365" s="368"/>
      <c r="HTU365" s="197"/>
      <c r="HTV365" s="650"/>
      <c r="HTW365" s="290"/>
      <c r="HTX365" s="291"/>
      <c r="HTY365" s="384"/>
      <c r="HTZ365" s="266"/>
      <c r="HUA365" s="649"/>
      <c r="HUB365" s="326"/>
      <c r="HUC365" s="368"/>
      <c r="HUD365" s="197"/>
      <c r="HUE365" s="650"/>
      <c r="HUF365" s="290"/>
      <c r="HUG365" s="291"/>
      <c r="HUH365" s="384"/>
      <c r="HUI365" s="266"/>
      <c r="HUJ365" s="649"/>
      <c r="HUK365" s="326"/>
      <c r="HUL365" s="368"/>
      <c r="HUM365" s="197"/>
      <c r="HUN365" s="650"/>
      <c r="HUO365" s="290"/>
      <c r="HUP365" s="291"/>
      <c r="HUQ365" s="384"/>
      <c r="HUR365" s="266"/>
      <c r="HUS365" s="649"/>
      <c r="HUT365" s="326"/>
      <c r="HUU365" s="368"/>
      <c r="HUV365" s="197"/>
      <c r="HUW365" s="650"/>
      <c r="HUX365" s="290"/>
      <c r="HUY365" s="291"/>
      <c r="HUZ365" s="384"/>
      <c r="HVA365" s="266"/>
      <c r="HVB365" s="649"/>
      <c r="HVC365" s="326"/>
      <c r="HVD365" s="368"/>
      <c r="HVE365" s="197"/>
      <c r="HVF365" s="650"/>
      <c r="HVG365" s="290"/>
      <c r="HVH365" s="291"/>
      <c r="HVI365" s="384"/>
      <c r="HVJ365" s="266"/>
      <c r="HVK365" s="649"/>
      <c r="HVL365" s="326"/>
      <c r="HVM365" s="368"/>
      <c r="HVN365" s="197"/>
      <c r="HVO365" s="650"/>
      <c r="HVP365" s="290"/>
      <c r="HVQ365" s="291"/>
      <c r="HVR365" s="384"/>
      <c r="HVS365" s="266"/>
      <c r="HVT365" s="649"/>
      <c r="HVU365" s="326"/>
      <c r="HVV365" s="368"/>
      <c r="HVW365" s="197"/>
      <c r="HVX365" s="650"/>
      <c r="HVY365" s="290"/>
      <c r="HVZ365" s="291"/>
      <c r="HWA365" s="384"/>
      <c r="HWB365" s="266"/>
      <c r="HWC365" s="649"/>
      <c r="HWD365" s="326"/>
      <c r="HWE365" s="368"/>
      <c r="HWF365" s="197"/>
      <c r="HWG365" s="650"/>
      <c r="HWH365" s="290"/>
      <c r="HWI365" s="291"/>
      <c r="HWJ365" s="384"/>
      <c r="HWK365" s="266"/>
      <c r="HWL365" s="649"/>
      <c r="HWM365" s="326"/>
      <c r="HWN365" s="368"/>
      <c r="HWO365" s="197"/>
      <c r="HWP365" s="650"/>
      <c r="HWQ365" s="290"/>
      <c r="HWR365" s="291"/>
      <c r="HWS365" s="384"/>
      <c r="HWT365" s="266"/>
      <c r="HWU365" s="649"/>
      <c r="HWV365" s="326"/>
      <c r="HWW365" s="368"/>
      <c r="HWX365" s="197"/>
      <c r="HWY365" s="650"/>
      <c r="HWZ365" s="290"/>
      <c r="HXA365" s="291"/>
      <c r="HXB365" s="384"/>
      <c r="HXC365" s="266"/>
      <c r="HXD365" s="649"/>
      <c r="HXE365" s="326"/>
      <c r="HXF365" s="368"/>
      <c r="HXG365" s="197"/>
      <c r="HXH365" s="650"/>
      <c r="HXI365" s="290"/>
      <c r="HXJ365" s="291"/>
      <c r="HXK365" s="384"/>
      <c r="HXL365" s="266"/>
      <c r="HXM365" s="649"/>
      <c r="HXN365" s="326"/>
      <c r="HXO365" s="368"/>
      <c r="HXP365" s="197"/>
      <c r="HXQ365" s="650"/>
      <c r="HXR365" s="290"/>
      <c r="HXS365" s="291"/>
      <c r="HXT365" s="384"/>
      <c r="HXU365" s="266"/>
      <c r="HXV365" s="649"/>
      <c r="HXW365" s="326"/>
      <c r="HXX365" s="368"/>
      <c r="HXY365" s="197"/>
      <c r="HXZ365" s="650"/>
      <c r="HYA365" s="290"/>
      <c r="HYB365" s="291"/>
      <c r="HYC365" s="384"/>
      <c r="HYD365" s="266"/>
      <c r="HYE365" s="649"/>
      <c r="HYF365" s="326"/>
      <c r="HYG365" s="368"/>
      <c r="HYH365" s="197"/>
      <c r="HYI365" s="650"/>
      <c r="HYJ365" s="290"/>
      <c r="HYK365" s="291"/>
      <c r="HYL365" s="384"/>
      <c r="HYM365" s="266"/>
      <c r="HYN365" s="649"/>
      <c r="HYO365" s="326"/>
      <c r="HYP365" s="368"/>
      <c r="HYQ365" s="197"/>
      <c r="HYR365" s="650"/>
      <c r="HYS365" s="290"/>
      <c r="HYT365" s="291"/>
      <c r="HYU365" s="384"/>
      <c r="HYV365" s="266"/>
      <c r="HYW365" s="649"/>
      <c r="HYX365" s="326"/>
      <c r="HYY365" s="368"/>
      <c r="HYZ365" s="197"/>
      <c r="HZA365" s="650"/>
      <c r="HZB365" s="290"/>
      <c r="HZC365" s="291"/>
      <c r="HZD365" s="384"/>
      <c r="HZE365" s="266"/>
      <c r="HZF365" s="649"/>
      <c r="HZG365" s="326"/>
      <c r="HZH365" s="368"/>
      <c r="HZI365" s="197"/>
      <c r="HZJ365" s="650"/>
      <c r="HZK365" s="290"/>
      <c r="HZL365" s="291"/>
      <c r="HZM365" s="384"/>
      <c r="HZN365" s="266"/>
      <c r="HZO365" s="649"/>
      <c r="HZP365" s="326"/>
      <c r="HZQ365" s="368"/>
      <c r="HZR365" s="197"/>
      <c r="HZS365" s="650"/>
      <c r="HZT365" s="290"/>
      <c r="HZU365" s="291"/>
      <c r="HZV365" s="384"/>
      <c r="HZW365" s="266"/>
      <c r="HZX365" s="649"/>
      <c r="HZY365" s="326"/>
      <c r="HZZ365" s="368"/>
      <c r="IAA365" s="197"/>
      <c r="IAB365" s="650"/>
      <c r="IAC365" s="290"/>
      <c r="IAD365" s="291"/>
      <c r="IAE365" s="384"/>
      <c r="IAF365" s="266"/>
      <c r="IAG365" s="649"/>
      <c r="IAH365" s="326"/>
      <c r="IAI365" s="368"/>
      <c r="IAJ365" s="197"/>
      <c r="IAK365" s="650"/>
      <c r="IAL365" s="290"/>
      <c r="IAM365" s="291"/>
      <c r="IAN365" s="384"/>
      <c r="IAO365" s="266"/>
      <c r="IAP365" s="649"/>
      <c r="IAQ365" s="326"/>
      <c r="IAR365" s="368"/>
      <c r="IAS365" s="197"/>
      <c r="IAT365" s="650"/>
      <c r="IAU365" s="290"/>
      <c r="IAV365" s="291"/>
      <c r="IAW365" s="384"/>
      <c r="IAX365" s="266"/>
      <c r="IAY365" s="649"/>
      <c r="IAZ365" s="326"/>
      <c r="IBA365" s="368"/>
      <c r="IBB365" s="197"/>
      <c r="IBC365" s="650"/>
      <c r="IBD365" s="290"/>
      <c r="IBE365" s="291"/>
      <c r="IBF365" s="384"/>
      <c r="IBG365" s="266"/>
      <c r="IBH365" s="649"/>
      <c r="IBI365" s="326"/>
      <c r="IBJ365" s="368"/>
      <c r="IBK365" s="197"/>
      <c r="IBL365" s="650"/>
      <c r="IBM365" s="290"/>
      <c r="IBN365" s="291"/>
      <c r="IBO365" s="384"/>
      <c r="IBP365" s="266"/>
      <c r="IBQ365" s="649"/>
      <c r="IBR365" s="326"/>
      <c r="IBS365" s="368"/>
      <c r="IBT365" s="197"/>
      <c r="IBU365" s="650"/>
      <c r="IBV365" s="290"/>
      <c r="IBW365" s="291"/>
      <c r="IBX365" s="384"/>
      <c r="IBY365" s="266"/>
      <c r="IBZ365" s="649"/>
      <c r="ICA365" s="326"/>
      <c r="ICB365" s="368"/>
      <c r="ICC365" s="197"/>
      <c r="ICD365" s="650"/>
      <c r="ICE365" s="290"/>
      <c r="ICF365" s="291"/>
      <c r="ICG365" s="384"/>
      <c r="ICH365" s="266"/>
      <c r="ICI365" s="649"/>
      <c r="ICJ365" s="326"/>
      <c r="ICK365" s="368"/>
      <c r="ICL365" s="197"/>
      <c r="ICM365" s="650"/>
      <c r="ICN365" s="290"/>
      <c r="ICO365" s="291"/>
      <c r="ICP365" s="384"/>
      <c r="ICQ365" s="266"/>
      <c r="ICR365" s="649"/>
      <c r="ICS365" s="326"/>
      <c r="ICT365" s="368"/>
      <c r="ICU365" s="197"/>
      <c r="ICV365" s="650"/>
      <c r="ICW365" s="290"/>
      <c r="ICX365" s="291"/>
      <c r="ICY365" s="384"/>
      <c r="ICZ365" s="266"/>
      <c r="IDA365" s="649"/>
      <c r="IDB365" s="326"/>
      <c r="IDC365" s="368"/>
      <c r="IDD365" s="197"/>
      <c r="IDE365" s="650"/>
      <c r="IDF365" s="290"/>
      <c r="IDG365" s="291"/>
      <c r="IDH365" s="384"/>
      <c r="IDI365" s="266"/>
      <c r="IDJ365" s="649"/>
      <c r="IDK365" s="326"/>
      <c r="IDL365" s="368"/>
      <c r="IDM365" s="197"/>
      <c r="IDN365" s="650"/>
      <c r="IDO365" s="290"/>
      <c r="IDP365" s="291"/>
      <c r="IDQ365" s="384"/>
      <c r="IDR365" s="266"/>
      <c r="IDS365" s="649"/>
      <c r="IDT365" s="326"/>
      <c r="IDU365" s="368"/>
      <c r="IDV365" s="197"/>
      <c r="IDW365" s="650"/>
      <c r="IDX365" s="290"/>
      <c r="IDY365" s="291"/>
      <c r="IDZ365" s="384"/>
      <c r="IEA365" s="266"/>
      <c r="IEB365" s="649"/>
      <c r="IEC365" s="326"/>
      <c r="IED365" s="368"/>
      <c r="IEE365" s="197"/>
      <c r="IEF365" s="650"/>
      <c r="IEG365" s="290"/>
      <c r="IEH365" s="291"/>
      <c r="IEI365" s="384"/>
      <c r="IEJ365" s="266"/>
      <c r="IEK365" s="649"/>
      <c r="IEL365" s="326"/>
      <c r="IEM365" s="368"/>
      <c r="IEN365" s="197"/>
      <c r="IEO365" s="650"/>
      <c r="IEP365" s="290"/>
      <c r="IEQ365" s="291"/>
      <c r="IER365" s="384"/>
      <c r="IES365" s="266"/>
      <c r="IET365" s="649"/>
      <c r="IEU365" s="326"/>
      <c r="IEV365" s="368"/>
      <c r="IEW365" s="197"/>
      <c r="IEX365" s="650"/>
      <c r="IEY365" s="290"/>
      <c r="IEZ365" s="291"/>
      <c r="IFA365" s="384"/>
      <c r="IFB365" s="266"/>
      <c r="IFC365" s="649"/>
      <c r="IFD365" s="326"/>
      <c r="IFE365" s="368"/>
      <c r="IFF365" s="197"/>
      <c r="IFG365" s="650"/>
      <c r="IFH365" s="290"/>
      <c r="IFI365" s="291"/>
      <c r="IFJ365" s="384"/>
      <c r="IFK365" s="266"/>
      <c r="IFL365" s="649"/>
      <c r="IFM365" s="326"/>
      <c r="IFN365" s="368"/>
      <c r="IFO365" s="197"/>
      <c r="IFP365" s="650"/>
      <c r="IFQ365" s="290"/>
      <c r="IFR365" s="291"/>
      <c r="IFS365" s="384"/>
      <c r="IFT365" s="266"/>
      <c r="IFU365" s="649"/>
      <c r="IFV365" s="326"/>
      <c r="IFW365" s="368"/>
      <c r="IFX365" s="197"/>
      <c r="IFY365" s="650"/>
      <c r="IFZ365" s="290"/>
      <c r="IGA365" s="291"/>
      <c r="IGB365" s="384"/>
      <c r="IGC365" s="266"/>
      <c r="IGD365" s="649"/>
      <c r="IGE365" s="326"/>
      <c r="IGF365" s="368"/>
      <c r="IGG365" s="197"/>
      <c r="IGH365" s="650"/>
      <c r="IGI365" s="290"/>
      <c r="IGJ365" s="291"/>
      <c r="IGK365" s="384"/>
      <c r="IGL365" s="266"/>
      <c r="IGM365" s="649"/>
      <c r="IGN365" s="326"/>
      <c r="IGO365" s="368"/>
      <c r="IGP365" s="197"/>
      <c r="IGQ365" s="650"/>
      <c r="IGR365" s="290"/>
      <c r="IGS365" s="291"/>
      <c r="IGT365" s="384"/>
      <c r="IGU365" s="266"/>
      <c r="IGV365" s="649"/>
      <c r="IGW365" s="326"/>
      <c r="IGX365" s="368"/>
      <c r="IGY365" s="197"/>
      <c r="IGZ365" s="650"/>
      <c r="IHA365" s="290"/>
      <c r="IHB365" s="291"/>
      <c r="IHC365" s="384"/>
      <c r="IHD365" s="266"/>
      <c r="IHE365" s="649"/>
      <c r="IHF365" s="326"/>
      <c r="IHG365" s="368"/>
      <c r="IHH365" s="197"/>
      <c r="IHI365" s="650"/>
      <c r="IHJ365" s="290"/>
      <c r="IHK365" s="291"/>
      <c r="IHL365" s="384"/>
      <c r="IHM365" s="266"/>
      <c r="IHN365" s="649"/>
      <c r="IHO365" s="326"/>
      <c r="IHP365" s="368"/>
      <c r="IHQ365" s="197"/>
      <c r="IHR365" s="650"/>
      <c r="IHS365" s="290"/>
      <c r="IHT365" s="291"/>
      <c r="IHU365" s="384"/>
      <c r="IHV365" s="266"/>
      <c r="IHW365" s="649"/>
      <c r="IHX365" s="326"/>
      <c r="IHY365" s="368"/>
      <c r="IHZ365" s="197"/>
      <c r="IIA365" s="650"/>
      <c r="IIB365" s="290"/>
      <c r="IIC365" s="291"/>
      <c r="IID365" s="384"/>
      <c r="IIE365" s="266"/>
      <c r="IIF365" s="649"/>
      <c r="IIG365" s="326"/>
      <c r="IIH365" s="368"/>
      <c r="III365" s="197"/>
      <c r="IIJ365" s="650"/>
      <c r="IIK365" s="290"/>
      <c r="IIL365" s="291"/>
      <c r="IIM365" s="384"/>
      <c r="IIN365" s="266"/>
      <c r="IIO365" s="649"/>
      <c r="IIP365" s="326"/>
      <c r="IIQ365" s="368"/>
      <c r="IIR365" s="197"/>
      <c r="IIS365" s="650"/>
      <c r="IIT365" s="290"/>
      <c r="IIU365" s="291"/>
      <c r="IIV365" s="384"/>
      <c r="IIW365" s="266"/>
      <c r="IIX365" s="649"/>
      <c r="IIY365" s="326"/>
      <c r="IIZ365" s="368"/>
      <c r="IJA365" s="197"/>
      <c r="IJB365" s="650"/>
      <c r="IJC365" s="290"/>
      <c r="IJD365" s="291"/>
      <c r="IJE365" s="384"/>
      <c r="IJF365" s="266"/>
      <c r="IJG365" s="649"/>
      <c r="IJH365" s="326"/>
      <c r="IJI365" s="368"/>
      <c r="IJJ365" s="197"/>
      <c r="IJK365" s="650"/>
      <c r="IJL365" s="290"/>
      <c r="IJM365" s="291"/>
      <c r="IJN365" s="384"/>
      <c r="IJO365" s="266"/>
      <c r="IJP365" s="649"/>
      <c r="IJQ365" s="326"/>
      <c r="IJR365" s="368"/>
      <c r="IJS365" s="197"/>
      <c r="IJT365" s="650"/>
      <c r="IJU365" s="290"/>
      <c r="IJV365" s="291"/>
      <c r="IJW365" s="384"/>
      <c r="IJX365" s="266"/>
      <c r="IJY365" s="649"/>
      <c r="IJZ365" s="326"/>
      <c r="IKA365" s="368"/>
      <c r="IKB365" s="197"/>
      <c r="IKC365" s="650"/>
      <c r="IKD365" s="290"/>
      <c r="IKE365" s="291"/>
      <c r="IKF365" s="384"/>
      <c r="IKG365" s="266"/>
      <c r="IKH365" s="649"/>
      <c r="IKI365" s="326"/>
      <c r="IKJ365" s="368"/>
      <c r="IKK365" s="197"/>
      <c r="IKL365" s="650"/>
      <c r="IKM365" s="290"/>
      <c r="IKN365" s="291"/>
      <c r="IKO365" s="384"/>
      <c r="IKP365" s="266"/>
      <c r="IKQ365" s="649"/>
      <c r="IKR365" s="326"/>
      <c r="IKS365" s="368"/>
      <c r="IKT365" s="197"/>
      <c r="IKU365" s="650"/>
      <c r="IKV365" s="290"/>
      <c r="IKW365" s="291"/>
      <c r="IKX365" s="384"/>
      <c r="IKY365" s="266"/>
      <c r="IKZ365" s="649"/>
      <c r="ILA365" s="326"/>
      <c r="ILB365" s="368"/>
      <c r="ILC365" s="197"/>
      <c r="ILD365" s="650"/>
      <c r="ILE365" s="290"/>
      <c r="ILF365" s="291"/>
      <c r="ILG365" s="384"/>
      <c r="ILH365" s="266"/>
      <c r="ILI365" s="649"/>
      <c r="ILJ365" s="326"/>
      <c r="ILK365" s="368"/>
      <c r="ILL365" s="197"/>
      <c r="ILM365" s="650"/>
      <c r="ILN365" s="290"/>
      <c r="ILO365" s="291"/>
      <c r="ILP365" s="384"/>
      <c r="ILQ365" s="266"/>
      <c r="ILR365" s="649"/>
      <c r="ILS365" s="326"/>
      <c r="ILT365" s="368"/>
      <c r="ILU365" s="197"/>
      <c r="ILV365" s="650"/>
      <c r="ILW365" s="290"/>
      <c r="ILX365" s="291"/>
      <c r="ILY365" s="384"/>
      <c r="ILZ365" s="266"/>
      <c r="IMA365" s="649"/>
      <c r="IMB365" s="326"/>
      <c r="IMC365" s="368"/>
      <c r="IMD365" s="197"/>
      <c r="IME365" s="650"/>
      <c r="IMF365" s="290"/>
      <c r="IMG365" s="291"/>
      <c r="IMH365" s="384"/>
      <c r="IMI365" s="266"/>
      <c r="IMJ365" s="649"/>
      <c r="IMK365" s="326"/>
      <c r="IML365" s="368"/>
      <c r="IMM365" s="197"/>
      <c r="IMN365" s="650"/>
      <c r="IMO365" s="290"/>
      <c r="IMP365" s="291"/>
      <c r="IMQ365" s="384"/>
      <c r="IMR365" s="266"/>
      <c r="IMS365" s="649"/>
      <c r="IMT365" s="326"/>
      <c r="IMU365" s="368"/>
      <c r="IMV365" s="197"/>
      <c r="IMW365" s="650"/>
      <c r="IMX365" s="290"/>
      <c r="IMY365" s="291"/>
      <c r="IMZ365" s="384"/>
      <c r="INA365" s="266"/>
      <c r="INB365" s="649"/>
      <c r="INC365" s="326"/>
      <c r="IND365" s="368"/>
      <c r="INE365" s="197"/>
      <c r="INF365" s="650"/>
      <c r="ING365" s="290"/>
      <c r="INH365" s="291"/>
      <c r="INI365" s="384"/>
      <c r="INJ365" s="266"/>
      <c r="INK365" s="649"/>
      <c r="INL365" s="326"/>
      <c r="INM365" s="368"/>
      <c r="INN365" s="197"/>
      <c r="INO365" s="650"/>
      <c r="INP365" s="290"/>
      <c r="INQ365" s="291"/>
      <c r="INR365" s="384"/>
      <c r="INS365" s="266"/>
      <c r="INT365" s="649"/>
      <c r="INU365" s="326"/>
      <c r="INV365" s="368"/>
      <c r="INW365" s="197"/>
      <c r="INX365" s="650"/>
      <c r="INY365" s="290"/>
      <c r="INZ365" s="291"/>
      <c r="IOA365" s="384"/>
      <c r="IOB365" s="266"/>
      <c r="IOC365" s="649"/>
      <c r="IOD365" s="326"/>
      <c r="IOE365" s="368"/>
      <c r="IOF365" s="197"/>
      <c r="IOG365" s="650"/>
      <c r="IOH365" s="290"/>
      <c r="IOI365" s="291"/>
      <c r="IOJ365" s="384"/>
      <c r="IOK365" s="266"/>
      <c r="IOL365" s="649"/>
      <c r="IOM365" s="326"/>
      <c r="ION365" s="368"/>
      <c r="IOO365" s="197"/>
      <c r="IOP365" s="650"/>
      <c r="IOQ365" s="290"/>
      <c r="IOR365" s="291"/>
      <c r="IOS365" s="384"/>
      <c r="IOT365" s="266"/>
      <c r="IOU365" s="649"/>
      <c r="IOV365" s="326"/>
      <c r="IOW365" s="368"/>
      <c r="IOX365" s="197"/>
      <c r="IOY365" s="650"/>
      <c r="IOZ365" s="290"/>
      <c r="IPA365" s="291"/>
      <c r="IPB365" s="384"/>
      <c r="IPC365" s="266"/>
      <c r="IPD365" s="649"/>
      <c r="IPE365" s="326"/>
      <c r="IPF365" s="368"/>
      <c r="IPG365" s="197"/>
      <c r="IPH365" s="650"/>
      <c r="IPI365" s="290"/>
      <c r="IPJ365" s="291"/>
      <c r="IPK365" s="384"/>
      <c r="IPL365" s="266"/>
      <c r="IPM365" s="649"/>
      <c r="IPN365" s="326"/>
      <c r="IPO365" s="368"/>
      <c r="IPP365" s="197"/>
      <c r="IPQ365" s="650"/>
      <c r="IPR365" s="290"/>
      <c r="IPS365" s="291"/>
      <c r="IPT365" s="384"/>
      <c r="IPU365" s="266"/>
      <c r="IPV365" s="649"/>
      <c r="IPW365" s="326"/>
      <c r="IPX365" s="368"/>
      <c r="IPY365" s="197"/>
      <c r="IPZ365" s="650"/>
      <c r="IQA365" s="290"/>
      <c r="IQB365" s="291"/>
      <c r="IQC365" s="384"/>
      <c r="IQD365" s="266"/>
      <c r="IQE365" s="649"/>
      <c r="IQF365" s="326"/>
      <c r="IQG365" s="368"/>
      <c r="IQH365" s="197"/>
      <c r="IQI365" s="650"/>
      <c r="IQJ365" s="290"/>
      <c r="IQK365" s="291"/>
      <c r="IQL365" s="384"/>
      <c r="IQM365" s="266"/>
      <c r="IQN365" s="649"/>
      <c r="IQO365" s="326"/>
      <c r="IQP365" s="368"/>
      <c r="IQQ365" s="197"/>
      <c r="IQR365" s="650"/>
      <c r="IQS365" s="290"/>
      <c r="IQT365" s="291"/>
      <c r="IQU365" s="384"/>
      <c r="IQV365" s="266"/>
      <c r="IQW365" s="649"/>
      <c r="IQX365" s="326"/>
      <c r="IQY365" s="368"/>
      <c r="IQZ365" s="197"/>
      <c r="IRA365" s="650"/>
      <c r="IRB365" s="290"/>
      <c r="IRC365" s="291"/>
      <c r="IRD365" s="384"/>
      <c r="IRE365" s="266"/>
      <c r="IRF365" s="649"/>
      <c r="IRG365" s="326"/>
      <c r="IRH365" s="368"/>
      <c r="IRI365" s="197"/>
      <c r="IRJ365" s="650"/>
      <c r="IRK365" s="290"/>
      <c r="IRL365" s="291"/>
      <c r="IRM365" s="384"/>
      <c r="IRN365" s="266"/>
      <c r="IRO365" s="649"/>
      <c r="IRP365" s="326"/>
      <c r="IRQ365" s="368"/>
      <c r="IRR365" s="197"/>
      <c r="IRS365" s="650"/>
      <c r="IRT365" s="290"/>
      <c r="IRU365" s="291"/>
      <c r="IRV365" s="384"/>
      <c r="IRW365" s="266"/>
      <c r="IRX365" s="649"/>
      <c r="IRY365" s="326"/>
      <c r="IRZ365" s="368"/>
      <c r="ISA365" s="197"/>
      <c r="ISB365" s="650"/>
      <c r="ISC365" s="290"/>
      <c r="ISD365" s="291"/>
      <c r="ISE365" s="384"/>
      <c r="ISF365" s="266"/>
      <c r="ISG365" s="649"/>
      <c r="ISH365" s="326"/>
      <c r="ISI365" s="368"/>
      <c r="ISJ365" s="197"/>
      <c r="ISK365" s="650"/>
      <c r="ISL365" s="290"/>
      <c r="ISM365" s="291"/>
      <c r="ISN365" s="384"/>
      <c r="ISO365" s="266"/>
      <c r="ISP365" s="649"/>
      <c r="ISQ365" s="326"/>
      <c r="ISR365" s="368"/>
      <c r="ISS365" s="197"/>
      <c r="IST365" s="650"/>
      <c r="ISU365" s="290"/>
      <c r="ISV365" s="291"/>
      <c r="ISW365" s="384"/>
      <c r="ISX365" s="266"/>
      <c r="ISY365" s="649"/>
      <c r="ISZ365" s="326"/>
      <c r="ITA365" s="368"/>
      <c r="ITB365" s="197"/>
      <c r="ITC365" s="650"/>
      <c r="ITD365" s="290"/>
      <c r="ITE365" s="291"/>
      <c r="ITF365" s="384"/>
      <c r="ITG365" s="266"/>
      <c r="ITH365" s="649"/>
      <c r="ITI365" s="326"/>
      <c r="ITJ365" s="368"/>
      <c r="ITK365" s="197"/>
      <c r="ITL365" s="650"/>
      <c r="ITM365" s="290"/>
      <c r="ITN365" s="291"/>
      <c r="ITO365" s="384"/>
      <c r="ITP365" s="266"/>
      <c r="ITQ365" s="649"/>
      <c r="ITR365" s="326"/>
      <c r="ITS365" s="368"/>
      <c r="ITT365" s="197"/>
      <c r="ITU365" s="650"/>
      <c r="ITV365" s="290"/>
      <c r="ITW365" s="291"/>
      <c r="ITX365" s="384"/>
      <c r="ITY365" s="266"/>
      <c r="ITZ365" s="649"/>
      <c r="IUA365" s="326"/>
      <c r="IUB365" s="368"/>
      <c r="IUC365" s="197"/>
      <c r="IUD365" s="650"/>
      <c r="IUE365" s="290"/>
      <c r="IUF365" s="291"/>
      <c r="IUG365" s="384"/>
      <c r="IUH365" s="266"/>
      <c r="IUI365" s="649"/>
      <c r="IUJ365" s="326"/>
      <c r="IUK365" s="368"/>
      <c r="IUL365" s="197"/>
      <c r="IUM365" s="650"/>
      <c r="IUN365" s="290"/>
      <c r="IUO365" s="291"/>
      <c r="IUP365" s="384"/>
      <c r="IUQ365" s="266"/>
      <c r="IUR365" s="649"/>
      <c r="IUS365" s="326"/>
      <c r="IUT365" s="368"/>
      <c r="IUU365" s="197"/>
      <c r="IUV365" s="650"/>
      <c r="IUW365" s="290"/>
      <c r="IUX365" s="291"/>
      <c r="IUY365" s="384"/>
      <c r="IUZ365" s="266"/>
      <c r="IVA365" s="649"/>
      <c r="IVB365" s="326"/>
      <c r="IVC365" s="368"/>
      <c r="IVD365" s="197"/>
      <c r="IVE365" s="650"/>
      <c r="IVF365" s="290"/>
      <c r="IVG365" s="291"/>
      <c r="IVH365" s="384"/>
      <c r="IVI365" s="266"/>
      <c r="IVJ365" s="649"/>
      <c r="IVK365" s="326"/>
      <c r="IVL365" s="368"/>
      <c r="IVM365" s="197"/>
      <c r="IVN365" s="650"/>
      <c r="IVO365" s="290"/>
      <c r="IVP365" s="291"/>
      <c r="IVQ365" s="384"/>
      <c r="IVR365" s="266"/>
      <c r="IVS365" s="649"/>
      <c r="IVT365" s="326"/>
      <c r="IVU365" s="368"/>
      <c r="IVV365" s="197"/>
      <c r="IVW365" s="650"/>
      <c r="IVX365" s="290"/>
      <c r="IVY365" s="291"/>
      <c r="IVZ365" s="384"/>
      <c r="IWA365" s="266"/>
      <c r="IWB365" s="649"/>
      <c r="IWC365" s="326"/>
      <c r="IWD365" s="368"/>
      <c r="IWE365" s="197"/>
      <c r="IWF365" s="650"/>
      <c r="IWG365" s="290"/>
      <c r="IWH365" s="291"/>
      <c r="IWI365" s="384"/>
      <c r="IWJ365" s="266"/>
      <c r="IWK365" s="649"/>
      <c r="IWL365" s="326"/>
      <c r="IWM365" s="368"/>
      <c r="IWN365" s="197"/>
      <c r="IWO365" s="650"/>
      <c r="IWP365" s="290"/>
      <c r="IWQ365" s="291"/>
      <c r="IWR365" s="384"/>
      <c r="IWS365" s="266"/>
      <c r="IWT365" s="649"/>
      <c r="IWU365" s="326"/>
      <c r="IWV365" s="368"/>
      <c r="IWW365" s="197"/>
      <c r="IWX365" s="650"/>
      <c r="IWY365" s="290"/>
      <c r="IWZ365" s="291"/>
      <c r="IXA365" s="384"/>
      <c r="IXB365" s="266"/>
      <c r="IXC365" s="649"/>
      <c r="IXD365" s="326"/>
      <c r="IXE365" s="368"/>
      <c r="IXF365" s="197"/>
      <c r="IXG365" s="650"/>
      <c r="IXH365" s="290"/>
      <c r="IXI365" s="291"/>
      <c r="IXJ365" s="384"/>
      <c r="IXK365" s="266"/>
      <c r="IXL365" s="649"/>
      <c r="IXM365" s="326"/>
      <c r="IXN365" s="368"/>
      <c r="IXO365" s="197"/>
      <c r="IXP365" s="650"/>
      <c r="IXQ365" s="290"/>
      <c r="IXR365" s="291"/>
      <c r="IXS365" s="384"/>
      <c r="IXT365" s="266"/>
      <c r="IXU365" s="649"/>
      <c r="IXV365" s="326"/>
      <c r="IXW365" s="368"/>
      <c r="IXX365" s="197"/>
      <c r="IXY365" s="650"/>
      <c r="IXZ365" s="290"/>
      <c r="IYA365" s="291"/>
      <c r="IYB365" s="384"/>
      <c r="IYC365" s="266"/>
      <c r="IYD365" s="649"/>
      <c r="IYE365" s="326"/>
      <c r="IYF365" s="368"/>
      <c r="IYG365" s="197"/>
      <c r="IYH365" s="650"/>
      <c r="IYI365" s="290"/>
      <c r="IYJ365" s="291"/>
      <c r="IYK365" s="384"/>
      <c r="IYL365" s="266"/>
      <c r="IYM365" s="649"/>
      <c r="IYN365" s="326"/>
      <c r="IYO365" s="368"/>
      <c r="IYP365" s="197"/>
      <c r="IYQ365" s="650"/>
      <c r="IYR365" s="290"/>
      <c r="IYS365" s="291"/>
      <c r="IYT365" s="384"/>
      <c r="IYU365" s="266"/>
      <c r="IYV365" s="649"/>
      <c r="IYW365" s="326"/>
      <c r="IYX365" s="368"/>
      <c r="IYY365" s="197"/>
      <c r="IYZ365" s="650"/>
      <c r="IZA365" s="290"/>
      <c r="IZB365" s="291"/>
      <c r="IZC365" s="384"/>
      <c r="IZD365" s="266"/>
      <c r="IZE365" s="649"/>
      <c r="IZF365" s="326"/>
      <c r="IZG365" s="368"/>
      <c r="IZH365" s="197"/>
      <c r="IZI365" s="650"/>
      <c r="IZJ365" s="290"/>
      <c r="IZK365" s="291"/>
      <c r="IZL365" s="384"/>
      <c r="IZM365" s="266"/>
      <c r="IZN365" s="649"/>
      <c r="IZO365" s="326"/>
      <c r="IZP365" s="368"/>
      <c r="IZQ365" s="197"/>
      <c r="IZR365" s="650"/>
      <c r="IZS365" s="290"/>
      <c r="IZT365" s="291"/>
      <c r="IZU365" s="384"/>
      <c r="IZV365" s="266"/>
      <c r="IZW365" s="649"/>
      <c r="IZX365" s="326"/>
      <c r="IZY365" s="368"/>
      <c r="IZZ365" s="197"/>
      <c r="JAA365" s="650"/>
      <c r="JAB365" s="290"/>
      <c r="JAC365" s="291"/>
      <c r="JAD365" s="384"/>
      <c r="JAE365" s="266"/>
      <c r="JAF365" s="649"/>
      <c r="JAG365" s="326"/>
      <c r="JAH365" s="368"/>
      <c r="JAI365" s="197"/>
      <c r="JAJ365" s="650"/>
      <c r="JAK365" s="290"/>
      <c r="JAL365" s="291"/>
      <c r="JAM365" s="384"/>
      <c r="JAN365" s="266"/>
      <c r="JAO365" s="649"/>
      <c r="JAP365" s="326"/>
      <c r="JAQ365" s="368"/>
      <c r="JAR365" s="197"/>
      <c r="JAS365" s="650"/>
      <c r="JAT365" s="290"/>
      <c r="JAU365" s="291"/>
      <c r="JAV365" s="384"/>
      <c r="JAW365" s="266"/>
      <c r="JAX365" s="649"/>
      <c r="JAY365" s="326"/>
      <c r="JAZ365" s="368"/>
      <c r="JBA365" s="197"/>
      <c r="JBB365" s="650"/>
      <c r="JBC365" s="290"/>
      <c r="JBD365" s="291"/>
      <c r="JBE365" s="384"/>
      <c r="JBF365" s="266"/>
      <c r="JBG365" s="649"/>
      <c r="JBH365" s="326"/>
      <c r="JBI365" s="368"/>
      <c r="JBJ365" s="197"/>
      <c r="JBK365" s="650"/>
      <c r="JBL365" s="290"/>
      <c r="JBM365" s="291"/>
      <c r="JBN365" s="384"/>
      <c r="JBO365" s="266"/>
      <c r="JBP365" s="649"/>
      <c r="JBQ365" s="326"/>
      <c r="JBR365" s="368"/>
      <c r="JBS365" s="197"/>
      <c r="JBT365" s="650"/>
      <c r="JBU365" s="290"/>
      <c r="JBV365" s="291"/>
      <c r="JBW365" s="384"/>
      <c r="JBX365" s="266"/>
      <c r="JBY365" s="649"/>
      <c r="JBZ365" s="326"/>
      <c r="JCA365" s="368"/>
      <c r="JCB365" s="197"/>
      <c r="JCC365" s="650"/>
      <c r="JCD365" s="290"/>
      <c r="JCE365" s="291"/>
      <c r="JCF365" s="384"/>
      <c r="JCG365" s="266"/>
      <c r="JCH365" s="649"/>
      <c r="JCI365" s="326"/>
      <c r="JCJ365" s="368"/>
      <c r="JCK365" s="197"/>
      <c r="JCL365" s="650"/>
      <c r="JCM365" s="290"/>
      <c r="JCN365" s="291"/>
      <c r="JCO365" s="384"/>
      <c r="JCP365" s="266"/>
      <c r="JCQ365" s="649"/>
      <c r="JCR365" s="326"/>
      <c r="JCS365" s="368"/>
      <c r="JCT365" s="197"/>
      <c r="JCU365" s="650"/>
      <c r="JCV365" s="290"/>
      <c r="JCW365" s="291"/>
      <c r="JCX365" s="384"/>
      <c r="JCY365" s="266"/>
      <c r="JCZ365" s="649"/>
      <c r="JDA365" s="326"/>
      <c r="JDB365" s="368"/>
      <c r="JDC365" s="197"/>
      <c r="JDD365" s="650"/>
      <c r="JDE365" s="290"/>
      <c r="JDF365" s="291"/>
      <c r="JDG365" s="384"/>
      <c r="JDH365" s="266"/>
      <c r="JDI365" s="649"/>
      <c r="JDJ365" s="326"/>
      <c r="JDK365" s="368"/>
      <c r="JDL365" s="197"/>
      <c r="JDM365" s="650"/>
      <c r="JDN365" s="290"/>
      <c r="JDO365" s="291"/>
      <c r="JDP365" s="384"/>
      <c r="JDQ365" s="266"/>
      <c r="JDR365" s="649"/>
      <c r="JDS365" s="326"/>
      <c r="JDT365" s="368"/>
      <c r="JDU365" s="197"/>
      <c r="JDV365" s="650"/>
      <c r="JDW365" s="290"/>
      <c r="JDX365" s="291"/>
      <c r="JDY365" s="384"/>
      <c r="JDZ365" s="266"/>
      <c r="JEA365" s="649"/>
      <c r="JEB365" s="326"/>
      <c r="JEC365" s="368"/>
      <c r="JED365" s="197"/>
      <c r="JEE365" s="650"/>
      <c r="JEF365" s="290"/>
      <c r="JEG365" s="291"/>
      <c r="JEH365" s="384"/>
      <c r="JEI365" s="266"/>
      <c r="JEJ365" s="649"/>
      <c r="JEK365" s="326"/>
      <c r="JEL365" s="368"/>
      <c r="JEM365" s="197"/>
      <c r="JEN365" s="650"/>
      <c r="JEO365" s="290"/>
      <c r="JEP365" s="291"/>
      <c r="JEQ365" s="384"/>
      <c r="JER365" s="266"/>
      <c r="JES365" s="649"/>
      <c r="JET365" s="326"/>
      <c r="JEU365" s="368"/>
      <c r="JEV365" s="197"/>
      <c r="JEW365" s="650"/>
      <c r="JEX365" s="290"/>
      <c r="JEY365" s="291"/>
      <c r="JEZ365" s="384"/>
      <c r="JFA365" s="266"/>
      <c r="JFB365" s="649"/>
      <c r="JFC365" s="326"/>
      <c r="JFD365" s="368"/>
      <c r="JFE365" s="197"/>
      <c r="JFF365" s="650"/>
      <c r="JFG365" s="290"/>
      <c r="JFH365" s="291"/>
      <c r="JFI365" s="384"/>
      <c r="JFJ365" s="266"/>
      <c r="JFK365" s="649"/>
      <c r="JFL365" s="326"/>
      <c r="JFM365" s="368"/>
      <c r="JFN365" s="197"/>
      <c r="JFO365" s="650"/>
      <c r="JFP365" s="290"/>
      <c r="JFQ365" s="291"/>
      <c r="JFR365" s="384"/>
      <c r="JFS365" s="266"/>
      <c r="JFT365" s="649"/>
      <c r="JFU365" s="326"/>
      <c r="JFV365" s="368"/>
      <c r="JFW365" s="197"/>
      <c r="JFX365" s="650"/>
      <c r="JFY365" s="290"/>
      <c r="JFZ365" s="291"/>
      <c r="JGA365" s="384"/>
      <c r="JGB365" s="266"/>
      <c r="JGC365" s="649"/>
      <c r="JGD365" s="326"/>
      <c r="JGE365" s="368"/>
      <c r="JGF365" s="197"/>
      <c r="JGG365" s="650"/>
      <c r="JGH365" s="290"/>
      <c r="JGI365" s="291"/>
      <c r="JGJ365" s="384"/>
      <c r="JGK365" s="266"/>
      <c r="JGL365" s="649"/>
      <c r="JGM365" s="326"/>
      <c r="JGN365" s="368"/>
      <c r="JGO365" s="197"/>
      <c r="JGP365" s="650"/>
      <c r="JGQ365" s="290"/>
      <c r="JGR365" s="291"/>
      <c r="JGS365" s="384"/>
      <c r="JGT365" s="266"/>
      <c r="JGU365" s="649"/>
      <c r="JGV365" s="326"/>
      <c r="JGW365" s="368"/>
      <c r="JGX365" s="197"/>
      <c r="JGY365" s="650"/>
      <c r="JGZ365" s="290"/>
      <c r="JHA365" s="291"/>
      <c r="JHB365" s="384"/>
      <c r="JHC365" s="266"/>
      <c r="JHD365" s="649"/>
      <c r="JHE365" s="326"/>
      <c r="JHF365" s="368"/>
      <c r="JHG365" s="197"/>
      <c r="JHH365" s="650"/>
      <c r="JHI365" s="290"/>
      <c r="JHJ365" s="291"/>
      <c r="JHK365" s="384"/>
      <c r="JHL365" s="266"/>
      <c r="JHM365" s="649"/>
      <c r="JHN365" s="326"/>
      <c r="JHO365" s="368"/>
      <c r="JHP365" s="197"/>
      <c r="JHQ365" s="650"/>
      <c r="JHR365" s="290"/>
      <c r="JHS365" s="291"/>
      <c r="JHT365" s="384"/>
      <c r="JHU365" s="266"/>
      <c r="JHV365" s="649"/>
      <c r="JHW365" s="326"/>
      <c r="JHX365" s="368"/>
      <c r="JHY365" s="197"/>
      <c r="JHZ365" s="650"/>
      <c r="JIA365" s="290"/>
      <c r="JIB365" s="291"/>
      <c r="JIC365" s="384"/>
      <c r="JID365" s="266"/>
      <c r="JIE365" s="649"/>
      <c r="JIF365" s="326"/>
      <c r="JIG365" s="368"/>
      <c r="JIH365" s="197"/>
      <c r="JII365" s="650"/>
      <c r="JIJ365" s="290"/>
      <c r="JIK365" s="291"/>
      <c r="JIL365" s="384"/>
      <c r="JIM365" s="266"/>
      <c r="JIN365" s="649"/>
      <c r="JIO365" s="326"/>
      <c r="JIP365" s="368"/>
      <c r="JIQ365" s="197"/>
      <c r="JIR365" s="650"/>
      <c r="JIS365" s="290"/>
      <c r="JIT365" s="291"/>
      <c r="JIU365" s="384"/>
      <c r="JIV365" s="266"/>
      <c r="JIW365" s="649"/>
      <c r="JIX365" s="326"/>
      <c r="JIY365" s="368"/>
      <c r="JIZ365" s="197"/>
      <c r="JJA365" s="650"/>
      <c r="JJB365" s="290"/>
      <c r="JJC365" s="291"/>
      <c r="JJD365" s="384"/>
      <c r="JJE365" s="266"/>
      <c r="JJF365" s="649"/>
      <c r="JJG365" s="326"/>
      <c r="JJH365" s="368"/>
      <c r="JJI365" s="197"/>
      <c r="JJJ365" s="650"/>
      <c r="JJK365" s="290"/>
      <c r="JJL365" s="291"/>
      <c r="JJM365" s="384"/>
      <c r="JJN365" s="266"/>
      <c r="JJO365" s="649"/>
      <c r="JJP365" s="326"/>
      <c r="JJQ365" s="368"/>
      <c r="JJR365" s="197"/>
      <c r="JJS365" s="650"/>
      <c r="JJT365" s="290"/>
      <c r="JJU365" s="291"/>
      <c r="JJV365" s="384"/>
      <c r="JJW365" s="266"/>
      <c r="JJX365" s="649"/>
      <c r="JJY365" s="326"/>
      <c r="JJZ365" s="368"/>
      <c r="JKA365" s="197"/>
      <c r="JKB365" s="650"/>
      <c r="JKC365" s="290"/>
      <c r="JKD365" s="291"/>
      <c r="JKE365" s="384"/>
      <c r="JKF365" s="266"/>
      <c r="JKG365" s="649"/>
      <c r="JKH365" s="326"/>
      <c r="JKI365" s="368"/>
      <c r="JKJ365" s="197"/>
      <c r="JKK365" s="650"/>
      <c r="JKL365" s="290"/>
      <c r="JKM365" s="291"/>
      <c r="JKN365" s="384"/>
      <c r="JKO365" s="266"/>
      <c r="JKP365" s="649"/>
      <c r="JKQ365" s="326"/>
      <c r="JKR365" s="368"/>
      <c r="JKS365" s="197"/>
      <c r="JKT365" s="650"/>
      <c r="JKU365" s="290"/>
      <c r="JKV365" s="291"/>
      <c r="JKW365" s="384"/>
      <c r="JKX365" s="266"/>
      <c r="JKY365" s="649"/>
      <c r="JKZ365" s="326"/>
      <c r="JLA365" s="368"/>
      <c r="JLB365" s="197"/>
      <c r="JLC365" s="650"/>
      <c r="JLD365" s="290"/>
      <c r="JLE365" s="291"/>
      <c r="JLF365" s="384"/>
      <c r="JLG365" s="266"/>
      <c r="JLH365" s="649"/>
      <c r="JLI365" s="326"/>
      <c r="JLJ365" s="368"/>
      <c r="JLK365" s="197"/>
      <c r="JLL365" s="650"/>
      <c r="JLM365" s="290"/>
      <c r="JLN365" s="291"/>
      <c r="JLO365" s="384"/>
      <c r="JLP365" s="266"/>
      <c r="JLQ365" s="649"/>
      <c r="JLR365" s="326"/>
      <c r="JLS365" s="368"/>
      <c r="JLT365" s="197"/>
      <c r="JLU365" s="650"/>
      <c r="JLV365" s="290"/>
      <c r="JLW365" s="291"/>
      <c r="JLX365" s="384"/>
      <c r="JLY365" s="266"/>
      <c r="JLZ365" s="649"/>
      <c r="JMA365" s="326"/>
      <c r="JMB365" s="368"/>
      <c r="JMC365" s="197"/>
      <c r="JMD365" s="650"/>
      <c r="JME365" s="290"/>
      <c r="JMF365" s="291"/>
      <c r="JMG365" s="384"/>
      <c r="JMH365" s="266"/>
      <c r="JMI365" s="649"/>
      <c r="JMJ365" s="326"/>
      <c r="JMK365" s="368"/>
      <c r="JML365" s="197"/>
      <c r="JMM365" s="650"/>
      <c r="JMN365" s="290"/>
      <c r="JMO365" s="291"/>
      <c r="JMP365" s="384"/>
      <c r="JMQ365" s="266"/>
      <c r="JMR365" s="649"/>
      <c r="JMS365" s="326"/>
      <c r="JMT365" s="368"/>
      <c r="JMU365" s="197"/>
      <c r="JMV365" s="650"/>
      <c r="JMW365" s="290"/>
      <c r="JMX365" s="291"/>
      <c r="JMY365" s="384"/>
      <c r="JMZ365" s="266"/>
      <c r="JNA365" s="649"/>
      <c r="JNB365" s="326"/>
      <c r="JNC365" s="368"/>
      <c r="JND365" s="197"/>
      <c r="JNE365" s="650"/>
      <c r="JNF365" s="290"/>
      <c r="JNG365" s="291"/>
      <c r="JNH365" s="384"/>
      <c r="JNI365" s="266"/>
      <c r="JNJ365" s="649"/>
      <c r="JNK365" s="326"/>
      <c r="JNL365" s="368"/>
      <c r="JNM365" s="197"/>
      <c r="JNN365" s="650"/>
      <c r="JNO365" s="290"/>
      <c r="JNP365" s="291"/>
      <c r="JNQ365" s="384"/>
      <c r="JNR365" s="266"/>
      <c r="JNS365" s="649"/>
      <c r="JNT365" s="326"/>
      <c r="JNU365" s="368"/>
      <c r="JNV365" s="197"/>
      <c r="JNW365" s="650"/>
      <c r="JNX365" s="290"/>
      <c r="JNY365" s="291"/>
      <c r="JNZ365" s="384"/>
      <c r="JOA365" s="266"/>
      <c r="JOB365" s="649"/>
      <c r="JOC365" s="326"/>
      <c r="JOD365" s="368"/>
      <c r="JOE365" s="197"/>
      <c r="JOF365" s="650"/>
      <c r="JOG365" s="290"/>
      <c r="JOH365" s="291"/>
      <c r="JOI365" s="384"/>
      <c r="JOJ365" s="266"/>
      <c r="JOK365" s="649"/>
      <c r="JOL365" s="326"/>
      <c r="JOM365" s="368"/>
      <c r="JON365" s="197"/>
      <c r="JOO365" s="650"/>
      <c r="JOP365" s="290"/>
      <c r="JOQ365" s="291"/>
      <c r="JOR365" s="384"/>
      <c r="JOS365" s="266"/>
      <c r="JOT365" s="649"/>
      <c r="JOU365" s="326"/>
      <c r="JOV365" s="368"/>
      <c r="JOW365" s="197"/>
      <c r="JOX365" s="650"/>
      <c r="JOY365" s="290"/>
      <c r="JOZ365" s="291"/>
      <c r="JPA365" s="384"/>
      <c r="JPB365" s="266"/>
      <c r="JPC365" s="649"/>
      <c r="JPD365" s="326"/>
      <c r="JPE365" s="368"/>
      <c r="JPF365" s="197"/>
      <c r="JPG365" s="650"/>
      <c r="JPH365" s="290"/>
      <c r="JPI365" s="291"/>
      <c r="JPJ365" s="384"/>
      <c r="JPK365" s="266"/>
      <c r="JPL365" s="649"/>
      <c r="JPM365" s="326"/>
      <c r="JPN365" s="368"/>
      <c r="JPO365" s="197"/>
      <c r="JPP365" s="650"/>
      <c r="JPQ365" s="290"/>
      <c r="JPR365" s="291"/>
      <c r="JPS365" s="384"/>
      <c r="JPT365" s="266"/>
      <c r="JPU365" s="649"/>
      <c r="JPV365" s="326"/>
      <c r="JPW365" s="368"/>
      <c r="JPX365" s="197"/>
      <c r="JPY365" s="650"/>
      <c r="JPZ365" s="290"/>
      <c r="JQA365" s="291"/>
      <c r="JQB365" s="384"/>
      <c r="JQC365" s="266"/>
      <c r="JQD365" s="649"/>
      <c r="JQE365" s="326"/>
      <c r="JQF365" s="368"/>
      <c r="JQG365" s="197"/>
      <c r="JQH365" s="650"/>
      <c r="JQI365" s="290"/>
      <c r="JQJ365" s="291"/>
      <c r="JQK365" s="384"/>
      <c r="JQL365" s="266"/>
      <c r="JQM365" s="649"/>
      <c r="JQN365" s="326"/>
      <c r="JQO365" s="368"/>
      <c r="JQP365" s="197"/>
      <c r="JQQ365" s="650"/>
      <c r="JQR365" s="290"/>
      <c r="JQS365" s="291"/>
      <c r="JQT365" s="384"/>
      <c r="JQU365" s="266"/>
      <c r="JQV365" s="649"/>
      <c r="JQW365" s="326"/>
      <c r="JQX365" s="368"/>
      <c r="JQY365" s="197"/>
      <c r="JQZ365" s="650"/>
      <c r="JRA365" s="290"/>
      <c r="JRB365" s="291"/>
      <c r="JRC365" s="384"/>
      <c r="JRD365" s="266"/>
      <c r="JRE365" s="649"/>
      <c r="JRF365" s="326"/>
      <c r="JRG365" s="368"/>
      <c r="JRH365" s="197"/>
      <c r="JRI365" s="650"/>
      <c r="JRJ365" s="290"/>
      <c r="JRK365" s="291"/>
      <c r="JRL365" s="384"/>
      <c r="JRM365" s="266"/>
      <c r="JRN365" s="649"/>
      <c r="JRO365" s="326"/>
      <c r="JRP365" s="368"/>
      <c r="JRQ365" s="197"/>
      <c r="JRR365" s="650"/>
      <c r="JRS365" s="290"/>
      <c r="JRT365" s="291"/>
      <c r="JRU365" s="384"/>
      <c r="JRV365" s="266"/>
      <c r="JRW365" s="649"/>
      <c r="JRX365" s="326"/>
      <c r="JRY365" s="368"/>
      <c r="JRZ365" s="197"/>
      <c r="JSA365" s="650"/>
      <c r="JSB365" s="290"/>
      <c r="JSC365" s="291"/>
      <c r="JSD365" s="384"/>
      <c r="JSE365" s="266"/>
      <c r="JSF365" s="649"/>
      <c r="JSG365" s="326"/>
      <c r="JSH365" s="368"/>
      <c r="JSI365" s="197"/>
      <c r="JSJ365" s="650"/>
      <c r="JSK365" s="290"/>
      <c r="JSL365" s="291"/>
      <c r="JSM365" s="384"/>
      <c r="JSN365" s="266"/>
      <c r="JSO365" s="649"/>
      <c r="JSP365" s="326"/>
      <c r="JSQ365" s="368"/>
      <c r="JSR365" s="197"/>
      <c r="JSS365" s="650"/>
      <c r="JST365" s="290"/>
      <c r="JSU365" s="291"/>
      <c r="JSV365" s="384"/>
      <c r="JSW365" s="266"/>
      <c r="JSX365" s="649"/>
      <c r="JSY365" s="326"/>
      <c r="JSZ365" s="368"/>
      <c r="JTA365" s="197"/>
      <c r="JTB365" s="650"/>
      <c r="JTC365" s="290"/>
      <c r="JTD365" s="291"/>
      <c r="JTE365" s="384"/>
      <c r="JTF365" s="266"/>
      <c r="JTG365" s="649"/>
      <c r="JTH365" s="326"/>
      <c r="JTI365" s="368"/>
      <c r="JTJ365" s="197"/>
      <c r="JTK365" s="650"/>
      <c r="JTL365" s="290"/>
      <c r="JTM365" s="291"/>
      <c r="JTN365" s="384"/>
      <c r="JTO365" s="266"/>
      <c r="JTP365" s="649"/>
      <c r="JTQ365" s="326"/>
      <c r="JTR365" s="368"/>
      <c r="JTS365" s="197"/>
      <c r="JTT365" s="650"/>
      <c r="JTU365" s="290"/>
      <c r="JTV365" s="291"/>
      <c r="JTW365" s="384"/>
      <c r="JTX365" s="266"/>
      <c r="JTY365" s="649"/>
      <c r="JTZ365" s="326"/>
      <c r="JUA365" s="368"/>
      <c r="JUB365" s="197"/>
      <c r="JUC365" s="650"/>
      <c r="JUD365" s="290"/>
      <c r="JUE365" s="291"/>
      <c r="JUF365" s="384"/>
      <c r="JUG365" s="266"/>
      <c r="JUH365" s="649"/>
      <c r="JUI365" s="326"/>
      <c r="JUJ365" s="368"/>
      <c r="JUK365" s="197"/>
      <c r="JUL365" s="650"/>
      <c r="JUM365" s="290"/>
      <c r="JUN365" s="291"/>
      <c r="JUO365" s="384"/>
      <c r="JUP365" s="266"/>
      <c r="JUQ365" s="649"/>
      <c r="JUR365" s="326"/>
      <c r="JUS365" s="368"/>
      <c r="JUT365" s="197"/>
      <c r="JUU365" s="650"/>
      <c r="JUV365" s="290"/>
      <c r="JUW365" s="291"/>
      <c r="JUX365" s="384"/>
      <c r="JUY365" s="266"/>
      <c r="JUZ365" s="649"/>
      <c r="JVA365" s="326"/>
      <c r="JVB365" s="368"/>
      <c r="JVC365" s="197"/>
      <c r="JVD365" s="650"/>
      <c r="JVE365" s="290"/>
      <c r="JVF365" s="291"/>
      <c r="JVG365" s="384"/>
      <c r="JVH365" s="266"/>
      <c r="JVI365" s="649"/>
      <c r="JVJ365" s="326"/>
      <c r="JVK365" s="368"/>
      <c r="JVL365" s="197"/>
      <c r="JVM365" s="650"/>
      <c r="JVN365" s="290"/>
      <c r="JVO365" s="291"/>
      <c r="JVP365" s="384"/>
      <c r="JVQ365" s="266"/>
      <c r="JVR365" s="649"/>
      <c r="JVS365" s="326"/>
      <c r="JVT365" s="368"/>
      <c r="JVU365" s="197"/>
      <c r="JVV365" s="650"/>
      <c r="JVW365" s="290"/>
      <c r="JVX365" s="291"/>
      <c r="JVY365" s="384"/>
      <c r="JVZ365" s="266"/>
      <c r="JWA365" s="649"/>
      <c r="JWB365" s="326"/>
      <c r="JWC365" s="368"/>
      <c r="JWD365" s="197"/>
      <c r="JWE365" s="650"/>
      <c r="JWF365" s="290"/>
      <c r="JWG365" s="291"/>
      <c r="JWH365" s="384"/>
      <c r="JWI365" s="266"/>
      <c r="JWJ365" s="649"/>
      <c r="JWK365" s="326"/>
      <c r="JWL365" s="368"/>
      <c r="JWM365" s="197"/>
      <c r="JWN365" s="650"/>
      <c r="JWO365" s="290"/>
      <c r="JWP365" s="291"/>
      <c r="JWQ365" s="384"/>
      <c r="JWR365" s="266"/>
      <c r="JWS365" s="649"/>
      <c r="JWT365" s="326"/>
      <c r="JWU365" s="368"/>
      <c r="JWV365" s="197"/>
      <c r="JWW365" s="650"/>
      <c r="JWX365" s="290"/>
      <c r="JWY365" s="291"/>
      <c r="JWZ365" s="384"/>
      <c r="JXA365" s="266"/>
      <c r="JXB365" s="649"/>
      <c r="JXC365" s="326"/>
      <c r="JXD365" s="368"/>
      <c r="JXE365" s="197"/>
      <c r="JXF365" s="650"/>
      <c r="JXG365" s="290"/>
      <c r="JXH365" s="291"/>
      <c r="JXI365" s="384"/>
      <c r="JXJ365" s="266"/>
      <c r="JXK365" s="649"/>
      <c r="JXL365" s="326"/>
      <c r="JXM365" s="368"/>
      <c r="JXN365" s="197"/>
      <c r="JXO365" s="650"/>
      <c r="JXP365" s="290"/>
      <c r="JXQ365" s="291"/>
      <c r="JXR365" s="384"/>
      <c r="JXS365" s="266"/>
      <c r="JXT365" s="649"/>
      <c r="JXU365" s="326"/>
      <c r="JXV365" s="368"/>
      <c r="JXW365" s="197"/>
      <c r="JXX365" s="650"/>
      <c r="JXY365" s="290"/>
      <c r="JXZ365" s="291"/>
      <c r="JYA365" s="384"/>
      <c r="JYB365" s="266"/>
      <c r="JYC365" s="649"/>
      <c r="JYD365" s="326"/>
      <c r="JYE365" s="368"/>
      <c r="JYF365" s="197"/>
      <c r="JYG365" s="650"/>
      <c r="JYH365" s="290"/>
      <c r="JYI365" s="291"/>
      <c r="JYJ365" s="384"/>
      <c r="JYK365" s="266"/>
      <c r="JYL365" s="649"/>
      <c r="JYM365" s="326"/>
      <c r="JYN365" s="368"/>
      <c r="JYO365" s="197"/>
      <c r="JYP365" s="650"/>
      <c r="JYQ365" s="290"/>
      <c r="JYR365" s="291"/>
      <c r="JYS365" s="384"/>
      <c r="JYT365" s="266"/>
      <c r="JYU365" s="649"/>
      <c r="JYV365" s="326"/>
      <c r="JYW365" s="368"/>
      <c r="JYX365" s="197"/>
      <c r="JYY365" s="650"/>
      <c r="JYZ365" s="290"/>
      <c r="JZA365" s="291"/>
      <c r="JZB365" s="384"/>
      <c r="JZC365" s="266"/>
      <c r="JZD365" s="649"/>
      <c r="JZE365" s="326"/>
      <c r="JZF365" s="368"/>
      <c r="JZG365" s="197"/>
      <c r="JZH365" s="650"/>
      <c r="JZI365" s="290"/>
      <c r="JZJ365" s="291"/>
      <c r="JZK365" s="384"/>
      <c r="JZL365" s="266"/>
      <c r="JZM365" s="649"/>
      <c r="JZN365" s="326"/>
      <c r="JZO365" s="368"/>
      <c r="JZP365" s="197"/>
      <c r="JZQ365" s="650"/>
      <c r="JZR365" s="290"/>
      <c r="JZS365" s="291"/>
      <c r="JZT365" s="384"/>
      <c r="JZU365" s="266"/>
      <c r="JZV365" s="649"/>
      <c r="JZW365" s="326"/>
      <c r="JZX365" s="368"/>
      <c r="JZY365" s="197"/>
      <c r="JZZ365" s="650"/>
      <c r="KAA365" s="290"/>
      <c r="KAB365" s="291"/>
      <c r="KAC365" s="384"/>
      <c r="KAD365" s="266"/>
      <c r="KAE365" s="649"/>
      <c r="KAF365" s="326"/>
      <c r="KAG365" s="368"/>
      <c r="KAH365" s="197"/>
      <c r="KAI365" s="650"/>
      <c r="KAJ365" s="290"/>
      <c r="KAK365" s="291"/>
      <c r="KAL365" s="384"/>
      <c r="KAM365" s="266"/>
      <c r="KAN365" s="649"/>
      <c r="KAO365" s="326"/>
      <c r="KAP365" s="368"/>
      <c r="KAQ365" s="197"/>
      <c r="KAR365" s="650"/>
      <c r="KAS365" s="290"/>
      <c r="KAT365" s="291"/>
      <c r="KAU365" s="384"/>
      <c r="KAV365" s="266"/>
      <c r="KAW365" s="649"/>
      <c r="KAX365" s="326"/>
      <c r="KAY365" s="368"/>
      <c r="KAZ365" s="197"/>
      <c r="KBA365" s="650"/>
      <c r="KBB365" s="290"/>
      <c r="KBC365" s="291"/>
      <c r="KBD365" s="384"/>
      <c r="KBE365" s="266"/>
      <c r="KBF365" s="649"/>
      <c r="KBG365" s="326"/>
      <c r="KBH365" s="368"/>
      <c r="KBI365" s="197"/>
      <c r="KBJ365" s="650"/>
      <c r="KBK365" s="290"/>
      <c r="KBL365" s="291"/>
      <c r="KBM365" s="384"/>
      <c r="KBN365" s="266"/>
      <c r="KBO365" s="649"/>
      <c r="KBP365" s="326"/>
      <c r="KBQ365" s="368"/>
      <c r="KBR365" s="197"/>
      <c r="KBS365" s="650"/>
      <c r="KBT365" s="290"/>
      <c r="KBU365" s="291"/>
      <c r="KBV365" s="384"/>
      <c r="KBW365" s="266"/>
      <c r="KBX365" s="649"/>
      <c r="KBY365" s="326"/>
      <c r="KBZ365" s="368"/>
      <c r="KCA365" s="197"/>
      <c r="KCB365" s="650"/>
      <c r="KCC365" s="290"/>
      <c r="KCD365" s="291"/>
      <c r="KCE365" s="384"/>
      <c r="KCF365" s="266"/>
      <c r="KCG365" s="649"/>
      <c r="KCH365" s="326"/>
      <c r="KCI365" s="368"/>
      <c r="KCJ365" s="197"/>
      <c r="KCK365" s="650"/>
      <c r="KCL365" s="290"/>
      <c r="KCM365" s="291"/>
      <c r="KCN365" s="384"/>
      <c r="KCO365" s="266"/>
      <c r="KCP365" s="649"/>
      <c r="KCQ365" s="326"/>
      <c r="KCR365" s="368"/>
      <c r="KCS365" s="197"/>
      <c r="KCT365" s="650"/>
      <c r="KCU365" s="290"/>
      <c r="KCV365" s="291"/>
      <c r="KCW365" s="384"/>
      <c r="KCX365" s="266"/>
      <c r="KCY365" s="649"/>
      <c r="KCZ365" s="326"/>
      <c r="KDA365" s="368"/>
      <c r="KDB365" s="197"/>
      <c r="KDC365" s="650"/>
      <c r="KDD365" s="290"/>
      <c r="KDE365" s="291"/>
      <c r="KDF365" s="384"/>
      <c r="KDG365" s="266"/>
      <c r="KDH365" s="649"/>
      <c r="KDI365" s="326"/>
      <c r="KDJ365" s="368"/>
      <c r="KDK365" s="197"/>
      <c r="KDL365" s="650"/>
      <c r="KDM365" s="290"/>
      <c r="KDN365" s="291"/>
      <c r="KDO365" s="384"/>
      <c r="KDP365" s="266"/>
      <c r="KDQ365" s="649"/>
      <c r="KDR365" s="326"/>
      <c r="KDS365" s="368"/>
      <c r="KDT365" s="197"/>
      <c r="KDU365" s="650"/>
      <c r="KDV365" s="290"/>
      <c r="KDW365" s="291"/>
      <c r="KDX365" s="384"/>
      <c r="KDY365" s="266"/>
      <c r="KDZ365" s="649"/>
      <c r="KEA365" s="326"/>
      <c r="KEB365" s="368"/>
      <c r="KEC365" s="197"/>
      <c r="KED365" s="650"/>
      <c r="KEE365" s="290"/>
      <c r="KEF365" s="291"/>
      <c r="KEG365" s="384"/>
      <c r="KEH365" s="266"/>
      <c r="KEI365" s="649"/>
      <c r="KEJ365" s="326"/>
      <c r="KEK365" s="368"/>
      <c r="KEL365" s="197"/>
      <c r="KEM365" s="650"/>
      <c r="KEN365" s="290"/>
      <c r="KEO365" s="291"/>
      <c r="KEP365" s="384"/>
      <c r="KEQ365" s="266"/>
      <c r="KER365" s="649"/>
      <c r="KES365" s="326"/>
      <c r="KET365" s="368"/>
      <c r="KEU365" s="197"/>
      <c r="KEV365" s="650"/>
      <c r="KEW365" s="290"/>
      <c r="KEX365" s="291"/>
      <c r="KEY365" s="384"/>
      <c r="KEZ365" s="266"/>
      <c r="KFA365" s="649"/>
      <c r="KFB365" s="326"/>
      <c r="KFC365" s="368"/>
      <c r="KFD365" s="197"/>
      <c r="KFE365" s="650"/>
      <c r="KFF365" s="290"/>
      <c r="KFG365" s="291"/>
      <c r="KFH365" s="384"/>
      <c r="KFI365" s="266"/>
      <c r="KFJ365" s="649"/>
      <c r="KFK365" s="326"/>
      <c r="KFL365" s="368"/>
      <c r="KFM365" s="197"/>
      <c r="KFN365" s="650"/>
      <c r="KFO365" s="290"/>
      <c r="KFP365" s="291"/>
      <c r="KFQ365" s="384"/>
      <c r="KFR365" s="266"/>
      <c r="KFS365" s="649"/>
      <c r="KFT365" s="326"/>
      <c r="KFU365" s="368"/>
      <c r="KFV365" s="197"/>
      <c r="KFW365" s="650"/>
      <c r="KFX365" s="290"/>
      <c r="KFY365" s="291"/>
      <c r="KFZ365" s="384"/>
      <c r="KGA365" s="266"/>
      <c r="KGB365" s="649"/>
      <c r="KGC365" s="326"/>
      <c r="KGD365" s="368"/>
      <c r="KGE365" s="197"/>
      <c r="KGF365" s="650"/>
      <c r="KGG365" s="290"/>
      <c r="KGH365" s="291"/>
      <c r="KGI365" s="384"/>
      <c r="KGJ365" s="266"/>
      <c r="KGK365" s="649"/>
      <c r="KGL365" s="326"/>
      <c r="KGM365" s="368"/>
      <c r="KGN365" s="197"/>
      <c r="KGO365" s="650"/>
      <c r="KGP365" s="290"/>
      <c r="KGQ365" s="291"/>
      <c r="KGR365" s="384"/>
      <c r="KGS365" s="266"/>
      <c r="KGT365" s="649"/>
      <c r="KGU365" s="326"/>
      <c r="KGV365" s="368"/>
      <c r="KGW365" s="197"/>
      <c r="KGX365" s="650"/>
      <c r="KGY365" s="290"/>
      <c r="KGZ365" s="291"/>
      <c r="KHA365" s="384"/>
      <c r="KHB365" s="266"/>
      <c r="KHC365" s="649"/>
      <c r="KHD365" s="326"/>
      <c r="KHE365" s="368"/>
      <c r="KHF365" s="197"/>
      <c r="KHG365" s="650"/>
      <c r="KHH365" s="290"/>
      <c r="KHI365" s="291"/>
      <c r="KHJ365" s="384"/>
      <c r="KHK365" s="266"/>
      <c r="KHL365" s="649"/>
      <c r="KHM365" s="326"/>
      <c r="KHN365" s="368"/>
      <c r="KHO365" s="197"/>
      <c r="KHP365" s="650"/>
      <c r="KHQ365" s="290"/>
      <c r="KHR365" s="291"/>
      <c r="KHS365" s="384"/>
      <c r="KHT365" s="266"/>
      <c r="KHU365" s="649"/>
      <c r="KHV365" s="326"/>
      <c r="KHW365" s="368"/>
      <c r="KHX365" s="197"/>
      <c r="KHY365" s="650"/>
      <c r="KHZ365" s="290"/>
      <c r="KIA365" s="291"/>
      <c r="KIB365" s="384"/>
      <c r="KIC365" s="266"/>
      <c r="KID365" s="649"/>
      <c r="KIE365" s="326"/>
      <c r="KIF365" s="368"/>
      <c r="KIG365" s="197"/>
      <c r="KIH365" s="650"/>
      <c r="KII365" s="290"/>
      <c r="KIJ365" s="291"/>
      <c r="KIK365" s="384"/>
      <c r="KIL365" s="266"/>
      <c r="KIM365" s="649"/>
      <c r="KIN365" s="326"/>
      <c r="KIO365" s="368"/>
      <c r="KIP365" s="197"/>
      <c r="KIQ365" s="650"/>
      <c r="KIR365" s="290"/>
      <c r="KIS365" s="291"/>
      <c r="KIT365" s="384"/>
      <c r="KIU365" s="266"/>
      <c r="KIV365" s="649"/>
      <c r="KIW365" s="326"/>
      <c r="KIX365" s="368"/>
      <c r="KIY365" s="197"/>
      <c r="KIZ365" s="650"/>
      <c r="KJA365" s="290"/>
      <c r="KJB365" s="291"/>
      <c r="KJC365" s="384"/>
      <c r="KJD365" s="266"/>
      <c r="KJE365" s="649"/>
      <c r="KJF365" s="326"/>
      <c r="KJG365" s="368"/>
      <c r="KJH365" s="197"/>
      <c r="KJI365" s="650"/>
      <c r="KJJ365" s="290"/>
      <c r="KJK365" s="291"/>
      <c r="KJL365" s="384"/>
      <c r="KJM365" s="266"/>
      <c r="KJN365" s="649"/>
      <c r="KJO365" s="326"/>
      <c r="KJP365" s="368"/>
      <c r="KJQ365" s="197"/>
      <c r="KJR365" s="650"/>
      <c r="KJS365" s="290"/>
      <c r="KJT365" s="291"/>
      <c r="KJU365" s="384"/>
      <c r="KJV365" s="266"/>
      <c r="KJW365" s="649"/>
      <c r="KJX365" s="326"/>
      <c r="KJY365" s="368"/>
      <c r="KJZ365" s="197"/>
      <c r="KKA365" s="650"/>
      <c r="KKB365" s="290"/>
      <c r="KKC365" s="291"/>
      <c r="KKD365" s="384"/>
      <c r="KKE365" s="266"/>
      <c r="KKF365" s="649"/>
      <c r="KKG365" s="326"/>
      <c r="KKH365" s="368"/>
      <c r="KKI365" s="197"/>
      <c r="KKJ365" s="650"/>
      <c r="KKK365" s="290"/>
      <c r="KKL365" s="291"/>
      <c r="KKM365" s="384"/>
      <c r="KKN365" s="266"/>
      <c r="KKO365" s="649"/>
      <c r="KKP365" s="326"/>
      <c r="KKQ365" s="368"/>
      <c r="KKR365" s="197"/>
      <c r="KKS365" s="650"/>
      <c r="KKT365" s="290"/>
      <c r="KKU365" s="291"/>
      <c r="KKV365" s="384"/>
      <c r="KKW365" s="266"/>
      <c r="KKX365" s="649"/>
      <c r="KKY365" s="326"/>
      <c r="KKZ365" s="368"/>
      <c r="KLA365" s="197"/>
      <c r="KLB365" s="650"/>
      <c r="KLC365" s="290"/>
      <c r="KLD365" s="291"/>
      <c r="KLE365" s="384"/>
      <c r="KLF365" s="266"/>
      <c r="KLG365" s="649"/>
      <c r="KLH365" s="326"/>
      <c r="KLI365" s="368"/>
      <c r="KLJ365" s="197"/>
      <c r="KLK365" s="650"/>
      <c r="KLL365" s="290"/>
      <c r="KLM365" s="291"/>
      <c r="KLN365" s="384"/>
      <c r="KLO365" s="266"/>
      <c r="KLP365" s="649"/>
      <c r="KLQ365" s="326"/>
      <c r="KLR365" s="368"/>
      <c r="KLS365" s="197"/>
      <c r="KLT365" s="650"/>
      <c r="KLU365" s="290"/>
      <c r="KLV365" s="291"/>
      <c r="KLW365" s="384"/>
      <c r="KLX365" s="266"/>
      <c r="KLY365" s="649"/>
      <c r="KLZ365" s="326"/>
      <c r="KMA365" s="368"/>
      <c r="KMB365" s="197"/>
      <c r="KMC365" s="650"/>
      <c r="KMD365" s="290"/>
      <c r="KME365" s="291"/>
      <c r="KMF365" s="384"/>
      <c r="KMG365" s="266"/>
      <c r="KMH365" s="649"/>
      <c r="KMI365" s="326"/>
      <c r="KMJ365" s="368"/>
      <c r="KMK365" s="197"/>
      <c r="KML365" s="650"/>
      <c r="KMM365" s="290"/>
      <c r="KMN365" s="291"/>
      <c r="KMO365" s="384"/>
      <c r="KMP365" s="266"/>
      <c r="KMQ365" s="649"/>
      <c r="KMR365" s="326"/>
      <c r="KMS365" s="368"/>
      <c r="KMT365" s="197"/>
      <c r="KMU365" s="650"/>
      <c r="KMV365" s="290"/>
      <c r="KMW365" s="291"/>
      <c r="KMX365" s="384"/>
      <c r="KMY365" s="266"/>
      <c r="KMZ365" s="649"/>
      <c r="KNA365" s="326"/>
      <c r="KNB365" s="368"/>
      <c r="KNC365" s="197"/>
      <c r="KND365" s="650"/>
      <c r="KNE365" s="290"/>
      <c r="KNF365" s="291"/>
      <c r="KNG365" s="384"/>
      <c r="KNH365" s="266"/>
      <c r="KNI365" s="649"/>
      <c r="KNJ365" s="326"/>
      <c r="KNK365" s="368"/>
      <c r="KNL365" s="197"/>
      <c r="KNM365" s="650"/>
      <c r="KNN365" s="290"/>
      <c r="KNO365" s="291"/>
      <c r="KNP365" s="384"/>
      <c r="KNQ365" s="266"/>
      <c r="KNR365" s="649"/>
      <c r="KNS365" s="326"/>
      <c r="KNT365" s="368"/>
      <c r="KNU365" s="197"/>
      <c r="KNV365" s="650"/>
      <c r="KNW365" s="290"/>
      <c r="KNX365" s="291"/>
      <c r="KNY365" s="384"/>
      <c r="KNZ365" s="266"/>
      <c r="KOA365" s="649"/>
      <c r="KOB365" s="326"/>
      <c r="KOC365" s="368"/>
      <c r="KOD365" s="197"/>
      <c r="KOE365" s="650"/>
      <c r="KOF365" s="290"/>
      <c r="KOG365" s="291"/>
      <c r="KOH365" s="384"/>
      <c r="KOI365" s="266"/>
      <c r="KOJ365" s="649"/>
      <c r="KOK365" s="326"/>
      <c r="KOL365" s="368"/>
      <c r="KOM365" s="197"/>
      <c r="KON365" s="650"/>
      <c r="KOO365" s="290"/>
      <c r="KOP365" s="291"/>
      <c r="KOQ365" s="384"/>
      <c r="KOR365" s="266"/>
      <c r="KOS365" s="649"/>
      <c r="KOT365" s="326"/>
      <c r="KOU365" s="368"/>
      <c r="KOV365" s="197"/>
      <c r="KOW365" s="650"/>
      <c r="KOX365" s="290"/>
      <c r="KOY365" s="291"/>
      <c r="KOZ365" s="384"/>
      <c r="KPA365" s="266"/>
      <c r="KPB365" s="649"/>
      <c r="KPC365" s="326"/>
      <c r="KPD365" s="368"/>
      <c r="KPE365" s="197"/>
      <c r="KPF365" s="650"/>
      <c r="KPG365" s="290"/>
      <c r="KPH365" s="291"/>
      <c r="KPI365" s="384"/>
      <c r="KPJ365" s="266"/>
      <c r="KPK365" s="649"/>
      <c r="KPL365" s="326"/>
      <c r="KPM365" s="368"/>
      <c r="KPN365" s="197"/>
      <c r="KPO365" s="650"/>
      <c r="KPP365" s="290"/>
      <c r="KPQ365" s="291"/>
      <c r="KPR365" s="384"/>
      <c r="KPS365" s="266"/>
      <c r="KPT365" s="649"/>
      <c r="KPU365" s="326"/>
      <c r="KPV365" s="368"/>
      <c r="KPW365" s="197"/>
      <c r="KPX365" s="650"/>
      <c r="KPY365" s="290"/>
      <c r="KPZ365" s="291"/>
      <c r="KQA365" s="384"/>
      <c r="KQB365" s="266"/>
      <c r="KQC365" s="649"/>
      <c r="KQD365" s="326"/>
      <c r="KQE365" s="368"/>
      <c r="KQF365" s="197"/>
      <c r="KQG365" s="650"/>
      <c r="KQH365" s="290"/>
      <c r="KQI365" s="291"/>
      <c r="KQJ365" s="384"/>
      <c r="KQK365" s="266"/>
      <c r="KQL365" s="649"/>
      <c r="KQM365" s="326"/>
      <c r="KQN365" s="368"/>
      <c r="KQO365" s="197"/>
      <c r="KQP365" s="650"/>
      <c r="KQQ365" s="290"/>
      <c r="KQR365" s="291"/>
      <c r="KQS365" s="384"/>
      <c r="KQT365" s="266"/>
      <c r="KQU365" s="649"/>
      <c r="KQV365" s="326"/>
      <c r="KQW365" s="368"/>
      <c r="KQX365" s="197"/>
      <c r="KQY365" s="650"/>
      <c r="KQZ365" s="290"/>
      <c r="KRA365" s="291"/>
      <c r="KRB365" s="384"/>
      <c r="KRC365" s="266"/>
      <c r="KRD365" s="649"/>
      <c r="KRE365" s="326"/>
      <c r="KRF365" s="368"/>
      <c r="KRG365" s="197"/>
      <c r="KRH365" s="650"/>
      <c r="KRI365" s="290"/>
      <c r="KRJ365" s="291"/>
      <c r="KRK365" s="384"/>
      <c r="KRL365" s="266"/>
      <c r="KRM365" s="649"/>
      <c r="KRN365" s="326"/>
      <c r="KRO365" s="368"/>
      <c r="KRP365" s="197"/>
      <c r="KRQ365" s="650"/>
      <c r="KRR365" s="290"/>
      <c r="KRS365" s="291"/>
      <c r="KRT365" s="384"/>
      <c r="KRU365" s="266"/>
      <c r="KRV365" s="649"/>
      <c r="KRW365" s="326"/>
      <c r="KRX365" s="368"/>
      <c r="KRY365" s="197"/>
      <c r="KRZ365" s="650"/>
      <c r="KSA365" s="290"/>
      <c r="KSB365" s="291"/>
      <c r="KSC365" s="384"/>
      <c r="KSD365" s="266"/>
      <c r="KSE365" s="649"/>
      <c r="KSF365" s="326"/>
      <c r="KSG365" s="368"/>
      <c r="KSH365" s="197"/>
      <c r="KSI365" s="650"/>
      <c r="KSJ365" s="290"/>
      <c r="KSK365" s="291"/>
      <c r="KSL365" s="384"/>
      <c r="KSM365" s="266"/>
      <c r="KSN365" s="649"/>
      <c r="KSO365" s="326"/>
      <c r="KSP365" s="368"/>
      <c r="KSQ365" s="197"/>
      <c r="KSR365" s="650"/>
      <c r="KSS365" s="290"/>
      <c r="KST365" s="291"/>
      <c r="KSU365" s="384"/>
      <c r="KSV365" s="266"/>
      <c r="KSW365" s="649"/>
      <c r="KSX365" s="326"/>
      <c r="KSY365" s="368"/>
      <c r="KSZ365" s="197"/>
      <c r="KTA365" s="650"/>
      <c r="KTB365" s="290"/>
      <c r="KTC365" s="291"/>
      <c r="KTD365" s="384"/>
      <c r="KTE365" s="266"/>
      <c r="KTF365" s="649"/>
      <c r="KTG365" s="326"/>
      <c r="KTH365" s="368"/>
      <c r="KTI365" s="197"/>
      <c r="KTJ365" s="650"/>
      <c r="KTK365" s="290"/>
      <c r="KTL365" s="291"/>
      <c r="KTM365" s="384"/>
      <c r="KTN365" s="266"/>
      <c r="KTO365" s="649"/>
      <c r="KTP365" s="326"/>
      <c r="KTQ365" s="368"/>
      <c r="KTR365" s="197"/>
      <c r="KTS365" s="650"/>
      <c r="KTT365" s="290"/>
      <c r="KTU365" s="291"/>
      <c r="KTV365" s="384"/>
      <c r="KTW365" s="266"/>
      <c r="KTX365" s="649"/>
      <c r="KTY365" s="326"/>
      <c r="KTZ365" s="368"/>
      <c r="KUA365" s="197"/>
      <c r="KUB365" s="650"/>
      <c r="KUC365" s="290"/>
      <c r="KUD365" s="291"/>
      <c r="KUE365" s="384"/>
      <c r="KUF365" s="266"/>
      <c r="KUG365" s="649"/>
      <c r="KUH365" s="326"/>
      <c r="KUI365" s="368"/>
      <c r="KUJ365" s="197"/>
      <c r="KUK365" s="650"/>
      <c r="KUL365" s="290"/>
      <c r="KUM365" s="291"/>
      <c r="KUN365" s="384"/>
      <c r="KUO365" s="266"/>
      <c r="KUP365" s="649"/>
      <c r="KUQ365" s="326"/>
      <c r="KUR365" s="368"/>
      <c r="KUS365" s="197"/>
      <c r="KUT365" s="650"/>
      <c r="KUU365" s="290"/>
      <c r="KUV365" s="291"/>
      <c r="KUW365" s="384"/>
      <c r="KUX365" s="266"/>
      <c r="KUY365" s="649"/>
      <c r="KUZ365" s="326"/>
      <c r="KVA365" s="368"/>
      <c r="KVB365" s="197"/>
      <c r="KVC365" s="650"/>
      <c r="KVD365" s="290"/>
      <c r="KVE365" s="291"/>
      <c r="KVF365" s="384"/>
      <c r="KVG365" s="266"/>
      <c r="KVH365" s="649"/>
      <c r="KVI365" s="326"/>
      <c r="KVJ365" s="368"/>
      <c r="KVK365" s="197"/>
      <c r="KVL365" s="650"/>
      <c r="KVM365" s="290"/>
      <c r="KVN365" s="291"/>
      <c r="KVO365" s="384"/>
      <c r="KVP365" s="266"/>
      <c r="KVQ365" s="649"/>
      <c r="KVR365" s="326"/>
      <c r="KVS365" s="368"/>
      <c r="KVT365" s="197"/>
      <c r="KVU365" s="650"/>
      <c r="KVV365" s="290"/>
      <c r="KVW365" s="291"/>
      <c r="KVX365" s="384"/>
      <c r="KVY365" s="266"/>
      <c r="KVZ365" s="649"/>
      <c r="KWA365" s="326"/>
      <c r="KWB365" s="368"/>
      <c r="KWC365" s="197"/>
      <c r="KWD365" s="650"/>
      <c r="KWE365" s="290"/>
      <c r="KWF365" s="291"/>
      <c r="KWG365" s="384"/>
      <c r="KWH365" s="266"/>
      <c r="KWI365" s="649"/>
      <c r="KWJ365" s="326"/>
      <c r="KWK365" s="368"/>
      <c r="KWL365" s="197"/>
      <c r="KWM365" s="650"/>
      <c r="KWN365" s="290"/>
      <c r="KWO365" s="291"/>
      <c r="KWP365" s="384"/>
      <c r="KWQ365" s="266"/>
      <c r="KWR365" s="649"/>
      <c r="KWS365" s="326"/>
      <c r="KWT365" s="368"/>
      <c r="KWU365" s="197"/>
      <c r="KWV365" s="650"/>
      <c r="KWW365" s="290"/>
      <c r="KWX365" s="291"/>
      <c r="KWY365" s="384"/>
      <c r="KWZ365" s="266"/>
      <c r="KXA365" s="649"/>
      <c r="KXB365" s="326"/>
      <c r="KXC365" s="368"/>
      <c r="KXD365" s="197"/>
      <c r="KXE365" s="650"/>
      <c r="KXF365" s="290"/>
      <c r="KXG365" s="291"/>
      <c r="KXH365" s="384"/>
      <c r="KXI365" s="266"/>
      <c r="KXJ365" s="649"/>
      <c r="KXK365" s="326"/>
      <c r="KXL365" s="368"/>
      <c r="KXM365" s="197"/>
      <c r="KXN365" s="650"/>
      <c r="KXO365" s="290"/>
      <c r="KXP365" s="291"/>
      <c r="KXQ365" s="384"/>
      <c r="KXR365" s="266"/>
      <c r="KXS365" s="649"/>
      <c r="KXT365" s="326"/>
      <c r="KXU365" s="368"/>
      <c r="KXV365" s="197"/>
      <c r="KXW365" s="650"/>
      <c r="KXX365" s="290"/>
      <c r="KXY365" s="291"/>
      <c r="KXZ365" s="384"/>
      <c r="KYA365" s="266"/>
      <c r="KYB365" s="649"/>
      <c r="KYC365" s="326"/>
      <c r="KYD365" s="368"/>
      <c r="KYE365" s="197"/>
      <c r="KYF365" s="650"/>
      <c r="KYG365" s="290"/>
      <c r="KYH365" s="291"/>
      <c r="KYI365" s="384"/>
      <c r="KYJ365" s="266"/>
      <c r="KYK365" s="649"/>
      <c r="KYL365" s="326"/>
      <c r="KYM365" s="368"/>
      <c r="KYN365" s="197"/>
      <c r="KYO365" s="650"/>
      <c r="KYP365" s="290"/>
      <c r="KYQ365" s="291"/>
      <c r="KYR365" s="384"/>
      <c r="KYS365" s="266"/>
      <c r="KYT365" s="649"/>
      <c r="KYU365" s="326"/>
      <c r="KYV365" s="368"/>
      <c r="KYW365" s="197"/>
      <c r="KYX365" s="650"/>
      <c r="KYY365" s="290"/>
      <c r="KYZ365" s="291"/>
      <c r="KZA365" s="384"/>
      <c r="KZB365" s="266"/>
      <c r="KZC365" s="649"/>
      <c r="KZD365" s="326"/>
      <c r="KZE365" s="368"/>
      <c r="KZF365" s="197"/>
      <c r="KZG365" s="650"/>
      <c r="KZH365" s="290"/>
      <c r="KZI365" s="291"/>
      <c r="KZJ365" s="384"/>
      <c r="KZK365" s="266"/>
      <c r="KZL365" s="649"/>
      <c r="KZM365" s="326"/>
      <c r="KZN365" s="368"/>
      <c r="KZO365" s="197"/>
      <c r="KZP365" s="650"/>
      <c r="KZQ365" s="290"/>
      <c r="KZR365" s="291"/>
      <c r="KZS365" s="384"/>
      <c r="KZT365" s="266"/>
      <c r="KZU365" s="649"/>
      <c r="KZV365" s="326"/>
      <c r="KZW365" s="368"/>
      <c r="KZX365" s="197"/>
      <c r="KZY365" s="650"/>
      <c r="KZZ365" s="290"/>
      <c r="LAA365" s="291"/>
      <c r="LAB365" s="384"/>
      <c r="LAC365" s="266"/>
      <c r="LAD365" s="649"/>
      <c r="LAE365" s="326"/>
      <c r="LAF365" s="368"/>
      <c r="LAG365" s="197"/>
      <c r="LAH365" s="650"/>
      <c r="LAI365" s="290"/>
      <c r="LAJ365" s="291"/>
      <c r="LAK365" s="384"/>
      <c r="LAL365" s="266"/>
      <c r="LAM365" s="649"/>
      <c r="LAN365" s="326"/>
      <c r="LAO365" s="368"/>
      <c r="LAP365" s="197"/>
      <c r="LAQ365" s="650"/>
      <c r="LAR365" s="290"/>
      <c r="LAS365" s="291"/>
      <c r="LAT365" s="384"/>
      <c r="LAU365" s="266"/>
      <c r="LAV365" s="649"/>
      <c r="LAW365" s="326"/>
      <c r="LAX365" s="368"/>
      <c r="LAY365" s="197"/>
      <c r="LAZ365" s="650"/>
      <c r="LBA365" s="290"/>
      <c r="LBB365" s="291"/>
      <c r="LBC365" s="384"/>
      <c r="LBD365" s="266"/>
      <c r="LBE365" s="649"/>
      <c r="LBF365" s="326"/>
      <c r="LBG365" s="368"/>
      <c r="LBH365" s="197"/>
      <c r="LBI365" s="650"/>
      <c r="LBJ365" s="290"/>
      <c r="LBK365" s="291"/>
      <c r="LBL365" s="384"/>
      <c r="LBM365" s="266"/>
      <c r="LBN365" s="649"/>
      <c r="LBO365" s="326"/>
      <c r="LBP365" s="368"/>
      <c r="LBQ365" s="197"/>
      <c r="LBR365" s="650"/>
      <c r="LBS365" s="290"/>
      <c r="LBT365" s="291"/>
      <c r="LBU365" s="384"/>
      <c r="LBV365" s="266"/>
      <c r="LBW365" s="649"/>
      <c r="LBX365" s="326"/>
      <c r="LBY365" s="368"/>
      <c r="LBZ365" s="197"/>
      <c r="LCA365" s="650"/>
      <c r="LCB365" s="290"/>
      <c r="LCC365" s="291"/>
      <c r="LCD365" s="384"/>
      <c r="LCE365" s="266"/>
      <c r="LCF365" s="649"/>
      <c r="LCG365" s="326"/>
      <c r="LCH365" s="368"/>
      <c r="LCI365" s="197"/>
      <c r="LCJ365" s="650"/>
      <c r="LCK365" s="290"/>
      <c r="LCL365" s="291"/>
      <c r="LCM365" s="384"/>
      <c r="LCN365" s="266"/>
      <c r="LCO365" s="649"/>
      <c r="LCP365" s="326"/>
      <c r="LCQ365" s="368"/>
      <c r="LCR365" s="197"/>
      <c r="LCS365" s="650"/>
      <c r="LCT365" s="290"/>
      <c r="LCU365" s="291"/>
      <c r="LCV365" s="384"/>
      <c r="LCW365" s="266"/>
      <c r="LCX365" s="649"/>
      <c r="LCY365" s="326"/>
      <c r="LCZ365" s="368"/>
      <c r="LDA365" s="197"/>
      <c r="LDB365" s="650"/>
      <c r="LDC365" s="290"/>
      <c r="LDD365" s="291"/>
      <c r="LDE365" s="384"/>
      <c r="LDF365" s="266"/>
      <c r="LDG365" s="649"/>
      <c r="LDH365" s="326"/>
      <c r="LDI365" s="368"/>
      <c r="LDJ365" s="197"/>
      <c r="LDK365" s="650"/>
      <c r="LDL365" s="290"/>
      <c r="LDM365" s="291"/>
      <c r="LDN365" s="384"/>
      <c r="LDO365" s="266"/>
      <c r="LDP365" s="649"/>
      <c r="LDQ365" s="326"/>
      <c r="LDR365" s="368"/>
      <c r="LDS365" s="197"/>
      <c r="LDT365" s="650"/>
      <c r="LDU365" s="290"/>
      <c r="LDV365" s="291"/>
      <c r="LDW365" s="384"/>
      <c r="LDX365" s="266"/>
      <c r="LDY365" s="649"/>
      <c r="LDZ365" s="326"/>
      <c r="LEA365" s="368"/>
      <c r="LEB365" s="197"/>
      <c r="LEC365" s="650"/>
      <c r="LED365" s="290"/>
      <c r="LEE365" s="291"/>
      <c r="LEF365" s="384"/>
      <c r="LEG365" s="266"/>
      <c r="LEH365" s="649"/>
      <c r="LEI365" s="326"/>
      <c r="LEJ365" s="368"/>
      <c r="LEK365" s="197"/>
      <c r="LEL365" s="650"/>
      <c r="LEM365" s="290"/>
      <c r="LEN365" s="291"/>
      <c r="LEO365" s="384"/>
      <c r="LEP365" s="266"/>
      <c r="LEQ365" s="649"/>
      <c r="LER365" s="326"/>
      <c r="LES365" s="368"/>
      <c r="LET365" s="197"/>
      <c r="LEU365" s="650"/>
      <c r="LEV365" s="290"/>
      <c r="LEW365" s="291"/>
      <c r="LEX365" s="384"/>
      <c r="LEY365" s="266"/>
      <c r="LEZ365" s="649"/>
      <c r="LFA365" s="326"/>
      <c r="LFB365" s="368"/>
      <c r="LFC365" s="197"/>
      <c r="LFD365" s="650"/>
      <c r="LFE365" s="290"/>
      <c r="LFF365" s="291"/>
      <c r="LFG365" s="384"/>
      <c r="LFH365" s="266"/>
      <c r="LFI365" s="649"/>
      <c r="LFJ365" s="326"/>
      <c r="LFK365" s="368"/>
      <c r="LFL365" s="197"/>
      <c r="LFM365" s="650"/>
      <c r="LFN365" s="290"/>
      <c r="LFO365" s="291"/>
      <c r="LFP365" s="384"/>
      <c r="LFQ365" s="266"/>
      <c r="LFR365" s="649"/>
      <c r="LFS365" s="326"/>
      <c r="LFT365" s="368"/>
      <c r="LFU365" s="197"/>
      <c r="LFV365" s="650"/>
      <c r="LFW365" s="290"/>
      <c r="LFX365" s="291"/>
      <c r="LFY365" s="384"/>
      <c r="LFZ365" s="266"/>
      <c r="LGA365" s="649"/>
      <c r="LGB365" s="326"/>
      <c r="LGC365" s="368"/>
      <c r="LGD365" s="197"/>
      <c r="LGE365" s="650"/>
      <c r="LGF365" s="290"/>
      <c r="LGG365" s="291"/>
      <c r="LGH365" s="384"/>
      <c r="LGI365" s="266"/>
      <c r="LGJ365" s="649"/>
      <c r="LGK365" s="326"/>
      <c r="LGL365" s="368"/>
      <c r="LGM365" s="197"/>
      <c r="LGN365" s="650"/>
      <c r="LGO365" s="290"/>
      <c r="LGP365" s="291"/>
      <c r="LGQ365" s="384"/>
      <c r="LGR365" s="266"/>
      <c r="LGS365" s="649"/>
      <c r="LGT365" s="326"/>
      <c r="LGU365" s="368"/>
      <c r="LGV365" s="197"/>
      <c r="LGW365" s="650"/>
      <c r="LGX365" s="290"/>
      <c r="LGY365" s="291"/>
      <c r="LGZ365" s="384"/>
      <c r="LHA365" s="266"/>
      <c r="LHB365" s="649"/>
      <c r="LHC365" s="326"/>
      <c r="LHD365" s="368"/>
      <c r="LHE365" s="197"/>
      <c r="LHF365" s="650"/>
      <c r="LHG365" s="290"/>
      <c r="LHH365" s="291"/>
      <c r="LHI365" s="384"/>
      <c r="LHJ365" s="266"/>
      <c r="LHK365" s="649"/>
      <c r="LHL365" s="326"/>
      <c r="LHM365" s="368"/>
      <c r="LHN365" s="197"/>
      <c r="LHO365" s="650"/>
      <c r="LHP365" s="290"/>
      <c r="LHQ365" s="291"/>
      <c r="LHR365" s="384"/>
      <c r="LHS365" s="266"/>
      <c r="LHT365" s="649"/>
      <c r="LHU365" s="326"/>
      <c r="LHV365" s="368"/>
      <c r="LHW365" s="197"/>
      <c r="LHX365" s="650"/>
      <c r="LHY365" s="290"/>
      <c r="LHZ365" s="291"/>
      <c r="LIA365" s="384"/>
      <c r="LIB365" s="266"/>
      <c r="LIC365" s="649"/>
      <c r="LID365" s="326"/>
      <c r="LIE365" s="368"/>
      <c r="LIF365" s="197"/>
      <c r="LIG365" s="650"/>
      <c r="LIH365" s="290"/>
      <c r="LII365" s="291"/>
      <c r="LIJ365" s="384"/>
      <c r="LIK365" s="266"/>
      <c r="LIL365" s="649"/>
      <c r="LIM365" s="326"/>
      <c r="LIN365" s="368"/>
      <c r="LIO365" s="197"/>
      <c r="LIP365" s="650"/>
      <c r="LIQ365" s="290"/>
      <c r="LIR365" s="291"/>
      <c r="LIS365" s="384"/>
      <c r="LIT365" s="266"/>
      <c r="LIU365" s="649"/>
      <c r="LIV365" s="326"/>
      <c r="LIW365" s="368"/>
      <c r="LIX365" s="197"/>
      <c r="LIY365" s="650"/>
      <c r="LIZ365" s="290"/>
      <c r="LJA365" s="291"/>
      <c r="LJB365" s="384"/>
      <c r="LJC365" s="266"/>
      <c r="LJD365" s="649"/>
      <c r="LJE365" s="326"/>
      <c r="LJF365" s="368"/>
      <c r="LJG365" s="197"/>
      <c r="LJH365" s="650"/>
      <c r="LJI365" s="290"/>
      <c r="LJJ365" s="291"/>
      <c r="LJK365" s="384"/>
      <c r="LJL365" s="266"/>
      <c r="LJM365" s="649"/>
      <c r="LJN365" s="326"/>
      <c r="LJO365" s="368"/>
      <c r="LJP365" s="197"/>
      <c r="LJQ365" s="650"/>
      <c r="LJR365" s="290"/>
      <c r="LJS365" s="291"/>
      <c r="LJT365" s="384"/>
      <c r="LJU365" s="266"/>
      <c r="LJV365" s="649"/>
      <c r="LJW365" s="326"/>
      <c r="LJX365" s="368"/>
      <c r="LJY365" s="197"/>
      <c r="LJZ365" s="650"/>
      <c r="LKA365" s="290"/>
      <c r="LKB365" s="291"/>
      <c r="LKC365" s="384"/>
      <c r="LKD365" s="266"/>
      <c r="LKE365" s="649"/>
      <c r="LKF365" s="326"/>
      <c r="LKG365" s="368"/>
      <c r="LKH365" s="197"/>
      <c r="LKI365" s="650"/>
      <c r="LKJ365" s="290"/>
      <c r="LKK365" s="291"/>
      <c r="LKL365" s="384"/>
      <c r="LKM365" s="266"/>
      <c r="LKN365" s="649"/>
      <c r="LKO365" s="326"/>
      <c r="LKP365" s="368"/>
      <c r="LKQ365" s="197"/>
      <c r="LKR365" s="650"/>
      <c r="LKS365" s="290"/>
      <c r="LKT365" s="291"/>
      <c r="LKU365" s="384"/>
      <c r="LKV365" s="266"/>
      <c r="LKW365" s="649"/>
      <c r="LKX365" s="326"/>
      <c r="LKY365" s="368"/>
      <c r="LKZ365" s="197"/>
      <c r="LLA365" s="650"/>
      <c r="LLB365" s="290"/>
      <c r="LLC365" s="291"/>
      <c r="LLD365" s="384"/>
      <c r="LLE365" s="266"/>
      <c r="LLF365" s="649"/>
      <c r="LLG365" s="326"/>
      <c r="LLH365" s="368"/>
      <c r="LLI365" s="197"/>
      <c r="LLJ365" s="650"/>
      <c r="LLK365" s="290"/>
      <c r="LLL365" s="291"/>
      <c r="LLM365" s="384"/>
      <c r="LLN365" s="266"/>
      <c r="LLO365" s="649"/>
      <c r="LLP365" s="326"/>
      <c r="LLQ365" s="368"/>
      <c r="LLR365" s="197"/>
      <c r="LLS365" s="650"/>
      <c r="LLT365" s="290"/>
      <c r="LLU365" s="291"/>
      <c r="LLV365" s="384"/>
      <c r="LLW365" s="266"/>
      <c r="LLX365" s="649"/>
      <c r="LLY365" s="326"/>
      <c r="LLZ365" s="368"/>
      <c r="LMA365" s="197"/>
      <c r="LMB365" s="650"/>
      <c r="LMC365" s="290"/>
      <c r="LMD365" s="291"/>
      <c r="LME365" s="384"/>
      <c r="LMF365" s="266"/>
      <c r="LMG365" s="649"/>
      <c r="LMH365" s="326"/>
      <c r="LMI365" s="368"/>
      <c r="LMJ365" s="197"/>
      <c r="LMK365" s="650"/>
      <c r="LML365" s="290"/>
      <c r="LMM365" s="291"/>
      <c r="LMN365" s="384"/>
      <c r="LMO365" s="266"/>
      <c r="LMP365" s="649"/>
      <c r="LMQ365" s="326"/>
      <c r="LMR365" s="368"/>
      <c r="LMS365" s="197"/>
      <c r="LMT365" s="650"/>
      <c r="LMU365" s="290"/>
      <c r="LMV365" s="291"/>
      <c r="LMW365" s="384"/>
      <c r="LMX365" s="266"/>
      <c r="LMY365" s="649"/>
      <c r="LMZ365" s="326"/>
      <c r="LNA365" s="368"/>
      <c r="LNB365" s="197"/>
      <c r="LNC365" s="650"/>
      <c r="LND365" s="290"/>
      <c r="LNE365" s="291"/>
      <c r="LNF365" s="384"/>
      <c r="LNG365" s="266"/>
      <c r="LNH365" s="649"/>
      <c r="LNI365" s="326"/>
      <c r="LNJ365" s="368"/>
      <c r="LNK365" s="197"/>
      <c r="LNL365" s="650"/>
      <c r="LNM365" s="290"/>
      <c r="LNN365" s="291"/>
      <c r="LNO365" s="384"/>
      <c r="LNP365" s="266"/>
      <c r="LNQ365" s="649"/>
      <c r="LNR365" s="326"/>
      <c r="LNS365" s="368"/>
      <c r="LNT365" s="197"/>
      <c r="LNU365" s="650"/>
      <c r="LNV365" s="290"/>
      <c r="LNW365" s="291"/>
      <c r="LNX365" s="384"/>
      <c r="LNY365" s="266"/>
      <c r="LNZ365" s="649"/>
      <c r="LOA365" s="326"/>
      <c r="LOB365" s="368"/>
      <c r="LOC365" s="197"/>
      <c r="LOD365" s="650"/>
      <c r="LOE365" s="290"/>
      <c r="LOF365" s="291"/>
      <c r="LOG365" s="384"/>
      <c r="LOH365" s="266"/>
      <c r="LOI365" s="649"/>
      <c r="LOJ365" s="326"/>
      <c r="LOK365" s="368"/>
      <c r="LOL365" s="197"/>
      <c r="LOM365" s="650"/>
      <c r="LON365" s="290"/>
      <c r="LOO365" s="291"/>
      <c r="LOP365" s="384"/>
      <c r="LOQ365" s="266"/>
      <c r="LOR365" s="649"/>
      <c r="LOS365" s="326"/>
      <c r="LOT365" s="368"/>
      <c r="LOU365" s="197"/>
      <c r="LOV365" s="650"/>
      <c r="LOW365" s="290"/>
      <c r="LOX365" s="291"/>
      <c r="LOY365" s="384"/>
      <c r="LOZ365" s="266"/>
      <c r="LPA365" s="649"/>
      <c r="LPB365" s="326"/>
      <c r="LPC365" s="368"/>
      <c r="LPD365" s="197"/>
      <c r="LPE365" s="650"/>
      <c r="LPF365" s="290"/>
      <c r="LPG365" s="291"/>
      <c r="LPH365" s="384"/>
      <c r="LPI365" s="266"/>
      <c r="LPJ365" s="649"/>
      <c r="LPK365" s="326"/>
      <c r="LPL365" s="368"/>
      <c r="LPM365" s="197"/>
      <c r="LPN365" s="650"/>
      <c r="LPO365" s="290"/>
      <c r="LPP365" s="291"/>
      <c r="LPQ365" s="384"/>
      <c r="LPR365" s="266"/>
      <c r="LPS365" s="649"/>
      <c r="LPT365" s="326"/>
      <c r="LPU365" s="368"/>
      <c r="LPV365" s="197"/>
      <c r="LPW365" s="650"/>
      <c r="LPX365" s="290"/>
      <c r="LPY365" s="291"/>
      <c r="LPZ365" s="384"/>
      <c r="LQA365" s="266"/>
      <c r="LQB365" s="649"/>
      <c r="LQC365" s="326"/>
      <c r="LQD365" s="368"/>
      <c r="LQE365" s="197"/>
      <c r="LQF365" s="650"/>
      <c r="LQG365" s="290"/>
      <c r="LQH365" s="291"/>
      <c r="LQI365" s="384"/>
      <c r="LQJ365" s="266"/>
      <c r="LQK365" s="649"/>
      <c r="LQL365" s="326"/>
      <c r="LQM365" s="368"/>
      <c r="LQN365" s="197"/>
      <c r="LQO365" s="650"/>
      <c r="LQP365" s="290"/>
      <c r="LQQ365" s="291"/>
      <c r="LQR365" s="384"/>
      <c r="LQS365" s="266"/>
      <c r="LQT365" s="649"/>
      <c r="LQU365" s="326"/>
      <c r="LQV365" s="368"/>
      <c r="LQW365" s="197"/>
      <c r="LQX365" s="650"/>
      <c r="LQY365" s="290"/>
      <c r="LQZ365" s="291"/>
      <c r="LRA365" s="384"/>
      <c r="LRB365" s="266"/>
      <c r="LRC365" s="649"/>
      <c r="LRD365" s="326"/>
      <c r="LRE365" s="368"/>
      <c r="LRF365" s="197"/>
      <c r="LRG365" s="650"/>
      <c r="LRH365" s="290"/>
      <c r="LRI365" s="291"/>
      <c r="LRJ365" s="384"/>
      <c r="LRK365" s="266"/>
      <c r="LRL365" s="649"/>
      <c r="LRM365" s="326"/>
      <c r="LRN365" s="368"/>
      <c r="LRO365" s="197"/>
      <c r="LRP365" s="650"/>
      <c r="LRQ365" s="290"/>
      <c r="LRR365" s="291"/>
      <c r="LRS365" s="384"/>
      <c r="LRT365" s="266"/>
      <c r="LRU365" s="649"/>
      <c r="LRV365" s="326"/>
      <c r="LRW365" s="368"/>
      <c r="LRX365" s="197"/>
      <c r="LRY365" s="650"/>
      <c r="LRZ365" s="290"/>
      <c r="LSA365" s="291"/>
      <c r="LSB365" s="384"/>
      <c r="LSC365" s="266"/>
      <c r="LSD365" s="649"/>
      <c r="LSE365" s="326"/>
      <c r="LSF365" s="368"/>
      <c r="LSG365" s="197"/>
      <c r="LSH365" s="650"/>
      <c r="LSI365" s="290"/>
      <c r="LSJ365" s="291"/>
      <c r="LSK365" s="384"/>
      <c r="LSL365" s="266"/>
      <c r="LSM365" s="649"/>
      <c r="LSN365" s="326"/>
      <c r="LSO365" s="368"/>
      <c r="LSP365" s="197"/>
      <c r="LSQ365" s="650"/>
      <c r="LSR365" s="290"/>
      <c r="LSS365" s="291"/>
      <c r="LST365" s="384"/>
      <c r="LSU365" s="266"/>
      <c r="LSV365" s="649"/>
      <c r="LSW365" s="326"/>
      <c r="LSX365" s="368"/>
      <c r="LSY365" s="197"/>
      <c r="LSZ365" s="650"/>
      <c r="LTA365" s="290"/>
      <c r="LTB365" s="291"/>
      <c r="LTC365" s="384"/>
      <c r="LTD365" s="266"/>
      <c r="LTE365" s="649"/>
      <c r="LTF365" s="326"/>
      <c r="LTG365" s="368"/>
      <c r="LTH365" s="197"/>
      <c r="LTI365" s="650"/>
      <c r="LTJ365" s="290"/>
      <c r="LTK365" s="291"/>
      <c r="LTL365" s="384"/>
      <c r="LTM365" s="266"/>
      <c r="LTN365" s="649"/>
      <c r="LTO365" s="326"/>
      <c r="LTP365" s="368"/>
      <c r="LTQ365" s="197"/>
      <c r="LTR365" s="650"/>
      <c r="LTS365" s="290"/>
      <c r="LTT365" s="291"/>
      <c r="LTU365" s="384"/>
      <c r="LTV365" s="266"/>
      <c r="LTW365" s="649"/>
      <c r="LTX365" s="326"/>
      <c r="LTY365" s="368"/>
      <c r="LTZ365" s="197"/>
      <c r="LUA365" s="650"/>
      <c r="LUB365" s="290"/>
      <c r="LUC365" s="291"/>
      <c r="LUD365" s="384"/>
      <c r="LUE365" s="266"/>
      <c r="LUF365" s="649"/>
      <c r="LUG365" s="326"/>
      <c r="LUH365" s="368"/>
      <c r="LUI365" s="197"/>
      <c r="LUJ365" s="650"/>
      <c r="LUK365" s="290"/>
      <c r="LUL365" s="291"/>
      <c r="LUM365" s="384"/>
      <c r="LUN365" s="266"/>
      <c r="LUO365" s="649"/>
      <c r="LUP365" s="326"/>
      <c r="LUQ365" s="368"/>
      <c r="LUR365" s="197"/>
      <c r="LUS365" s="650"/>
      <c r="LUT365" s="290"/>
      <c r="LUU365" s="291"/>
      <c r="LUV365" s="384"/>
      <c r="LUW365" s="266"/>
      <c r="LUX365" s="649"/>
      <c r="LUY365" s="326"/>
      <c r="LUZ365" s="368"/>
      <c r="LVA365" s="197"/>
      <c r="LVB365" s="650"/>
      <c r="LVC365" s="290"/>
      <c r="LVD365" s="291"/>
      <c r="LVE365" s="384"/>
      <c r="LVF365" s="266"/>
      <c r="LVG365" s="649"/>
      <c r="LVH365" s="326"/>
      <c r="LVI365" s="368"/>
      <c r="LVJ365" s="197"/>
      <c r="LVK365" s="650"/>
      <c r="LVL365" s="290"/>
      <c r="LVM365" s="291"/>
      <c r="LVN365" s="384"/>
      <c r="LVO365" s="266"/>
      <c r="LVP365" s="649"/>
      <c r="LVQ365" s="326"/>
      <c r="LVR365" s="368"/>
      <c r="LVS365" s="197"/>
      <c r="LVT365" s="650"/>
      <c r="LVU365" s="290"/>
      <c r="LVV365" s="291"/>
      <c r="LVW365" s="384"/>
      <c r="LVX365" s="266"/>
      <c r="LVY365" s="649"/>
      <c r="LVZ365" s="326"/>
      <c r="LWA365" s="368"/>
      <c r="LWB365" s="197"/>
      <c r="LWC365" s="650"/>
      <c r="LWD365" s="290"/>
      <c r="LWE365" s="291"/>
      <c r="LWF365" s="384"/>
      <c r="LWG365" s="266"/>
      <c r="LWH365" s="649"/>
      <c r="LWI365" s="326"/>
      <c r="LWJ365" s="368"/>
      <c r="LWK365" s="197"/>
      <c r="LWL365" s="650"/>
      <c r="LWM365" s="290"/>
      <c r="LWN365" s="291"/>
      <c r="LWO365" s="384"/>
      <c r="LWP365" s="266"/>
      <c r="LWQ365" s="649"/>
      <c r="LWR365" s="326"/>
      <c r="LWS365" s="368"/>
      <c r="LWT365" s="197"/>
      <c r="LWU365" s="650"/>
      <c r="LWV365" s="290"/>
      <c r="LWW365" s="291"/>
      <c r="LWX365" s="384"/>
      <c r="LWY365" s="266"/>
      <c r="LWZ365" s="649"/>
      <c r="LXA365" s="326"/>
      <c r="LXB365" s="368"/>
      <c r="LXC365" s="197"/>
      <c r="LXD365" s="650"/>
      <c r="LXE365" s="290"/>
      <c r="LXF365" s="291"/>
      <c r="LXG365" s="384"/>
      <c r="LXH365" s="266"/>
      <c r="LXI365" s="649"/>
      <c r="LXJ365" s="326"/>
      <c r="LXK365" s="368"/>
      <c r="LXL365" s="197"/>
      <c r="LXM365" s="650"/>
      <c r="LXN365" s="290"/>
      <c r="LXO365" s="291"/>
      <c r="LXP365" s="384"/>
      <c r="LXQ365" s="266"/>
      <c r="LXR365" s="649"/>
      <c r="LXS365" s="326"/>
      <c r="LXT365" s="368"/>
      <c r="LXU365" s="197"/>
      <c r="LXV365" s="650"/>
      <c r="LXW365" s="290"/>
      <c r="LXX365" s="291"/>
      <c r="LXY365" s="384"/>
      <c r="LXZ365" s="266"/>
      <c r="LYA365" s="649"/>
      <c r="LYB365" s="326"/>
      <c r="LYC365" s="368"/>
      <c r="LYD365" s="197"/>
      <c r="LYE365" s="650"/>
      <c r="LYF365" s="290"/>
      <c r="LYG365" s="291"/>
      <c r="LYH365" s="384"/>
      <c r="LYI365" s="266"/>
      <c r="LYJ365" s="649"/>
      <c r="LYK365" s="326"/>
      <c r="LYL365" s="368"/>
      <c r="LYM365" s="197"/>
      <c r="LYN365" s="650"/>
      <c r="LYO365" s="290"/>
      <c r="LYP365" s="291"/>
      <c r="LYQ365" s="384"/>
      <c r="LYR365" s="266"/>
      <c r="LYS365" s="649"/>
      <c r="LYT365" s="326"/>
      <c r="LYU365" s="368"/>
      <c r="LYV365" s="197"/>
      <c r="LYW365" s="650"/>
      <c r="LYX365" s="290"/>
      <c r="LYY365" s="291"/>
      <c r="LYZ365" s="384"/>
      <c r="LZA365" s="266"/>
      <c r="LZB365" s="649"/>
      <c r="LZC365" s="326"/>
      <c r="LZD365" s="368"/>
      <c r="LZE365" s="197"/>
      <c r="LZF365" s="650"/>
      <c r="LZG365" s="290"/>
      <c r="LZH365" s="291"/>
      <c r="LZI365" s="384"/>
      <c r="LZJ365" s="266"/>
      <c r="LZK365" s="649"/>
      <c r="LZL365" s="326"/>
      <c r="LZM365" s="368"/>
      <c r="LZN365" s="197"/>
      <c r="LZO365" s="650"/>
      <c r="LZP365" s="290"/>
      <c r="LZQ365" s="291"/>
      <c r="LZR365" s="384"/>
      <c r="LZS365" s="266"/>
      <c r="LZT365" s="649"/>
      <c r="LZU365" s="326"/>
      <c r="LZV365" s="368"/>
      <c r="LZW365" s="197"/>
      <c r="LZX365" s="650"/>
      <c r="LZY365" s="290"/>
      <c r="LZZ365" s="291"/>
      <c r="MAA365" s="384"/>
      <c r="MAB365" s="266"/>
      <c r="MAC365" s="649"/>
      <c r="MAD365" s="326"/>
      <c r="MAE365" s="368"/>
      <c r="MAF365" s="197"/>
      <c r="MAG365" s="650"/>
      <c r="MAH365" s="290"/>
      <c r="MAI365" s="291"/>
      <c r="MAJ365" s="384"/>
      <c r="MAK365" s="266"/>
      <c r="MAL365" s="649"/>
      <c r="MAM365" s="326"/>
      <c r="MAN365" s="368"/>
      <c r="MAO365" s="197"/>
      <c r="MAP365" s="650"/>
      <c r="MAQ365" s="290"/>
      <c r="MAR365" s="291"/>
      <c r="MAS365" s="384"/>
      <c r="MAT365" s="266"/>
      <c r="MAU365" s="649"/>
      <c r="MAV365" s="326"/>
      <c r="MAW365" s="368"/>
      <c r="MAX365" s="197"/>
      <c r="MAY365" s="650"/>
      <c r="MAZ365" s="290"/>
      <c r="MBA365" s="291"/>
      <c r="MBB365" s="384"/>
      <c r="MBC365" s="266"/>
      <c r="MBD365" s="649"/>
      <c r="MBE365" s="326"/>
      <c r="MBF365" s="368"/>
      <c r="MBG365" s="197"/>
      <c r="MBH365" s="650"/>
      <c r="MBI365" s="290"/>
      <c r="MBJ365" s="291"/>
      <c r="MBK365" s="384"/>
      <c r="MBL365" s="266"/>
      <c r="MBM365" s="649"/>
      <c r="MBN365" s="326"/>
      <c r="MBO365" s="368"/>
      <c r="MBP365" s="197"/>
      <c r="MBQ365" s="650"/>
      <c r="MBR365" s="290"/>
      <c r="MBS365" s="291"/>
      <c r="MBT365" s="384"/>
      <c r="MBU365" s="266"/>
      <c r="MBV365" s="649"/>
      <c r="MBW365" s="326"/>
      <c r="MBX365" s="368"/>
      <c r="MBY365" s="197"/>
      <c r="MBZ365" s="650"/>
      <c r="MCA365" s="290"/>
      <c r="MCB365" s="291"/>
      <c r="MCC365" s="384"/>
      <c r="MCD365" s="266"/>
      <c r="MCE365" s="649"/>
      <c r="MCF365" s="326"/>
      <c r="MCG365" s="368"/>
      <c r="MCH365" s="197"/>
      <c r="MCI365" s="650"/>
      <c r="MCJ365" s="290"/>
      <c r="MCK365" s="291"/>
      <c r="MCL365" s="384"/>
      <c r="MCM365" s="266"/>
      <c r="MCN365" s="649"/>
      <c r="MCO365" s="326"/>
      <c r="MCP365" s="368"/>
      <c r="MCQ365" s="197"/>
      <c r="MCR365" s="650"/>
      <c r="MCS365" s="290"/>
      <c r="MCT365" s="291"/>
      <c r="MCU365" s="384"/>
      <c r="MCV365" s="266"/>
      <c r="MCW365" s="649"/>
      <c r="MCX365" s="326"/>
      <c r="MCY365" s="368"/>
      <c r="MCZ365" s="197"/>
      <c r="MDA365" s="650"/>
      <c r="MDB365" s="290"/>
      <c r="MDC365" s="291"/>
      <c r="MDD365" s="384"/>
      <c r="MDE365" s="266"/>
      <c r="MDF365" s="649"/>
      <c r="MDG365" s="326"/>
      <c r="MDH365" s="368"/>
      <c r="MDI365" s="197"/>
      <c r="MDJ365" s="650"/>
      <c r="MDK365" s="290"/>
      <c r="MDL365" s="291"/>
      <c r="MDM365" s="384"/>
      <c r="MDN365" s="266"/>
      <c r="MDO365" s="649"/>
      <c r="MDP365" s="326"/>
      <c r="MDQ365" s="368"/>
      <c r="MDR365" s="197"/>
      <c r="MDS365" s="650"/>
      <c r="MDT365" s="290"/>
      <c r="MDU365" s="291"/>
      <c r="MDV365" s="384"/>
      <c r="MDW365" s="266"/>
      <c r="MDX365" s="649"/>
      <c r="MDY365" s="326"/>
      <c r="MDZ365" s="368"/>
      <c r="MEA365" s="197"/>
      <c r="MEB365" s="650"/>
      <c r="MEC365" s="290"/>
      <c r="MED365" s="291"/>
      <c r="MEE365" s="384"/>
      <c r="MEF365" s="266"/>
      <c r="MEG365" s="649"/>
      <c r="MEH365" s="326"/>
      <c r="MEI365" s="368"/>
      <c r="MEJ365" s="197"/>
      <c r="MEK365" s="650"/>
      <c r="MEL365" s="290"/>
      <c r="MEM365" s="291"/>
      <c r="MEN365" s="384"/>
      <c r="MEO365" s="266"/>
      <c r="MEP365" s="649"/>
      <c r="MEQ365" s="326"/>
      <c r="MER365" s="368"/>
      <c r="MES365" s="197"/>
      <c r="MET365" s="650"/>
      <c r="MEU365" s="290"/>
      <c r="MEV365" s="291"/>
      <c r="MEW365" s="384"/>
      <c r="MEX365" s="266"/>
      <c r="MEY365" s="649"/>
      <c r="MEZ365" s="326"/>
      <c r="MFA365" s="368"/>
      <c r="MFB365" s="197"/>
      <c r="MFC365" s="650"/>
      <c r="MFD365" s="290"/>
      <c r="MFE365" s="291"/>
      <c r="MFF365" s="384"/>
      <c r="MFG365" s="266"/>
      <c r="MFH365" s="649"/>
      <c r="MFI365" s="326"/>
      <c r="MFJ365" s="368"/>
      <c r="MFK365" s="197"/>
      <c r="MFL365" s="650"/>
      <c r="MFM365" s="290"/>
      <c r="MFN365" s="291"/>
      <c r="MFO365" s="384"/>
      <c r="MFP365" s="266"/>
      <c r="MFQ365" s="649"/>
      <c r="MFR365" s="326"/>
      <c r="MFS365" s="368"/>
      <c r="MFT365" s="197"/>
      <c r="MFU365" s="650"/>
      <c r="MFV365" s="290"/>
      <c r="MFW365" s="291"/>
      <c r="MFX365" s="384"/>
      <c r="MFY365" s="266"/>
      <c r="MFZ365" s="649"/>
      <c r="MGA365" s="326"/>
      <c r="MGB365" s="368"/>
      <c r="MGC365" s="197"/>
      <c r="MGD365" s="650"/>
      <c r="MGE365" s="290"/>
      <c r="MGF365" s="291"/>
      <c r="MGG365" s="384"/>
      <c r="MGH365" s="266"/>
      <c r="MGI365" s="649"/>
      <c r="MGJ365" s="326"/>
      <c r="MGK365" s="368"/>
      <c r="MGL365" s="197"/>
      <c r="MGM365" s="650"/>
      <c r="MGN365" s="290"/>
      <c r="MGO365" s="291"/>
      <c r="MGP365" s="384"/>
      <c r="MGQ365" s="266"/>
      <c r="MGR365" s="649"/>
      <c r="MGS365" s="326"/>
      <c r="MGT365" s="368"/>
      <c r="MGU365" s="197"/>
      <c r="MGV365" s="650"/>
      <c r="MGW365" s="290"/>
      <c r="MGX365" s="291"/>
      <c r="MGY365" s="384"/>
      <c r="MGZ365" s="266"/>
      <c r="MHA365" s="649"/>
      <c r="MHB365" s="326"/>
      <c r="MHC365" s="368"/>
      <c r="MHD365" s="197"/>
      <c r="MHE365" s="650"/>
      <c r="MHF365" s="290"/>
      <c r="MHG365" s="291"/>
      <c r="MHH365" s="384"/>
      <c r="MHI365" s="266"/>
      <c r="MHJ365" s="649"/>
      <c r="MHK365" s="326"/>
      <c r="MHL365" s="368"/>
      <c r="MHM365" s="197"/>
      <c r="MHN365" s="650"/>
      <c r="MHO365" s="290"/>
      <c r="MHP365" s="291"/>
      <c r="MHQ365" s="384"/>
      <c r="MHR365" s="266"/>
      <c r="MHS365" s="649"/>
      <c r="MHT365" s="326"/>
      <c r="MHU365" s="368"/>
      <c r="MHV365" s="197"/>
      <c r="MHW365" s="650"/>
      <c r="MHX365" s="290"/>
      <c r="MHY365" s="291"/>
      <c r="MHZ365" s="384"/>
      <c r="MIA365" s="266"/>
      <c r="MIB365" s="649"/>
      <c r="MIC365" s="326"/>
      <c r="MID365" s="368"/>
      <c r="MIE365" s="197"/>
      <c r="MIF365" s="650"/>
      <c r="MIG365" s="290"/>
      <c r="MIH365" s="291"/>
      <c r="MII365" s="384"/>
      <c r="MIJ365" s="266"/>
      <c r="MIK365" s="649"/>
      <c r="MIL365" s="326"/>
      <c r="MIM365" s="368"/>
      <c r="MIN365" s="197"/>
      <c r="MIO365" s="650"/>
      <c r="MIP365" s="290"/>
      <c r="MIQ365" s="291"/>
      <c r="MIR365" s="384"/>
      <c r="MIS365" s="266"/>
      <c r="MIT365" s="649"/>
      <c r="MIU365" s="326"/>
      <c r="MIV365" s="368"/>
      <c r="MIW365" s="197"/>
      <c r="MIX365" s="650"/>
      <c r="MIY365" s="290"/>
      <c r="MIZ365" s="291"/>
      <c r="MJA365" s="384"/>
      <c r="MJB365" s="266"/>
      <c r="MJC365" s="649"/>
      <c r="MJD365" s="326"/>
      <c r="MJE365" s="368"/>
      <c r="MJF365" s="197"/>
      <c r="MJG365" s="650"/>
      <c r="MJH365" s="290"/>
      <c r="MJI365" s="291"/>
      <c r="MJJ365" s="384"/>
      <c r="MJK365" s="266"/>
      <c r="MJL365" s="649"/>
      <c r="MJM365" s="326"/>
      <c r="MJN365" s="368"/>
      <c r="MJO365" s="197"/>
      <c r="MJP365" s="650"/>
      <c r="MJQ365" s="290"/>
      <c r="MJR365" s="291"/>
      <c r="MJS365" s="384"/>
      <c r="MJT365" s="266"/>
      <c r="MJU365" s="649"/>
      <c r="MJV365" s="326"/>
      <c r="MJW365" s="368"/>
      <c r="MJX365" s="197"/>
      <c r="MJY365" s="650"/>
      <c r="MJZ365" s="290"/>
      <c r="MKA365" s="291"/>
      <c r="MKB365" s="384"/>
      <c r="MKC365" s="266"/>
      <c r="MKD365" s="649"/>
      <c r="MKE365" s="326"/>
      <c r="MKF365" s="368"/>
      <c r="MKG365" s="197"/>
      <c r="MKH365" s="650"/>
      <c r="MKI365" s="290"/>
      <c r="MKJ365" s="291"/>
      <c r="MKK365" s="384"/>
      <c r="MKL365" s="266"/>
      <c r="MKM365" s="649"/>
      <c r="MKN365" s="326"/>
      <c r="MKO365" s="368"/>
      <c r="MKP365" s="197"/>
      <c r="MKQ365" s="650"/>
      <c r="MKR365" s="290"/>
      <c r="MKS365" s="291"/>
      <c r="MKT365" s="384"/>
      <c r="MKU365" s="266"/>
      <c r="MKV365" s="649"/>
      <c r="MKW365" s="326"/>
      <c r="MKX365" s="368"/>
      <c r="MKY365" s="197"/>
      <c r="MKZ365" s="650"/>
      <c r="MLA365" s="290"/>
      <c r="MLB365" s="291"/>
      <c r="MLC365" s="384"/>
      <c r="MLD365" s="266"/>
      <c r="MLE365" s="649"/>
      <c r="MLF365" s="326"/>
      <c r="MLG365" s="368"/>
      <c r="MLH365" s="197"/>
      <c r="MLI365" s="650"/>
      <c r="MLJ365" s="290"/>
      <c r="MLK365" s="291"/>
      <c r="MLL365" s="384"/>
      <c r="MLM365" s="266"/>
      <c r="MLN365" s="649"/>
      <c r="MLO365" s="326"/>
      <c r="MLP365" s="368"/>
      <c r="MLQ365" s="197"/>
      <c r="MLR365" s="650"/>
      <c r="MLS365" s="290"/>
      <c r="MLT365" s="291"/>
      <c r="MLU365" s="384"/>
      <c r="MLV365" s="266"/>
      <c r="MLW365" s="649"/>
      <c r="MLX365" s="326"/>
      <c r="MLY365" s="368"/>
      <c r="MLZ365" s="197"/>
      <c r="MMA365" s="650"/>
      <c r="MMB365" s="290"/>
      <c r="MMC365" s="291"/>
      <c r="MMD365" s="384"/>
      <c r="MME365" s="266"/>
      <c r="MMF365" s="649"/>
      <c r="MMG365" s="326"/>
      <c r="MMH365" s="368"/>
      <c r="MMI365" s="197"/>
      <c r="MMJ365" s="650"/>
      <c r="MMK365" s="290"/>
      <c r="MML365" s="291"/>
      <c r="MMM365" s="384"/>
      <c r="MMN365" s="266"/>
      <c r="MMO365" s="649"/>
      <c r="MMP365" s="326"/>
      <c r="MMQ365" s="368"/>
      <c r="MMR365" s="197"/>
      <c r="MMS365" s="650"/>
      <c r="MMT365" s="290"/>
      <c r="MMU365" s="291"/>
      <c r="MMV365" s="384"/>
      <c r="MMW365" s="266"/>
      <c r="MMX365" s="649"/>
      <c r="MMY365" s="326"/>
      <c r="MMZ365" s="368"/>
      <c r="MNA365" s="197"/>
      <c r="MNB365" s="650"/>
      <c r="MNC365" s="290"/>
      <c r="MND365" s="291"/>
      <c r="MNE365" s="384"/>
      <c r="MNF365" s="266"/>
      <c r="MNG365" s="649"/>
      <c r="MNH365" s="326"/>
      <c r="MNI365" s="368"/>
      <c r="MNJ365" s="197"/>
      <c r="MNK365" s="650"/>
      <c r="MNL365" s="290"/>
      <c r="MNM365" s="291"/>
      <c r="MNN365" s="384"/>
      <c r="MNO365" s="266"/>
      <c r="MNP365" s="649"/>
      <c r="MNQ365" s="326"/>
      <c r="MNR365" s="368"/>
      <c r="MNS365" s="197"/>
      <c r="MNT365" s="650"/>
      <c r="MNU365" s="290"/>
      <c r="MNV365" s="291"/>
      <c r="MNW365" s="384"/>
      <c r="MNX365" s="266"/>
      <c r="MNY365" s="649"/>
      <c r="MNZ365" s="326"/>
      <c r="MOA365" s="368"/>
      <c r="MOB365" s="197"/>
      <c r="MOC365" s="650"/>
      <c r="MOD365" s="290"/>
      <c r="MOE365" s="291"/>
      <c r="MOF365" s="384"/>
      <c r="MOG365" s="266"/>
      <c r="MOH365" s="649"/>
      <c r="MOI365" s="326"/>
      <c r="MOJ365" s="368"/>
      <c r="MOK365" s="197"/>
      <c r="MOL365" s="650"/>
      <c r="MOM365" s="290"/>
      <c r="MON365" s="291"/>
      <c r="MOO365" s="384"/>
      <c r="MOP365" s="266"/>
      <c r="MOQ365" s="649"/>
      <c r="MOR365" s="326"/>
      <c r="MOS365" s="368"/>
      <c r="MOT365" s="197"/>
      <c r="MOU365" s="650"/>
      <c r="MOV365" s="290"/>
      <c r="MOW365" s="291"/>
      <c r="MOX365" s="384"/>
      <c r="MOY365" s="266"/>
      <c r="MOZ365" s="649"/>
      <c r="MPA365" s="326"/>
      <c r="MPB365" s="368"/>
      <c r="MPC365" s="197"/>
      <c r="MPD365" s="650"/>
      <c r="MPE365" s="290"/>
      <c r="MPF365" s="291"/>
      <c r="MPG365" s="384"/>
      <c r="MPH365" s="266"/>
      <c r="MPI365" s="649"/>
      <c r="MPJ365" s="326"/>
      <c r="MPK365" s="368"/>
      <c r="MPL365" s="197"/>
      <c r="MPM365" s="650"/>
      <c r="MPN365" s="290"/>
      <c r="MPO365" s="291"/>
      <c r="MPP365" s="384"/>
      <c r="MPQ365" s="266"/>
      <c r="MPR365" s="649"/>
      <c r="MPS365" s="326"/>
      <c r="MPT365" s="368"/>
      <c r="MPU365" s="197"/>
      <c r="MPV365" s="650"/>
      <c r="MPW365" s="290"/>
      <c r="MPX365" s="291"/>
      <c r="MPY365" s="384"/>
      <c r="MPZ365" s="266"/>
      <c r="MQA365" s="649"/>
      <c r="MQB365" s="326"/>
      <c r="MQC365" s="368"/>
      <c r="MQD365" s="197"/>
      <c r="MQE365" s="650"/>
      <c r="MQF365" s="290"/>
      <c r="MQG365" s="291"/>
      <c r="MQH365" s="384"/>
      <c r="MQI365" s="266"/>
      <c r="MQJ365" s="649"/>
      <c r="MQK365" s="326"/>
      <c r="MQL365" s="368"/>
      <c r="MQM365" s="197"/>
      <c r="MQN365" s="650"/>
      <c r="MQO365" s="290"/>
      <c r="MQP365" s="291"/>
      <c r="MQQ365" s="384"/>
      <c r="MQR365" s="266"/>
      <c r="MQS365" s="649"/>
      <c r="MQT365" s="326"/>
      <c r="MQU365" s="368"/>
      <c r="MQV365" s="197"/>
      <c r="MQW365" s="650"/>
      <c r="MQX365" s="290"/>
      <c r="MQY365" s="291"/>
      <c r="MQZ365" s="384"/>
      <c r="MRA365" s="266"/>
      <c r="MRB365" s="649"/>
      <c r="MRC365" s="326"/>
      <c r="MRD365" s="368"/>
      <c r="MRE365" s="197"/>
      <c r="MRF365" s="650"/>
      <c r="MRG365" s="290"/>
      <c r="MRH365" s="291"/>
      <c r="MRI365" s="384"/>
      <c r="MRJ365" s="266"/>
      <c r="MRK365" s="649"/>
      <c r="MRL365" s="326"/>
      <c r="MRM365" s="368"/>
      <c r="MRN365" s="197"/>
      <c r="MRO365" s="650"/>
      <c r="MRP365" s="290"/>
      <c r="MRQ365" s="291"/>
      <c r="MRR365" s="384"/>
      <c r="MRS365" s="266"/>
      <c r="MRT365" s="649"/>
      <c r="MRU365" s="326"/>
      <c r="MRV365" s="368"/>
      <c r="MRW365" s="197"/>
      <c r="MRX365" s="650"/>
      <c r="MRY365" s="290"/>
      <c r="MRZ365" s="291"/>
      <c r="MSA365" s="384"/>
      <c r="MSB365" s="266"/>
      <c r="MSC365" s="649"/>
      <c r="MSD365" s="326"/>
      <c r="MSE365" s="368"/>
      <c r="MSF365" s="197"/>
      <c r="MSG365" s="650"/>
      <c r="MSH365" s="290"/>
      <c r="MSI365" s="291"/>
      <c r="MSJ365" s="384"/>
      <c r="MSK365" s="266"/>
      <c r="MSL365" s="649"/>
      <c r="MSM365" s="326"/>
      <c r="MSN365" s="368"/>
      <c r="MSO365" s="197"/>
      <c r="MSP365" s="650"/>
      <c r="MSQ365" s="290"/>
      <c r="MSR365" s="291"/>
      <c r="MSS365" s="384"/>
      <c r="MST365" s="266"/>
      <c r="MSU365" s="649"/>
      <c r="MSV365" s="326"/>
      <c r="MSW365" s="368"/>
      <c r="MSX365" s="197"/>
      <c r="MSY365" s="650"/>
      <c r="MSZ365" s="290"/>
      <c r="MTA365" s="291"/>
      <c r="MTB365" s="384"/>
      <c r="MTC365" s="266"/>
      <c r="MTD365" s="649"/>
      <c r="MTE365" s="326"/>
      <c r="MTF365" s="368"/>
      <c r="MTG365" s="197"/>
      <c r="MTH365" s="650"/>
      <c r="MTI365" s="290"/>
      <c r="MTJ365" s="291"/>
      <c r="MTK365" s="384"/>
      <c r="MTL365" s="266"/>
      <c r="MTM365" s="649"/>
      <c r="MTN365" s="326"/>
      <c r="MTO365" s="368"/>
      <c r="MTP365" s="197"/>
      <c r="MTQ365" s="650"/>
      <c r="MTR365" s="290"/>
      <c r="MTS365" s="291"/>
      <c r="MTT365" s="384"/>
      <c r="MTU365" s="266"/>
      <c r="MTV365" s="649"/>
      <c r="MTW365" s="326"/>
      <c r="MTX365" s="368"/>
      <c r="MTY365" s="197"/>
      <c r="MTZ365" s="650"/>
      <c r="MUA365" s="290"/>
      <c r="MUB365" s="291"/>
      <c r="MUC365" s="384"/>
      <c r="MUD365" s="266"/>
      <c r="MUE365" s="649"/>
      <c r="MUF365" s="326"/>
      <c r="MUG365" s="368"/>
      <c r="MUH365" s="197"/>
      <c r="MUI365" s="650"/>
      <c r="MUJ365" s="290"/>
      <c r="MUK365" s="291"/>
      <c r="MUL365" s="384"/>
      <c r="MUM365" s="266"/>
      <c r="MUN365" s="649"/>
      <c r="MUO365" s="326"/>
      <c r="MUP365" s="368"/>
      <c r="MUQ365" s="197"/>
      <c r="MUR365" s="650"/>
      <c r="MUS365" s="290"/>
      <c r="MUT365" s="291"/>
      <c r="MUU365" s="384"/>
      <c r="MUV365" s="266"/>
      <c r="MUW365" s="649"/>
      <c r="MUX365" s="326"/>
      <c r="MUY365" s="368"/>
      <c r="MUZ365" s="197"/>
      <c r="MVA365" s="650"/>
      <c r="MVB365" s="290"/>
      <c r="MVC365" s="291"/>
      <c r="MVD365" s="384"/>
      <c r="MVE365" s="266"/>
      <c r="MVF365" s="649"/>
      <c r="MVG365" s="326"/>
      <c r="MVH365" s="368"/>
      <c r="MVI365" s="197"/>
      <c r="MVJ365" s="650"/>
      <c r="MVK365" s="290"/>
      <c r="MVL365" s="291"/>
      <c r="MVM365" s="384"/>
      <c r="MVN365" s="266"/>
      <c r="MVO365" s="649"/>
      <c r="MVP365" s="326"/>
      <c r="MVQ365" s="368"/>
      <c r="MVR365" s="197"/>
      <c r="MVS365" s="650"/>
      <c r="MVT365" s="290"/>
      <c r="MVU365" s="291"/>
      <c r="MVV365" s="384"/>
      <c r="MVW365" s="266"/>
      <c r="MVX365" s="649"/>
      <c r="MVY365" s="326"/>
      <c r="MVZ365" s="368"/>
      <c r="MWA365" s="197"/>
      <c r="MWB365" s="650"/>
      <c r="MWC365" s="290"/>
      <c r="MWD365" s="291"/>
      <c r="MWE365" s="384"/>
      <c r="MWF365" s="266"/>
      <c r="MWG365" s="649"/>
      <c r="MWH365" s="326"/>
      <c r="MWI365" s="368"/>
      <c r="MWJ365" s="197"/>
      <c r="MWK365" s="650"/>
      <c r="MWL365" s="290"/>
      <c r="MWM365" s="291"/>
      <c r="MWN365" s="384"/>
      <c r="MWO365" s="266"/>
      <c r="MWP365" s="649"/>
      <c r="MWQ365" s="326"/>
      <c r="MWR365" s="368"/>
      <c r="MWS365" s="197"/>
      <c r="MWT365" s="650"/>
      <c r="MWU365" s="290"/>
      <c r="MWV365" s="291"/>
      <c r="MWW365" s="384"/>
      <c r="MWX365" s="266"/>
      <c r="MWY365" s="649"/>
      <c r="MWZ365" s="326"/>
      <c r="MXA365" s="368"/>
      <c r="MXB365" s="197"/>
      <c r="MXC365" s="650"/>
      <c r="MXD365" s="290"/>
      <c r="MXE365" s="291"/>
      <c r="MXF365" s="384"/>
      <c r="MXG365" s="266"/>
      <c r="MXH365" s="649"/>
      <c r="MXI365" s="326"/>
      <c r="MXJ365" s="368"/>
      <c r="MXK365" s="197"/>
      <c r="MXL365" s="650"/>
      <c r="MXM365" s="290"/>
      <c r="MXN365" s="291"/>
      <c r="MXO365" s="384"/>
      <c r="MXP365" s="266"/>
      <c r="MXQ365" s="649"/>
      <c r="MXR365" s="326"/>
      <c r="MXS365" s="368"/>
      <c r="MXT365" s="197"/>
      <c r="MXU365" s="650"/>
      <c r="MXV365" s="290"/>
      <c r="MXW365" s="291"/>
      <c r="MXX365" s="384"/>
      <c r="MXY365" s="266"/>
      <c r="MXZ365" s="649"/>
      <c r="MYA365" s="326"/>
      <c r="MYB365" s="368"/>
      <c r="MYC365" s="197"/>
      <c r="MYD365" s="650"/>
      <c r="MYE365" s="290"/>
      <c r="MYF365" s="291"/>
      <c r="MYG365" s="384"/>
      <c r="MYH365" s="266"/>
      <c r="MYI365" s="649"/>
      <c r="MYJ365" s="326"/>
      <c r="MYK365" s="368"/>
      <c r="MYL365" s="197"/>
      <c r="MYM365" s="650"/>
      <c r="MYN365" s="290"/>
      <c r="MYO365" s="291"/>
      <c r="MYP365" s="384"/>
      <c r="MYQ365" s="266"/>
      <c r="MYR365" s="649"/>
      <c r="MYS365" s="326"/>
      <c r="MYT365" s="368"/>
      <c r="MYU365" s="197"/>
      <c r="MYV365" s="650"/>
      <c r="MYW365" s="290"/>
      <c r="MYX365" s="291"/>
      <c r="MYY365" s="384"/>
      <c r="MYZ365" s="266"/>
      <c r="MZA365" s="649"/>
      <c r="MZB365" s="326"/>
      <c r="MZC365" s="368"/>
      <c r="MZD365" s="197"/>
      <c r="MZE365" s="650"/>
      <c r="MZF365" s="290"/>
      <c r="MZG365" s="291"/>
      <c r="MZH365" s="384"/>
      <c r="MZI365" s="266"/>
      <c r="MZJ365" s="649"/>
      <c r="MZK365" s="326"/>
      <c r="MZL365" s="368"/>
      <c r="MZM365" s="197"/>
      <c r="MZN365" s="650"/>
      <c r="MZO365" s="290"/>
      <c r="MZP365" s="291"/>
      <c r="MZQ365" s="384"/>
      <c r="MZR365" s="266"/>
      <c r="MZS365" s="649"/>
      <c r="MZT365" s="326"/>
      <c r="MZU365" s="368"/>
      <c r="MZV365" s="197"/>
      <c r="MZW365" s="650"/>
      <c r="MZX365" s="290"/>
      <c r="MZY365" s="291"/>
      <c r="MZZ365" s="384"/>
      <c r="NAA365" s="266"/>
      <c r="NAB365" s="649"/>
      <c r="NAC365" s="326"/>
      <c r="NAD365" s="368"/>
      <c r="NAE365" s="197"/>
      <c r="NAF365" s="650"/>
      <c r="NAG365" s="290"/>
      <c r="NAH365" s="291"/>
      <c r="NAI365" s="384"/>
      <c r="NAJ365" s="266"/>
      <c r="NAK365" s="649"/>
      <c r="NAL365" s="326"/>
      <c r="NAM365" s="368"/>
      <c r="NAN365" s="197"/>
      <c r="NAO365" s="650"/>
      <c r="NAP365" s="290"/>
      <c r="NAQ365" s="291"/>
      <c r="NAR365" s="384"/>
      <c r="NAS365" s="266"/>
      <c r="NAT365" s="649"/>
      <c r="NAU365" s="326"/>
      <c r="NAV365" s="368"/>
      <c r="NAW365" s="197"/>
      <c r="NAX365" s="650"/>
      <c r="NAY365" s="290"/>
      <c r="NAZ365" s="291"/>
      <c r="NBA365" s="384"/>
      <c r="NBB365" s="266"/>
      <c r="NBC365" s="649"/>
      <c r="NBD365" s="326"/>
      <c r="NBE365" s="368"/>
      <c r="NBF365" s="197"/>
      <c r="NBG365" s="650"/>
      <c r="NBH365" s="290"/>
      <c r="NBI365" s="291"/>
      <c r="NBJ365" s="384"/>
      <c r="NBK365" s="266"/>
      <c r="NBL365" s="649"/>
      <c r="NBM365" s="326"/>
      <c r="NBN365" s="368"/>
      <c r="NBO365" s="197"/>
      <c r="NBP365" s="650"/>
      <c r="NBQ365" s="290"/>
      <c r="NBR365" s="291"/>
      <c r="NBS365" s="384"/>
      <c r="NBT365" s="266"/>
      <c r="NBU365" s="649"/>
      <c r="NBV365" s="326"/>
      <c r="NBW365" s="368"/>
      <c r="NBX365" s="197"/>
      <c r="NBY365" s="650"/>
      <c r="NBZ365" s="290"/>
      <c r="NCA365" s="291"/>
      <c r="NCB365" s="384"/>
      <c r="NCC365" s="266"/>
      <c r="NCD365" s="649"/>
      <c r="NCE365" s="326"/>
      <c r="NCF365" s="368"/>
      <c r="NCG365" s="197"/>
      <c r="NCH365" s="650"/>
      <c r="NCI365" s="290"/>
      <c r="NCJ365" s="291"/>
      <c r="NCK365" s="384"/>
      <c r="NCL365" s="266"/>
      <c r="NCM365" s="649"/>
      <c r="NCN365" s="326"/>
      <c r="NCO365" s="368"/>
      <c r="NCP365" s="197"/>
      <c r="NCQ365" s="650"/>
      <c r="NCR365" s="290"/>
      <c r="NCS365" s="291"/>
      <c r="NCT365" s="384"/>
      <c r="NCU365" s="266"/>
      <c r="NCV365" s="649"/>
      <c r="NCW365" s="326"/>
      <c r="NCX365" s="368"/>
      <c r="NCY365" s="197"/>
      <c r="NCZ365" s="650"/>
      <c r="NDA365" s="290"/>
      <c r="NDB365" s="291"/>
      <c r="NDC365" s="384"/>
      <c r="NDD365" s="266"/>
      <c r="NDE365" s="649"/>
      <c r="NDF365" s="326"/>
      <c r="NDG365" s="368"/>
      <c r="NDH365" s="197"/>
      <c r="NDI365" s="650"/>
      <c r="NDJ365" s="290"/>
      <c r="NDK365" s="291"/>
      <c r="NDL365" s="384"/>
      <c r="NDM365" s="266"/>
      <c r="NDN365" s="649"/>
      <c r="NDO365" s="326"/>
      <c r="NDP365" s="368"/>
      <c r="NDQ365" s="197"/>
      <c r="NDR365" s="650"/>
      <c r="NDS365" s="290"/>
      <c r="NDT365" s="291"/>
      <c r="NDU365" s="384"/>
      <c r="NDV365" s="266"/>
      <c r="NDW365" s="649"/>
      <c r="NDX365" s="326"/>
      <c r="NDY365" s="368"/>
      <c r="NDZ365" s="197"/>
      <c r="NEA365" s="650"/>
      <c r="NEB365" s="290"/>
      <c r="NEC365" s="291"/>
      <c r="NED365" s="384"/>
      <c r="NEE365" s="266"/>
      <c r="NEF365" s="649"/>
      <c r="NEG365" s="326"/>
      <c r="NEH365" s="368"/>
      <c r="NEI365" s="197"/>
      <c r="NEJ365" s="650"/>
      <c r="NEK365" s="290"/>
      <c r="NEL365" s="291"/>
      <c r="NEM365" s="384"/>
      <c r="NEN365" s="266"/>
      <c r="NEO365" s="649"/>
      <c r="NEP365" s="326"/>
      <c r="NEQ365" s="368"/>
      <c r="NER365" s="197"/>
      <c r="NES365" s="650"/>
      <c r="NET365" s="290"/>
      <c r="NEU365" s="291"/>
      <c r="NEV365" s="384"/>
      <c r="NEW365" s="266"/>
      <c r="NEX365" s="649"/>
      <c r="NEY365" s="326"/>
      <c r="NEZ365" s="368"/>
      <c r="NFA365" s="197"/>
      <c r="NFB365" s="650"/>
      <c r="NFC365" s="290"/>
      <c r="NFD365" s="291"/>
      <c r="NFE365" s="384"/>
      <c r="NFF365" s="266"/>
      <c r="NFG365" s="649"/>
      <c r="NFH365" s="326"/>
      <c r="NFI365" s="368"/>
      <c r="NFJ365" s="197"/>
      <c r="NFK365" s="650"/>
      <c r="NFL365" s="290"/>
      <c r="NFM365" s="291"/>
      <c r="NFN365" s="384"/>
      <c r="NFO365" s="266"/>
      <c r="NFP365" s="649"/>
      <c r="NFQ365" s="326"/>
      <c r="NFR365" s="368"/>
      <c r="NFS365" s="197"/>
      <c r="NFT365" s="650"/>
      <c r="NFU365" s="290"/>
      <c r="NFV365" s="291"/>
      <c r="NFW365" s="384"/>
      <c r="NFX365" s="266"/>
      <c r="NFY365" s="649"/>
      <c r="NFZ365" s="326"/>
      <c r="NGA365" s="368"/>
      <c r="NGB365" s="197"/>
      <c r="NGC365" s="650"/>
      <c r="NGD365" s="290"/>
      <c r="NGE365" s="291"/>
      <c r="NGF365" s="384"/>
      <c r="NGG365" s="266"/>
      <c r="NGH365" s="649"/>
      <c r="NGI365" s="326"/>
      <c r="NGJ365" s="368"/>
      <c r="NGK365" s="197"/>
      <c r="NGL365" s="650"/>
      <c r="NGM365" s="290"/>
      <c r="NGN365" s="291"/>
      <c r="NGO365" s="384"/>
      <c r="NGP365" s="266"/>
      <c r="NGQ365" s="649"/>
      <c r="NGR365" s="326"/>
      <c r="NGS365" s="368"/>
      <c r="NGT365" s="197"/>
      <c r="NGU365" s="650"/>
      <c r="NGV365" s="290"/>
      <c r="NGW365" s="291"/>
      <c r="NGX365" s="384"/>
      <c r="NGY365" s="266"/>
      <c r="NGZ365" s="649"/>
      <c r="NHA365" s="326"/>
      <c r="NHB365" s="368"/>
      <c r="NHC365" s="197"/>
      <c r="NHD365" s="650"/>
      <c r="NHE365" s="290"/>
      <c r="NHF365" s="291"/>
      <c r="NHG365" s="384"/>
      <c r="NHH365" s="266"/>
      <c r="NHI365" s="649"/>
      <c r="NHJ365" s="326"/>
      <c r="NHK365" s="368"/>
      <c r="NHL365" s="197"/>
      <c r="NHM365" s="650"/>
      <c r="NHN365" s="290"/>
      <c r="NHO365" s="291"/>
      <c r="NHP365" s="384"/>
      <c r="NHQ365" s="266"/>
      <c r="NHR365" s="649"/>
      <c r="NHS365" s="326"/>
      <c r="NHT365" s="368"/>
      <c r="NHU365" s="197"/>
      <c r="NHV365" s="650"/>
      <c r="NHW365" s="290"/>
      <c r="NHX365" s="291"/>
      <c r="NHY365" s="384"/>
      <c r="NHZ365" s="266"/>
      <c r="NIA365" s="649"/>
      <c r="NIB365" s="326"/>
      <c r="NIC365" s="368"/>
      <c r="NID365" s="197"/>
      <c r="NIE365" s="650"/>
      <c r="NIF365" s="290"/>
      <c r="NIG365" s="291"/>
      <c r="NIH365" s="384"/>
      <c r="NII365" s="266"/>
      <c r="NIJ365" s="649"/>
      <c r="NIK365" s="326"/>
      <c r="NIL365" s="368"/>
      <c r="NIM365" s="197"/>
      <c r="NIN365" s="650"/>
      <c r="NIO365" s="290"/>
      <c r="NIP365" s="291"/>
      <c r="NIQ365" s="384"/>
      <c r="NIR365" s="266"/>
      <c r="NIS365" s="649"/>
      <c r="NIT365" s="326"/>
      <c r="NIU365" s="368"/>
      <c r="NIV365" s="197"/>
      <c r="NIW365" s="650"/>
      <c r="NIX365" s="290"/>
      <c r="NIY365" s="291"/>
      <c r="NIZ365" s="384"/>
      <c r="NJA365" s="266"/>
      <c r="NJB365" s="649"/>
      <c r="NJC365" s="326"/>
      <c r="NJD365" s="368"/>
      <c r="NJE365" s="197"/>
      <c r="NJF365" s="650"/>
      <c r="NJG365" s="290"/>
      <c r="NJH365" s="291"/>
      <c r="NJI365" s="384"/>
      <c r="NJJ365" s="266"/>
      <c r="NJK365" s="649"/>
      <c r="NJL365" s="326"/>
      <c r="NJM365" s="368"/>
      <c r="NJN365" s="197"/>
      <c r="NJO365" s="650"/>
      <c r="NJP365" s="290"/>
      <c r="NJQ365" s="291"/>
      <c r="NJR365" s="384"/>
      <c r="NJS365" s="266"/>
      <c r="NJT365" s="649"/>
      <c r="NJU365" s="326"/>
      <c r="NJV365" s="368"/>
      <c r="NJW365" s="197"/>
      <c r="NJX365" s="650"/>
      <c r="NJY365" s="290"/>
      <c r="NJZ365" s="291"/>
      <c r="NKA365" s="384"/>
      <c r="NKB365" s="266"/>
      <c r="NKC365" s="649"/>
      <c r="NKD365" s="326"/>
      <c r="NKE365" s="368"/>
      <c r="NKF365" s="197"/>
      <c r="NKG365" s="650"/>
      <c r="NKH365" s="290"/>
      <c r="NKI365" s="291"/>
      <c r="NKJ365" s="384"/>
      <c r="NKK365" s="266"/>
      <c r="NKL365" s="649"/>
      <c r="NKM365" s="326"/>
      <c r="NKN365" s="368"/>
      <c r="NKO365" s="197"/>
      <c r="NKP365" s="650"/>
      <c r="NKQ365" s="290"/>
      <c r="NKR365" s="291"/>
      <c r="NKS365" s="384"/>
      <c r="NKT365" s="266"/>
      <c r="NKU365" s="649"/>
      <c r="NKV365" s="326"/>
      <c r="NKW365" s="368"/>
      <c r="NKX365" s="197"/>
      <c r="NKY365" s="650"/>
      <c r="NKZ365" s="290"/>
      <c r="NLA365" s="291"/>
      <c r="NLB365" s="384"/>
      <c r="NLC365" s="266"/>
      <c r="NLD365" s="649"/>
      <c r="NLE365" s="326"/>
      <c r="NLF365" s="368"/>
      <c r="NLG365" s="197"/>
      <c r="NLH365" s="650"/>
      <c r="NLI365" s="290"/>
      <c r="NLJ365" s="291"/>
      <c r="NLK365" s="384"/>
      <c r="NLL365" s="266"/>
      <c r="NLM365" s="649"/>
      <c r="NLN365" s="326"/>
      <c r="NLO365" s="368"/>
      <c r="NLP365" s="197"/>
      <c r="NLQ365" s="650"/>
      <c r="NLR365" s="290"/>
      <c r="NLS365" s="291"/>
      <c r="NLT365" s="384"/>
      <c r="NLU365" s="266"/>
      <c r="NLV365" s="649"/>
      <c r="NLW365" s="326"/>
      <c r="NLX365" s="368"/>
      <c r="NLY365" s="197"/>
      <c r="NLZ365" s="650"/>
      <c r="NMA365" s="290"/>
      <c r="NMB365" s="291"/>
      <c r="NMC365" s="384"/>
      <c r="NMD365" s="266"/>
      <c r="NME365" s="649"/>
      <c r="NMF365" s="326"/>
      <c r="NMG365" s="368"/>
      <c r="NMH365" s="197"/>
      <c r="NMI365" s="650"/>
      <c r="NMJ365" s="290"/>
      <c r="NMK365" s="291"/>
      <c r="NML365" s="384"/>
      <c r="NMM365" s="266"/>
      <c r="NMN365" s="649"/>
      <c r="NMO365" s="326"/>
      <c r="NMP365" s="368"/>
      <c r="NMQ365" s="197"/>
      <c r="NMR365" s="650"/>
      <c r="NMS365" s="290"/>
      <c r="NMT365" s="291"/>
      <c r="NMU365" s="384"/>
      <c r="NMV365" s="266"/>
      <c r="NMW365" s="649"/>
      <c r="NMX365" s="326"/>
      <c r="NMY365" s="368"/>
      <c r="NMZ365" s="197"/>
      <c r="NNA365" s="650"/>
      <c r="NNB365" s="290"/>
      <c r="NNC365" s="291"/>
      <c r="NND365" s="384"/>
      <c r="NNE365" s="266"/>
      <c r="NNF365" s="649"/>
      <c r="NNG365" s="326"/>
      <c r="NNH365" s="368"/>
      <c r="NNI365" s="197"/>
      <c r="NNJ365" s="650"/>
      <c r="NNK365" s="290"/>
      <c r="NNL365" s="291"/>
      <c r="NNM365" s="384"/>
      <c r="NNN365" s="266"/>
      <c r="NNO365" s="649"/>
      <c r="NNP365" s="326"/>
      <c r="NNQ365" s="368"/>
      <c r="NNR365" s="197"/>
      <c r="NNS365" s="650"/>
      <c r="NNT365" s="290"/>
      <c r="NNU365" s="291"/>
      <c r="NNV365" s="384"/>
      <c r="NNW365" s="266"/>
      <c r="NNX365" s="649"/>
      <c r="NNY365" s="326"/>
      <c r="NNZ365" s="368"/>
      <c r="NOA365" s="197"/>
      <c r="NOB365" s="650"/>
      <c r="NOC365" s="290"/>
      <c r="NOD365" s="291"/>
      <c r="NOE365" s="384"/>
      <c r="NOF365" s="266"/>
      <c r="NOG365" s="649"/>
      <c r="NOH365" s="326"/>
      <c r="NOI365" s="368"/>
      <c r="NOJ365" s="197"/>
      <c r="NOK365" s="650"/>
      <c r="NOL365" s="290"/>
      <c r="NOM365" s="291"/>
      <c r="NON365" s="384"/>
      <c r="NOO365" s="266"/>
      <c r="NOP365" s="649"/>
      <c r="NOQ365" s="326"/>
      <c r="NOR365" s="368"/>
      <c r="NOS365" s="197"/>
      <c r="NOT365" s="650"/>
      <c r="NOU365" s="290"/>
      <c r="NOV365" s="291"/>
      <c r="NOW365" s="384"/>
      <c r="NOX365" s="266"/>
      <c r="NOY365" s="649"/>
      <c r="NOZ365" s="326"/>
      <c r="NPA365" s="368"/>
      <c r="NPB365" s="197"/>
      <c r="NPC365" s="650"/>
      <c r="NPD365" s="290"/>
      <c r="NPE365" s="291"/>
      <c r="NPF365" s="384"/>
      <c r="NPG365" s="266"/>
      <c r="NPH365" s="649"/>
      <c r="NPI365" s="326"/>
      <c r="NPJ365" s="368"/>
      <c r="NPK365" s="197"/>
      <c r="NPL365" s="650"/>
      <c r="NPM365" s="290"/>
      <c r="NPN365" s="291"/>
      <c r="NPO365" s="384"/>
      <c r="NPP365" s="266"/>
      <c r="NPQ365" s="649"/>
      <c r="NPR365" s="326"/>
      <c r="NPS365" s="368"/>
      <c r="NPT365" s="197"/>
      <c r="NPU365" s="650"/>
      <c r="NPV365" s="290"/>
      <c r="NPW365" s="291"/>
      <c r="NPX365" s="384"/>
      <c r="NPY365" s="266"/>
      <c r="NPZ365" s="649"/>
      <c r="NQA365" s="326"/>
      <c r="NQB365" s="368"/>
      <c r="NQC365" s="197"/>
      <c r="NQD365" s="650"/>
      <c r="NQE365" s="290"/>
      <c r="NQF365" s="291"/>
      <c r="NQG365" s="384"/>
      <c r="NQH365" s="266"/>
      <c r="NQI365" s="649"/>
      <c r="NQJ365" s="326"/>
      <c r="NQK365" s="368"/>
      <c r="NQL365" s="197"/>
      <c r="NQM365" s="650"/>
      <c r="NQN365" s="290"/>
      <c r="NQO365" s="291"/>
      <c r="NQP365" s="384"/>
      <c r="NQQ365" s="266"/>
      <c r="NQR365" s="649"/>
      <c r="NQS365" s="326"/>
      <c r="NQT365" s="368"/>
      <c r="NQU365" s="197"/>
      <c r="NQV365" s="650"/>
      <c r="NQW365" s="290"/>
      <c r="NQX365" s="291"/>
      <c r="NQY365" s="384"/>
      <c r="NQZ365" s="266"/>
      <c r="NRA365" s="649"/>
      <c r="NRB365" s="326"/>
      <c r="NRC365" s="368"/>
      <c r="NRD365" s="197"/>
      <c r="NRE365" s="650"/>
      <c r="NRF365" s="290"/>
      <c r="NRG365" s="291"/>
      <c r="NRH365" s="384"/>
      <c r="NRI365" s="266"/>
      <c r="NRJ365" s="649"/>
      <c r="NRK365" s="326"/>
      <c r="NRL365" s="368"/>
      <c r="NRM365" s="197"/>
      <c r="NRN365" s="650"/>
      <c r="NRO365" s="290"/>
      <c r="NRP365" s="291"/>
      <c r="NRQ365" s="384"/>
      <c r="NRR365" s="266"/>
      <c r="NRS365" s="649"/>
      <c r="NRT365" s="326"/>
      <c r="NRU365" s="368"/>
      <c r="NRV365" s="197"/>
      <c r="NRW365" s="650"/>
      <c r="NRX365" s="290"/>
      <c r="NRY365" s="291"/>
      <c r="NRZ365" s="384"/>
      <c r="NSA365" s="266"/>
      <c r="NSB365" s="649"/>
      <c r="NSC365" s="326"/>
      <c r="NSD365" s="368"/>
      <c r="NSE365" s="197"/>
      <c r="NSF365" s="650"/>
      <c r="NSG365" s="290"/>
      <c r="NSH365" s="291"/>
      <c r="NSI365" s="384"/>
      <c r="NSJ365" s="266"/>
      <c r="NSK365" s="649"/>
      <c r="NSL365" s="326"/>
      <c r="NSM365" s="368"/>
      <c r="NSN365" s="197"/>
      <c r="NSO365" s="650"/>
      <c r="NSP365" s="290"/>
      <c r="NSQ365" s="291"/>
      <c r="NSR365" s="384"/>
      <c r="NSS365" s="266"/>
      <c r="NST365" s="649"/>
      <c r="NSU365" s="326"/>
      <c r="NSV365" s="368"/>
      <c r="NSW365" s="197"/>
      <c r="NSX365" s="650"/>
      <c r="NSY365" s="290"/>
      <c r="NSZ365" s="291"/>
      <c r="NTA365" s="384"/>
      <c r="NTB365" s="266"/>
      <c r="NTC365" s="649"/>
      <c r="NTD365" s="326"/>
      <c r="NTE365" s="368"/>
      <c r="NTF365" s="197"/>
      <c r="NTG365" s="650"/>
      <c r="NTH365" s="290"/>
      <c r="NTI365" s="291"/>
      <c r="NTJ365" s="384"/>
      <c r="NTK365" s="266"/>
      <c r="NTL365" s="649"/>
      <c r="NTM365" s="326"/>
      <c r="NTN365" s="368"/>
      <c r="NTO365" s="197"/>
      <c r="NTP365" s="650"/>
      <c r="NTQ365" s="290"/>
      <c r="NTR365" s="291"/>
      <c r="NTS365" s="384"/>
      <c r="NTT365" s="266"/>
      <c r="NTU365" s="649"/>
      <c r="NTV365" s="326"/>
      <c r="NTW365" s="368"/>
      <c r="NTX365" s="197"/>
      <c r="NTY365" s="650"/>
      <c r="NTZ365" s="290"/>
      <c r="NUA365" s="291"/>
      <c r="NUB365" s="384"/>
      <c r="NUC365" s="266"/>
      <c r="NUD365" s="649"/>
      <c r="NUE365" s="326"/>
      <c r="NUF365" s="368"/>
      <c r="NUG365" s="197"/>
      <c r="NUH365" s="650"/>
      <c r="NUI365" s="290"/>
      <c r="NUJ365" s="291"/>
      <c r="NUK365" s="384"/>
      <c r="NUL365" s="266"/>
      <c r="NUM365" s="649"/>
      <c r="NUN365" s="326"/>
      <c r="NUO365" s="368"/>
      <c r="NUP365" s="197"/>
      <c r="NUQ365" s="650"/>
      <c r="NUR365" s="290"/>
      <c r="NUS365" s="291"/>
      <c r="NUT365" s="384"/>
      <c r="NUU365" s="266"/>
      <c r="NUV365" s="649"/>
      <c r="NUW365" s="326"/>
      <c r="NUX365" s="368"/>
      <c r="NUY365" s="197"/>
      <c r="NUZ365" s="650"/>
      <c r="NVA365" s="290"/>
      <c r="NVB365" s="291"/>
      <c r="NVC365" s="384"/>
      <c r="NVD365" s="266"/>
      <c r="NVE365" s="649"/>
      <c r="NVF365" s="326"/>
      <c r="NVG365" s="368"/>
      <c r="NVH365" s="197"/>
      <c r="NVI365" s="650"/>
      <c r="NVJ365" s="290"/>
      <c r="NVK365" s="291"/>
      <c r="NVL365" s="384"/>
      <c r="NVM365" s="266"/>
      <c r="NVN365" s="649"/>
      <c r="NVO365" s="326"/>
      <c r="NVP365" s="368"/>
      <c r="NVQ365" s="197"/>
      <c r="NVR365" s="650"/>
      <c r="NVS365" s="290"/>
      <c r="NVT365" s="291"/>
      <c r="NVU365" s="384"/>
      <c r="NVV365" s="266"/>
      <c r="NVW365" s="649"/>
      <c r="NVX365" s="326"/>
      <c r="NVY365" s="368"/>
      <c r="NVZ365" s="197"/>
      <c r="NWA365" s="650"/>
      <c r="NWB365" s="290"/>
      <c r="NWC365" s="291"/>
      <c r="NWD365" s="384"/>
      <c r="NWE365" s="266"/>
      <c r="NWF365" s="649"/>
      <c r="NWG365" s="326"/>
      <c r="NWH365" s="368"/>
      <c r="NWI365" s="197"/>
      <c r="NWJ365" s="650"/>
      <c r="NWK365" s="290"/>
      <c r="NWL365" s="291"/>
      <c r="NWM365" s="384"/>
      <c r="NWN365" s="266"/>
      <c r="NWO365" s="649"/>
      <c r="NWP365" s="326"/>
      <c r="NWQ365" s="368"/>
      <c r="NWR365" s="197"/>
      <c r="NWS365" s="650"/>
      <c r="NWT365" s="290"/>
      <c r="NWU365" s="291"/>
      <c r="NWV365" s="384"/>
      <c r="NWW365" s="266"/>
      <c r="NWX365" s="649"/>
      <c r="NWY365" s="326"/>
      <c r="NWZ365" s="368"/>
      <c r="NXA365" s="197"/>
      <c r="NXB365" s="650"/>
      <c r="NXC365" s="290"/>
      <c r="NXD365" s="291"/>
      <c r="NXE365" s="384"/>
      <c r="NXF365" s="266"/>
      <c r="NXG365" s="649"/>
      <c r="NXH365" s="326"/>
      <c r="NXI365" s="368"/>
      <c r="NXJ365" s="197"/>
      <c r="NXK365" s="650"/>
      <c r="NXL365" s="290"/>
      <c r="NXM365" s="291"/>
      <c r="NXN365" s="384"/>
      <c r="NXO365" s="266"/>
      <c r="NXP365" s="649"/>
      <c r="NXQ365" s="326"/>
      <c r="NXR365" s="368"/>
      <c r="NXS365" s="197"/>
      <c r="NXT365" s="650"/>
      <c r="NXU365" s="290"/>
      <c r="NXV365" s="291"/>
      <c r="NXW365" s="384"/>
      <c r="NXX365" s="266"/>
      <c r="NXY365" s="649"/>
      <c r="NXZ365" s="326"/>
      <c r="NYA365" s="368"/>
      <c r="NYB365" s="197"/>
      <c r="NYC365" s="650"/>
      <c r="NYD365" s="290"/>
      <c r="NYE365" s="291"/>
      <c r="NYF365" s="384"/>
      <c r="NYG365" s="266"/>
      <c r="NYH365" s="649"/>
      <c r="NYI365" s="326"/>
      <c r="NYJ365" s="368"/>
      <c r="NYK365" s="197"/>
      <c r="NYL365" s="650"/>
      <c r="NYM365" s="290"/>
      <c r="NYN365" s="291"/>
      <c r="NYO365" s="384"/>
      <c r="NYP365" s="266"/>
      <c r="NYQ365" s="649"/>
      <c r="NYR365" s="326"/>
      <c r="NYS365" s="368"/>
      <c r="NYT365" s="197"/>
      <c r="NYU365" s="650"/>
      <c r="NYV365" s="290"/>
      <c r="NYW365" s="291"/>
      <c r="NYX365" s="384"/>
      <c r="NYY365" s="266"/>
      <c r="NYZ365" s="649"/>
      <c r="NZA365" s="326"/>
      <c r="NZB365" s="368"/>
      <c r="NZC365" s="197"/>
      <c r="NZD365" s="650"/>
      <c r="NZE365" s="290"/>
      <c r="NZF365" s="291"/>
      <c r="NZG365" s="384"/>
      <c r="NZH365" s="266"/>
      <c r="NZI365" s="649"/>
      <c r="NZJ365" s="326"/>
      <c r="NZK365" s="368"/>
      <c r="NZL365" s="197"/>
      <c r="NZM365" s="650"/>
      <c r="NZN365" s="290"/>
      <c r="NZO365" s="291"/>
      <c r="NZP365" s="384"/>
      <c r="NZQ365" s="266"/>
      <c r="NZR365" s="649"/>
      <c r="NZS365" s="326"/>
      <c r="NZT365" s="368"/>
      <c r="NZU365" s="197"/>
      <c r="NZV365" s="650"/>
      <c r="NZW365" s="290"/>
      <c r="NZX365" s="291"/>
      <c r="NZY365" s="384"/>
      <c r="NZZ365" s="266"/>
      <c r="OAA365" s="649"/>
      <c r="OAB365" s="326"/>
      <c r="OAC365" s="368"/>
      <c r="OAD365" s="197"/>
      <c r="OAE365" s="650"/>
      <c r="OAF365" s="290"/>
      <c r="OAG365" s="291"/>
      <c r="OAH365" s="384"/>
      <c r="OAI365" s="266"/>
      <c r="OAJ365" s="649"/>
      <c r="OAK365" s="326"/>
      <c r="OAL365" s="368"/>
      <c r="OAM365" s="197"/>
      <c r="OAN365" s="650"/>
      <c r="OAO365" s="290"/>
      <c r="OAP365" s="291"/>
      <c r="OAQ365" s="384"/>
      <c r="OAR365" s="266"/>
      <c r="OAS365" s="649"/>
      <c r="OAT365" s="326"/>
      <c r="OAU365" s="368"/>
      <c r="OAV365" s="197"/>
      <c r="OAW365" s="650"/>
      <c r="OAX365" s="290"/>
      <c r="OAY365" s="291"/>
      <c r="OAZ365" s="384"/>
      <c r="OBA365" s="266"/>
      <c r="OBB365" s="649"/>
      <c r="OBC365" s="326"/>
      <c r="OBD365" s="368"/>
      <c r="OBE365" s="197"/>
      <c r="OBF365" s="650"/>
      <c r="OBG365" s="290"/>
      <c r="OBH365" s="291"/>
      <c r="OBI365" s="384"/>
      <c r="OBJ365" s="266"/>
      <c r="OBK365" s="649"/>
      <c r="OBL365" s="326"/>
      <c r="OBM365" s="368"/>
      <c r="OBN365" s="197"/>
      <c r="OBO365" s="650"/>
      <c r="OBP365" s="290"/>
      <c r="OBQ365" s="291"/>
      <c r="OBR365" s="384"/>
      <c r="OBS365" s="266"/>
      <c r="OBT365" s="649"/>
      <c r="OBU365" s="326"/>
      <c r="OBV365" s="368"/>
      <c r="OBW365" s="197"/>
      <c r="OBX365" s="650"/>
      <c r="OBY365" s="290"/>
      <c r="OBZ365" s="291"/>
      <c r="OCA365" s="384"/>
      <c r="OCB365" s="266"/>
      <c r="OCC365" s="649"/>
      <c r="OCD365" s="326"/>
      <c r="OCE365" s="368"/>
      <c r="OCF365" s="197"/>
      <c r="OCG365" s="650"/>
      <c r="OCH365" s="290"/>
      <c r="OCI365" s="291"/>
      <c r="OCJ365" s="384"/>
      <c r="OCK365" s="266"/>
      <c r="OCL365" s="649"/>
      <c r="OCM365" s="326"/>
      <c r="OCN365" s="368"/>
      <c r="OCO365" s="197"/>
      <c r="OCP365" s="650"/>
      <c r="OCQ365" s="290"/>
      <c r="OCR365" s="291"/>
      <c r="OCS365" s="384"/>
      <c r="OCT365" s="266"/>
      <c r="OCU365" s="649"/>
      <c r="OCV365" s="326"/>
      <c r="OCW365" s="368"/>
      <c r="OCX365" s="197"/>
      <c r="OCY365" s="650"/>
      <c r="OCZ365" s="290"/>
      <c r="ODA365" s="291"/>
      <c r="ODB365" s="384"/>
      <c r="ODC365" s="266"/>
      <c r="ODD365" s="649"/>
      <c r="ODE365" s="326"/>
      <c r="ODF365" s="368"/>
      <c r="ODG365" s="197"/>
      <c r="ODH365" s="650"/>
      <c r="ODI365" s="290"/>
      <c r="ODJ365" s="291"/>
      <c r="ODK365" s="384"/>
      <c r="ODL365" s="266"/>
      <c r="ODM365" s="649"/>
      <c r="ODN365" s="326"/>
      <c r="ODO365" s="368"/>
      <c r="ODP365" s="197"/>
      <c r="ODQ365" s="650"/>
      <c r="ODR365" s="290"/>
      <c r="ODS365" s="291"/>
      <c r="ODT365" s="384"/>
      <c r="ODU365" s="266"/>
      <c r="ODV365" s="649"/>
      <c r="ODW365" s="326"/>
      <c r="ODX365" s="368"/>
      <c r="ODY365" s="197"/>
      <c r="ODZ365" s="650"/>
      <c r="OEA365" s="290"/>
      <c r="OEB365" s="291"/>
      <c r="OEC365" s="384"/>
      <c r="OED365" s="266"/>
      <c r="OEE365" s="649"/>
      <c r="OEF365" s="326"/>
      <c r="OEG365" s="368"/>
      <c r="OEH365" s="197"/>
      <c r="OEI365" s="650"/>
      <c r="OEJ365" s="290"/>
      <c r="OEK365" s="291"/>
      <c r="OEL365" s="384"/>
      <c r="OEM365" s="266"/>
      <c r="OEN365" s="649"/>
      <c r="OEO365" s="326"/>
      <c r="OEP365" s="368"/>
      <c r="OEQ365" s="197"/>
      <c r="OER365" s="650"/>
      <c r="OES365" s="290"/>
      <c r="OET365" s="291"/>
      <c r="OEU365" s="384"/>
      <c r="OEV365" s="266"/>
      <c r="OEW365" s="649"/>
      <c r="OEX365" s="326"/>
      <c r="OEY365" s="368"/>
      <c r="OEZ365" s="197"/>
      <c r="OFA365" s="650"/>
      <c r="OFB365" s="290"/>
      <c r="OFC365" s="291"/>
      <c r="OFD365" s="384"/>
      <c r="OFE365" s="266"/>
      <c r="OFF365" s="649"/>
      <c r="OFG365" s="326"/>
      <c r="OFH365" s="368"/>
      <c r="OFI365" s="197"/>
      <c r="OFJ365" s="650"/>
      <c r="OFK365" s="290"/>
      <c r="OFL365" s="291"/>
      <c r="OFM365" s="384"/>
      <c r="OFN365" s="266"/>
      <c r="OFO365" s="649"/>
      <c r="OFP365" s="326"/>
      <c r="OFQ365" s="368"/>
      <c r="OFR365" s="197"/>
      <c r="OFS365" s="650"/>
      <c r="OFT365" s="290"/>
      <c r="OFU365" s="291"/>
      <c r="OFV365" s="384"/>
      <c r="OFW365" s="266"/>
      <c r="OFX365" s="649"/>
      <c r="OFY365" s="326"/>
      <c r="OFZ365" s="368"/>
      <c r="OGA365" s="197"/>
      <c r="OGB365" s="650"/>
      <c r="OGC365" s="290"/>
      <c r="OGD365" s="291"/>
      <c r="OGE365" s="384"/>
      <c r="OGF365" s="266"/>
      <c r="OGG365" s="649"/>
      <c r="OGH365" s="326"/>
      <c r="OGI365" s="368"/>
      <c r="OGJ365" s="197"/>
      <c r="OGK365" s="650"/>
      <c r="OGL365" s="290"/>
      <c r="OGM365" s="291"/>
      <c r="OGN365" s="384"/>
      <c r="OGO365" s="266"/>
      <c r="OGP365" s="649"/>
      <c r="OGQ365" s="326"/>
      <c r="OGR365" s="368"/>
      <c r="OGS365" s="197"/>
      <c r="OGT365" s="650"/>
      <c r="OGU365" s="290"/>
      <c r="OGV365" s="291"/>
      <c r="OGW365" s="384"/>
      <c r="OGX365" s="266"/>
      <c r="OGY365" s="649"/>
      <c r="OGZ365" s="326"/>
      <c r="OHA365" s="368"/>
      <c r="OHB365" s="197"/>
      <c r="OHC365" s="650"/>
      <c r="OHD365" s="290"/>
      <c r="OHE365" s="291"/>
      <c r="OHF365" s="384"/>
      <c r="OHG365" s="266"/>
      <c r="OHH365" s="649"/>
      <c r="OHI365" s="326"/>
      <c r="OHJ365" s="368"/>
      <c r="OHK365" s="197"/>
      <c r="OHL365" s="650"/>
      <c r="OHM365" s="290"/>
      <c r="OHN365" s="291"/>
      <c r="OHO365" s="384"/>
      <c r="OHP365" s="266"/>
      <c r="OHQ365" s="649"/>
      <c r="OHR365" s="326"/>
      <c r="OHS365" s="368"/>
      <c r="OHT365" s="197"/>
      <c r="OHU365" s="650"/>
      <c r="OHV365" s="290"/>
      <c r="OHW365" s="291"/>
      <c r="OHX365" s="384"/>
      <c r="OHY365" s="266"/>
      <c r="OHZ365" s="649"/>
      <c r="OIA365" s="326"/>
      <c r="OIB365" s="368"/>
      <c r="OIC365" s="197"/>
      <c r="OID365" s="650"/>
      <c r="OIE365" s="290"/>
      <c r="OIF365" s="291"/>
      <c r="OIG365" s="384"/>
      <c r="OIH365" s="266"/>
      <c r="OII365" s="649"/>
      <c r="OIJ365" s="326"/>
      <c r="OIK365" s="368"/>
      <c r="OIL365" s="197"/>
      <c r="OIM365" s="650"/>
      <c r="OIN365" s="290"/>
      <c r="OIO365" s="291"/>
      <c r="OIP365" s="384"/>
      <c r="OIQ365" s="266"/>
      <c r="OIR365" s="649"/>
      <c r="OIS365" s="326"/>
      <c r="OIT365" s="368"/>
      <c r="OIU365" s="197"/>
      <c r="OIV365" s="650"/>
      <c r="OIW365" s="290"/>
      <c r="OIX365" s="291"/>
      <c r="OIY365" s="384"/>
      <c r="OIZ365" s="266"/>
      <c r="OJA365" s="649"/>
      <c r="OJB365" s="326"/>
      <c r="OJC365" s="368"/>
      <c r="OJD365" s="197"/>
      <c r="OJE365" s="650"/>
      <c r="OJF365" s="290"/>
      <c r="OJG365" s="291"/>
      <c r="OJH365" s="384"/>
      <c r="OJI365" s="266"/>
      <c r="OJJ365" s="649"/>
      <c r="OJK365" s="326"/>
      <c r="OJL365" s="368"/>
      <c r="OJM365" s="197"/>
      <c r="OJN365" s="650"/>
      <c r="OJO365" s="290"/>
      <c r="OJP365" s="291"/>
      <c r="OJQ365" s="384"/>
      <c r="OJR365" s="266"/>
      <c r="OJS365" s="649"/>
      <c r="OJT365" s="326"/>
      <c r="OJU365" s="368"/>
      <c r="OJV365" s="197"/>
      <c r="OJW365" s="650"/>
      <c r="OJX365" s="290"/>
      <c r="OJY365" s="291"/>
      <c r="OJZ365" s="384"/>
      <c r="OKA365" s="266"/>
      <c r="OKB365" s="649"/>
      <c r="OKC365" s="326"/>
      <c r="OKD365" s="368"/>
      <c r="OKE365" s="197"/>
      <c r="OKF365" s="650"/>
      <c r="OKG365" s="290"/>
      <c r="OKH365" s="291"/>
      <c r="OKI365" s="384"/>
      <c r="OKJ365" s="266"/>
      <c r="OKK365" s="649"/>
      <c r="OKL365" s="326"/>
      <c r="OKM365" s="368"/>
      <c r="OKN365" s="197"/>
      <c r="OKO365" s="650"/>
      <c r="OKP365" s="290"/>
      <c r="OKQ365" s="291"/>
      <c r="OKR365" s="384"/>
      <c r="OKS365" s="266"/>
      <c r="OKT365" s="649"/>
      <c r="OKU365" s="326"/>
      <c r="OKV365" s="368"/>
      <c r="OKW365" s="197"/>
      <c r="OKX365" s="650"/>
      <c r="OKY365" s="290"/>
      <c r="OKZ365" s="291"/>
      <c r="OLA365" s="384"/>
      <c r="OLB365" s="266"/>
      <c r="OLC365" s="649"/>
      <c r="OLD365" s="326"/>
      <c r="OLE365" s="368"/>
      <c r="OLF365" s="197"/>
      <c r="OLG365" s="650"/>
      <c r="OLH365" s="290"/>
      <c r="OLI365" s="291"/>
      <c r="OLJ365" s="384"/>
      <c r="OLK365" s="266"/>
      <c r="OLL365" s="649"/>
      <c r="OLM365" s="326"/>
      <c r="OLN365" s="368"/>
      <c r="OLO365" s="197"/>
      <c r="OLP365" s="650"/>
      <c r="OLQ365" s="290"/>
      <c r="OLR365" s="291"/>
      <c r="OLS365" s="384"/>
      <c r="OLT365" s="266"/>
      <c r="OLU365" s="649"/>
      <c r="OLV365" s="326"/>
      <c r="OLW365" s="368"/>
      <c r="OLX365" s="197"/>
      <c r="OLY365" s="650"/>
      <c r="OLZ365" s="290"/>
      <c r="OMA365" s="291"/>
      <c r="OMB365" s="384"/>
      <c r="OMC365" s="266"/>
      <c r="OMD365" s="649"/>
      <c r="OME365" s="326"/>
      <c r="OMF365" s="368"/>
      <c r="OMG365" s="197"/>
      <c r="OMH365" s="650"/>
      <c r="OMI365" s="290"/>
      <c r="OMJ365" s="291"/>
      <c r="OMK365" s="384"/>
      <c r="OML365" s="266"/>
      <c r="OMM365" s="649"/>
      <c r="OMN365" s="326"/>
      <c r="OMO365" s="368"/>
      <c r="OMP365" s="197"/>
      <c r="OMQ365" s="650"/>
      <c r="OMR365" s="290"/>
      <c r="OMS365" s="291"/>
      <c r="OMT365" s="384"/>
      <c r="OMU365" s="266"/>
      <c r="OMV365" s="649"/>
      <c r="OMW365" s="326"/>
      <c r="OMX365" s="368"/>
      <c r="OMY365" s="197"/>
      <c r="OMZ365" s="650"/>
      <c r="ONA365" s="290"/>
      <c r="ONB365" s="291"/>
      <c r="ONC365" s="384"/>
      <c r="OND365" s="266"/>
      <c r="ONE365" s="649"/>
      <c r="ONF365" s="326"/>
      <c r="ONG365" s="368"/>
      <c r="ONH365" s="197"/>
      <c r="ONI365" s="650"/>
      <c r="ONJ365" s="290"/>
      <c r="ONK365" s="291"/>
      <c r="ONL365" s="384"/>
      <c r="ONM365" s="266"/>
      <c r="ONN365" s="649"/>
      <c r="ONO365" s="326"/>
      <c r="ONP365" s="368"/>
      <c r="ONQ365" s="197"/>
      <c r="ONR365" s="650"/>
      <c r="ONS365" s="290"/>
      <c r="ONT365" s="291"/>
      <c r="ONU365" s="384"/>
      <c r="ONV365" s="266"/>
      <c r="ONW365" s="649"/>
      <c r="ONX365" s="326"/>
      <c r="ONY365" s="368"/>
      <c r="ONZ365" s="197"/>
      <c r="OOA365" s="650"/>
      <c r="OOB365" s="290"/>
      <c r="OOC365" s="291"/>
      <c r="OOD365" s="384"/>
      <c r="OOE365" s="266"/>
      <c r="OOF365" s="649"/>
      <c r="OOG365" s="326"/>
      <c r="OOH365" s="368"/>
      <c r="OOI365" s="197"/>
      <c r="OOJ365" s="650"/>
      <c r="OOK365" s="290"/>
      <c r="OOL365" s="291"/>
      <c r="OOM365" s="384"/>
      <c r="OON365" s="266"/>
      <c r="OOO365" s="649"/>
      <c r="OOP365" s="326"/>
      <c r="OOQ365" s="368"/>
      <c r="OOR365" s="197"/>
      <c r="OOS365" s="650"/>
      <c r="OOT365" s="290"/>
      <c r="OOU365" s="291"/>
      <c r="OOV365" s="384"/>
      <c r="OOW365" s="266"/>
      <c r="OOX365" s="649"/>
      <c r="OOY365" s="326"/>
      <c r="OOZ365" s="368"/>
      <c r="OPA365" s="197"/>
      <c r="OPB365" s="650"/>
      <c r="OPC365" s="290"/>
      <c r="OPD365" s="291"/>
      <c r="OPE365" s="384"/>
      <c r="OPF365" s="266"/>
      <c r="OPG365" s="649"/>
      <c r="OPH365" s="326"/>
      <c r="OPI365" s="368"/>
      <c r="OPJ365" s="197"/>
      <c r="OPK365" s="650"/>
      <c r="OPL365" s="290"/>
      <c r="OPM365" s="291"/>
      <c r="OPN365" s="384"/>
      <c r="OPO365" s="266"/>
      <c r="OPP365" s="649"/>
      <c r="OPQ365" s="326"/>
      <c r="OPR365" s="368"/>
      <c r="OPS365" s="197"/>
      <c r="OPT365" s="650"/>
      <c r="OPU365" s="290"/>
      <c r="OPV365" s="291"/>
      <c r="OPW365" s="384"/>
      <c r="OPX365" s="266"/>
      <c r="OPY365" s="649"/>
      <c r="OPZ365" s="326"/>
      <c r="OQA365" s="368"/>
      <c r="OQB365" s="197"/>
      <c r="OQC365" s="650"/>
      <c r="OQD365" s="290"/>
      <c r="OQE365" s="291"/>
      <c r="OQF365" s="384"/>
      <c r="OQG365" s="266"/>
      <c r="OQH365" s="649"/>
      <c r="OQI365" s="326"/>
      <c r="OQJ365" s="368"/>
      <c r="OQK365" s="197"/>
      <c r="OQL365" s="650"/>
      <c r="OQM365" s="290"/>
      <c r="OQN365" s="291"/>
      <c r="OQO365" s="384"/>
      <c r="OQP365" s="266"/>
      <c r="OQQ365" s="649"/>
      <c r="OQR365" s="326"/>
      <c r="OQS365" s="368"/>
      <c r="OQT365" s="197"/>
      <c r="OQU365" s="650"/>
      <c r="OQV365" s="290"/>
      <c r="OQW365" s="291"/>
      <c r="OQX365" s="384"/>
      <c r="OQY365" s="266"/>
      <c r="OQZ365" s="649"/>
      <c r="ORA365" s="326"/>
      <c r="ORB365" s="368"/>
      <c r="ORC365" s="197"/>
      <c r="ORD365" s="650"/>
      <c r="ORE365" s="290"/>
      <c r="ORF365" s="291"/>
      <c r="ORG365" s="384"/>
      <c r="ORH365" s="266"/>
      <c r="ORI365" s="649"/>
      <c r="ORJ365" s="326"/>
      <c r="ORK365" s="368"/>
      <c r="ORL365" s="197"/>
      <c r="ORM365" s="650"/>
      <c r="ORN365" s="290"/>
      <c r="ORO365" s="291"/>
      <c r="ORP365" s="384"/>
      <c r="ORQ365" s="266"/>
      <c r="ORR365" s="649"/>
      <c r="ORS365" s="326"/>
      <c r="ORT365" s="368"/>
      <c r="ORU365" s="197"/>
      <c r="ORV365" s="650"/>
      <c r="ORW365" s="290"/>
      <c r="ORX365" s="291"/>
      <c r="ORY365" s="384"/>
      <c r="ORZ365" s="266"/>
      <c r="OSA365" s="649"/>
      <c r="OSB365" s="326"/>
      <c r="OSC365" s="368"/>
      <c r="OSD365" s="197"/>
      <c r="OSE365" s="650"/>
      <c r="OSF365" s="290"/>
      <c r="OSG365" s="291"/>
      <c r="OSH365" s="384"/>
      <c r="OSI365" s="266"/>
      <c r="OSJ365" s="649"/>
      <c r="OSK365" s="326"/>
      <c r="OSL365" s="368"/>
      <c r="OSM365" s="197"/>
      <c r="OSN365" s="650"/>
      <c r="OSO365" s="290"/>
      <c r="OSP365" s="291"/>
      <c r="OSQ365" s="384"/>
      <c r="OSR365" s="266"/>
      <c r="OSS365" s="649"/>
      <c r="OST365" s="326"/>
      <c r="OSU365" s="368"/>
      <c r="OSV365" s="197"/>
      <c r="OSW365" s="650"/>
      <c r="OSX365" s="290"/>
      <c r="OSY365" s="291"/>
      <c r="OSZ365" s="384"/>
      <c r="OTA365" s="266"/>
      <c r="OTB365" s="649"/>
      <c r="OTC365" s="326"/>
      <c r="OTD365" s="368"/>
      <c r="OTE365" s="197"/>
      <c r="OTF365" s="650"/>
      <c r="OTG365" s="290"/>
      <c r="OTH365" s="291"/>
      <c r="OTI365" s="384"/>
      <c r="OTJ365" s="266"/>
      <c r="OTK365" s="649"/>
      <c r="OTL365" s="326"/>
      <c r="OTM365" s="368"/>
      <c r="OTN365" s="197"/>
      <c r="OTO365" s="650"/>
      <c r="OTP365" s="290"/>
      <c r="OTQ365" s="291"/>
      <c r="OTR365" s="384"/>
      <c r="OTS365" s="266"/>
      <c r="OTT365" s="649"/>
      <c r="OTU365" s="326"/>
      <c r="OTV365" s="368"/>
      <c r="OTW365" s="197"/>
      <c r="OTX365" s="650"/>
      <c r="OTY365" s="290"/>
      <c r="OTZ365" s="291"/>
      <c r="OUA365" s="384"/>
      <c r="OUB365" s="266"/>
      <c r="OUC365" s="649"/>
      <c r="OUD365" s="326"/>
      <c r="OUE365" s="368"/>
      <c r="OUF365" s="197"/>
      <c r="OUG365" s="650"/>
      <c r="OUH365" s="290"/>
      <c r="OUI365" s="291"/>
      <c r="OUJ365" s="384"/>
      <c r="OUK365" s="266"/>
      <c r="OUL365" s="649"/>
      <c r="OUM365" s="326"/>
      <c r="OUN365" s="368"/>
      <c r="OUO365" s="197"/>
      <c r="OUP365" s="650"/>
      <c r="OUQ365" s="290"/>
      <c r="OUR365" s="291"/>
      <c r="OUS365" s="384"/>
      <c r="OUT365" s="266"/>
      <c r="OUU365" s="649"/>
      <c r="OUV365" s="326"/>
      <c r="OUW365" s="368"/>
      <c r="OUX365" s="197"/>
      <c r="OUY365" s="650"/>
      <c r="OUZ365" s="290"/>
      <c r="OVA365" s="291"/>
      <c r="OVB365" s="384"/>
      <c r="OVC365" s="266"/>
      <c r="OVD365" s="649"/>
      <c r="OVE365" s="326"/>
      <c r="OVF365" s="368"/>
      <c r="OVG365" s="197"/>
      <c r="OVH365" s="650"/>
      <c r="OVI365" s="290"/>
      <c r="OVJ365" s="291"/>
      <c r="OVK365" s="384"/>
      <c r="OVL365" s="266"/>
      <c r="OVM365" s="649"/>
      <c r="OVN365" s="326"/>
      <c r="OVO365" s="368"/>
      <c r="OVP365" s="197"/>
      <c r="OVQ365" s="650"/>
      <c r="OVR365" s="290"/>
      <c r="OVS365" s="291"/>
      <c r="OVT365" s="384"/>
      <c r="OVU365" s="266"/>
      <c r="OVV365" s="649"/>
      <c r="OVW365" s="326"/>
      <c r="OVX365" s="368"/>
      <c r="OVY365" s="197"/>
      <c r="OVZ365" s="650"/>
      <c r="OWA365" s="290"/>
      <c r="OWB365" s="291"/>
      <c r="OWC365" s="384"/>
      <c r="OWD365" s="266"/>
      <c r="OWE365" s="649"/>
      <c r="OWF365" s="326"/>
      <c r="OWG365" s="368"/>
      <c r="OWH365" s="197"/>
      <c r="OWI365" s="650"/>
      <c r="OWJ365" s="290"/>
      <c r="OWK365" s="291"/>
      <c r="OWL365" s="384"/>
      <c r="OWM365" s="266"/>
      <c r="OWN365" s="649"/>
      <c r="OWO365" s="326"/>
      <c r="OWP365" s="368"/>
      <c r="OWQ365" s="197"/>
      <c r="OWR365" s="650"/>
      <c r="OWS365" s="290"/>
      <c r="OWT365" s="291"/>
      <c r="OWU365" s="384"/>
      <c r="OWV365" s="266"/>
      <c r="OWW365" s="649"/>
      <c r="OWX365" s="326"/>
      <c r="OWY365" s="368"/>
      <c r="OWZ365" s="197"/>
      <c r="OXA365" s="650"/>
      <c r="OXB365" s="290"/>
      <c r="OXC365" s="291"/>
      <c r="OXD365" s="384"/>
      <c r="OXE365" s="266"/>
      <c r="OXF365" s="649"/>
      <c r="OXG365" s="326"/>
      <c r="OXH365" s="368"/>
      <c r="OXI365" s="197"/>
      <c r="OXJ365" s="650"/>
      <c r="OXK365" s="290"/>
      <c r="OXL365" s="291"/>
      <c r="OXM365" s="384"/>
      <c r="OXN365" s="266"/>
      <c r="OXO365" s="649"/>
      <c r="OXP365" s="326"/>
      <c r="OXQ365" s="368"/>
      <c r="OXR365" s="197"/>
      <c r="OXS365" s="650"/>
      <c r="OXT365" s="290"/>
      <c r="OXU365" s="291"/>
      <c r="OXV365" s="384"/>
      <c r="OXW365" s="266"/>
      <c r="OXX365" s="649"/>
      <c r="OXY365" s="326"/>
      <c r="OXZ365" s="368"/>
      <c r="OYA365" s="197"/>
      <c r="OYB365" s="650"/>
      <c r="OYC365" s="290"/>
      <c r="OYD365" s="291"/>
      <c r="OYE365" s="384"/>
      <c r="OYF365" s="266"/>
      <c r="OYG365" s="649"/>
      <c r="OYH365" s="326"/>
      <c r="OYI365" s="368"/>
      <c r="OYJ365" s="197"/>
      <c r="OYK365" s="650"/>
      <c r="OYL365" s="290"/>
      <c r="OYM365" s="291"/>
      <c r="OYN365" s="384"/>
      <c r="OYO365" s="266"/>
      <c r="OYP365" s="649"/>
      <c r="OYQ365" s="326"/>
      <c r="OYR365" s="368"/>
      <c r="OYS365" s="197"/>
      <c r="OYT365" s="650"/>
      <c r="OYU365" s="290"/>
      <c r="OYV365" s="291"/>
      <c r="OYW365" s="384"/>
      <c r="OYX365" s="266"/>
      <c r="OYY365" s="649"/>
      <c r="OYZ365" s="326"/>
      <c r="OZA365" s="368"/>
      <c r="OZB365" s="197"/>
      <c r="OZC365" s="650"/>
      <c r="OZD365" s="290"/>
      <c r="OZE365" s="291"/>
      <c r="OZF365" s="384"/>
      <c r="OZG365" s="266"/>
      <c r="OZH365" s="649"/>
      <c r="OZI365" s="326"/>
      <c r="OZJ365" s="368"/>
      <c r="OZK365" s="197"/>
      <c r="OZL365" s="650"/>
      <c r="OZM365" s="290"/>
      <c r="OZN365" s="291"/>
      <c r="OZO365" s="384"/>
      <c r="OZP365" s="266"/>
      <c r="OZQ365" s="649"/>
      <c r="OZR365" s="326"/>
      <c r="OZS365" s="368"/>
      <c r="OZT365" s="197"/>
      <c r="OZU365" s="650"/>
      <c r="OZV365" s="290"/>
      <c r="OZW365" s="291"/>
      <c r="OZX365" s="384"/>
      <c r="OZY365" s="266"/>
      <c r="OZZ365" s="649"/>
      <c r="PAA365" s="326"/>
      <c r="PAB365" s="368"/>
      <c r="PAC365" s="197"/>
      <c r="PAD365" s="650"/>
      <c r="PAE365" s="290"/>
      <c r="PAF365" s="291"/>
      <c r="PAG365" s="384"/>
      <c r="PAH365" s="266"/>
      <c r="PAI365" s="649"/>
      <c r="PAJ365" s="326"/>
      <c r="PAK365" s="368"/>
      <c r="PAL365" s="197"/>
      <c r="PAM365" s="650"/>
      <c r="PAN365" s="290"/>
      <c r="PAO365" s="291"/>
      <c r="PAP365" s="384"/>
      <c r="PAQ365" s="266"/>
      <c r="PAR365" s="649"/>
      <c r="PAS365" s="326"/>
      <c r="PAT365" s="368"/>
      <c r="PAU365" s="197"/>
      <c r="PAV365" s="650"/>
      <c r="PAW365" s="290"/>
      <c r="PAX365" s="291"/>
      <c r="PAY365" s="384"/>
      <c r="PAZ365" s="266"/>
      <c r="PBA365" s="649"/>
      <c r="PBB365" s="326"/>
      <c r="PBC365" s="368"/>
      <c r="PBD365" s="197"/>
      <c r="PBE365" s="650"/>
      <c r="PBF365" s="290"/>
      <c r="PBG365" s="291"/>
      <c r="PBH365" s="384"/>
      <c r="PBI365" s="266"/>
      <c r="PBJ365" s="649"/>
      <c r="PBK365" s="326"/>
      <c r="PBL365" s="368"/>
      <c r="PBM365" s="197"/>
      <c r="PBN365" s="650"/>
      <c r="PBO365" s="290"/>
      <c r="PBP365" s="291"/>
      <c r="PBQ365" s="384"/>
      <c r="PBR365" s="266"/>
      <c r="PBS365" s="649"/>
      <c r="PBT365" s="326"/>
      <c r="PBU365" s="368"/>
      <c r="PBV365" s="197"/>
      <c r="PBW365" s="650"/>
      <c r="PBX365" s="290"/>
      <c r="PBY365" s="291"/>
      <c r="PBZ365" s="384"/>
      <c r="PCA365" s="266"/>
      <c r="PCB365" s="649"/>
      <c r="PCC365" s="326"/>
      <c r="PCD365" s="368"/>
      <c r="PCE365" s="197"/>
      <c r="PCF365" s="650"/>
      <c r="PCG365" s="290"/>
      <c r="PCH365" s="291"/>
      <c r="PCI365" s="384"/>
      <c r="PCJ365" s="266"/>
      <c r="PCK365" s="649"/>
      <c r="PCL365" s="326"/>
      <c r="PCM365" s="368"/>
      <c r="PCN365" s="197"/>
      <c r="PCO365" s="650"/>
      <c r="PCP365" s="290"/>
      <c r="PCQ365" s="291"/>
      <c r="PCR365" s="384"/>
      <c r="PCS365" s="266"/>
      <c r="PCT365" s="649"/>
      <c r="PCU365" s="326"/>
      <c r="PCV365" s="368"/>
      <c r="PCW365" s="197"/>
      <c r="PCX365" s="650"/>
      <c r="PCY365" s="290"/>
      <c r="PCZ365" s="291"/>
      <c r="PDA365" s="384"/>
      <c r="PDB365" s="266"/>
      <c r="PDC365" s="649"/>
      <c r="PDD365" s="326"/>
      <c r="PDE365" s="368"/>
      <c r="PDF365" s="197"/>
      <c r="PDG365" s="650"/>
      <c r="PDH365" s="290"/>
      <c r="PDI365" s="291"/>
      <c r="PDJ365" s="384"/>
      <c r="PDK365" s="266"/>
      <c r="PDL365" s="649"/>
      <c r="PDM365" s="326"/>
      <c r="PDN365" s="368"/>
      <c r="PDO365" s="197"/>
      <c r="PDP365" s="650"/>
      <c r="PDQ365" s="290"/>
      <c r="PDR365" s="291"/>
      <c r="PDS365" s="384"/>
      <c r="PDT365" s="266"/>
      <c r="PDU365" s="649"/>
      <c r="PDV365" s="326"/>
      <c r="PDW365" s="368"/>
      <c r="PDX365" s="197"/>
      <c r="PDY365" s="650"/>
      <c r="PDZ365" s="290"/>
      <c r="PEA365" s="291"/>
      <c r="PEB365" s="384"/>
      <c r="PEC365" s="266"/>
      <c r="PED365" s="649"/>
      <c r="PEE365" s="326"/>
      <c r="PEF365" s="368"/>
      <c r="PEG365" s="197"/>
      <c r="PEH365" s="650"/>
      <c r="PEI365" s="290"/>
      <c r="PEJ365" s="291"/>
      <c r="PEK365" s="384"/>
      <c r="PEL365" s="266"/>
      <c r="PEM365" s="649"/>
      <c r="PEN365" s="326"/>
      <c r="PEO365" s="368"/>
      <c r="PEP365" s="197"/>
      <c r="PEQ365" s="650"/>
      <c r="PER365" s="290"/>
      <c r="PES365" s="291"/>
      <c r="PET365" s="384"/>
      <c r="PEU365" s="266"/>
      <c r="PEV365" s="649"/>
      <c r="PEW365" s="326"/>
      <c r="PEX365" s="368"/>
      <c r="PEY365" s="197"/>
      <c r="PEZ365" s="650"/>
      <c r="PFA365" s="290"/>
      <c r="PFB365" s="291"/>
      <c r="PFC365" s="384"/>
      <c r="PFD365" s="266"/>
      <c r="PFE365" s="649"/>
      <c r="PFF365" s="326"/>
      <c r="PFG365" s="368"/>
      <c r="PFH365" s="197"/>
      <c r="PFI365" s="650"/>
      <c r="PFJ365" s="290"/>
      <c r="PFK365" s="291"/>
      <c r="PFL365" s="384"/>
      <c r="PFM365" s="266"/>
      <c r="PFN365" s="649"/>
      <c r="PFO365" s="326"/>
      <c r="PFP365" s="368"/>
      <c r="PFQ365" s="197"/>
      <c r="PFR365" s="650"/>
      <c r="PFS365" s="290"/>
      <c r="PFT365" s="291"/>
      <c r="PFU365" s="384"/>
      <c r="PFV365" s="266"/>
      <c r="PFW365" s="649"/>
      <c r="PFX365" s="326"/>
      <c r="PFY365" s="368"/>
      <c r="PFZ365" s="197"/>
      <c r="PGA365" s="650"/>
      <c r="PGB365" s="290"/>
      <c r="PGC365" s="291"/>
      <c r="PGD365" s="384"/>
      <c r="PGE365" s="266"/>
      <c r="PGF365" s="649"/>
      <c r="PGG365" s="326"/>
      <c r="PGH365" s="368"/>
      <c r="PGI365" s="197"/>
      <c r="PGJ365" s="650"/>
      <c r="PGK365" s="290"/>
      <c r="PGL365" s="291"/>
      <c r="PGM365" s="384"/>
      <c r="PGN365" s="266"/>
      <c r="PGO365" s="649"/>
      <c r="PGP365" s="326"/>
      <c r="PGQ365" s="368"/>
      <c r="PGR365" s="197"/>
      <c r="PGS365" s="650"/>
      <c r="PGT365" s="290"/>
      <c r="PGU365" s="291"/>
      <c r="PGV365" s="384"/>
      <c r="PGW365" s="266"/>
      <c r="PGX365" s="649"/>
      <c r="PGY365" s="326"/>
      <c r="PGZ365" s="368"/>
      <c r="PHA365" s="197"/>
      <c r="PHB365" s="650"/>
      <c r="PHC365" s="290"/>
      <c r="PHD365" s="291"/>
      <c r="PHE365" s="384"/>
      <c r="PHF365" s="266"/>
      <c r="PHG365" s="649"/>
      <c r="PHH365" s="326"/>
      <c r="PHI365" s="368"/>
      <c r="PHJ365" s="197"/>
      <c r="PHK365" s="650"/>
      <c r="PHL365" s="290"/>
      <c r="PHM365" s="291"/>
      <c r="PHN365" s="384"/>
      <c r="PHO365" s="266"/>
      <c r="PHP365" s="649"/>
      <c r="PHQ365" s="326"/>
      <c r="PHR365" s="368"/>
      <c r="PHS365" s="197"/>
      <c r="PHT365" s="650"/>
      <c r="PHU365" s="290"/>
      <c r="PHV365" s="291"/>
      <c r="PHW365" s="384"/>
      <c r="PHX365" s="266"/>
      <c r="PHY365" s="649"/>
      <c r="PHZ365" s="326"/>
      <c r="PIA365" s="368"/>
      <c r="PIB365" s="197"/>
      <c r="PIC365" s="650"/>
      <c r="PID365" s="290"/>
      <c r="PIE365" s="291"/>
      <c r="PIF365" s="384"/>
      <c r="PIG365" s="266"/>
      <c r="PIH365" s="649"/>
      <c r="PII365" s="326"/>
      <c r="PIJ365" s="368"/>
      <c r="PIK365" s="197"/>
      <c r="PIL365" s="650"/>
      <c r="PIM365" s="290"/>
      <c r="PIN365" s="291"/>
      <c r="PIO365" s="384"/>
      <c r="PIP365" s="266"/>
      <c r="PIQ365" s="649"/>
      <c r="PIR365" s="326"/>
      <c r="PIS365" s="368"/>
      <c r="PIT365" s="197"/>
      <c r="PIU365" s="650"/>
      <c r="PIV365" s="290"/>
      <c r="PIW365" s="291"/>
      <c r="PIX365" s="384"/>
      <c r="PIY365" s="266"/>
      <c r="PIZ365" s="649"/>
      <c r="PJA365" s="326"/>
      <c r="PJB365" s="368"/>
      <c r="PJC365" s="197"/>
      <c r="PJD365" s="650"/>
      <c r="PJE365" s="290"/>
      <c r="PJF365" s="291"/>
      <c r="PJG365" s="384"/>
      <c r="PJH365" s="266"/>
      <c r="PJI365" s="649"/>
      <c r="PJJ365" s="326"/>
      <c r="PJK365" s="368"/>
      <c r="PJL365" s="197"/>
      <c r="PJM365" s="650"/>
      <c r="PJN365" s="290"/>
      <c r="PJO365" s="291"/>
      <c r="PJP365" s="384"/>
      <c r="PJQ365" s="266"/>
      <c r="PJR365" s="649"/>
      <c r="PJS365" s="326"/>
      <c r="PJT365" s="368"/>
      <c r="PJU365" s="197"/>
      <c r="PJV365" s="650"/>
      <c r="PJW365" s="290"/>
      <c r="PJX365" s="291"/>
      <c r="PJY365" s="384"/>
      <c r="PJZ365" s="266"/>
      <c r="PKA365" s="649"/>
      <c r="PKB365" s="326"/>
      <c r="PKC365" s="368"/>
      <c r="PKD365" s="197"/>
      <c r="PKE365" s="650"/>
      <c r="PKF365" s="290"/>
      <c r="PKG365" s="291"/>
      <c r="PKH365" s="384"/>
      <c r="PKI365" s="266"/>
      <c r="PKJ365" s="649"/>
      <c r="PKK365" s="326"/>
      <c r="PKL365" s="368"/>
      <c r="PKM365" s="197"/>
      <c r="PKN365" s="650"/>
      <c r="PKO365" s="290"/>
      <c r="PKP365" s="291"/>
      <c r="PKQ365" s="384"/>
      <c r="PKR365" s="266"/>
      <c r="PKS365" s="649"/>
      <c r="PKT365" s="326"/>
      <c r="PKU365" s="368"/>
      <c r="PKV365" s="197"/>
      <c r="PKW365" s="650"/>
      <c r="PKX365" s="290"/>
      <c r="PKY365" s="291"/>
      <c r="PKZ365" s="384"/>
      <c r="PLA365" s="266"/>
      <c r="PLB365" s="649"/>
      <c r="PLC365" s="326"/>
      <c r="PLD365" s="368"/>
      <c r="PLE365" s="197"/>
      <c r="PLF365" s="650"/>
      <c r="PLG365" s="290"/>
      <c r="PLH365" s="291"/>
      <c r="PLI365" s="384"/>
      <c r="PLJ365" s="266"/>
      <c r="PLK365" s="649"/>
      <c r="PLL365" s="326"/>
      <c r="PLM365" s="368"/>
      <c r="PLN365" s="197"/>
      <c r="PLO365" s="650"/>
      <c r="PLP365" s="290"/>
      <c r="PLQ365" s="291"/>
      <c r="PLR365" s="384"/>
      <c r="PLS365" s="266"/>
      <c r="PLT365" s="649"/>
      <c r="PLU365" s="326"/>
      <c r="PLV365" s="368"/>
      <c r="PLW365" s="197"/>
      <c r="PLX365" s="650"/>
      <c r="PLY365" s="290"/>
      <c r="PLZ365" s="291"/>
      <c r="PMA365" s="384"/>
      <c r="PMB365" s="266"/>
      <c r="PMC365" s="649"/>
      <c r="PMD365" s="326"/>
      <c r="PME365" s="368"/>
      <c r="PMF365" s="197"/>
      <c r="PMG365" s="650"/>
      <c r="PMH365" s="290"/>
      <c r="PMI365" s="291"/>
      <c r="PMJ365" s="384"/>
      <c r="PMK365" s="266"/>
      <c r="PML365" s="649"/>
      <c r="PMM365" s="326"/>
      <c r="PMN365" s="368"/>
      <c r="PMO365" s="197"/>
      <c r="PMP365" s="650"/>
      <c r="PMQ365" s="290"/>
      <c r="PMR365" s="291"/>
      <c r="PMS365" s="384"/>
      <c r="PMT365" s="266"/>
      <c r="PMU365" s="649"/>
      <c r="PMV365" s="326"/>
      <c r="PMW365" s="368"/>
      <c r="PMX365" s="197"/>
      <c r="PMY365" s="650"/>
      <c r="PMZ365" s="290"/>
      <c r="PNA365" s="291"/>
      <c r="PNB365" s="384"/>
      <c r="PNC365" s="266"/>
      <c r="PND365" s="649"/>
      <c r="PNE365" s="326"/>
      <c r="PNF365" s="368"/>
      <c r="PNG365" s="197"/>
      <c r="PNH365" s="650"/>
      <c r="PNI365" s="290"/>
      <c r="PNJ365" s="291"/>
      <c r="PNK365" s="384"/>
      <c r="PNL365" s="266"/>
      <c r="PNM365" s="649"/>
      <c r="PNN365" s="326"/>
      <c r="PNO365" s="368"/>
      <c r="PNP365" s="197"/>
      <c r="PNQ365" s="650"/>
      <c r="PNR365" s="290"/>
      <c r="PNS365" s="291"/>
      <c r="PNT365" s="384"/>
      <c r="PNU365" s="266"/>
      <c r="PNV365" s="649"/>
      <c r="PNW365" s="326"/>
      <c r="PNX365" s="368"/>
      <c r="PNY365" s="197"/>
      <c r="PNZ365" s="650"/>
      <c r="POA365" s="290"/>
      <c r="POB365" s="291"/>
      <c r="POC365" s="384"/>
      <c r="POD365" s="266"/>
      <c r="POE365" s="649"/>
      <c r="POF365" s="326"/>
      <c r="POG365" s="368"/>
      <c r="POH365" s="197"/>
      <c r="POI365" s="650"/>
      <c r="POJ365" s="290"/>
      <c r="POK365" s="291"/>
      <c r="POL365" s="384"/>
      <c r="POM365" s="266"/>
      <c r="PON365" s="649"/>
      <c r="POO365" s="326"/>
      <c r="POP365" s="368"/>
      <c r="POQ365" s="197"/>
      <c r="POR365" s="650"/>
      <c r="POS365" s="290"/>
      <c r="POT365" s="291"/>
      <c r="POU365" s="384"/>
      <c r="POV365" s="266"/>
      <c r="POW365" s="649"/>
      <c r="POX365" s="326"/>
      <c r="POY365" s="368"/>
      <c r="POZ365" s="197"/>
      <c r="PPA365" s="650"/>
      <c r="PPB365" s="290"/>
      <c r="PPC365" s="291"/>
      <c r="PPD365" s="384"/>
      <c r="PPE365" s="266"/>
      <c r="PPF365" s="649"/>
      <c r="PPG365" s="326"/>
      <c r="PPH365" s="368"/>
      <c r="PPI365" s="197"/>
      <c r="PPJ365" s="650"/>
      <c r="PPK365" s="290"/>
      <c r="PPL365" s="291"/>
      <c r="PPM365" s="384"/>
      <c r="PPN365" s="266"/>
      <c r="PPO365" s="649"/>
      <c r="PPP365" s="326"/>
      <c r="PPQ365" s="368"/>
      <c r="PPR365" s="197"/>
      <c r="PPS365" s="650"/>
      <c r="PPT365" s="290"/>
      <c r="PPU365" s="291"/>
      <c r="PPV365" s="384"/>
      <c r="PPW365" s="266"/>
      <c r="PPX365" s="649"/>
      <c r="PPY365" s="326"/>
      <c r="PPZ365" s="368"/>
      <c r="PQA365" s="197"/>
      <c r="PQB365" s="650"/>
      <c r="PQC365" s="290"/>
      <c r="PQD365" s="291"/>
      <c r="PQE365" s="384"/>
      <c r="PQF365" s="266"/>
      <c r="PQG365" s="649"/>
      <c r="PQH365" s="326"/>
      <c r="PQI365" s="368"/>
      <c r="PQJ365" s="197"/>
      <c r="PQK365" s="650"/>
      <c r="PQL365" s="290"/>
      <c r="PQM365" s="291"/>
      <c r="PQN365" s="384"/>
      <c r="PQO365" s="266"/>
      <c r="PQP365" s="649"/>
      <c r="PQQ365" s="326"/>
      <c r="PQR365" s="368"/>
      <c r="PQS365" s="197"/>
      <c r="PQT365" s="650"/>
      <c r="PQU365" s="290"/>
      <c r="PQV365" s="291"/>
      <c r="PQW365" s="384"/>
      <c r="PQX365" s="266"/>
      <c r="PQY365" s="649"/>
      <c r="PQZ365" s="326"/>
      <c r="PRA365" s="368"/>
      <c r="PRB365" s="197"/>
      <c r="PRC365" s="650"/>
      <c r="PRD365" s="290"/>
      <c r="PRE365" s="291"/>
      <c r="PRF365" s="384"/>
      <c r="PRG365" s="266"/>
      <c r="PRH365" s="649"/>
      <c r="PRI365" s="326"/>
      <c r="PRJ365" s="368"/>
      <c r="PRK365" s="197"/>
      <c r="PRL365" s="650"/>
      <c r="PRM365" s="290"/>
      <c r="PRN365" s="291"/>
      <c r="PRO365" s="384"/>
      <c r="PRP365" s="266"/>
      <c r="PRQ365" s="649"/>
      <c r="PRR365" s="326"/>
      <c r="PRS365" s="368"/>
      <c r="PRT365" s="197"/>
      <c r="PRU365" s="650"/>
      <c r="PRV365" s="290"/>
      <c r="PRW365" s="291"/>
      <c r="PRX365" s="384"/>
      <c r="PRY365" s="266"/>
      <c r="PRZ365" s="649"/>
      <c r="PSA365" s="326"/>
      <c r="PSB365" s="368"/>
      <c r="PSC365" s="197"/>
      <c r="PSD365" s="650"/>
      <c r="PSE365" s="290"/>
      <c r="PSF365" s="291"/>
      <c r="PSG365" s="384"/>
      <c r="PSH365" s="266"/>
      <c r="PSI365" s="649"/>
      <c r="PSJ365" s="326"/>
      <c r="PSK365" s="368"/>
      <c r="PSL365" s="197"/>
      <c r="PSM365" s="650"/>
      <c r="PSN365" s="290"/>
      <c r="PSO365" s="291"/>
      <c r="PSP365" s="384"/>
      <c r="PSQ365" s="266"/>
      <c r="PSR365" s="649"/>
      <c r="PSS365" s="326"/>
      <c r="PST365" s="368"/>
      <c r="PSU365" s="197"/>
      <c r="PSV365" s="650"/>
      <c r="PSW365" s="290"/>
      <c r="PSX365" s="291"/>
      <c r="PSY365" s="384"/>
      <c r="PSZ365" s="266"/>
      <c r="PTA365" s="649"/>
      <c r="PTB365" s="326"/>
      <c r="PTC365" s="368"/>
      <c r="PTD365" s="197"/>
      <c r="PTE365" s="650"/>
      <c r="PTF365" s="290"/>
      <c r="PTG365" s="291"/>
      <c r="PTH365" s="384"/>
      <c r="PTI365" s="266"/>
      <c r="PTJ365" s="649"/>
      <c r="PTK365" s="326"/>
      <c r="PTL365" s="368"/>
      <c r="PTM365" s="197"/>
      <c r="PTN365" s="650"/>
      <c r="PTO365" s="290"/>
      <c r="PTP365" s="291"/>
      <c r="PTQ365" s="384"/>
      <c r="PTR365" s="266"/>
      <c r="PTS365" s="649"/>
      <c r="PTT365" s="326"/>
      <c r="PTU365" s="368"/>
      <c r="PTV365" s="197"/>
      <c r="PTW365" s="650"/>
      <c r="PTX365" s="290"/>
      <c r="PTY365" s="291"/>
      <c r="PTZ365" s="384"/>
      <c r="PUA365" s="266"/>
      <c r="PUB365" s="649"/>
      <c r="PUC365" s="326"/>
      <c r="PUD365" s="368"/>
      <c r="PUE365" s="197"/>
      <c r="PUF365" s="650"/>
      <c r="PUG365" s="290"/>
      <c r="PUH365" s="291"/>
      <c r="PUI365" s="384"/>
      <c r="PUJ365" s="266"/>
      <c r="PUK365" s="649"/>
      <c r="PUL365" s="326"/>
      <c r="PUM365" s="368"/>
      <c r="PUN365" s="197"/>
      <c r="PUO365" s="650"/>
      <c r="PUP365" s="290"/>
      <c r="PUQ365" s="291"/>
      <c r="PUR365" s="384"/>
      <c r="PUS365" s="266"/>
      <c r="PUT365" s="649"/>
      <c r="PUU365" s="326"/>
      <c r="PUV365" s="368"/>
      <c r="PUW365" s="197"/>
      <c r="PUX365" s="650"/>
      <c r="PUY365" s="290"/>
      <c r="PUZ365" s="291"/>
      <c r="PVA365" s="384"/>
      <c r="PVB365" s="266"/>
      <c r="PVC365" s="649"/>
      <c r="PVD365" s="326"/>
      <c r="PVE365" s="368"/>
      <c r="PVF365" s="197"/>
      <c r="PVG365" s="650"/>
      <c r="PVH365" s="290"/>
      <c r="PVI365" s="291"/>
      <c r="PVJ365" s="384"/>
      <c r="PVK365" s="266"/>
      <c r="PVL365" s="649"/>
      <c r="PVM365" s="326"/>
      <c r="PVN365" s="368"/>
      <c r="PVO365" s="197"/>
      <c r="PVP365" s="650"/>
      <c r="PVQ365" s="290"/>
      <c r="PVR365" s="291"/>
      <c r="PVS365" s="384"/>
      <c r="PVT365" s="266"/>
      <c r="PVU365" s="649"/>
      <c r="PVV365" s="326"/>
      <c r="PVW365" s="368"/>
      <c r="PVX365" s="197"/>
      <c r="PVY365" s="650"/>
      <c r="PVZ365" s="290"/>
      <c r="PWA365" s="291"/>
      <c r="PWB365" s="384"/>
      <c r="PWC365" s="266"/>
      <c r="PWD365" s="649"/>
      <c r="PWE365" s="326"/>
      <c r="PWF365" s="368"/>
      <c r="PWG365" s="197"/>
      <c r="PWH365" s="650"/>
      <c r="PWI365" s="290"/>
      <c r="PWJ365" s="291"/>
      <c r="PWK365" s="384"/>
      <c r="PWL365" s="266"/>
      <c r="PWM365" s="649"/>
      <c r="PWN365" s="326"/>
      <c r="PWO365" s="368"/>
      <c r="PWP365" s="197"/>
      <c r="PWQ365" s="650"/>
      <c r="PWR365" s="290"/>
      <c r="PWS365" s="291"/>
      <c r="PWT365" s="384"/>
      <c r="PWU365" s="266"/>
      <c r="PWV365" s="649"/>
      <c r="PWW365" s="326"/>
      <c r="PWX365" s="368"/>
      <c r="PWY365" s="197"/>
      <c r="PWZ365" s="650"/>
      <c r="PXA365" s="290"/>
      <c r="PXB365" s="291"/>
      <c r="PXC365" s="384"/>
      <c r="PXD365" s="266"/>
      <c r="PXE365" s="649"/>
      <c r="PXF365" s="326"/>
      <c r="PXG365" s="368"/>
      <c r="PXH365" s="197"/>
      <c r="PXI365" s="650"/>
      <c r="PXJ365" s="290"/>
      <c r="PXK365" s="291"/>
      <c r="PXL365" s="384"/>
      <c r="PXM365" s="266"/>
      <c r="PXN365" s="649"/>
      <c r="PXO365" s="326"/>
      <c r="PXP365" s="368"/>
      <c r="PXQ365" s="197"/>
      <c r="PXR365" s="650"/>
      <c r="PXS365" s="290"/>
      <c r="PXT365" s="291"/>
      <c r="PXU365" s="384"/>
      <c r="PXV365" s="266"/>
      <c r="PXW365" s="649"/>
      <c r="PXX365" s="326"/>
      <c r="PXY365" s="368"/>
      <c r="PXZ365" s="197"/>
      <c r="PYA365" s="650"/>
      <c r="PYB365" s="290"/>
      <c r="PYC365" s="291"/>
      <c r="PYD365" s="384"/>
      <c r="PYE365" s="266"/>
      <c r="PYF365" s="649"/>
      <c r="PYG365" s="326"/>
      <c r="PYH365" s="368"/>
      <c r="PYI365" s="197"/>
      <c r="PYJ365" s="650"/>
      <c r="PYK365" s="290"/>
      <c r="PYL365" s="291"/>
      <c r="PYM365" s="384"/>
      <c r="PYN365" s="266"/>
      <c r="PYO365" s="649"/>
      <c r="PYP365" s="326"/>
      <c r="PYQ365" s="368"/>
      <c r="PYR365" s="197"/>
      <c r="PYS365" s="650"/>
      <c r="PYT365" s="290"/>
      <c r="PYU365" s="291"/>
      <c r="PYV365" s="384"/>
      <c r="PYW365" s="266"/>
      <c r="PYX365" s="649"/>
      <c r="PYY365" s="326"/>
      <c r="PYZ365" s="368"/>
      <c r="PZA365" s="197"/>
      <c r="PZB365" s="650"/>
      <c r="PZC365" s="290"/>
      <c r="PZD365" s="291"/>
      <c r="PZE365" s="384"/>
      <c r="PZF365" s="266"/>
      <c r="PZG365" s="649"/>
      <c r="PZH365" s="326"/>
      <c r="PZI365" s="368"/>
      <c r="PZJ365" s="197"/>
      <c r="PZK365" s="650"/>
      <c r="PZL365" s="290"/>
      <c r="PZM365" s="291"/>
      <c r="PZN365" s="384"/>
      <c r="PZO365" s="266"/>
      <c r="PZP365" s="649"/>
      <c r="PZQ365" s="326"/>
      <c r="PZR365" s="368"/>
      <c r="PZS365" s="197"/>
      <c r="PZT365" s="650"/>
      <c r="PZU365" s="290"/>
      <c r="PZV365" s="291"/>
      <c r="PZW365" s="384"/>
      <c r="PZX365" s="266"/>
      <c r="PZY365" s="649"/>
      <c r="PZZ365" s="326"/>
      <c r="QAA365" s="368"/>
      <c r="QAB365" s="197"/>
      <c r="QAC365" s="650"/>
      <c r="QAD365" s="290"/>
      <c r="QAE365" s="291"/>
      <c r="QAF365" s="384"/>
      <c r="QAG365" s="266"/>
      <c r="QAH365" s="649"/>
      <c r="QAI365" s="326"/>
      <c r="QAJ365" s="368"/>
      <c r="QAK365" s="197"/>
      <c r="QAL365" s="650"/>
      <c r="QAM365" s="290"/>
      <c r="QAN365" s="291"/>
      <c r="QAO365" s="384"/>
      <c r="QAP365" s="266"/>
      <c r="QAQ365" s="649"/>
      <c r="QAR365" s="326"/>
      <c r="QAS365" s="368"/>
      <c r="QAT365" s="197"/>
      <c r="QAU365" s="650"/>
      <c r="QAV365" s="290"/>
      <c r="QAW365" s="291"/>
      <c r="QAX365" s="384"/>
      <c r="QAY365" s="266"/>
      <c r="QAZ365" s="649"/>
      <c r="QBA365" s="326"/>
      <c r="QBB365" s="368"/>
      <c r="QBC365" s="197"/>
      <c r="QBD365" s="650"/>
      <c r="QBE365" s="290"/>
      <c r="QBF365" s="291"/>
      <c r="QBG365" s="384"/>
      <c r="QBH365" s="266"/>
      <c r="QBI365" s="649"/>
      <c r="QBJ365" s="326"/>
      <c r="QBK365" s="368"/>
      <c r="QBL365" s="197"/>
      <c r="QBM365" s="650"/>
      <c r="QBN365" s="290"/>
      <c r="QBO365" s="291"/>
      <c r="QBP365" s="384"/>
      <c r="QBQ365" s="266"/>
      <c r="QBR365" s="649"/>
      <c r="QBS365" s="326"/>
      <c r="QBT365" s="368"/>
      <c r="QBU365" s="197"/>
      <c r="QBV365" s="650"/>
      <c r="QBW365" s="290"/>
      <c r="QBX365" s="291"/>
      <c r="QBY365" s="384"/>
      <c r="QBZ365" s="266"/>
      <c r="QCA365" s="649"/>
      <c r="QCB365" s="326"/>
      <c r="QCC365" s="368"/>
      <c r="QCD365" s="197"/>
      <c r="QCE365" s="650"/>
      <c r="QCF365" s="290"/>
      <c r="QCG365" s="291"/>
      <c r="QCH365" s="384"/>
      <c r="QCI365" s="266"/>
      <c r="QCJ365" s="649"/>
      <c r="QCK365" s="326"/>
      <c r="QCL365" s="368"/>
      <c r="QCM365" s="197"/>
      <c r="QCN365" s="650"/>
      <c r="QCO365" s="290"/>
      <c r="QCP365" s="291"/>
      <c r="QCQ365" s="384"/>
      <c r="QCR365" s="266"/>
      <c r="QCS365" s="649"/>
      <c r="QCT365" s="326"/>
      <c r="QCU365" s="368"/>
      <c r="QCV365" s="197"/>
      <c r="QCW365" s="650"/>
      <c r="QCX365" s="290"/>
      <c r="QCY365" s="291"/>
      <c r="QCZ365" s="384"/>
      <c r="QDA365" s="266"/>
      <c r="QDB365" s="649"/>
      <c r="QDC365" s="326"/>
      <c r="QDD365" s="368"/>
      <c r="QDE365" s="197"/>
      <c r="QDF365" s="650"/>
      <c r="QDG365" s="290"/>
      <c r="QDH365" s="291"/>
      <c r="QDI365" s="384"/>
      <c r="QDJ365" s="266"/>
      <c r="QDK365" s="649"/>
      <c r="QDL365" s="326"/>
      <c r="QDM365" s="368"/>
      <c r="QDN365" s="197"/>
      <c r="QDO365" s="650"/>
      <c r="QDP365" s="290"/>
      <c r="QDQ365" s="291"/>
      <c r="QDR365" s="384"/>
      <c r="QDS365" s="266"/>
      <c r="QDT365" s="649"/>
      <c r="QDU365" s="326"/>
      <c r="QDV365" s="368"/>
      <c r="QDW365" s="197"/>
      <c r="QDX365" s="650"/>
      <c r="QDY365" s="290"/>
      <c r="QDZ365" s="291"/>
      <c r="QEA365" s="384"/>
      <c r="QEB365" s="266"/>
      <c r="QEC365" s="649"/>
      <c r="QED365" s="326"/>
      <c r="QEE365" s="368"/>
      <c r="QEF365" s="197"/>
      <c r="QEG365" s="650"/>
      <c r="QEH365" s="290"/>
      <c r="QEI365" s="291"/>
      <c r="QEJ365" s="384"/>
      <c r="QEK365" s="266"/>
      <c r="QEL365" s="649"/>
      <c r="QEM365" s="326"/>
      <c r="QEN365" s="368"/>
      <c r="QEO365" s="197"/>
      <c r="QEP365" s="650"/>
      <c r="QEQ365" s="290"/>
      <c r="QER365" s="291"/>
      <c r="QES365" s="384"/>
      <c r="QET365" s="266"/>
      <c r="QEU365" s="649"/>
      <c r="QEV365" s="326"/>
      <c r="QEW365" s="368"/>
      <c r="QEX365" s="197"/>
      <c r="QEY365" s="650"/>
      <c r="QEZ365" s="290"/>
      <c r="QFA365" s="291"/>
      <c r="QFB365" s="384"/>
      <c r="QFC365" s="266"/>
      <c r="QFD365" s="649"/>
      <c r="QFE365" s="326"/>
      <c r="QFF365" s="368"/>
      <c r="QFG365" s="197"/>
      <c r="QFH365" s="650"/>
      <c r="QFI365" s="290"/>
      <c r="QFJ365" s="291"/>
      <c r="QFK365" s="384"/>
      <c r="QFL365" s="266"/>
      <c r="QFM365" s="649"/>
      <c r="QFN365" s="326"/>
      <c r="QFO365" s="368"/>
      <c r="QFP365" s="197"/>
      <c r="QFQ365" s="650"/>
      <c r="QFR365" s="290"/>
      <c r="QFS365" s="291"/>
      <c r="QFT365" s="384"/>
      <c r="QFU365" s="266"/>
      <c r="QFV365" s="649"/>
      <c r="QFW365" s="326"/>
      <c r="QFX365" s="368"/>
      <c r="QFY365" s="197"/>
      <c r="QFZ365" s="650"/>
      <c r="QGA365" s="290"/>
      <c r="QGB365" s="291"/>
      <c r="QGC365" s="384"/>
      <c r="QGD365" s="266"/>
      <c r="QGE365" s="649"/>
      <c r="QGF365" s="326"/>
      <c r="QGG365" s="368"/>
      <c r="QGH365" s="197"/>
      <c r="QGI365" s="650"/>
      <c r="QGJ365" s="290"/>
      <c r="QGK365" s="291"/>
      <c r="QGL365" s="384"/>
      <c r="QGM365" s="266"/>
      <c r="QGN365" s="649"/>
      <c r="QGO365" s="326"/>
      <c r="QGP365" s="368"/>
      <c r="QGQ365" s="197"/>
      <c r="QGR365" s="650"/>
      <c r="QGS365" s="290"/>
      <c r="QGT365" s="291"/>
      <c r="QGU365" s="384"/>
      <c r="QGV365" s="266"/>
      <c r="QGW365" s="649"/>
      <c r="QGX365" s="326"/>
      <c r="QGY365" s="368"/>
      <c r="QGZ365" s="197"/>
      <c r="QHA365" s="650"/>
      <c r="QHB365" s="290"/>
      <c r="QHC365" s="291"/>
      <c r="QHD365" s="384"/>
      <c r="QHE365" s="266"/>
      <c r="QHF365" s="649"/>
      <c r="QHG365" s="326"/>
      <c r="QHH365" s="368"/>
      <c r="QHI365" s="197"/>
      <c r="QHJ365" s="650"/>
      <c r="QHK365" s="290"/>
      <c r="QHL365" s="291"/>
      <c r="QHM365" s="384"/>
      <c r="QHN365" s="266"/>
      <c r="QHO365" s="649"/>
      <c r="QHP365" s="326"/>
      <c r="QHQ365" s="368"/>
      <c r="QHR365" s="197"/>
      <c r="QHS365" s="650"/>
      <c r="QHT365" s="290"/>
      <c r="QHU365" s="291"/>
      <c r="QHV365" s="384"/>
      <c r="QHW365" s="266"/>
      <c r="QHX365" s="649"/>
      <c r="QHY365" s="326"/>
      <c r="QHZ365" s="368"/>
      <c r="QIA365" s="197"/>
      <c r="QIB365" s="650"/>
      <c r="QIC365" s="290"/>
      <c r="QID365" s="291"/>
      <c r="QIE365" s="384"/>
      <c r="QIF365" s="266"/>
      <c r="QIG365" s="649"/>
      <c r="QIH365" s="326"/>
      <c r="QII365" s="368"/>
      <c r="QIJ365" s="197"/>
      <c r="QIK365" s="650"/>
      <c r="QIL365" s="290"/>
      <c r="QIM365" s="291"/>
      <c r="QIN365" s="384"/>
      <c r="QIO365" s="266"/>
      <c r="QIP365" s="649"/>
      <c r="QIQ365" s="326"/>
      <c r="QIR365" s="368"/>
      <c r="QIS365" s="197"/>
      <c r="QIT365" s="650"/>
      <c r="QIU365" s="290"/>
      <c r="QIV365" s="291"/>
      <c r="QIW365" s="384"/>
      <c r="QIX365" s="266"/>
      <c r="QIY365" s="649"/>
      <c r="QIZ365" s="326"/>
      <c r="QJA365" s="368"/>
      <c r="QJB365" s="197"/>
      <c r="QJC365" s="650"/>
      <c r="QJD365" s="290"/>
      <c r="QJE365" s="291"/>
      <c r="QJF365" s="384"/>
      <c r="QJG365" s="266"/>
      <c r="QJH365" s="649"/>
      <c r="QJI365" s="326"/>
      <c r="QJJ365" s="368"/>
      <c r="QJK365" s="197"/>
      <c r="QJL365" s="650"/>
      <c r="QJM365" s="290"/>
      <c r="QJN365" s="291"/>
      <c r="QJO365" s="384"/>
      <c r="QJP365" s="266"/>
      <c r="QJQ365" s="649"/>
      <c r="QJR365" s="326"/>
      <c r="QJS365" s="368"/>
      <c r="QJT365" s="197"/>
      <c r="QJU365" s="650"/>
      <c r="QJV365" s="290"/>
      <c r="QJW365" s="291"/>
      <c r="QJX365" s="384"/>
      <c r="QJY365" s="266"/>
      <c r="QJZ365" s="649"/>
      <c r="QKA365" s="326"/>
      <c r="QKB365" s="368"/>
      <c r="QKC365" s="197"/>
      <c r="QKD365" s="650"/>
      <c r="QKE365" s="290"/>
      <c r="QKF365" s="291"/>
      <c r="QKG365" s="384"/>
      <c r="QKH365" s="266"/>
      <c r="QKI365" s="649"/>
      <c r="QKJ365" s="326"/>
      <c r="QKK365" s="368"/>
      <c r="QKL365" s="197"/>
      <c r="QKM365" s="650"/>
      <c r="QKN365" s="290"/>
      <c r="QKO365" s="291"/>
      <c r="QKP365" s="384"/>
      <c r="QKQ365" s="266"/>
      <c r="QKR365" s="649"/>
      <c r="QKS365" s="326"/>
      <c r="QKT365" s="368"/>
      <c r="QKU365" s="197"/>
      <c r="QKV365" s="650"/>
      <c r="QKW365" s="290"/>
      <c r="QKX365" s="291"/>
      <c r="QKY365" s="384"/>
      <c r="QKZ365" s="266"/>
      <c r="QLA365" s="649"/>
      <c r="QLB365" s="326"/>
      <c r="QLC365" s="368"/>
      <c r="QLD365" s="197"/>
      <c r="QLE365" s="650"/>
      <c r="QLF365" s="290"/>
      <c r="QLG365" s="291"/>
      <c r="QLH365" s="384"/>
      <c r="QLI365" s="266"/>
      <c r="QLJ365" s="649"/>
      <c r="QLK365" s="326"/>
      <c r="QLL365" s="368"/>
      <c r="QLM365" s="197"/>
      <c r="QLN365" s="650"/>
      <c r="QLO365" s="290"/>
      <c r="QLP365" s="291"/>
      <c r="QLQ365" s="384"/>
      <c r="QLR365" s="266"/>
      <c r="QLS365" s="649"/>
      <c r="QLT365" s="326"/>
      <c r="QLU365" s="368"/>
      <c r="QLV365" s="197"/>
      <c r="QLW365" s="650"/>
      <c r="QLX365" s="290"/>
      <c r="QLY365" s="291"/>
      <c r="QLZ365" s="384"/>
      <c r="QMA365" s="266"/>
      <c r="QMB365" s="649"/>
      <c r="QMC365" s="326"/>
      <c r="QMD365" s="368"/>
      <c r="QME365" s="197"/>
      <c r="QMF365" s="650"/>
      <c r="QMG365" s="290"/>
      <c r="QMH365" s="291"/>
      <c r="QMI365" s="384"/>
      <c r="QMJ365" s="266"/>
      <c r="QMK365" s="649"/>
      <c r="QML365" s="326"/>
      <c r="QMM365" s="368"/>
      <c r="QMN365" s="197"/>
      <c r="QMO365" s="650"/>
      <c r="QMP365" s="290"/>
      <c r="QMQ365" s="291"/>
      <c r="QMR365" s="384"/>
      <c r="QMS365" s="266"/>
      <c r="QMT365" s="649"/>
      <c r="QMU365" s="326"/>
      <c r="QMV365" s="368"/>
      <c r="QMW365" s="197"/>
      <c r="QMX365" s="650"/>
      <c r="QMY365" s="290"/>
      <c r="QMZ365" s="291"/>
      <c r="QNA365" s="384"/>
      <c r="QNB365" s="266"/>
      <c r="QNC365" s="649"/>
      <c r="QND365" s="326"/>
      <c r="QNE365" s="368"/>
      <c r="QNF365" s="197"/>
      <c r="QNG365" s="650"/>
      <c r="QNH365" s="290"/>
      <c r="QNI365" s="291"/>
      <c r="QNJ365" s="384"/>
      <c r="QNK365" s="266"/>
      <c r="QNL365" s="649"/>
      <c r="QNM365" s="326"/>
      <c r="QNN365" s="368"/>
      <c r="QNO365" s="197"/>
      <c r="QNP365" s="650"/>
      <c r="QNQ365" s="290"/>
      <c r="QNR365" s="291"/>
      <c r="QNS365" s="384"/>
      <c r="QNT365" s="266"/>
      <c r="QNU365" s="649"/>
      <c r="QNV365" s="326"/>
      <c r="QNW365" s="368"/>
      <c r="QNX365" s="197"/>
      <c r="QNY365" s="650"/>
      <c r="QNZ365" s="290"/>
      <c r="QOA365" s="291"/>
      <c r="QOB365" s="384"/>
      <c r="QOC365" s="266"/>
      <c r="QOD365" s="649"/>
      <c r="QOE365" s="326"/>
      <c r="QOF365" s="368"/>
      <c r="QOG365" s="197"/>
      <c r="QOH365" s="650"/>
      <c r="QOI365" s="290"/>
      <c r="QOJ365" s="291"/>
      <c r="QOK365" s="384"/>
      <c r="QOL365" s="266"/>
      <c r="QOM365" s="649"/>
      <c r="QON365" s="326"/>
      <c r="QOO365" s="368"/>
      <c r="QOP365" s="197"/>
      <c r="QOQ365" s="650"/>
      <c r="QOR365" s="290"/>
      <c r="QOS365" s="291"/>
      <c r="QOT365" s="384"/>
      <c r="QOU365" s="266"/>
      <c r="QOV365" s="649"/>
      <c r="QOW365" s="326"/>
      <c r="QOX365" s="368"/>
      <c r="QOY365" s="197"/>
      <c r="QOZ365" s="650"/>
      <c r="QPA365" s="290"/>
      <c r="QPB365" s="291"/>
      <c r="QPC365" s="384"/>
      <c r="QPD365" s="266"/>
      <c r="QPE365" s="649"/>
      <c r="QPF365" s="326"/>
      <c r="QPG365" s="368"/>
      <c r="QPH365" s="197"/>
      <c r="QPI365" s="650"/>
      <c r="QPJ365" s="290"/>
      <c r="QPK365" s="291"/>
      <c r="QPL365" s="384"/>
      <c r="QPM365" s="266"/>
      <c r="QPN365" s="649"/>
      <c r="QPO365" s="326"/>
      <c r="QPP365" s="368"/>
      <c r="QPQ365" s="197"/>
      <c r="QPR365" s="650"/>
      <c r="QPS365" s="290"/>
      <c r="QPT365" s="291"/>
      <c r="QPU365" s="384"/>
      <c r="QPV365" s="266"/>
      <c r="QPW365" s="649"/>
      <c r="QPX365" s="326"/>
      <c r="QPY365" s="368"/>
      <c r="QPZ365" s="197"/>
      <c r="QQA365" s="650"/>
      <c r="QQB365" s="290"/>
      <c r="QQC365" s="291"/>
      <c r="QQD365" s="384"/>
      <c r="QQE365" s="266"/>
      <c r="QQF365" s="649"/>
      <c r="QQG365" s="326"/>
      <c r="QQH365" s="368"/>
      <c r="QQI365" s="197"/>
      <c r="QQJ365" s="650"/>
      <c r="QQK365" s="290"/>
      <c r="QQL365" s="291"/>
      <c r="QQM365" s="384"/>
      <c r="QQN365" s="266"/>
      <c r="QQO365" s="649"/>
      <c r="QQP365" s="326"/>
      <c r="QQQ365" s="368"/>
      <c r="QQR365" s="197"/>
      <c r="QQS365" s="650"/>
      <c r="QQT365" s="290"/>
      <c r="QQU365" s="291"/>
      <c r="QQV365" s="384"/>
      <c r="QQW365" s="266"/>
      <c r="QQX365" s="649"/>
      <c r="QQY365" s="326"/>
      <c r="QQZ365" s="368"/>
      <c r="QRA365" s="197"/>
      <c r="QRB365" s="650"/>
      <c r="QRC365" s="290"/>
      <c r="QRD365" s="291"/>
      <c r="QRE365" s="384"/>
      <c r="QRF365" s="266"/>
      <c r="QRG365" s="649"/>
      <c r="QRH365" s="326"/>
      <c r="QRI365" s="368"/>
      <c r="QRJ365" s="197"/>
      <c r="QRK365" s="650"/>
      <c r="QRL365" s="290"/>
      <c r="QRM365" s="291"/>
      <c r="QRN365" s="384"/>
      <c r="QRO365" s="266"/>
      <c r="QRP365" s="649"/>
      <c r="QRQ365" s="326"/>
      <c r="QRR365" s="368"/>
      <c r="QRS365" s="197"/>
      <c r="QRT365" s="650"/>
      <c r="QRU365" s="290"/>
      <c r="QRV365" s="291"/>
      <c r="QRW365" s="384"/>
      <c r="QRX365" s="266"/>
      <c r="QRY365" s="649"/>
      <c r="QRZ365" s="326"/>
      <c r="QSA365" s="368"/>
      <c r="QSB365" s="197"/>
      <c r="QSC365" s="650"/>
      <c r="QSD365" s="290"/>
      <c r="QSE365" s="291"/>
      <c r="QSF365" s="384"/>
      <c r="QSG365" s="266"/>
      <c r="QSH365" s="649"/>
      <c r="QSI365" s="326"/>
      <c r="QSJ365" s="368"/>
      <c r="QSK365" s="197"/>
      <c r="QSL365" s="650"/>
      <c r="QSM365" s="290"/>
      <c r="QSN365" s="291"/>
      <c r="QSO365" s="384"/>
      <c r="QSP365" s="266"/>
      <c r="QSQ365" s="649"/>
      <c r="QSR365" s="326"/>
      <c r="QSS365" s="368"/>
      <c r="QST365" s="197"/>
      <c r="QSU365" s="650"/>
      <c r="QSV365" s="290"/>
      <c r="QSW365" s="291"/>
      <c r="QSX365" s="384"/>
      <c r="QSY365" s="266"/>
      <c r="QSZ365" s="649"/>
      <c r="QTA365" s="326"/>
      <c r="QTB365" s="368"/>
      <c r="QTC365" s="197"/>
      <c r="QTD365" s="650"/>
      <c r="QTE365" s="290"/>
      <c r="QTF365" s="291"/>
      <c r="QTG365" s="384"/>
      <c r="QTH365" s="266"/>
      <c r="QTI365" s="649"/>
      <c r="QTJ365" s="326"/>
      <c r="QTK365" s="368"/>
      <c r="QTL365" s="197"/>
      <c r="QTM365" s="650"/>
      <c r="QTN365" s="290"/>
      <c r="QTO365" s="291"/>
      <c r="QTP365" s="384"/>
      <c r="QTQ365" s="266"/>
      <c r="QTR365" s="649"/>
      <c r="QTS365" s="326"/>
      <c r="QTT365" s="368"/>
      <c r="QTU365" s="197"/>
      <c r="QTV365" s="650"/>
      <c r="QTW365" s="290"/>
      <c r="QTX365" s="291"/>
      <c r="QTY365" s="384"/>
      <c r="QTZ365" s="266"/>
      <c r="QUA365" s="649"/>
      <c r="QUB365" s="326"/>
      <c r="QUC365" s="368"/>
      <c r="QUD365" s="197"/>
      <c r="QUE365" s="650"/>
      <c r="QUF365" s="290"/>
      <c r="QUG365" s="291"/>
      <c r="QUH365" s="384"/>
      <c r="QUI365" s="266"/>
      <c r="QUJ365" s="649"/>
      <c r="QUK365" s="326"/>
      <c r="QUL365" s="368"/>
      <c r="QUM365" s="197"/>
      <c r="QUN365" s="650"/>
      <c r="QUO365" s="290"/>
      <c r="QUP365" s="291"/>
      <c r="QUQ365" s="384"/>
      <c r="QUR365" s="266"/>
      <c r="QUS365" s="649"/>
      <c r="QUT365" s="326"/>
      <c r="QUU365" s="368"/>
      <c r="QUV365" s="197"/>
      <c r="QUW365" s="650"/>
      <c r="QUX365" s="290"/>
      <c r="QUY365" s="291"/>
      <c r="QUZ365" s="384"/>
      <c r="QVA365" s="266"/>
      <c r="QVB365" s="649"/>
      <c r="QVC365" s="326"/>
      <c r="QVD365" s="368"/>
      <c r="QVE365" s="197"/>
      <c r="QVF365" s="650"/>
      <c r="QVG365" s="290"/>
      <c r="QVH365" s="291"/>
      <c r="QVI365" s="384"/>
      <c r="QVJ365" s="266"/>
      <c r="QVK365" s="649"/>
      <c r="QVL365" s="326"/>
      <c r="QVM365" s="368"/>
      <c r="QVN365" s="197"/>
      <c r="QVO365" s="650"/>
      <c r="QVP365" s="290"/>
      <c r="QVQ365" s="291"/>
      <c r="QVR365" s="384"/>
      <c r="QVS365" s="266"/>
      <c r="QVT365" s="649"/>
      <c r="QVU365" s="326"/>
      <c r="QVV365" s="368"/>
      <c r="QVW365" s="197"/>
      <c r="QVX365" s="650"/>
      <c r="QVY365" s="290"/>
      <c r="QVZ365" s="291"/>
      <c r="QWA365" s="384"/>
      <c r="QWB365" s="266"/>
      <c r="QWC365" s="649"/>
      <c r="QWD365" s="326"/>
      <c r="QWE365" s="368"/>
      <c r="QWF365" s="197"/>
      <c r="QWG365" s="650"/>
      <c r="QWH365" s="290"/>
      <c r="QWI365" s="291"/>
      <c r="QWJ365" s="384"/>
      <c r="QWK365" s="266"/>
      <c r="QWL365" s="649"/>
      <c r="QWM365" s="326"/>
      <c r="QWN365" s="368"/>
      <c r="QWO365" s="197"/>
      <c r="QWP365" s="650"/>
      <c r="QWQ365" s="290"/>
      <c r="QWR365" s="291"/>
      <c r="QWS365" s="384"/>
      <c r="QWT365" s="266"/>
      <c r="QWU365" s="649"/>
      <c r="QWV365" s="326"/>
      <c r="QWW365" s="368"/>
      <c r="QWX365" s="197"/>
      <c r="QWY365" s="650"/>
      <c r="QWZ365" s="290"/>
      <c r="QXA365" s="291"/>
      <c r="QXB365" s="384"/>
      <c r="QXC365" s="266"/>
      <c r="QXD365" s="649"/>
      <c r="QXE365" s="326"/>
      <c r="QXF365" s="368"/>
      <c r="QXG365" s="197"/>
      <c r="QXH365" s="650"/>
      <c r="QXI365" s="290"/>
      <c r="QXJ365" s="291"/>
      <c r="QXK365" s="384"/>
      <c r="QXL365" s="266"/>
      <c r="QXM365" s="649"/>
      <c r="QXN365" s="326"/>
      <c r="QXO365" s="368"/>
      <c r="QXP365" s="197"/>
      <c r="QXQ365" s="650"/>
      <c r="QXR365" s="290"/>
      <c r="QXS365" s="291"/>
      <c r="QXT365" s="384"/>
      <c r="QXU365" s="266"/>
      <c r="QXV365" s="649"/>
      <c r="QXW365" s="326"/>
      <c r="QXX365" s="368"/>
      <c r="QXY365" s="197"/>
      <c r="QXZ365" s="650"/>
      <c r="QYA365" s="290"/>
      <c r="QYB365" s="291"/>
      <c r="QYC365" s="384"/>
      <c r="QYD365" s="266"/>
      <c r="QYE365" s="649"/>
      <c r="QYF365" s="326"/>
      <c r="QYG365" s="368"/>
      <c r="QYH365" s="197"/>
      <c r="QYI365" s="650"/>
      <c r="QYJ365" s="290"/>
      <c r="QYK365" s="291"/>
      <c r="QYL365" s="384"/>
      <c r="QYM365" s="266"/>
      <c r="QYN365" s="649"/>
      <c r="QYO365" s="326"/>
      <c r="QYP365" s="368"/>
      <c r="QYQ365" s="197"/>
      <c r="QYR365" s="650"/>
      <c r="QYS365" s="290"/>
      <c r="QYT365" s="291"/>
      <c r="QYU365" s="384"/>
      <c r="QYV365" s="266"/>
      <c r="QYW365" s="649"/>
      <c r="QYX365" s="326"/>
      <c r="QYY365" s="368"/>
      <c r="QYZ365" s="197"/>
      <c r="QZA365" s="650"/>
      <c r="QZB365" s="290"/>
      <c r="QZC365" s="291"/>
      <c r="QZD365" s="384"/>
      <c r="QZE365" s="266"/>
      <c r="QZF365" s="649"/>
      <c r="QZG365" s="326"/>
      <c r="QZH365" s="368"/>
      <c r="QZI365" s="197"/>
      <c r="QZJ365" s="650"/>
      <c r="QZK365" s="290"/>
      <c r="QZL365" s="291"/>
      <c r="QZM365" s="384"/>
      <c r="QZN365" s="266"/>
      <c r="QZO365" s="649"/>
      <c r="QZP365" s="326"/>
      <c r="QZQ365" s="368"/>
      <c r="QZR365" s="197"/>
      <c r="QZS365" s="650"/>
      <c r="QZT365" s="290"/>
      <c r="QZU365" s="291"/>
      <c r="QZV365" s="384"/>
      <c r="QZW365" s="266"/>
      <c r="QZX365" s="649"/>
      <c r="QZY365" s="326"/>
      <c r="QZZ365" s="368"/>
      <c r="RAA365" s="197"/>
      <c r="RAB365" s="650"/>
      <c r="RAC365" s="290"/>
      <c r="RAD365" s="291"/>
      <c r="RAE365" s="384"/>
      <c r="RAF365" s="266"/>
      <c r="RAG365" s="649"/>
      <c r="RAH365" s="326"/>
      <c r="RAI365" s="368"/>
      <c r="RAJ365" s="197"/>
      <c r="RAK365" s="650"/>
      <c r="RAL365" s="290"/>
      <c r="RAM365" s="291"/>
      <c r="RAN365" s="384"/>
      <c r="RAO365" s="266"/>
      <c r="RAP365" s="649"/>
      <c r="RAQ365" s="326"/>
      <c r="RAR365" s="368"/>
      <c r="RAS365" s="197"/>
      <c r="RAT365" s="650"/>
      <c r="RAU365" s="290"/>
      <c r="RAV365" s="291"/>
      <c r="RAW365" s="384"/>
      <c r="RAX365" s="266"/>
      <c r="RAY365" s="649"/>
      <c r="RAZ365" s="326"/>
      <c r="RBA365" s="368"/>
      <c r="RBB365" s="197"/>
      <c r="RBC365" s="650"/>
      <c r="RBD365" s="290"/>
      <c r="RBE365" s="291"/>
      <c r="RBF365" s="384"/>
      <c r="RBG365" s="266"/>
      <c r="RBH365" s="649"/>
      <c r="RBI365" s="326"/>
      <c r="RBJ365" s="368"/>
      <c r="RBK365" s="197"/>
      <c r="RBL365" s="650"/>
      <c r="RBM365" s="290"/>
      <c r="RBN365" s="291"/>
      <c r="RBO365" s="384"/>
      <c r="RBP365" s="266"/>
      <c r="RBQ365" s="649"/>
      <c r="RBR365" s="326"/>
      <c r="RBS365" s="368"/>
      <c r="RBT365" s="197"/>
      <c r="RBU365" s="650"/>
      <c r="RBV365" s="290"/>
      <c r="RBW365" s="291"/>
      <c r="RBX365" s="384"/>
      <c r="RBY365" s="266"/>
      <c r="RBZ365" s="649"/>
      <c r="RCA365" s="326"/>
      <c r="RCB365" s="368"/>
      <c r="RCC365" s="197"/>
      <c r="RCD365" s="650"/>
      <c r="RCE365" s="290"/>
      <c r="RCF365" s="291"/>
      <c r="RCG365" s="384"/>
      <c r="RCH365" s="266"/>
      <c r="RCI365" s="649"/>
      <c r="RCJ365" s="326"/>
      <c r="RCK365" s="368"/>
      <c r="RCL365" s="197"/>
      <c r="RCM365" s="650"/>
      <c r="RCN365" s="290"/>
      <c r="RCO365" s="291"/>
      <c r="RCP365" s="384"/>
      <c r="RCQ365" s="266"/>
      <c r="RCR365" s="649"/>
      <c r="RCS365" s="326"/>
      <c r="RCT365" s="368"/>
      <c r="RCU365" s="197"/>
      <c r="RCV365" s="650"/>
      <c r="RCW365" s="290"/>
      <c r="RCX365" s="291"/>
      <c r="RCY365" s="384"/>
      <c r="RCZ365" s="266"/>
      <c r="RDA365" s="649"/>
      <c r="RDB365" s="326"/>
      <c r="RDC365" s="368"/>
      <c r="RDD365" s="197"/>
      <c r="RDE365" s="650"/>
      <c r="RDF365" s="290"/>
      <c r="RDG365" s="291"/>
      <c r="RDH365" s="384"/>
      <c r="RDI365" s="266"/>
      <c r="RDJ365" s="649"/>
      <c r="RDK365" s="326"/>
      <c r="RDL365" s="368"/>
      <c r="RDM365" s="197"/>
      <c r="RDN365" s="650"/>
      <c r="RDO365" s="290"/>
      <c r="RDP365" s="291"/>
      <c r="RDQ365" s="384"/>
      <c r="RDR365" s="266"/>
      <c r="RDS365" s="649"/>
      <c r="RDT365" s="326"/>
      <c r="RDU365" s="368"/>
      <c r="RDV365" s="197"/>
      <c r="RDW365" s="650"/>
      <c r="RDX365" s="290"/>
      <c r="RDY365" s="291"/>
      <c r="RDZ365" s="384"/>
      <c r="REA365" s="266"/>
      <c r="REB365" s="649"/>
      <c r="REC365" s="326"/>
      <c r="RED365" s="368"/>
      <c r="REE365" s="197"/>
      <c r="REF365" s="650"/>
      <c r="REG365" s="290"/>
      <c r="REH365" s="291"/>
      <c r="REI365" s="384"/>
      <c r="REJ365" s="266"/>
      <c r="REK365" s="649"/>
      <c r="REL365" s="326"/>
      <c r="REM365" s="368"/>
      <c r="REN365" s="197"/>
      <c r="REO365" s="650"/>
      <c r="REP365" s="290"/>
      <c r="REQ365" s="291"/>
      <c r="RER365" s="384"/>
      <c r="RES365" s="266"/>
      <c r="RET365" s="649"/>
      <c r="REU365" s="326"/>
      <c r="REV365" s="368"/>
      <c r="REW365" s="197"/>
      <c r="REX365" s="650"/>
      <c r="REY365" s="290"/>
      <c r="REZ365" s="291"/>
      <c r="RFA365" s="384"/>
      <c r="RFB365" s="266"/>
      <c r="RFC365" s="649"/>
      <c r="RFD365" s="326"/>
      <c r="RFE365" s="368"/>
      <c r="RFF365" s="197"/>
      <c r="RFG365" s="650"/>
      <c r="RFH365" s="290"/>
      <c r="RFI365" s="291"/>
      <c r="RFJ365" s="384"/>
      <c r="RFK365" s="266"/>
      <c r="RFL365" s="649"/>
      <c r="RFM365" s="326"/>
      <c r="RFN365" s="368"/>
      <c r="RFO365" s="197"/>
      <c r="RFP365" s="650"/>
      <c r="RFQ365" s="290"/>
      <c r="RFR365" s="291"/>
      <c r="RFS365" s="384"/>
      <c r="RFT365" s="266"/>
      <c r="RFU365" s="649"/>
      <c r="RFV365" s="326"/>
      <c r="RFW365" s="368"/>
      <c r="RFX365" s="197"/>
      <c r="RFY365" s="650"/>
      <c r="RFZ365" s="290"/>
      <c r="RGA365" s="291"/>
      <c r="RGB365" s="384"/>
      <c r="RGC365" s="266"/>
      <c r="RGD365" s="649"/>
      <c r="RGE365" s="326"/>
      <c r="RGF365" s="368"/>
      <c r="RGG365" s="197"/>
      <c r="RGH365" s="650"/>
      <c r="RGI365" s="290"/>
      <c r="RGJ365" s="291"/>
      <c r="RGK365" s="384"/>
      <c r="RGL365" s="266"/>
      <c r="RGM365" s="649"/>
      <c r="RGN365" s="326"/>
      <c r="RGO365" s="368"/>
      <c r="RGP365" s="197"/>
      <c r="RGQ365" s="650"/>
      <c r="RGR365" s="290"/>
      <c r="RGS365" s="291"/>
      <c r="RGT365" s="384"/>
      <c r="RGU365" s="266"/>
      <c r="RGV365" s="649"/>
      <c r="RGW365" s="326"/>
      <c r="RGX365" s="368"/>
      <c r="RGY365" s="197"/>
      <c r="RGZ365" s="650"/>
      <c r="RHA365" s="290"/>
      <c r="RHB365" s="291"/>
      <c r="RHC365" s="384"/>
      <c r="RHD365" s="266"/>
      <c r="RHE365" s="649"/>
      <c r="RHF365" s="326"/>
      <c r="RHG365" s="368"/>
      <c r="RHH365" s="197"/>
      <c r="RHI365" s="650"/>
      <c r="RHJ365" s="290"/>
      <c r="RHK365" s="291"/>
      <c r="RHL365" s="384"/>
      <c r="RHM365" s="266"/>
      <c r="RHN365" s="649"/>
      <c r="RHO365" s="326"/>
      <c r="RHP365" s="368"/>
      <c r="RHQ365" s="197"/>
      <c r="RHR365" s="650"/>
      <c r="RHS365" s="290"/>
      <c r="RHT365" s="291"/>
      <c r="RHU365" s="384"/>
      <c r="RHV365" s="266"/>
      <c r="RHW365" s="649"/>
      <c r="RHX365" s="326"/>
      <c r="RHY365" s="368"/>
      <c r="RHZ365" s="197"/>
      <c r="RIA365" s="650"/>
      <c r="RIB365" s="290"/>
      <c r="RIC365" s="291"/>
      <c r="RID365" s="384"/>
      <c r="RIE365" s="266"/>
      <c r="RIF365" s="649"/>
      <c r="RIG365" s="326"/>
      <c r="RIH365" s="368"/>
      <c r="RII365" s="197"/>
      <c r="RIJ365" s="650"/>
      <c r="RIK365" s="290"/>
      <c r="RIL365" s="291"/>
      <c r="RIM365" s="384"/>
      <c r="RIN365" s="266"/>
      <c r="RIO365" s="649"/>
      <c r="RIP365" s="326"/>
      <c r="RIQ365" s="368"/>
      <c r="RIR365" s="197"/>
      <c r="RIS365" s="650"/>
      <c r="RIT365" s="290"/>
      <c r="RIU365" s="291"/>
      <c r="RIV365" s="384"/>
      <c r="RIW365" s="266"/>
      <c r="RIX365" s="649"/>
      <c r="RIY365" s="326"/>
      <c r="RIZ365" s="368"/>
      <c r="RJA365" s="197"/>
      <c r="RJB365" s="650"/>
      <c r="RJC365" s="290"/>
      <c r="RJD365" s="291"/>
      <c r="RJE365" s="384"/>
      <c r="RJF365" s="266"/>
      <c r="RJG365" s="649"/>
      <c r="RJH365" s="326"/>
      <c r="RJI365" s="368"/>
      <c r="RJJ365" s="197"/>
      <c r="RJK365" s="650"/>
      <c r="RJL365" s="290"/>
      <c r="RJM365" s="291"/>
      <c r="RJN365" s="384"/>
      <c r="RJO365" s="266"/>
      <c r="RJP365" s="649"/>
      <c r="RJQ365" s="326"/>
      <c r="RJR365" s="368"/>
      <c r="RJS365" s="197"/>
      <c r="RJT365" s="650"/>
      <c r="RJU365" s="290"/>
      <c r="RJV365" s="291"/>
      <c r="RJW365" s="384"/>
      <c r="RJX365" s="266"/>
      <c r="RJY365" s="649"/>
      <c r="RJZ365" s="326"/>
      <c r="RKA365" s="368"/>
      <c r="RKB365" s="197"/>
      <c r="RKC365" s="650"/>
      <c r="RKD365" s="290"/>
      <c r="RKE365" s="291"/>
      <c r="RKF365" s="384"/>
      <c r="RKG365" s="266"/>
      <c r="RKH365" s="649"/>
      <c r="RKI365" s="326"/>
      <c r="RKJ365" s="368"/>
      <c r="RKK365" s="197"/>
      <c r="RKL365" s="650"/>
      <c r="RKM365" s="290"/>
      <c r="RKN365" s="291"/>
      <c r="RKO365" s="384"/>
      <c r="RKP365" s="266"/>
      <c r="RKQ365" s="649"/>
      <c r="RKR365" s="326"/>
      <c r="RKS365" s="368"/>
      <c r="RKT365" s="197"/>
      <c r="RKU365" s="650"/>
      <c r="RKV365" s="290"/>
      <c r="RKW365" s="291"/>
      <c r="RKX365" s="384"/>
      <c r="RKY365" s="266"/>
      <c r="RKZ365" s="649"/>
      <c r="RLA365" s="326"/>
      <c r="RLB365" s="368"/>
      <c r="RLC365" s="197"/>
      <c r="RLD365" s="650"/>
      <c r="RLE365" s="290"/>
      <c r="RLF365" s="291"/>
      <c r="RLG365" s="384"/>
      <c r="RLH365" s="266"/>
      <c r="RLI365" s="649"/>
      <c r="RLJ365" s="326"/>
      <c r="RLK365" s="368"/>
      <c r="RLL365" s="197"/>
      <c r="RLM365" s="650"/>
      <c r="RLN365" s="290"/>
      <c r="RLO365" s="291"/>
      <c r="RLP365" s="384"/>
      <c r="RLQ365" s="266"/>
      <c r="RLR365" s="649"/>
      <c r="RLS365" s="326"/>
      <c r="RLT365" s="368"/>
      <c r="RLU365" s="197"/>
      <c r="RLV365" s="650"/>
      <c r="RLW365" s="290"/>
      <c r="RLX365" s="291"/>
      <c r="RLY365" s="384"/>
      <c r="RLZ365" s="266"/>
      <c r="RMA365" s="649"/>
      <c r="RMB365" s="326"/>
      <c r="RMC365" s="368"/>
      <c r="RMD365" s="197"/>
      <c r="RME365" s="650"/>
      <c r="RMF365" s="290"/>
      <c r="RMG365" s="291"/>
      <c r="RMH365" s="384"/>
      <c r="RMI365" s="266"/>
      <c r="RMJ365" s="649"/>
      <c r="RMK365" s="326"/>
      <c r="RML365" s="368"/>
      <c r="RMM365" s="197"/>
      <c r="RMN365" s="650"/>
      <c r="RMO365" s="290"/>
      <c r="RMP365" s="291"/>
      <c r="RMQ365" s="384"/>
      <c r="RMR365" s="266"/>
      <c r="RMS365" s="649"/>
      <c r="RMT365" s="326"/>
      <c r="RMU365" s="368"/>
      <c r="RMV365" s="197"/>
      <c r="RMW365" s="650"/>
      <c r="RMX365" s="290"/>
      <c r="RMY365" s="291"/>
      <c r="RMZ365" s="384"/>
      <c r="RNA365" s="266"/>
      <c r="RNB365" s="649"/>
      <c r="RNC365" s="326"/>
      <c r="RND365" s="368"/>
      <c r="RNE365" s="197"/>
      <c r="RNF365" s="650"/>
      <c r="RNG365" s="290"/>
      <c r="RNH365" s="291"/>
      <c r="RNI365" s="384"/>
      <c r="RNJ365" s="266"/>
      <c r="RNK365" s="649"/>
      <c r="RNL365" s="326"/>
      <c r="RNM365" s="368"/>
      <c r="RNN365" s="197"/>
      <c r="RNO365" s="650"/>
      <c r="RNP365" s="290"/>
      <c r="RNQ365" s="291"/>
      <c r="RNR365" s="384"/>
      <c r="RNS365" s="266"/>
      <c r="RNT365" s="649"/>
      <c r="RNU365" s="326"/>
      <c r="RNV365" s="368"/>
      <c r="RNW365" s="197"/>
      <c r="RNX365" s="650"/>
      <c r="RNY365" s="290"/>
      <c r="RNZ365" s="291"/>
      <c r="ROA365" s="384"/>
      <c r="ROB365" s="266"/>
      <c r="ROC365" s="649"/>
      <c r="ROD365" s="326"/>
      <c r="ROE365" s="368"/>
      <c r="ROF365" s="197"/>
      <c r="ROG365" s="650"/>
      <c r="ROH365" s="290"/>
      <c r="ROI365" s="291"/>
      <c r="ROJ365" s="384"/>
      <c r="ROK365" s="266"/>
      <c r="ROL365" s="649"/>
      <c r="ROM365" s="326"/>
      <c r="RON365" s="368"/>
      <c r="ROO365" s="197"/>
      <c r="ROP365" s="650"/>
      <c r="ROQ365" s="290"/>
      <c r="ROR365" s="291"/>
      <c r="ROS365" s="384"/>
      <c r="ROT365" s="266"/>
      <c r="ROU365" s="649"/>
      <c r="ROV365" s="326"/>
      <c r="ROW365" s="368"/>
      <c r="ROX365" s="197"/>
      <c r="ROY365" s="650"/>
      <c r="ROZ365" s="290"/>
      <c r="RPA365" s="291"/>
      <c r="RPB365" s="384"/>
      <c r="RPC365" s="266"/>
      <c r="RPD365" s="649"/>
      <c r="RPE365" s="326"/>
      <c r="RPF365" s="368"/>
      <c r="RPG365" s="197"/>
      <c r="RPH365" s="650"/>
      <c r="RPI365" s="290"/>
      <c r="RPJ365" s="291"/>
      <c r="RPK365" s="384"/>
      <c r="RPL365" s="266"/>
      <c r="RPM365" s="649"/>
      <c r="RPN365" s="326"/>
      <c r="RPO365" s="368"/>
      <c r="RPP365" s="197"/>
      <c r="RPQ365" s="650"/>
      <c r="RPR365" s="290"/>
      <c r="RPS365" s="291"/>
      <c r="RPT365" s="384"/>
      <c r="RPU365" s="266"/>
      <c r="RPV365" s="649"/>
      <c r="RPW365" s="326"/>
      <c r="RPX365" s="368"/>
      <c r="RPY365" s="197"/>
      <c r="RPZ365" s="650"/>
      <c r="RQA365" s="290"/>
      <c r="RQB365" s="291"/>
      <c r="RQC365" s="384"/>
      <c r="RQD365" s="266"/>
      <c r="RQE365" s="649"/>
      <c r="RQF365" s="326"/>
      <c r="RQG365" s="368"/>
      <c r="RQH365" s="197"/>
      <c r="RQI365" s="650"/>
      <c r="RQJ365" s="290"/>
      <c r="RQK365" s="291"/>
      <c r="RQL365" s="384"/>
      <c r="RQM365" s="266"/>
      <c r="RQN365" s="649"/>
      <c r="RQO365" s="326"/>
      <c r="RQP365" s="368"/>
      <c r="RQQ365" s="197"/>
      <c r="RQR365" s="650"/>
      <c r="RQS365" s="290"/>
      <c r="RQT365" s="291"/>
      <c r="RQU365" s="384"/>
      <c r="RQV365" s="266"/>
      <c r="RQW365" s="649"/>
      <c r="RQX365" s="326"/>
      <c r="RQY365" s="368"/>
      <c r="RQZ365" s="197"/>
      <c r="RRA365" s="650"/>
      <c r="RRB365" s="290"/>
      <c r="RRC365" s="291"/>
      <c r="RRD365" s="384"/>
      <c r="RRE365" s="266"/>
      <c r="RRF365" s="649"/>
      <c r="RRG365" s="326"/>
      <c r="RRH365" s="368"/>
      <c r="RRI365" s="197"/>
      <c r="RRJ365" s="650"/>
      <c r="RRK365" s="290"/>
      <c r="RRL365" s="291"/>
      <c r="RRM365" s="384"/>
      <c r="RRN365" s="266"/>
      <c r="RRO365" s="649"/>
      <c r="RRP365" s="326"/>
      <c r="RRQ365" s="368"/>
      <c r="RRR365" s="197"/>
      <c r="RRS365" s="650"/>
      <c r="RRT365" s="290"/>
      <c r="RRU365" s="291"/>
      <c r="RRV365" s="384"/>
      <c r="RRW365" s="266"/>
      <c r="RRX365" s="649"/>
      <c r="RRY365" s="326"/>
      <c r="RRZ365" s="368"/>
      <c r="RSA365" s="197"/>
      <c r="RSB365" s="650"/>
      <c r="RSC365" s="290"/>
      <c r="RSD365" s="291"/>
      <c r="RSE365" s="384"/>
      <c r="RSF365" s="266"/>
      <c r="RSG365" s="649"/>
      <c r="RSH365" s="326"/>
      <c r="RSI365" s="368"/>
      <c r="RSJ365" s="197"/>
      <c r="RSK365" s="650"/>
      <c r="RSL365" s="290"/>
      <c r="RSM365" s="291"/>
      <c r="RSN365" s="384"/>
      <c r="RSO365" s="266"/>
      <c r="RSP365" s="649"/>
      <c r="RSQ365" s="326"/>
      <c r="RSR365" s="368"/>
      <c r="RSS365" s="197"/>
      <c r="RST365" s="650"/>
      <c r="RSU365" s="290"/>
      <c r="RSV365" s="291"/>
      <c r="RSW365" s="384"/>
      <c r="RSX365" s="266"/>
      <c r="RSY365" s="649"/>
      <c r="RSZ365" s="326"/>
      <c r="RTA365" s="368"/>
      <c r="RTB365" s="197"/>
      <c r="RTC365" s="650"/>
      <c r="RTD365" s="290"/>
      <c r="RTE365" s="291"/>
      <c r="RTF365" s="384"/>
      <c r="RTG365" s="266"/>
      <c r="RTH365" s="649"/>
      <c r="RTI365" s="326"/>
      <c r="RTJ365" s="368"/>
      <c r="RTK365" s="197"/>
      <c r="RTL365" s="650"/>
      <c r="RTM365" s="290"/>
      <c r="RTN365" s="291"/>
      <c r="RTO365" s="384"/>
      <c r="RTP365" s="266"/>
      <c r="RTQ365" s="649"/>
      <c r="RTR365" s="326"/>
      <c r="RTS365" s="368"/>
      <c r="RTT365" s="197"/>
      <c r="RTU365" s="650"/>
      <c r="RTV365" s="290"/>
      <c r="RTW365" s="291"/>
      <c r="RTX365" s="384"/>
      <c r="RTY365" s="266"/>
      <c r="RTZ365" s="649"/>
      <c r="RUA365" s="326"/>
      <c r="RUB365" s="368"/>
      <c r="RUC365" s="197"/>
      <c r="RUD365" s="650"/>
      <c r="RUE365" s="290"/>
      <c r="RUF365" s="291"/>
      <c r="RUG365" s="384"/>
      <c r="RUH365" s="266"/>
      <c r="RUI365" s="649"/>
      <c r="RUJ365" s="326"/>
      <c r="RUK365" s="368"/>
      <c r="RUL365" s="197"/>
      <c r="RUM365" s="650"/>
      <c r="RUN365" s="290"/>
      <c r="RUO365" s="291"/>
      <c r="RUP365" s="384"/>
      <c r="RUQ365" s="266"/>
      <c r="RUR365" s="649"/>
      <c r="RUS365" s="326"/>
      <c r="RUT365" s="368"/>
      <c r="RUU365" s="197"/>
      <c r="RUV365" s="650"/>
      <c r="RUW365" s="290"/>
      <c r="RUX365" s="291"/>
      <c r="RUY365" s="384"/>
      <c r="RUZ365" s="266"/>
      <c r="RVA365" s="649"/>
      <c r="RVB365" s="326"/>
      <c r="RVC365" s="368"/>
      <c r="RVD365" s="197"/>
      <c r="RVE365" s="650"/>
      <c r="RVF365" s="290"/>
      <c r="RVG365" s="291"/>
      <c r="RVH365" s="384"/>
      <c r="RVI365" s="266"/>
      <c r="RVJ365" s="649"/>
      <c r="RVK365" s="326"/>
      <c r="RVL365" s="368"/>
      <c r="RVM365" s="197"/>
      <c r="RVN365" s="650"/>
      <c r="RVO365" s="290"/>
      <c r="RVP365" s="291"/>
      <c r="RVQ365" s="384"/>
      <c r="RVR365" s="266"/>
      <c r="RVS365" s="649"/>
      <c r="RVT365" s="326"/>
      <c r="RVU365" s="368"/>
      <c r="RVV365" s="197"/>
      <c r="RVW365" s="650"/>
      <c r="RVX365" s="290"/>
      <c r="RVY365" s="291"/>
      <c r="RVZ365" s="384"/>
      <c r="RWA365" s="266"/>
      <c r="RWB365" s="649"/>
      <c r="RWC365" s="326"/>
      <c r="RWD365" s="368"/>
      <c r="RWE365" s="197"/>
      <c r="RWF365" s="650"/>
      <c r="RWG365" s="290"/>
      <c r="RWH365" s="291"/>
      <c r="RWI365" s="384"/>
      <c r="RWJ365" s="266"/>
      <c r="RWK365" s="649"/>
      <c r="RWL365" s="326"/>
      <c r="RWM365" s="368"/>
      <c r="RWN365" s="197"/>
      <c r="RWO365" s="650"/>
      <c r="RWP365" s="290"/>
      <c r="RWQ365" s="291"/>
      <c r="RWR365" s="384"/>
      <c r="RWS365" s="266"/>
      <c r="RWT365" s="649"/>
      <c r="RWU365" s="326"/>
      <c r="RWV365" s="368"/>
      <c r="RWW365" s="197"/>
      <c r="RWX365" s="650"/>
      <c r="RWY365" s="290"/>
      <c r="RWZ365" s="291"/>
      <c r="RXA365" s="384"/>
      <c r="RXB365" s="266"/>
      <c r="RXC365" s="649"/>
      <c r="RXD365" s="326"/>
      <c r="RXE365" s="368"/>
      <c r="RXF365" s="197"/>
      <c r="RXG365" s="650"/>
      <c r="RXH365" s="290"/>
      <c r="RXI365" s="291"/>
      <c r="RXJ365" s="384"/>
      <c r="RXK365" s="266"/>
      <c r="RXL365" s="649"/>
      <c r="RXM365" s="326"/>
      <c r="RXN365" s="368"/>
      <c r="RXO365" s="197"/>
      <c r="RXP365" s="650"/>
      <c r="RXQ365" s="290"/>
      <c r="RXR365" s="291"/>
      <c r="RXS365" s="384"/>
      <c r="RXT365" s="266"/>
      <c r="RXU365" s="649"/>
      <c r="RXV365" s="326"/>
      <c r="RXW365" s="368"/>
      <c r="RXX365" s="197"/>
      <c r="RXY365" s="650"/>
      <c r="RXZ365" s="290"/>
      <c r="RYA365" s="291"/>
      <c r="RYB365" s="384"/>
      <c r="RYC365" s="266"/>
      <c r="RYD365" s="649"/>
      <c r="RYE365" s="326"/>
      <c r="RYF365" s="368"/>
      <c r="RYG365" s="197"/>
      <c r="RYH365" s="650"/>
      <c r="RYI365" s="290"/>
      <c r="RYJ365" s="291"/>
      <c r="RYK365" s="384"/>
      <c r="RYL365" s="266"/>
      <c r="RYM365" s="649"/>
      <c r="RYN365" s="326"/>
      <c r="RYO365" s="368"/>
      <c r="RYP365" s="197"/>
      <c r="RYQ365" s="650"/>
      <c r="RYR365" s="290"/>
      <c r="RYS365" s="291"/>
      <c r="RYT365" s="384"/>
      <c r="RYU365" s="266"/>
      <c r="RYV365" s="649"/>
      <c r="RYW365" s="326"/>
      <c r="RYX365" s="368"/>
      <c r="RYY365" s="197"/>
      <c r="RYZ365" s="650"/>
      <c r="RZA365" s="290"/>
      <c r="RZB365" s="291"/>
      <c r="RZC365" s="384"/>
      <c r="RZD365" s="266"/>
      <c r="RZE365" s="649"/>
      <c r="RZF365" s="326"/>
      <c r="RZG365" s="368"/>
      <c r="RZH365" s="197"/>
      <c r="RZI365" s="650"/>
      <c r="RZJ365" s="290"/>
      <c r="RZK365" s="291"/>
      <c r="RZL365" s="384"/>
      <c r="RZM365" s="266"/>
      <c r="RZN365" s="649"/>
      <c r="RZO365" s="326"/>
      <c r="RZP365" s="368"/>
      <c r="RZQ365" s="197"/>
      <c r="RZR365" s="650"/>
      <c r="RZS365" s="290"/>
      <c r="RZT365" s="291"/>
      <c r="RZU365" s="384"/>
      <c r="RZV365" s="266"/>
      <c r="RZW365" s="649"/>
      <c r="RZX365" s="326"/>
      <c r="RZY365" s="368"/>
      <c r="RZZ365" s="197"/>
      <c r="SAA365" s="650"/>
      <c r="SAB365" s="290"/>
      <c r="SAC365" s="291"/>
      <c r="SAD365" s="384"/>
      <c r="SAE365" s="266"/>
      <c r="SAF365" s="649"/>
      <c r="SAG365" s="326"/>
      <c r="SAH365" s="368"/>
      <c r="SAI365" s="197"/>
      <c r="SAJ365" s="650"/>
      <c r="SAK365" s="290"/>
      <c r="SAL365" s="291"/>
      <c r="SAM365" s="384"/>
      <c r="SAN365" s="266"/>
      <c r="SAO365" s="649"/>
      <c r="SAP365" s="326"/>
      <c r="SAQ365" s="368"/>
      <c r="SAR365" s="197"/>
      <c r="SAS365" s="650"/>
      <c r="SAT365" s="290"/>
      <c r="SAU365" s="291"/>
      <c r="SAV365" s="384"/>
      <c r="SAW365" s="266"/>
      <c r="SAX365" s="649"/>
      <c r="SAY365" s="326"/>
      <c r="SAZ365" s="368"/>
      <c r="SBA365" s="197"/>
      <c r="SBB365" s="650"/>
      <c r="SBC365" s="290"/>
      <c r="SBD365" s="291"/>
      <c r="SBE365" s="384"/>
      <c r="SBF365" s="266"/>
      <c r="SBG365" s="649"/>
      <c r="SBH365" s="326"/>
      <c r="SBI365" s="368"/>
      <c r="SBJ365" s="197"/>
      <c r="SBK365" s="650"/>
      <c r="SBL365" s="290"/>
      <c r="SBM365" s="291"/>
      <c r="SBN365" s="384"/>
      <c r="SBO365" s="266"/>
      <c r="SBP365" s="649"/>
      <c r="SBQ365" s="326"/>
      <c r="SBR365" s="368"/>
      <c r="SBS365" s="197"/>
      <c r="SBT365" s="650"/>
      <c r="SBU365" s="290"/>
      <c r="SBV365" s="291"/>
      <c r="SBW365" s="384"/>
      <c r="SBX365" s="266"/>
      <c r="SBY365" s="649"/>
      <c r="SBZ365" s="326"/>
      <c r="SCA365" s="368"/>
      <c r="SCB365" s="197"/>
      <c r="SCC365" s="650"/>
      <c r="SCD365" s="290"/>
      <c r="SCE365" s="291"/>
      <c r="SCF365" s="384"/>
      <c r="SCG365" s="266"/>
      <c r="SCH365" s="649"/>
      <c r="SCI365" s="326"/>
      <c r="SCJ365" s="368"/>
      <c r="SCK365" s="197"/>
      <c r="SCL365" s="650"/>
      <c r="SCM365" s="290"/>
      <c r="SCN365" s="291"/>
      <c r="SCO365" s="384"/>
      <c r="SCP365" s="266"/>
      <c r="SCQ365" s="649"/>
      <c r="SCR365" s="326"/>
      <c r="SCS365" s="368"/>
      <c r="SCT365" s="197"/>
      <c r="SCU365" s="650"/>
      <c r="SCV365" s="290"/>
      <c r="SCW365" s="291"/>
      <c r="SCX365" s="384"/>
      <c r="SCY365" s="266"/>
      <c r="SCZ365" s="649"/>
      <c r="SDA365" s="326"/>
      <c r="SDB365" s="368"/>
      <c r="SDC365" s="197"/>
      <c r="SDD365" s="650"/>
      <c r="SDE365" s="290"/>
      <c r="SDF365" s="291"/>
      <c r="SDG365" s="384"/>
      <c r="SDH365" s="266"/>
      <c r="SDI365" s="649"/>
      <c r="SDJ365" s="326"/>
      <c r="SDK365" s="368"/>
      <c r="SDL365" s="197"/>
      <c r="SDM365" s="650"/>
      <c r="SDN365" s="290"/>
      <c r="SDO365" s="291"/>
      <c r="SDP365" s="384"/>
      <c r="SDQ365" s="266"/>
      <c r="SDR365" s="649"/>
      <c r="SDS365" s="326"/>
      <c r="SDT365" s="368"/>
      <c r="SDU365" s="197"/>
      <c r="SDV365" s="650"/>
      <c r="SDW365" s="290"/>
      <c r="SDX365" s="291"/>
      <c r="SDY365" s="384"/>
      <c r="SDZ365" s="266"/>
      <c r="SEA365" s="649"/>
      <c r="SEB365" s="326"/>
      <c r="SEC365" s="368"/>
      <c r="SED365" s="197"/>
      <c r="SEE365" s="650"/>
      <c r="SEF365" s="290"/>
      <c r="SEG365" s="291"/>
      <c r="SEH365" s="384"/>
      <c r="SEI365" s="266"/>
      <c r="SEJ365" s="649"/>
      <c r="SEK365" s="326"/>
      <c r="SEL365" s="368"/>
      <c r="SEM365" s="197"/>
      <c r="SEN365" s="650"/>
      <c r="SEO365" s="290"/>
      <c r="SEP365" s="291"/>
      <c r="SEQ365" s="384"/>
      <c r="SER365" s="266"/>
      <c r="SES365" s="649"/>
      <c r="SET365" s="326"/>
      <c r="SEU365" s="368"/>
      <c r="SEV365" s="197"/>
      <c r="SEW365" s="650"/>
      <c r="SEX365" s="290"/>
      <c r="SEY365" s="291"/>
      <c r="SEZ365" s="384"/>
      <c r="SFA365" s="266"/>
      <c r="SFB365" s="649"/>
      <c r="SFC365" s="326"/>
      <c r="SFD365" s="368"/>
      <c r="SFE365" s="197"/>
      <c r="SFF365" s="650"/>
      <c r="SFG365" s="290"/>
      <c r="SFH365" s="291"/>
      <c r="SFI365" s="384"/>
      <c r="SFJ365" s="266"/>
      <c r="SFK365" s="649"/>
      <c r="SFL365" s="326"/>
      <c r="SFM365" s="368"/>
      <c r="SFN365" s="197"/>
      <c r="SFO365" s="650"/>
      <c r="SFP365" s="290"/>
      <c r="SFQ365" s="291"/>
      <c r="SFR365" s="384"/>
      <c r="SFS365" s="266"/>
      <c r="SFT365" s="649"/>
      <c r="SFU365" s="326"/>
      <c r="SFV365" s="368"/>
      <c r="SFW365" s="197"/>
      <c r="SFX365" s="650"/>
      <c r="SFY365" s="290"/>
      <c r="SFZ365" s="291"/>
      <c r="SGA365" s="384"/>
      <c r="SGB365" s="266"/>
      <c r="SGC365" s="649"/>
      <c r="SGD365" s="326"/>
      <c r="SGE365" s="368"/>
      <c r="SGF365" s="197"/>
      <c r="SGG365" s="650"/>
      <c r="SGH365" s="290"/>
      <c r="SGI365" s="291"/>
      <c r="SGJ365" s="384"/>
      <c r="SGK365" s="266"/>
      <c r="SGL365" s="649"/>
      <c r="SGM365" s="326"/>
      <c r="SGN365" s="368"/>
      <c r="SGO365" s="197"/>
      <c r="SGP365" s="650"/>
      <c r="SGQ365" s="290"/>
      <c r="SGR365" s="291"/>
      <c r="SGS365" s="384"/>
      <c r="SGT365" s="266"/>
      <c r="SGU365" s="649"/>
      <c r="SGV365" s="326"/>
      <c r="SGW365" s="368"/>
      <c r="SGX365" s="197"/>
      <c r="SGY365" s="650"/>
      <c r="SGZ365" s="290"/>
      <c r="SHA365" s="291"/>
      <c r="SHB365" s="384"/>
      <c r="SHC365" s="266"/>
      <c r="SHD365" s="649"/>
      <c r="SHE365" s="326"/>
      <c r="SHF365" s="368"/>
      <c r="SHG365" s="197"/>
      <c r="SHH365" s="650"/>
      <c r="SHI365" s="290"/>
      <c r="SHJ365" s="291"/>
      <c r="SHK365" s="384"/>
      <c r="SHL365" s="266"/>
      <c r="SHM365" s="649"/>
      <c r="SHN365" s="326"/>
      <c r="SHO365" s="368"/>
      <c r="SHP365" s="197"/>
      <c r="SHQ365" s="650"/>
      <c r="SHR365" s="290"/>
      <c r="SHS365" s="291"/>
      <c r="SHT365" s="384"/>
      <c r="SHU365" s="266"/>
      <c r="SHV365" s="649"/>
      <c r="SHW365" s="326"/>
      <c r="SHX365" s="368"/>
      <c r="SHY365" s="197"/>
      <c r="SHZ365" s="650"/>
      <c r="SIA365" s="290"/>
      <c r="SIB365" s="291"/>
      <c r="SIC365" s="384"/>
      <c r="SID365" s="266"/>
      <c r="SIE365" s="649"/>
      <c r="SIF365" s="326"/>
      <c r="SIG365" s="368"/>
      <c r="SIH365" s="197"/>
      <c r="SII365" s="650"/>
      <c r="SIJ365" s="290"/>
      <c r="SIK365" s="291"/>
      <c r="SIL365" s="384"/>
      <c r="SIM365" s="266"/>
      <c r="SIN365" s="649"/>
      <c r="SIO365" s="326"/>
      <c r="SIP365" s="368"/>
      <c r="SIQ365" s="197"/>
      <c r="SIR365" s="650"/>
      <c r="SIS365" s="290"/>
      <c r="SIT365" s="291"/>
      <c r="SIU365" s="384"/>
      <c r="SIV365" s="266"/>
      <c r="SIW365" s="649"/>
      <c r="SIX365" s="326"/>
      <c r="SIY365" s="368"/>
      <c r="SIZ365" s="197"/>
      <c r="SJA365" s="650"/>
      <c r="SJB365" s="290"/>
      <c r="SJC365" s="291"/>
      <c r="SJD365" s="384"/>
      <c r="SJE365" s="266"/>
      <c r="SJF365" s="649"/>
      <c r="SJG365" s="326"/>
      <c r="SJH365" s="368"/>
      <c r="SJI365" s="197"/>
      <c r="SJJ365" s="650"/>
      <c r="SJK365" s="290"/>
      <c r="SJL365" s="291"/>
      <c r="SJM365" s="384"/>
      <c r="SJN365" s="266"/>
      <c r="SJO365" s="649"/>
      <c r="SJP365" s="326"/>
      <c r="SJQ365" s="368"/>
      <c r="SJR365" s="197"/>
      <c r="SJS365" s="650"/>
      <c r="SJT365" s="290"/>
      <c r="SJU365" s="291"/>
      <c r="SJV365" s="384"/>
      <c r="SJW365" s="266"/>
      <c r="SJX365" s="649"/>
      <c r="SJY365" s="326"/>
      <c r="SJZ365" s="368"/>
      <c r="SKA365" s="197"/>
      <c r="SKB365" s="650"/>
      <c r="SKC365" s="290"/>
      <c r="SKD365" s="291"/>
      <c r="SKE365" s="384"/>
      <c r="SKF365" s="266"/>
      <c r="SKG365" s="649"/>
      <c r="SKH365" s="326"/>
      <c r="SKI365" s="368"/>
      <c r="SKJ365" s="197"/>
      <c r="SKK365" s="650"/>
      <c r="SKL365" s="290"/>
      <c r="SKM365" s="291"/>
      <c r="SKN365" s="384"/>
      <c r="SKO365" s="266"/>
      <c r="SKP365" s="649"/>
      <c r="SKQ365" s="326"/>
      <c r="SKR365" s="368"/>
      <c r="SKS365" s="197"/>
      <c r="SKT365" s="650"/>
      <c r="SKU365" s="290"/>
      <c r="SKV365" s="291"/>
      <c r="SKW365" s="384"/>
      <c r="SKX365" s="266"/>
      <c r="SKY365" s="649"/>
      <c r="SKZ365" s="326"/>
      <c r="SLA365" s="368"/>
      <c r="SLB365" s="197"/>
      <c r="SLC365" s="650"/>
      <c r="SLD365" s="290"/>
      <c r="SLE365" s="291"/>
      <c r="SLF365" s="384"/>
      <c r="SLG365" s="266"/>
      <c r="SLH365" s="649"/>
      <c r="SLI365" s="326"/>
      <c r="SLJ365" s="368"/>
      <c r="SLK365" s="197"/>
      <c r="SLL365" s="650"/>
      <c r="SLM365" s="290"/>
      <c r="SLN365" s="291"/>
      <c r="SLO365" s="384"/>
      <c r="SLP365" s="266"/>
      <c r="SLQ365" s="649"/>
      <c r="SLR365" s="326"/>
      <c r="SLS365" s="368"/>
      <c r="SLT365" s="197"/>
      <c r="SLU365" s="650"/>
      <c r="SLV365" s="290"/>
      <c r="SLW365" s="291"/>
      <c r="SLX365" s="384"/>
      <c r="SLY365" s="266"/>
      <c r="SLZ365" s="649"/>
      <c r="SMA365" s="326"/>
      <c r="SMB365" s="368"/>
      <c r="SMC365" s="197"/>
      <c r="SMD365" s="650"/>
      <c r="SME365" s="290"/>
      <c r="SMF365" s="291"/>
      <c r="SMG365" s="384"/>
      <c r="SMH365" s="266"/>
      <c r="SMI365" s="649"/>
      <c r="SMJ365" s="326"/>
      <c r="SMK365" s="368"/>
      <c r="SML365" s="197"/>
      <c r="SMM365" s="650"/>
      <c r="SMN365" s="290"/>
      <c r="SMO365" s="291"/>
      <c r="SMP365" s="384"/>
      <c r="SMQ365" s="266"/>
      <c r="SMR365" s="649"/>
      <c r="SMS365" s="326"/>
      <c r="SMT365" s="368"/>
      <c r="SMU365" s="197"/>
      <c r="SMV365" s="650"/>
      <c r="SMW365" s="290"/>
      <c r="SMX365" s="291"/>
      <c r="SMY365" s="384"/>
      <c r="SMZ365" s="266"/>
      <c r="SNA365" s="649"/>
      <c r="SNB365" s="326"/>
      <c r="SNC365" s="368"/>
      <c r="SND365" s="197"/>
      <c r="SNE365" s="650"/>
      <c r="SNF365" s="290"/>
      <c r="SNG365" s="291"/>
      <c r="SNH365" s="384"/>
      <c r="SNI365" s="266"/>
      <c r="SNJ365" s="649"/>
      <c r="SNK365" s="326"/>
      <c r="SNL365" s="368"/>
      <c r="SNM365" s="197"/>
      <c r="SNN365" s="650"/>
      <c r="SNO365" s="290"/>
      <c r="SNP365" s="291"/>
      <c r="SNQ365" s="384"/>
      <c r="SNR365" s="266"/>
      <c r="SNS365" s="649"/>
      <c r="SNT365" s="326"/>
      <c r="SNU365" s="368"/>
      <c r="SNV365" s="197"/>
      <c r="SNW365" s="650"/>
      <c r="SNX365" s="290"/>
      <c r="SNY365" s="291"/>
      <c r="SNZ365" s="384"/>
      <c r="SOA365" s="266"/>
      <c r="SOB365" s="649"/>
      <c r="SOC365" s="326"/>
      <c r="SOD365" s="368"/>
      <c r="SOE365" s="197"/>
      <c r="SOF365" s="650"/>
      <c r="SOG365" s="290"/>
      <c r="SOH365" s="291"/>
      <c r="SOI365" s="384"/>
      <c r="SOJ365" s="266"/>
      <c r="SOK365" s="649"/>
      <c r="SOL365" s="326"/>
      <c r="SOM365" s="368"/>
      <c r="SON365" s="197"/>
      <c r="SOO365" s="650"/>
      <c r="SOP365" s="290"/>
      <c r="SOQ365" s="291"/>
      <c r="SOR365" s="384"/>
      <c r="SOS365" s="266"/>
      <c r="SOT365" s="649"/>
      <c r="SOU365" s="326"/>
      <c r="SOV365" s="368"/>
      <c r="SOW365" s="197"/>
      <c r="SOX365" s="650"/>
      <c r="SOY365" s="290"/>
      <c r="SOZ365" s="291"/>
      <c r="SPA365" s="384"/>
      <c r="SPB365" s="266"/>
      <c r="SPC365" s="649"/>
      <c r="SPD365" s="326"/>
      <c r="SPE365" s="368"/>
      <c r="SPF365" s="197"/>
      <c r="SPG365" s="650"/>
      <c r="SPH365" s="290"/>
      <c r="SPI365" s="291"/>
      <c r="SPJ365" s="384"/>
      <c r="SPK365" s="266"/>
      <c r="SPL365" s="649"/>
      <c r="SPM365" s="326"/>
      <c r="SPN365" s="368"/>
      <c r="SPO365" s="197"/>
      <c r="SPP365" s="650"/>
      <c r="SPQ365" s="290"/>
      <c r="SPR365" s="291"/>
      <c r="SPS365" s="384"/>
      <c r="SPT365" s="266"/>
      <c r="SPU365" s="649"/>
      <c r="SPV365" s="326"/>
      <c r="SPW365" s="368"/>
      <c r="SPX365" s="197"/>
      <c r="SPY365" s="650"/>
      <c r="SPZ365" s="290"/>
      <c r="SQA365" s="291"/>
      <c r="SQB365" s="384"/>
      <c r="SQC365" s="266"/>
      <c r="SQD365" s="649"/>
      <c r="SQE365" s="326"/>
      <c r="SQF365" s="368"/>
      <c r="SQG365" s="197"/>
      <c r="SQH365" s="650"/>
      <c r="SQI365" s="290"/>
      <c r="SQJ365" s="291"/>
      <c r="SQK365" s="384"/>
      <c r="SQL365" s="266"/>
      <c r="SQM365" s="649"/>
      <c r="SQN365" s="326"/>
      <c r="SQO365" s="368"/>
      <c r="SQP365" s="197"/>
      <c r="SQQ365" s="650"/>
      <c r="SQR365" s="290"/>
      <c r="SQS365" s="291"/>
      <c r="SQT365" s="384"/>
      <c r="SQU365" s="266"/>
      <c r="SQV365" s="649"/>
      <c r="SQW365" s="326"/>
      <c r="SQX365" s="368"/>
      <c r="SQY365" s="197"/>
      <c r="SQZ365" s="650"/>
      <c r="SRA365" s="290"/>
      <c r="SRB365" s="291"/>
      <c r="SRC365" s="384"/>
      <c r="SRD365" s="266"/>
      <c r="SRE365" s="649"/>
      <c r="SRF365" s="326"/>
      <c r="SRG365" s="368"/>
      <c r="SRH365" s="197"/>
      <c r="SRI365" s="650"/>
      <c r="SRJ365" s="290"/>
      <c r="SRK365" s="291"/>
      <c r="SRL365" s="384"/>
      <c r="SRM365" s="266"/>
      <c r="SRN365" s="649"/>
      <c r="SRO365" s="326"/>
      <c r="SRP365" s="368"/>
      <c r="SRQ365" s="197"/>
      <c r="SRR365" s="650"/>
      <c r="SRS365" s="290"/>
      <c r="SRT365" s="291"/>
      <c r="SRU365" s="384"/>
      <c r="SRV365" s="266"/>
      <c r="SRW365" s="649"/>
      <c r="SRX365" s="326"/>
      <c r="SRY365" s="368"/>
      <c r="SRZ365" s="197"/>
      <c r="SSA365" s="650"/>
      <c r="SSB365" s="290"/>
      <c r="SSC365" s="291"/>
      <c r="SSD365" s="384"/>
      <c r="SSE365" s="266"/>
      <c r="SSF365" s="649"/>
      <c r="SSG365" s="326"/>
      <c r="SSH365" s="368"/>
      <c r="SSI365" s="197"/>
      <c r="SSJ365" s="650"/>
      <c r="SSK365" s="290"/>
      <c r="SSL365" s="291"/>
      <c r="SSM365" s="384"/>
      <c r="SSN365" s="266"/>
      <c r="SSO365" s="649"/>
      <c r="SSP365" s="326"/>
      <c r="SSQ365" s="368"/>
      <c r="SSR365" s="197"/>
      <c r="SSS365" s="650"/>
      <c r="SST365" s="290"/>
      <c r="SSU365" s="291"/>
      <c r="SSV365" s="384"/>
      <c r="SSW365" s="266"/>
      <c r="SSX365" s="649"/>
      <c r="SSY365" s="326"/>
      <c r="SSZ365" s="368"/>
      <c r="STA365" s="197"/>
      <c r="STB365" s="650"/>
      <c r="STC365" s="290"/>
      <c r="STD365" s="291"/>
      <c r="STE365" s="384"/>
      <c r="STF365" s="266"/>
      <c r="STG365" s="649"/>
      <c r="STH365" s="326"/>
      <c r="STI365" s="368"/>
      <c r="STJ365" s="197"/>
      <c r="STK365" s="650"/>
      <c r="STL365" s="290"/>
      <c r="STM365" s="291"/>
      <c r="STN365" s="384"/>
      <c r="STO365" s="266"/>
      <c r="STP365" s="649"/>
      <c r="STQ365" s="326"/>
      <c r="STR365" s="368"/>
      <c r="STS365" s="197"/>
      <c r="STT365" s="650"/>
      <c r="STU365" s="290"/>
      <c r="STV365" s="291"/>
      <c r="STW365" s="384"/>
      <c r="STX365" s="266"/>
      <c r="STY365" s="649"/>
      <c r="STZ365" s="326"/>
      <c r="SUA365" s="368"/>
      <c r="SUB365" s="197"/>
      <c r="SUC365" s="650"/>
      <c r="SUD365" s="290"/>
      <c r="SUE365" s="291"/>
      <c r="SUF365" s="384"/>
      <c r="SUG365" s="266"/>
      <c r="SUH365" s="649"/>
      <c r="SUI365" s="326"/>
      <c r="SUJ365" s="368"/>
      <c r="SUK365" s="197"/>
      <c r="SUL365" s="650"/>
      <c r="SUM365" s="290"/>
      <c r="SUN365" s="291"/>
      <c r="SUO365" s="384"/>
      <c r="SUP365" s="266"/>
      <c r="SUQ365" s="649"/>
      <c r="SUR365" s="326"/>
      <c r="SUS365" s="368"/>
      <c r="SUT365" s="197"/>
      <c r="SUU365" s="650"/>
      <c r="SUV365" s="290"/>
      <c r="SUW365" s="291"/>
      <c r="SUX365" s="384"/>
      <c r="SUY365" s="266"/>
      <c r="SUZ365" s="649"/>
      <c r="SVA365" s="326"/>
      <c r="SVB365" s="368"/>
      <c r="SVC365" s="197"/>
      <c r="SVD365" s="650"/>
      <c r="SVE365" s="290"/>
      <c r="SVF365" s="291"/>
      <c r="SVG365" s="384"/>
      <c r="SVH365" s="266"/>
      <c r="SVI365" s="649"/>
      <c r="SVJ365" s="326"/>
      <c r="SVK365" s="368"/>
      <c r="SVL365" s="197"/>
      <c r="SVM365" s="650"/>
      <c r="SVN365" s="290"/>
      <c r="SVO365" s="291"/>
      <c r="SVP365" s="384"/>
      <c r="SVQ365" s="266"/>
      <c r="SVR365" s="649"/>
      <c r="SVS365" s="326"/>
      <c r="SVT365" s="368"/>
      <c r="SVU365" s="197"/>
      <c r="SVV365" s="650"/>
      <c r="SVW365" s="290"/>
      <c r="SVX365" s="291"/>
      <c r="SVY365" s="384"/>
      <c r="SVZ365" s="266"/>
      <c r="SWA365" s="649"/>
      <c r="SWB365" s="326"/>
      <c r="SWC365" s="368"/>
      <c r="SWD365" s="197"/>
      <c r="SWE365" s="650"/>
      <c r="SWF365" s="290"/>
      <c r="SWG365" s="291"/>
      <c r="SWH365" s="384"/>
      <c r="SWI365" s="266"/>
      <c r="SWJ365" s="649"/>
      <c r="SWK365" s="326"/>
      <c r="SWL365" s="368"/>
      <c r="SWM365" s="197"/>
      <c r="SWN365" s="650"/>
      <c r="SWO365" s="290"/>
      <c r="SWP365" s="291"/>
      <c r="SWQ365" s="384"/>
      <c r="SWR365" s="266"/>
      <c r="SWS365" s="649"/>
      <c r="SWT365" s="326"/>
      <c r="SWU365" s="368"/>
      <c r="SWV365" s="197"/>
      <c r="SWW365" s="650"/>
      <c r="SWX365" s="290"/>
      <c r="SWY365" s="291"/>
      <c r="SWZ365" s="384"/>
      <c r="SXA365" s="266"/>
      <c r="SXB365" s="649"/>
      <c r="SXC365" s="326"/>
      <c r="SXD365" s="368"/>
      <c r="SXE365" s="197"/>
      <c r="SXF365" s="650"/>
      <c r="SXG365" s="290"/>
      <c r="SXH365" s="291"/>
      <c r="SXI365" s="384"/>
      <c r="SXJ365" s="266"/>
      <c r="SXK365" s="649"/>
      <c r="SXL365" s="326"/>
      <c r="SXM365" s="368"/>
      <c r="SXN365" s="197"/>
      <c r="SXO365" s="650"/>
      <c r="SXP365" s="290"/>
      <c r="SXQ365" s="291"/>
      <c r="SXR365" s="384"/>
      <c r="SXS365" s="266"/>
      <c r="SXT365" s="649"/>
      <c r="SXU365" s="326"/>
      <c r="SXV365" s="368"/>
      <c r="SXW365" s="197"/>
      <c r="SXX365" s="650"/>
      <c r="SXY365" s="290"/>
      <c r="SXZ365" s="291"/>
      <c r="SYA365" s="384"/>
      <c r="SYB365" s="266"/>
      <c r="SYC365" s="649"/>
      <c r="SYD365" s="326"/>
      <c r="SYE365" s="368"/>
      <c r="SYF365" s="197"/>
      <c r="SYG365" s="650"/>
      <c r="SYH365" s="290"/>
      <c r="SYI365" s="291"/>
      <c r="SYJ365" s="384"/>
      <c r="SYK365" s="266"/>
      <c r="SYL365" s="649"/>
      <c r="SYM365" s="326"/>
      <c r="SYN365" s="368"/>
      <c r="SYO365" s="197"/>
      <c r="SYP365" s="650"/>
      <c r="SYQ365" s="290"/>
      <c r="SYR365" s="291"/>
      <c r="SYS365" s="384"/>
      <c r="SYT365" s="266"/>
      <c r="SYU365" s="649"/>
      <c r="SYV365" s="326"/>
      <c r="SYW365" s="368"/>
      <c r="SYX365" s="197"/>
      <c r="SYY365" s="650"/>
      <c r="SYZ365" s="290"/>
      <c r="SZA365" s="291"/>
      <c r="SZB365" s="384"/>
      <c r="SZC365" s="266"/>
      <c r="SZD365" s="649"/>
      <c r="SZE365" s="326"/>
      <c r="SZF365" s="368"/>
      <c r="SZG365" s="197"/>
      <c r="SZH365" s="650"/>
      <c r="SZI365" s="290"/>
      <c r="SZJ365" s="291"/>
      <c r="SZK365" s="384"/>
      <c r="SZL365" s="266"/>
      <c r="SZM365" s="649"/>
      <c r="SZN365" s="326"/>
      <c r="SZO365" s="368"/>
      <c r="SZP365" s="197"/>
      <c r="SZQ365" s="650"/>
      <c r="SZR365" s="290"/>
      <c r="SZS365" s="291"/>
      <c r="SZT365" s="384"/>
      <c r="SZU365" s="266"/>
      <c r="SZV365" s="649"/>
      <c r="SZW365" s="326"/>
      <c r="SZX365" s="368"/>
      <c r="SZY365" s="197"/>
      <c r="SZZ365" s="650"/>
      <c r="TAA365" s="290"/>
      <c r="TAB365" s="291"/>
      <c r="TAC365" s="384"/>
      <c r="TAD365" s="266"/>
      <c r="TAE365" s="649"/>
      <c r="TAF365" s="326"/>
      <c r="TAG365" s="368"/>
      <c r="TAH365" s="197"/>
      <c r="TAI365" s="650"/>
      <c r="TAJ365" s="290"/>
      <c r="TAK365" s="291"/>
      <c r="TAL365" s="384"/>
      <c r="TAM365" s="266"/>
      <c r="TAN365" s="649"/>
      <c r="TAO365" s="326"/>
      <c r="TAP365" s="368"/>
      <c r="TAQ365" s="197"/>
      <c r="TAR365" s="650"/>
      <c r="TAS365" s="290"/>
      <c r="TAT365" s="291"/>
      <c r="TAU365" s="384"/>
      <c r="TAV365" s="266"/>
      <c r="TAW365" s="649"/>
      <c r="TAX365" s="326"/>
      <c r="TAY365" s="368"/>
      <c r="TAZ365" s="197"/>
      <c r="TBA365" s="650"/>
      <c r="TBB365" s="290"/>
      <c r="TBC365" s="291"/>
      <c r="TBD365" s="384"/>
      <c r="TBE365" s="266"/>
      <c r="TBF365" s="649"/>
      <c r="TBG365" s="326"/>
      <c r="TBH365" s="368"/>
      <c r="TBI365" s="197"/>
      <c r="TBJ365" s="650"/>
      <c r="TBK365" s="290"/>
      <c r="TBL365" s="291"/>
      <c r="TBM365" s="384"/>
      <c r="TBN365" s="266"/>
      <c r="TBO365" s="649"/>
      <c r="TBP365" s="326"/>
      <c r="TBQ365" s="368"/>
      <c r="TBR365" s="197"/>
      <c r="TBS365" s="650"/>
      <c r="TBT365" s="290"/>
      <c r="TBU365" s="291"/>
      <c r="TBV365" s="384"/>
      <c r="TBW365" s="266"/>
      <c r="TBX365" s="649"/>
      <c r="TBY365" s="326"/>
      <c r="TBZ365" s="368"/>
      <c r="TCA365" s="197"/>
      <c r="TCB365" s="650"/>
      <c r="TCC365" s="290"/>
      <c r="TCD365" s="291"/>
      <c r="TCE365" s="384"/>
      <c r="TCF365" s="266"/>
      <c r="TCG365" s="649"/>
      <c r="TCH365" s="326"/>
      <c r="TCI365" s="368"/>
      <c r="TCJ365" s="197"/>
      <c r="TCK365" s="650"/>
      <c r="TCL365" s="290"/>
      <c r="TCM365" s="291"/>
      <c r="TCN365" s="384"/>
      <c r="TCO365" s="266"/>
      <c r="TCP365" s="649"/>
      <c r="TCQ365" s="326"/>
      <c r="TCR365" s="368"/>
      <c r="TCS365" s="197"/>
      <c r="TCT365" s="650"/>
      <c r="TCU365" s="290"/>
      <c r="TCV365" s="291"/>
      <c r="TCW365" s="384"/>
      <c r="TCX365" s="266"/>
      <c r="TCY365" s="649"/>
      <c r="TCZ365" s="326"/>
      <c r="TDA365" s="368"/>
      <c r="TDB365" s="197"/>
      <c r="TDC365" s="650"/>
      <c r="TDD365" s="290"/>
      <c r="TDE365" s="291"/>
      <c r="TDF365" s="384"/>
      <c r="TDG365" s="266"/>
      <c r="TDH365" s="649"/>
      <c r="TDI365" s="326"/>
      <c r="TDJ365" s="368"/>
      <c r="TDK365" s="197"/>
      <c r="TDL365" s="650"/>
      <c r="TDM365" s="290"/>
      <c r="TDN365" s="291"/>
      <c r="TDO365" s="384"/>
      <c r="TDP365" s="266"/>
      <c r="TDQ365" s="649"/>
      <c r="TDR365" s="326"/>
      <c r="TDS365" s="368"/>
      <c r="TDT365" s="197"/>
      <c r="TDU365" s="650"/>
      <c r="TDV365" s="290"/>
      <c r="TDW365" s="291"/>
      <c r="TDX365" s="384"/>
      <c r="TDY365" s="266"/>
      <c r="TDZ365" s="649"/>
      <c r="TEA365" s="326"/>
      <c r="TEB365" s="368"/>
      <c r="TEC365" s="197"/>
      <c r="TED365" s="650"/>
      <c r="TEE365" s="290"/>
      <c r="TEF365" s="291"/>
      <c r="TEG365" s="384"/>
      <c r="TEH365" s="266"/>
      <c r="TEI365" s="649"/>
      <c r="TEJ365" s="326"/>
      <c r="TEK365" s="368"/>
      <c r="TEL365" s="197"/>
      <c r="TEM365" s="650"/>
      <c r="TEN365" s="290"/>
      <c r="TEO365" s="291"/>
      <c r="TEP365" s="384"/>
      <c r="TEQ365" s="266"/>
      <c r="TER365" s="649"/>
      <c r="TES365" s="326"/>
      <c r="TET365" s="368"/>
      <c r="TEU365" s="197"/>
      <c r="TEV365" s="650"/>
      <c r="TEW365" s="290"/>
      <c r="TEX365" s="291"/>
      <c r="TEY365" s="384"/>
      <c r="TEZ365" s="266"/>
      <c r="TFA365" s="649"/>
      <c r="TFB365" s="326"/>
      <c r="TFC365" s="368"/>
      <c r="TFD365" s="197"/>
      <c r="TFE365" s="650"/>
      <c r="TFF365" s="290"/>
      <c r="TFG365" s="291"/>
      <c r="TFH365" s="384"/>
      <c r="TFI365" s="266"/>
      <c r="TFJ365" s="649"/>
      <c r="TFK365" s="326"/>
      <c r="TFL365" s="368"/>
      <c r="TFM365" s="197"/>
      <c r="TFN365" s="650"/>
      <c r="TFO365" s="290"/>
      <c r="TFP365" s="291"/>
      <c r="TFQ365" s="384"/>
      <c r="TFR365" s="266"/>
      <c r="TFS365" s="649"/>
      <c r="TFT365" s="326"/>
      <c r="TFU365" s="368"/>
      <c r="TFV365" s="197"/>
      <c r="TFW365" s="650"/>
      <c r="TFX365" s="290"/>
      <c r="TFY365" s="291"/>
      <c r="TFZ365" s="384"/>
      <c r="TGA365" s="266"/>
      <c r="TGB365" s="649"/>
      <c r="TGC365" s="326"/>
      <c r="TGD365" s="368"/>
      <c r="TGE365" s="197"/>
      <c r="TGF365" s="650"/>
      <c r="TGG365" s="290"/>
      <c r="TGH365" s="291"/>
      <c r="TGI365" s="384"/>
      <c r="TGJ365" s="266"/>
      <c r="TGK365" s="649"/>
      <c r="TGL365" s="326"/>
      <c r="TGM365" s="368"/>
      <c r="TGN365" s="197"/>
      <c r="TGO365" s="650"/>
      <c r="TGP365" s="290"/>
      <c r="TGQ365" s="291"/>
      <c r="TGR365" s="384"/>
      <c r="TGS365" s="266"/>
      <c r="TGT365" s="649"/>
      <c r="TGU365" s="326"/>
      <c r="TGV365" s="368"/>
      <c r="TGW365" s="197"/>
      <c r="TGX365" s="650"/>
      <c r="TGY365" s="290"/>
      <c r="TGZ365" s="291"/>
      <c r="THA365" s="384"/>
      <c r="THB365" s="266"/>
      <c r="THC365" s="649"/>
      <c r="THD365" s="326"/>
      <c r="THE365" s="368"/>
      <c r="THF365" s="197"/>
      <c r="THG365" s="650"/>
      <c r="THH365" s="290"/>
      <c r="THI365" s="291"/>
      <c r="THJ365" s="384"/>
      <c r="THK365" s="266"/>
      <c r="THL365" s="649"/>
      <c r="THM365" s="326"/>
      <c r="THN365" s="368"/>
      <c r="THO365" s="197"/>
      <c r="THP365" s="650"/>
      <c r="THQ365" s="290"/>
      <c r="THR365" s="291"/>
      <c r="THS365" s="384"/>
      <c r="THT365" s="266"/>
      <c r="THU365" s="649"/>
      <c r="THV365" s="326"/>
      <c r="THW365" s="368"/>
      <c r="THX365" s="197"/>
      <c r="THY365" s="650"/>
      <c r="THZ365" s="290"/>
      <c r="TIA365" s="291"/>
      <c r="TIB365" s="384"/>
      <c r="TIC365" s="266"/>
      <c r="TID365" s="649"/>
      <c r="TIE365" s="326"/>
      <c r="TIF365" s="368"/>
      <c r="TIG365" s="197"/>
      <c r="TIH365" s="650"/>
      <c r="TII365" s="290"/>
      <c r="TIJ365" s="291"/>
      <c r="TIK365" s="384"/>
      <c r="TIL365" s="266"/>
      <c r="TIM365" s="649"/>
      <c r="TIN365" s="326"/>
      <c r="TIO365" s="368"/>
      <c r="TIP365" s="197"/>
      <c r="TIQ365" s="650"/>
      <c r="TIR365" s="290"/>
      <c r="TIS365" s="291"/>
      <c r="TIT365" s="384"/>
      <c r="TIU365" s="266"/>
      <c r="TIV365" s="649"/>
      <c r="TIW365" s="326"/>
      <c r="TIX365" s="368"/>
      <c r="TIY365" s="197"/>
      <c r="TIZ365" s="650"/>
      <c r="TJA365" s="290"/>
      <c r="TJB365" s="291"/>
      <c r="TJC365" s="384"/>
      <c r="TJD365" s="266"/>
      <c r="TJE365" s="649"/>
      <c r="TJF365" s="326"/>
      <c r="TJG365" s="368"/>
      <c r="TJH365" s="197"/>
      <c r="TJI365" s="650"/>
      <c r="TJJ365" s="290"/>
      <c r="TJK365" s="291"/>
      <c r="TJL365" s="384"/>
      <c r="TJM365" s="266"/>
      <c r="TJN365" s="649"/>
      <c r="TJO365" s="326"/>
      <c r="TJP365" s="368"/>
      <c r="TJQ365" s="197"/>
      <c r="TJR365" s="650"/>
      <c r="TJS365" s="290"/>
      <c r="TJT365" s="291"/>
      <c r="TJU365" s="384"/>
      <c r="TJV365" s="266"/>
      <c r="TJW365" s="649"/>
      <c r="TJX365" s="326"/>
      <c r="TJY365" s="368"/>
      <c r="TJZ365" s="197"/>
      <c r="TKA365" s="650"/>
      <c r="TKB365" s="290"/>
      <c r="TKC365" s="291"/>
      <c r="TKD365" s="384"/>
      <c r="TKE365" s="266"/>
      <c r="TKF365" s="649"/>
      <c r="TKG365" s="326"/>
      <c r="TKH365" s="368"/>
      <c r="TKI365" s="197"/>
      <c r="TKJ365" s="650"/>
      <c r="TKK365" s="290"/>
      <c r="TKL365" s="291"/>
      <c r="TKM365" s="384"/>
      <c r="TKN365" s="266"/>
      <c r="TKO365" s="649"/>
      <c r="TKP365" s="326"/>
      <c r="TKQ365" s="368"/>
      <c r="TKR365" s="197"/>
      <c r="TKS365" s="650"/>
      <c r="TKT365" s="290"/>
      <c r="TKU365" s="291"/>
      <c r="TKV365" s="384"/>
      <c r="TKW365" s="266"/>
      <c r="TKX365" s="649"/>
      <c r="TKY365" s="326"/>
      <c r="TKZ365" s="368"/>
      <c r="TLA365" s="197"/>
      <c r="TLB365" s="650"/>
      <c r="TLC365" s="290"/>
      <c r="TLD365" s="291"/>
      <c r="TLE365" s="384"/>
      <c r="TLF365" s="266"/>
      <c r="TLG365" s="649"/>
      <c r="TLH365" s="326"/>
      <c r="TLI365" s="368"/>
      <c r="TLJ365" s="197"/>
      <c r="TLK365" s="650"/>
      <c r="TLL365" s="290"/>
      <c r="TLM365" s="291"/>
      <c r="TLN365" s="384"/>
      <c r="TLO365" s="266"/>
      <c r="TLP365" s="649"/>
      <c r="TLQ365" s="326"/>
      <c r="TLR365" s="368"/>
      <c r="TLS365" s="197"/>
      <c r="TLT365" s="650"/>
      <c r="TLU365" s="290"/>
      <c r="TLV365" s="291"/>
      <c r="TLW365" s="384"/>
      <c r="TLX365" s="266"/>
      <c r="TLY365" s="649"/>
      <c r="TLZ365" s="326"/>
      <c r="TMA365" s="368"/>
      <c r="TMB365" s="197"/>
      <c r="TMC365" s="650"/>
      <c r="TMD365" s="290"/>
      <c r="TME365" s="291"/>
      <c r="TMF365" s="384"/>
      <c r="TMG365" s="266"/>
      <c r="TMH365" s="649"/>
      <c r="TMI365" s="326"/>
      <c r="TMJ365" s="368"/>
      <c r="TMK365" s="197"/>
      <c r="TML365" s="650"/>
      <c r="TMM365" s="290"/>
      <c r="TMN365" s="291"/>
      <c r="TMO365" s="384"/>
      <c r="TMP365" s="266"/>
      <c r="TMQ365" s="649"/>
      <c r="TMR365" s="326"/>
      <c r="TMS365" s="368"/>
      <c r="TMT365" s="197"/>
      <c r="TMU365" s="650"/>
      <c r="TMV365" s="290"/>
      <c r="TMW365" s="291"/>
      <c r="TMX365" s="384"/>
      <c r="TMY365" s="266"/>
      <c r="TMZ365" s="649"/>
      <c r="TNA365" s="326"/>
      <c r="TNB365" s="368"/>
      <c r="TNC365" s="197"/>
      <c r="TND365" s="650"/>
      <c r="TNE365" s="290"/>
      <c r="TNF365" s="291"/>
      <c r="TNG365" s="384"/>
      <c r="TNH365" s="266"/>
      <c r="TNI365" s="649"/>
      <c r="TNJ365" s="326"/>
      <c r="TNK365" s="368"/>
      <c r="TNL365" s="197"/>
      <c r="TNM365" s="650"/>
      <c r="TNN365" s="290"/>
      <c r="TNO365" s="291"/>
      <c r="TNP365" s="384"/>
      <c r="TNQ365" s="266"/>
      <c r="TNR365" s="649"/>
      <c r="TNS365" s="326"/>
      <c r="TNT365" s="368"/>
      <c r="TNU365" s="197"/>
      <c r="TNV365" s="650"/>
      <c r="TNW365" s="290"/>
      <c r="TNX365" s="291"/>
      <c r="TNY365" s="384"/>
      <c r="TNZ365" s="266"/>
      <c r="TOA365" s="649"/>
      <c r="TOB365" s="326"/>
      <c r="TOC365" s="368"/>
      <c r="TOD365" s="197"/>
      <c r="TOE365" s="650"/>
      <c r="TOF365" s="290"/>
      <c r="TOG365" s="291"/>
      <c r="TOH365" s="384"/>
      <c r="TOI365" s="266"/>
      <c r="TOJ365" s="649"/>
      <c r="TOK365" s="326"/>
      <c r="TOL365" s="368"/>
      <c r="TOM365" s="197"/>
      <c r="TON365" s="650"/>
      <c r="TOO365" s="290"/>
      <c r="TOP365" s="291"/>
      <c r="TOQ365" s="384"/>
      <c r="TOR365" s="266"/>
      <c r="TOS365" s="649"/>
      <c r="TOT365" s="326"/>
      <c r="TOU365" s="368"/>
      <c r="TOV365" s="197"/>
      <c r="TOW365" s="650"/>
      <c r="TOX365" s="290"/>
      <c r="TOY365" s="291"/>
      <c r="TOZ365" s="384"/>
      <c r="TPA365" s="266"/>
      <c r="TPB365" s="649"/>
      <c r="TPC365" s="326"/>
      <c r="TPD365" s="368"/>
      <c r="TPE365" s="197"/>
      <c r="TPF365" s="650"/>
      <c r="TPG365" s="290"/>
      <c r="TPH365" s="291"/>
      <c r="TPI365" s="384"/>
      <c r="TPJ365" s="266"/>
      <c r="TPK365" s="649"/>
      <c r="TPL365" s="326"/>
      <c r="TPM365" s="368"/>
      <c r="TPN365" s="197"/>
      <c r="TPO365" s="650"/>
      <c r="TPP365" s="290"/>
      <c r="TPQ365" s="291"/>
      <c r="TPR365" s="384"/>
      <c r="TPS365" s="266"/>
      <c r="TPT365" s="649"/>
      <c r="TPU365" s="326"/>
      <c r="TPV365" s="368"/>
      <c r="TPW365" s="197"/>
      <c r="TPX365" s="650"/>
      <c r="TPY365" s="290"/>
      <c r="TPZ365" s="291"/>
      <c r="TQA365" s="384"/>
      <c r="TQB365" s="266"/>
      <c r="TQC365" s="649"/>
      <c r="TQD365" s="326"/>
      <c r="TQE365" s="368"/>
      <c r="TQF365" s="197"/>
      <c r="TQG365" s="650"/>
      <c r="TQH365" s="290"/>
      <c r="TQI365" s="291"/>
      <c r="TQJ365" s="384"/>
      <c r="TQK365" s="266"/>
      <c r="TQL365" s="649"/>
      <c r="TQM365" s="326"/>
      <c r="TQN365" s="368"/>
      <c r="TQO365" s="197"/>
      <c r="TQP365" s="650"/>
      <c r="TQQ365" s="290"/>
      <c r="TQR365" s="291"/>
      <c r="TQS365" s="384"/>
      <c r="TQT365" s="266"/>
      <c r="TQU365" s="649"/>
      <c r="TQV365" s="326"/>
      <c r="TQW365" s="368"/>
      <c r="TQX365" s="197"/>
      <c r="TQY365" s="650"/>
      <c r="TQZ365" s="290"/>
      <c r="TRA365" s="291"/>
      <c r="TRB365" s="384"/>
      <c r="TRC365" s="266"/>
      <c r="TRD365" s="649"/>
      <c r="TRE365" s="326"/>
      <c r="TRF365" s="368"/>
      <c r="TRG365" s="197"/>
      <c r="TRH365" s="650"/>
      <c r="TRI365" s="290"/>
      <c r="TRJ365" s="291"/>
      <c r="TRK365" s="384"/>
      <c r="TRL365" s="266"/>
      <c r="TRM365" s="649"/>
      <c r="TRN365" s="326"/>
      <c r="TRO365" s="368"/>
      <c r="TRP365" s="197"/>
      <c r="TRQ365" s="650"/>
      <c r="TRR365" s="290"/>
      <c r="TRS365" s="291"/>
      <c r="TRT365" s="384"/>
      <c r="TRU365" s="266"/>
      <c r="TRV365" s="649"/>
      <c r="TRW365" s="326"/>
      <c r="TRX365" s="368"/>
      <c r="TRY365" s="197"/>
      <c r="TRZ365" s="650"/>
      <c r="TSA365" s="290"/>
      <c r="TSB365" s="291"/>
      <c r="TSC365" s="384"/>
      <c r="TSD365" s="266"/>
      <c r="TSE365" s="649"/>
      <c r="TSF365" s="326"/>
      <c r="TSG365" s="368"/>
      <c r="TSH365" s="197"/>
      <c r="TSI365" s="650"/>
      <c r="TSJ365" s="290"/>
      <c r="TSK365" s="291"/>
      <c r="TSL365" s="384"/>
      <c r="TSM365" s="266"/>
      <c r="TSN365" s="649"/>
      <c r="TSO365" s="326"/>
      <c r="TSP365" s="368"/>
      <c r="TSQ365" s="197"/>
      <c r="TSR365" s="650"/>
      <c r="TSS365" s="290"/>
      <c r="TST365" s="291"/>
      <c r="TSU365" s="384"/>
      <c r="TSV365" s="266"/>
      <c r="TSW365" s="649"/>
      <c r="TSX365" s="326"/>
      <c r="TSY365" s="368"/>
      <c r="TSZ365" s="197"/>
      <c r="TTA365" s="650"/>
      <c r="TTB365" s="290"/>
      <c r="TTC365" s="291"/>
      <c r="TTD365" s="384"/>
      <c r="TTE365" s="266"/>
      <c r="TTF365" s="649"/>
      <c r="TTG365" s="326"/>
      <c r="TTH365" s="368"/>
      <c r="TTI365" s="197"/>
      <c r="TTJ365" s="650"/>
      <c r="TTK365" s="290"/>
      <c r="TTL365" s="291"/>
      <c r="TTM365" s="384"/>
      <c r="TTN365" s="266"/>
      <c r="TTO365" s="649"/>
      <c r="TTP365" s="326"/>
      <c r="TTQ365" s="368"/>
      <c r="TTR365" s="197"/>
      <c r="TTS365" s="650"/>
      <c r="TTT365" s="290"/>
      <c r="TTU365" s="291"/>
      <c r="TTV365" s="384"/>
      <c r="TTW365" s="266"/>
      <c r="TTX365" s="649"/>
      <c r="TTY365" s="326"/>
      <c r="TTZ365" s="368"/>
      <c r="TUA365" s="197"/>
      <c r="TUB365" s="650"/>
      <c r="TUC365" s="290"/>
      <c r="TUD365" s="291"/>
      <c r="TUE365" s="384"/>
      <c r="TUF365" s="266"/>
      <c r="TUG365" s="649"/>
      <c r="TUH365" s="326"/>
      <c r="TUI365" s="368"/>
      <c r="TUJ365" s="197"/>
      <c r="TUK365" s="650"/>
      <c r="TUL365" s="290"/>
      <c r="TUM365" s="291"/>
      <c r="TUN365" s="384"/>
      <c r="TUO365" s="266"/>
      <c r="TUP365" s="649"/>
      <c r="TUQ365" s="326"/>
      <c r="TUR365" s="368"/>
      <c r="TUS365" s="197"/>
      <c r="TUT365" s="650"/>
      <c r="TUU365" s="290"/>
      <c r="TUV365" s="291"/>
      <c r="TUW365" s="384"/>
      <c r="TUX365" s="266"/>
      <c r="TUY365" s="649"/>
      <c r="TUZ365" s="326"/>
      <c r="TVA365" s="368"/>
      <c r="TVB365" s="197"/>
      <c r="TVC365" s="650"/>
      <c r="TVD365" s="290"/>
      <c r="TVE365" s="291"/>
      <c r="TVF365" s="384"/>
      <c r="TVG365" s="266"/>
      <c r="TVH365" s="649"/>
      <c r="TVI365" s="326"/>
      <c r="TVJ365" s="368"/>
      <c r="TVK365" s="197"/>
      <c r="TVL365" s="650"/>
      <c r="TVM365" s="290"/>
      <c r="TVN365" s="291"/>
      <c r="TVO365" s="384"/>
      <c r="TVP365" s="266"/>
      <c r="TVQ365" s="649"/>
      <c r="TVR365" s="326"/>
      <c r="TVS365" s="368"/>
      <c r="TVT365" s="197"/>
      <c r="TVU365" s="650"/>
      <c r="TVV365" s="290"/>
      <c r="TVW365" s="291"/>
      <c r="TVX365" s="384"/>
      <c r="TVY365" s="266"/>
      <c r="TVZ365" s="649"/>
      <c r="TWA365" s="326"/>
      <c r="TWB365" s="368"/>
      <c r="TWC365" s="197"/>
      <c r="TWD365" s="650"/>
      <c r="TWE365" s="290"/>
      <c r="TWF365" s="291"/>
      <c r="TWG365" s="384"/>
      <c r="TWH365" s="266"/>
      <c r="TWI365" s="649"/>
      <c r="TWJ365" s="326"/>
      <c r="TWK365" s="368"/>
      <c r="TWL365" s="197"/>
      <c r="TWM365" s="650"/>
      <c r="TWN365" s="290"/>
      <c r="TWO365" s="291"/>
      <c r="TWP365" s="384"/>
      <c r="TWQ365" s="266"/>
      <c r="TWR365" s="649"/>
      <c r="TWS365" s="326"/>
      <c r="TWT365" s="368"/>
      <c r="TWU365" s="197"/>
      <c r="TWV365" s="650"/>
      <c r="TWW365" s="290"/>
      <c r="TWX365" s="291"/>
      <c r="TWY365" s="384"/>
      <c r="TWZ365" s="266"/>
      <c r="TXA365" s="649"/>
      <c r="TXB365" s="326"/>
      <c r="TXC365" s="368"/>
      <c r="TXD365" s="197"/>
      <c r="TXE365" s="650"/>
      <c r="TXF365" s="290"/>
      <c r="TXG365" s="291"/>
      <c r="TXH365" s="384"/>
      <c r="TXI365" s="266"/>
      <c r="TXJ365" s="649"/>
      <c r="TXK365" s="326"/>
      <c r="TXL365" s="368"/>
      <c r="TXM365" s="197"/>
      <c r="TXN365" s="650"/>
      <c r="TXO365" s="290"/>
      <c r="TXP365" s="291"/>
      <c r="TXQ365" s="384"/>
      <c r="TXR365" s="266"/>
      <c r="TXS365" s="649"/>
      <c r="TXT365" s="326"/>
      <c r="TXU365" s="368"/>
      <c r="TXV365" s="197"/>
      <c r="TXW365" s="650"/>
      <c r="TXX365" s="290"/>
      <c r="TXY365" s="291"/>
      <c r="TXZ365" s="384"/>
      <c r="TYA365" s="266"/>
      <c r="TYB365" s="649"/>
      <c r="TYC365" s="326"/>
      <c r="TYD365" s="368"/>
      <c r="TYE365" s="197"/>
      <c r="TYF365" s="650"/>
      <c r="TYG365" s="290"/>
      <c r="TYH365" s="291"/>
      <c r="TYI365" s="384"/>
      <c r="TYJ365" s="266"/>
      <c r="TYK365" s="649"/>
      <c r="TYL365" s="326"/>
      <c r="TYM365" s="368"/>
      <c r="TYN365" s="197"/>
      <c r="TYO365" s="650"/>
      <c r="TYP365" s="290"/>
      <c r="TYQ365" s="291"/>
      <c r="TYR365" s="384"/>
      <c r="TYS365" s="266"/>
      <c r="TYT365" s="649"/>
      <c r="TYU365" s="326"/>
      <c r="TYV365" s="368"/>
      <c r="TYW365" s="197"/>
      <c r="TYX365" s="650"/>
      <c r="TYY365" s="290"/>
      <c r="TYZ365" s="291"/>
      <c r="TZA365" s="384"/>
      <c r="TZB365" s="266"/>
      <c r="TZC365" s="649"/>
      <c r="TZD365" s="326"/>
      <c r="TZE365" s="368"/>
      <c r="TZF365" s="197"/>
      <c r="TZG365" s="650"/>
      <c r="TZH365" s="290"/>
      <c r="TZI365" s="291"/>
      <c r="TZJ365" s="384"/>
      <c r="TZK365" s="266"/>
      <c r="TZL365" s="649"/>
      <c r="TZM365" s="326"/>
      <c r="TZN365" s="368"/>
      <c r="TZO365" s="197"/>
      <c r="TZP365" s="650"/>
      <c r="TZQ365" s="290"/>
      <c r="TZR365" s="291"/>
      <c r="TZS365" s="384"/>
      <c r="TZT365" s="266"/>
      <c r="TZU365" s="649"/>
      <c r="TZV365" s="326"/>
      <c r="TZW365" s="368"/>
      <c r="TZX365" s="197"/>
      <c r="TZY365" s="650"/>
      <c r="TZZ365" s="290"/>
      <c r="UAA365" s="291"/>
      <c r="UAB365" s="384"/>
      <c r="UAC365" s="266"/>
      <c r="UAD365" s="649"/>
      <c r="UAE365" s="326"/>
      <c r="UAF365" s="368"/>
      <c r="UAG365" s="197"/>
      <c r="UAH365" s="650"/>
      <c r="UAI365" s="290"/>
      <c r="UAJ365" s="291"/>
      <c r="UAK365" s="384"/>
      <c r="UAL365" s="266"/>
      <c r="UAM365" s="649"/>
      <c r="UAN365" s="326"/>
      <c r="UAO365" s="368"/>
      <c r="UAP365" s="197"/>
      <c r="UAQ365" s="650"/>
      <c r="UAR365" s="290"/>
      <c r="UAS365" s="291"/>
      <c r="UAT365" s="384"/>
      <c r="UAU365" s="266"/>
      <c r="UAV365" s="649"/>
      <c r="UAW365" s="326"/>
      <c r="UAX365" s="368"/>
      <c r="UAY365" s="197"/>
      <c r="UAZ365" s="650"/>
      <c r="UBA365" s="290"/>
      <c r="UBB365" s="291"/>
      <c r="UBC365" s="384"/>
      <c r="UBD365" s="266"/>
      <c r="UBE365" s="649"/>
      <c r="UBF365" s="326"/>
      <c r="UBG365" s="368"/>
      <c r="UBH365" s="197"/>
      <c r="UBI365" s="650"/>
      <c r="UBJ365" s="290"/>
      <c r="UBK365" s="291"/>
      <c r="UBL365" s="384"/>
      <c r="UBM365" s="266"/>
      <c r="UBN365" s="649"/>
      <c r="UBO365" s="326"/>
      <c r="UBP365" s="368"/>
      <c r="UBQ365" s="197"/>
      <c r="UBR365" s="650"/>
      <c r="UBS365" s="290"/>
      <c r="UBT365" s="291"/>
      <c r="UBU365" s="384"/>
      <c r="UBV365" s="266"/>
      <c r="UBW365" s="649"/>
      <c r="UBX365" s="326"/>
      <c r="UBY365" s="368"/>
      <c r="UBZ365" s="197"/>
      <c r="UCA365" s="650"/>
      <c r="UCB365" s="290"/>
      <c r="UCC365" s="291"/>
      <c r="UCD365" s="384"/>
      <c r="UCE365" s="266"/>
      <c r="UCF365" s="649"/>
      <c r="UCG365" s="326"/>
      <c r="UCH365" s="368"/>
      <c r="UCI365" s="197"/>
      <c r="UCJ365" s="650"/>
      <c r="UCK365" s="290"/>
      <c r="UCL365" s="291"/>
      <c r="UCM365" s="384"/>
      <c r="UCN365" s="266"/>
      <c r="UCO365" s="649"/>
      <c r="UCP365" s="326"/>
      <c r="UCQ365" s="368"/>
      <c r="UCR365" s="197"/>
      <c r="UCS365" s="650"/>
      <c r="UCT365" s="290"/>
      <c r="UCU365" s="291"/>
      <c r="UCV365" s="384"/>
      <c r="UCW365" s="266"/>
      <c r="UCX365" s="649"/>
      <c r="UCY365" s="326"/>
      <c r="UCZ365" s="368"/>
      <c r="UDA365" s="197"/>
      <c r="UDB365" s="650"/>
      <c r="UDC365" s="290"/>
      <c r="UDD365" s="291"/>
      <c r="UDE365" s="384"/>
      <c r="UDF365" s="266"/>
      <c r="UDG365" s="649"/>
      <c r="UDH365" s="326"/>
      <c r="UDI365" s="368"/>
      <c r="UDJ365" s="197"/>
      <c r="UDK365" s="650"/>
      <c r="UDL365" s="290"/>
      <c r="UDM365" s="291"/>
      <c r="UDN365" s="384"/>
      <c r="UDO365" s="266"/>
      <c r="UDP365" s="649"/>
      <c r="UDQ365" s="326"/>
      <c r="UDR365" s="368"/>
      <c r="UDS365" s="197"/>
      <c r="UDT365" s="650"/>
      <c r="UDU365" s="290"/>
      <c r="UDV365" s="291"/>
      <c r="UDW365" s="384"/>
      <c r="UDX365" s="266"/>
      <c r="UDY365" s="649"/>
      <c r="UDZ365" s="326"/>
      <c r="UEA365" s="368"/>
      <c r="UEB365" s="197"/>
      <c r="UEC365" s="650"/>
      <c r="UED365" s="290"/>
      <c r="UEE365" s="291"/>
      <c r="UEF365" s="384"/>
      <c r="UEG365" s="266"/>
      <c r="UEH365" s="649"/>
      <c r="UEI365" s="326"/>
      <c r="UEJ365" s="368"/>
      <c r="UEK365" s="197"/>
      <c r="UEL365" s="650"/>
      <c r="UEM365" s="290"/>
      <c r="UEN365" s="291"/>
      <c r="UEO365" s="384"/>
      <c r="UEP365" s="266"/>
      <c r="UEQ365" s="649"/>
      <c r="UER365" s="326"/>
      <c r="UES365" s="368"/>
      <c r="UET365" s="197"/>
      <c r="UEU365" s="650"/>
      <c r="UEV365" s="290"/>
      <c r="UEW365" s="291"/>
      <c r="UEX365" s="384"/>
      <c r="UEY365" s="266"/>
      <c r="UEZ365" s="649"/>
      <c r="UFA365" s="326"/>
      <c r="UFB365" s="368"/>
      <c r="UFC365" s="197"/>
      <c r="UFD365" s="650"/>
      <c r="UFE365" s="290"/>
      <c r="UFF365" s="291"/>
      <c r="UFG365" s="384"/>
      <c r="UFH365" s="266"/>
      <c r="UFI365" s="649"/>
      <c r="UFJ365" s="326"/>
      <c r="UFK365" s="368"/>
      <c r="UFL365" s="197"/>
      <c r="UFM365" s="650"/>
      <c r="UFN365" s="290"/>
      <c r="UFO365" s="291"/>
      <c r="UFP365" s="384"/>
      <c r="UFQ365" s="266"/>
      <c r="UFR365" s="649"/>
      <c r="UFS365" s="326"/>
      <c r="UFT365" s="368"/>
      <c r="UFU365" s="197"/>
      <c r="UFV365" s="650"/>
      <c r="UFW365" s="290"/>
      <c r="UFX365" s="291"/>
      <c r="UFY365" s="384"/>
      <c r="UFZ365" s="266"/>
      <c r="UGA365" s="649"/>
      <c r="UGB365" s="326"/>
      <c r="UGC365" s="368"/>
      <c r="UGD365" s="197"/>
      <c r="UGE365" s="650"/>
      <c r="UGF365" s="290"/>
      <c r="UGG365" s="291"/>
      <c r="UGH365" s="384"/>
      <c r="UGI365" s="266"/>
      <c r="UGJ365" s="649"/>
      <c r="UGK365" s="326"/>
      <c r="UGL365" s="368"/>
      <c r="UGM365" s="197"/>
      <c r="UGN365" s="650"/>
      <c r="UGO365" s="290"/>
      <c r="UGP365" s="291"/>
      <c r="UGQ365" s="384"/>
      <c r="UGR365" s="266"/>
      <c r="UGS365" s="649"/>
      <c r="UGT365" s="326"/>
      <c r="UGU365" s="368"/>
      <c r="UGV365" s="197"/>
      <c r="UGW365" s="650"/>
      <c r="UGX365" s="290"/>
      <c r="UGY365" s="291"/>
      <c r="UGZ365" s="384"/>
      <c r="UHA365" s="266"/>
      <c r="UHB365" s="649"/>
      <c r="UHC365" s="326"/>
      <c r="UHD365" s="368"/>
      <c r="UHE365" s="197"/>
      <c r="UHF365" s="650"/>
      <c r="UHG365" s="290"/>
      <c r="UHH365" s="291"/>
      <c r="UHI365" s="384"/>
      <c r="UHJ365" s="266"/>
      <c r="UHK365" s="649"/>
      <c r="UHL365" s="326"/>
      <c r="UHM365" s="368"/>
      <c r="UHN365" s="197"/>
      <c r="UHO365" s="650"/>
      <c r="UHP365" s="290"/>
      <c r="UHQ365" s="291"/>
      <c r="UHR365" s="384"/>
      <c r="UHS365" s="266"/>
      <c r="UHT365" s="649"/>
      <c r="UHU365" s="326"/>
      <c r="UHV365" s="368"/>
      <c r="UHW365" s="197"/>
      <c r="UHX365" s="650"/>
      <c r="UHY365" s="290"/>
      <c r="UHZ365" s="291"/>
      <c r="UIA365" s="384"/>
      <c r="UIB365" s="266"/>
      <c r="UIC365" s="649"/>
      <c r="UID365" s="326"/>
      <c r="UIE365" s="368"/>
      <c r="UIF365" s="197"/>
      <c r="UIG365" s="650"/>
      <c r="UIH365" s="290"/>
      <c r="UII365" s="291"/>
      <c r="UIJ365" s="384"/>
      <c r="UIK365" s="266"/>
      <c r="UIL365" s="649"/>
      <c r="UIM365" s="326"/>
      <c r="UIN365" s="368"/>
      <c r="UIO365" s="197"/>
      <c r="UIP365" s="650"/>
      <c r="UIQ365" s="290"/>
      <c r="UIR365" s="291"/>
      <c r="UIS365" s="384"/>
      <c r="UIT365" s="266"/>
      <c r="UIU365" s="649"/>
      <c r="UIV365" s="326"/>
      <c r="UIW365" s="368"/>
      <c r="UIX365" s="197"/>
      <c r="UIY365" s="650"/>
      <c r="UIZ365" s="290"/>
      <c r="UJA365" s="291"/>
      <c r="UJB365" s="384"/>
      <c r="UJC365" s="266"/>
      <c r="UJD365" s="649"/>
      <c r="UJE365" s="326"/>
      <c r="UJF365" s="368"/>
      <c r="UJG365" s="197"/>
      <c r="UJH365" s="650"/>
      <c r="UJI365" s="290"/>
      <c r="UJJ365" s="291"/>
      <c r="UJK365" s="384"/>
      <c r="UJL365" s="266"/>
      <c r="UJM365" s="649"/>
      <c r="UJN365" s="326"/>
      <c r="UJO365" s="368"/>
      <c r="UJP365" s="197"/>
      <c r="UJQ365" s="650"/>
      <c r="UJR365" s="290"/>
      <c r="UJS365" s="291"/>
      <c r="UJT365" s="384"/>
      <c r="UJU365" s="266"/>
      <c r="UJV365" s="649"/>
      <c r="UJW365" s="326"/>
      <c r="UJX365" s="368"/>
      <c r="UJY365" s="197"/>
      <c r="UJZ365" s="650"/>
      <c r="UKA365" s="290"/>
      <c r="UKB365" s="291"/>
      <c r="UKC365" s="384"/>
      <c r="UKD365" s="266"/>
      <c r="UKE365" s="649"/>
      <c r="UKF365" s="326"/>
      <c r="UKG365" s="368"/>
      <c r="UKH365" s="197"/>
      <c r="UKI365" s="650"/>
      <c r="UKJ365" s="290"/>
      <c r="UKK365" s="291"/>
      <c r="UKL365" s="384"/>
      <c r="UKM365" s="266"/>
      <c r="UKN365" s="649"/>
      <c r="UKO365" s="326"/>
      <c r="UKP365" s="368"/>
      <c r="UKQ365" s="197"/>
      <c r="UKR365" s="650"/>
      <c r="UKS365" s="290"/>
      <c r="UKT365" s="291"/>
      <c r="UKU365" s="384"/>
      <c r="UKV365" s="266"/>
      <c r="UKW365" s="649"/>
      <c r="UKX365" s="326"/>
      <c r="UKY365" s="368"/>
      <c r="UKZ365" s="197"/>
      <c r="ULA365" s="650"/>
      <c r="ULB365" s="290"/>
      <c r="ULC365" s="291"/>
      <c r="ULD365" s="384"/>
      <c r="ULE365" s="266"/>
      <c r="ULF365" s="649"/>
      <c r="ULG365" s="326"/>
      <c r="ULH365" s="368"/>
      <c r="ULI365" s="197"/>
      <c r="ULJ365" s="650"/>
      <c r="ULK365" s="290"/>
      <c r="ULL365" s="291"/>
      <c r="ULM365" s="384"/>
      <c r="ULN365" s="266"/>
      <c r="ULO365" s="649"/>
      <c r="ULP365" s="326"/>
      <c r="ULQ365" s="368"/>
      <c r="ULR365" s="197"/>
      <c r="ULS365" s="650"/>
      <c r="ULT365" s="290"/>
      <c r="ULU365" s="291"/>
      <c r="ULV365" s="384"/>
      <c r="ULW365" s="266"/>
      <c r="ULX365" s="649"/>
      <c r="ULY365" s="326"/>
      <c r="ULZ365" s="368"/>
      <c r="UMA365" s="197"/>
      <c r="UMB365" s="650"/>
      <c r="UMC365" s="290"/>
      <c r="UMD365" s="291"/>
      <c r="UME365" s="384"/>
      <c r="UMF365" s="266"/>
      <c r="UMG365" s="649"/>
      <c r="UMH365" s="326"/>
      <c r="UMI365" s="368"/>
      <c r="UMJ365" s="197"/>
      <c r="UMK365" s="650"/>
      <c r="UML365" s="290"/>
      <c r="UMM365" s="291"/>
      <c r="UMN365" s="384"/>
      <c r="UMO365" s="266"/>
      <c r="UMP365" s="649"/>
      <c r="UMQ365" s="326"/>
      <c r="UMR365" s="368"/>
      <c r="UMS365" s="197"/>
      <c r="UMT365" s="650"/>
      <c r="UMU365" s="290"/>
      <c r="UMV365" s="291"/>
      <c r="UMW365" s="384"/>
      <c r="UMX365" s="266"/>
      <c r="UMY365" s="649"/>
      <c r="UMZ365" s="326"/>
      <c r="UNA365" s="368"/>
      <c r="UNB365" s="197"/>
      <c r="UNC365" s="650"/>
      <c r="UND365" s="290"/>
      <c r="UNE365" s="291"/>
      <c r="UNF365" s="384"/>
      <c r="UNG365" s="266"/>
      <c r="UNH365" s="649"/>
      <c r="UNI365" s="326"/>
      <c r="UNJ365" s="368"/>
      <c r="UNK365" s="197"/>
      <c r="UNL365" s="650"/>
      <c r="UNM365" s="290"/>
      <c r="UNN365" s="291"/>
      <c r="UNO365" s="384"/>
      <c r="UNP365" s="266"/>
      <c r="UNQ365" s="649"/>
      <c r="UNR365" s="326"/>
      <c r="UNS365" s="368"/>
      <c r="UNT365" s="197"/>
      <c r="UNU365" s="650"/>
      <c r="UNV365" s="290"/>
      <c r="UNW365" s="291"/>
      <c r="UNX365" s="384"/>
      <c r="UNY365" s="266"/>
      <c r="UNZ365" s="649"/>
      <c r="UOA365" s="326"/>
      <c r="UOB365" s="368"/>
      <c r="UOC365" s="197"/>
      <c r="UOD365" s="650"/>
      <c r="UOE365" s="290"/>
      <c r="UOF365" s="291"/>
      <c r="UOG365" s="384"/>
      <c r="UOH365" s="266"/>
      <c r="UOI365" s="649"/>
      <c r="UOJ365" s="326"/>
      <c r="UOK365" s="368"/>
      <c r="UOL365" s="197"/>
      <c r="UOM365" s="650"/>
      <c r="UON365" s="290"/>
      <c r="UOO365" s="291"/>
      <c r="UOP365" s="384"/>
      <c r="UOQ365" s="266"/>
      <c r="UOR365" s="649"/>
      <c r="UOS365" s="326"/>
      <c r="UOT365" s="368"/>
      <c r="UOU365" s="197"/>
      <c r="UOV365" s="650"/>
      <c r="UOW365" s="290"/>
      <c r="UOX365" s="291"/>
      <c r="UOY365" s="384"/>
      <c r="UOZ365" s="266"/>
      <c r="UPA365" s="649"/>
      <c r="UPB365" s="326"/>
      <c r="UPC365" s="368"/>
      <c r="UPD365" s="197"/>
      <c r="UPE365" s="650"/>
      <c r="UPF365" s="290"/>
      <c r="UPG365" s="291"/>
      <c r="UPH365" s="384"/>
      <c r="UPI365" s="266"/>
      <c r="UPJ365" s="649"/>
      <c r="UPK365" s="326"/>
      <c r="UPL365" s="368"/>
      <c r="UPM365" s="197"/>
      <c r="UPN365" s="650"/>
      <c r="UPO365" s="290"/>
      <c r="UPP365" s="291"/>
      <c r="UPQ365" s="384"/>
      <c r="UPR365" s="266"/>
      <c r="UPS365" s="649"/>
      <c r="UPT365" s="326"/>
      <c r="UPU365" s="368"/>
      <c r="UPV365" s="197"/>
      <c r="UPW365" s="650"/>
      <c r="UPX365" s="290"/>
      <c r="UPY365" s="291"/>
      <c r="UPZ365" s="384"/>
      <c r="UQA365" s="266"/>
      <c r="UQB365" s="649"/>
      <c r="UQC365" s="326"/>
      <c r="UQD365" s="368"/>
      <c r="UQE365" s="197"/>
      <c r="UQF365" s="650"/>
      <c r="UQG365" s="290"/>
      <c r="UQH365" s="291"/>
      <c r="UQI365" s="384"/>
      <c r="UQJ365" s="266"/>
      <c r="UQK365" s="649"/>
      <c r="UQL365" s="326"/>
      <c r="UQM365" s="368"/>
      <c r="UQN365" s="197"/>
      <c r="UQO365" s="650"/>
      <c r="UQP365" s="290"/>
      <c r="UQQ365" s="291"/>
      <c r="UQR365" s="384"/>
      <c r="UQS365" s="266"/>
      <c r="UQT365" s="649"/>
      <c r="UQU365" s="326"/>
      <c r="UQV365" s="368"/>
      <c r="UQW365" s="197"/>
      <c r="UQX365" s="650"/>
      <c r="UQY365" s="290"/>
      <c r="UQZ365" s="291"/>
      <c r="URA365" s="384"/>
      <c r="URB365" s="266"/>
      <c r="URC365" s="649"/>
      <c r="URD365" s="326"/>
      <c r="URE365" s="368"/>
      <c r="URF365" s="197"/>
      <c r="URG365" s="650"/>
      <c r="URH365" s="290"/>
      <c r="URI365" s="291"/>
      <c r="URJ365" s="384"/>
      <c r="URK365" s="266"/>
      <c r="URL365" s="649"/>
      <c r="URM365" s="326"/>
      <c r="URN365" s="368"/>
      <c r="URO365" s="197"/>
      <c r="URP365" s="650"/>
      <c r="URQ365" s="290"/>
      <c r="URR365" s="291"/>
      <c r="URS365" s="384"/>
      <c r="URT365" s="266"/>
      <c r="URU365" s="649"/>
      <c r="URV365" s="326"/>
      <c r="URW365" s="368"/>
      <c r="URX365" s="197"/>
      <c r="URY365" s="650"/>
      <c r="URZ365" s="290"/>
      <c r="USA365" s="291"/>
      <c r="USB365" s="384"/>
      <c r="USC365" s="266"/>
      <c r="USD365" s="649"/>
      <c r="USE365" s="326"/>
      <c r="USF365" s="368"/>
      <c r="USG365" s="197"/>
      <c r="USH365" s="650"/>
      <c r="USI365" s="290"/>
      <c r="USJ365" s="291"/>
      <c r="USK365" s="384"/>
      <c r="USL365" s="266"/>
      <c r="USM365" s="649"/>
      <c r="USN365" s="326"/>
      <c r="USO365" s="368"/>
      <c r="USP365" s="197"/>
      <c r="USQ365" s="650"/>
      <c r="USR365" s="290"/>
      <c r="USS365" s="291"/>
      <c r="UST365" s="384"/>
      <c r="USU365" s="266"/>
      <c r="USV365" s="649"/>
      <c r="USW365" s="326"/>
      <c r="USX365" s="368"/>
      <c r="USY365" s="197"/>
      <c r="USZ365" s="650"/>
      <c r="UTA365" s="290"/>
      <c r="UTB365" s="291"/>
      <c r="UTC365" s="384"/>
      <c r="UTD365" s="266"/>
      <c r="UTE365" s="649"/>
      <c r="UTF365" s="326"/>
      <c r="UTG365" s="368"/>
      <c r="UTH365" s="197"/>
      <c r="UTI365" s="650"/>
      <c r="UTJ365" s="290"/>
      <c r="UTK365" s="291"/>
      <c r="UTL365" s="384"/>
      <c r="UTM365" s="266"/>
      <c r="UTN365" s="649"/>
      <c r="UTO365" s="326"/>
      <c r="UTP365" s="368"/>
      <c r="UTQ365" s="197"/>
      <c r="UTR365" s="650"/>
      <c r="UTS365" s="290"/>
      <c r="UTT365" s="291"/>
      <c r="UTU365" s="384"/>
      <c r="UTV365" s="266"/>
      <c r="UTW365" s="649"/>
      <c r="UTX365" s="326"/>
      <c r="UTY365" s="368"/>
      <c r="UTZ365" s="197"/>
      <c r="UUA365" s="650"/>
      <c r="UUB365" s="290"/>
      <c r="UUC365" s="291"/>
      <c r="UUD365" s="384"/>
      <c r="UUE365" s="266"/>
      <c r="UUF365" s="649"/>
      <c r="UUG365" s="326"/>
      <c r="UUH365" s="368"/>
      <c r="UUI365" s="197"/>
      <c r="UUJ365" s="650"/>
      <c r="UUK365" s="290"/>
      <c r="UUL365" s="291"/>
      <c r="UUM365" s="384"/>
      <c r="UUN365" s="266"/>
      <c r="UUO365" s="649"/>
      <c r="UUP365" s="326"/>
      <c r="UUQ365" s="368"/>
      <c r="UUR365" s="197"/>
      <c r="UUS365" s="650"/>
      <c r="UUT365" s="290"/>
      <c r="UUU365" s="291"/>
      <c r="UUV365" s="384"/>
      <c r="UUW365" s="266"/>
      <c r="UUX365" s="649"/>
      <c r="UUY365" s="326"/>
      <c r="UUZ365" s="368"/>
      <c r="UVA365" s="197"/>
      <c r="UVB365" s="650"/>
      <c r="UVC365" s="290"/>
      <c r="UVD365" s="291"/>
      <c r="UVE365" s="384"/>
      <c r="UVF365" s="266"/>
      <c r="UVG365" s="649"/>
      <c r="UVH365" s="326"/>
      <c r="UVI365" s="368"/>
      <c r="UVJ365" s="197"/>
      <c r="UVK365" s="650"/>
      <c r="UVL365" s="290"/>
      <c r="UVM365" s="291"/>
      <c r="UVN365" s="384"/>
      <c r="UVO365" s="266"/>
      <c r="UVP365" s="649"/>
      <c r="UVQ365" s="326"/>
      <c r="UVR365" s="368"/>
      <c r="UVS365" s="197"/>
      <c r="UVT365" s="650"/>
      <c r="UVU365" s="290"/>
      <c r="UVV365" s="291"/>
      <c r="UVW365" s="384"/>
      <c r="UVX365" s="266"/>
      <c r="UVY365" s="649"/>
      <c r="UVZ365" s="326"/>
      <c r="UWA365" s="368"/>
      <c r="UWB365" s="197"/>
      <c r="UWC365" s="650"/>
      <c r="UWD365" s="290"/>
      <c r="UWE365" s="291"/>
      <c r="UWF365" s="384"/>
      <c r="UWG365" s="266"/>
      <c r="UWH365" s="649"/>
      <c r="UWI365" s="326"/>
      <c r="UWJ365" s="368"/>
      <c r="UWK365" s="197"/>
      <c r="UWL365" s="650"/>
      <c r="UWM365" s="290"/>
      <c r="UWN365" s="291"/>
      <c r="UWO365" s="384"/>
      <c r="UWP365" s="266"/>
      <c r="UWQ365" s="649"/>
      <c r="UWR365" s="326"/>
      <c r="UWS365" s="368"/>
      <c r="UWT365" s="197"/>
      <c r="UWU365" s="650"/>
      <c r="UWV365" s="290"/>
      <c r="UWW365" s="291"/>
      <c r="UWX365" s="384"/>
      <c r="UWY365" s="266"/>
      <c r="UWZ365" s="649"/>
      <c r="UXA365" s="326"/>
      <c r="UXB365" s="368"/>
      <c r="UXC365" s="197"/>
      <c r="UXD365" s="650"/>
      <c r="UXE365" s="290"/>
      <c r="UXF365" s="291"/>
      <c r="UXG365" s="384"/>
      <c r="UXH365" s="266"/>
      <c r="UXI365" s="649"/>
      <c r="UXJ365" s="326"/>
      <c r="UXK365" s="368"/>
      <c r="UXL365" s="197"/>
      <c r="UXM365" s="650"/>
      <c r="UXN365" s="290"/>
      <c r="UXO365" s="291"/>
      <c r="UXP365" s="384"/>
      <c r="UXQ365" s="266"/>
      <c r="UXR365" s="649"/>
      <c r="UXS365" s="326"/>
      <c r="UXT365" s="368"/>
      <c r="UXU365" s="197"/>
      <c r="UXV365" s="650"/>
      <c r="UXW365" s="290"/>
      <c r="UXX365" s="291"/>
      <c r="UXY365" s="384"/>
      <c r="UXZ365" s="266"/>
      <c r="UYA365" s="649"/>
      <c r="UYB365" s="326"/>
      <c r="UYC365" s="368"/>
      <c r="UYD365" s="197"/>
      <c r="UYE365" s="650"/>
      <c r="UYF365" s="290"/>
      <c r="UYG365" s="291"/>
      <c r="UYH365" s="384"/>
      <c r="UYI365" s="266"/>
      <c r="UYJ365" s="649"/>
      <c r="UYK365" s="326"/>
      <c r="UYL365" s="368"/>
      <c r="UYM365" s="197"/>
      <c r="UYN365" s="650"/>
      <c r="UYO365" s="290"/>
      <c r="UYP365" s="291"/>
      <c r="UYQ365" s="384"/>
      <c r="UYR365" s="266"/>
      <c r="UYS365" s="649"/>
      <c r="UYT365" s="326"/>
      <c r="UYU365" s="368"/>
      <c r="UYV365" s="197"/>
      <c r="UYW365" s="650"/>
      <c r="UYX365" s="290"/>
      <c r="UYY365" s="291"/>
      <c r="UYZ365" s="384"/>
      <c r="UZA365" s="266"/>
      <c r="UZB365" s="649"/>
      <c r="UZC365" s="326"/>
      <c r="UZD365" s="368"/>
      <c r="UZE365" s="197"/>
      <c r="UZF365" s="650"/>
      <c r="UZG365" s="290"/>
      <c r="UZH365" s="291"/>
      <c r="UZI365" s="384"/>
      <c r="UZJ365" s="266"/>
      <c r="UZK365" s="649"/>
      <c r="UZL365" s="326"/>
      <c r="UZM365" s="368"/>
      <c r="UZN365" s="197"/>
      <c r="UZO365" s="650"/>
      <c r="UZP365" s="290"/>
      <c r="UZQ365" s="291"/>
      <c r="UZR365" s="384"/>
      <c r="UZS365" s="266"/>
      <c r="UZT365" s="649"/>
      <c r="UZU365" s="326"/>
      <c r="UZV365" s="368"/>
      <c r="UZW365" s="197"/>
      <c r="UZX365" s="650"/>
      <c r="UZY365" s="290"/>
      <c r="UZZ365" s="291"/>
      <c r="VAA365" s="384"/>
      <c r="VAB365" s="266"/>
      <c r="VAC365" s="649"/>
      <c r="VAD365" s="326"/>
      <c r="VAE365" s="368"/>
      <c r="VAF365" s="197"/>
      <c r="VAG365" s="650"/>
      <c r="VAH365" s="290"/>
      <c r="VAI365" s="291"/>
      <c r="VAJ365" s="384"/>
      <c r="VAK365" s="266"/>
      <c r="VAL365" s="649"/>
      <c r="VAM365" s="326"/>
      <c r="VAN365" s="368"/>
      <c r="VAO365" s="197"/>
      <c r="VAP365" s="650"/>
      <c r="VAQ365" s="290"/>
      <c r="VAR365" s="291"/>
      <c r="VAS365" s="384"/>
      <c r="VAT365" s="266"/>
      <c r="VAU365" s="649"/>
      <c r="VAV365" s="326"/>
      <c r="VAW365" s="368"/>
      <c r="VAX365" s="197"/>
      <c r="VAY365" s="650"/>
      <c r="VAZ365" s="290"/>
      <c r="VBA365" s="291"/>
      <c r="VBB365" s="384"/>
      <c r="VBC365" s="266"/>
      <c r="VBD365" s="649"/>
      <c r="VBE365" s="326"/>
      <c r="VBF365" s="368"/>
      <c r="VBG365" s="197"/>
      <c r="VBH365" s="650"/>
      <c r="VBI365" s="290"/>
      <c r="VBJ365" s="291"/>
      <c r="VBK365" s="384"/>
      <c r="VBL365" s="266"/>
      <c r="VBM365" s="649"/>
      <c r="VBN365" s="326"/>
      <c r="VBO365" s="368"/>
      <c r="VBP365" s="197"/>
      <c r="VBQ365" s="650"/>
      <c r="VBR365" s="290"/>
      <c r="VBS365" s="291"/>
      <c r="VBT365" s="384"/>
      <c r="VBU365" s="266"/>
      <c r="VBV365" s="649"/>
      <c r="VBW365" s="326"/>
      <c r="VBX365" s="368"/>
      <c r="VBY365" s="197"/>
      <c r="VBZ365" s="650"/>
      <c r="VCA365" s="290"/>
      <c r="VCB365" s="291"/>
      <c r="VCC365" s="384"/>
      <c r="VCD365" s="266"/>
      <c r="VCE365" s="649"/>
      <c r="VCF365" s="326"/>
      <c r="VCG365" s="368"/>
      <c r="VCH365" s="197"/>
      <c r="VCI365" s="650"/>
      <c r="VCJ365" s="290"/>
      <c r="VCK365" s="291"/>
      <c r="VCL365" s="384"/>
      <c r="VCM365" s="266"/>
      <c r="VCN365" s="649"/>
      <c r="VCO365" s="326"/>
      <c r="VCP365" s="368"/>
      <c r="VCQ365" s="197"/>
      <c r="VCR365" s="650"/>
      <c r="VCS365" s="290"/>
      <c r="VCT365" s="291"/>
      <c r="VCU365" s="384"/>
      <c r="VCV365" s="266"/>
      <c r="VCW365" s="649"/>
      <c r="VCX365" s="326"/>
      <c r="VCY365" s="368"/>
      <c r="VCZ365" s="197"/>
      <c r="VDA365" s="650"/>
      <c r="VDB365" s="290"/>
      <c r="VDC365" s="291"/>
      <c r="VDD365" s="384"/>
      <c r="VDE365" s="266"/>
      <c r="VDF365" s="649"/>
      <c r="VDG365" s="326"/>
      <c r="VDH365" s="368"/>
      <c r="VDI365" s="197"/>
      <c r="VDJ365" s="650"/>
      <c r="VDK365" s="290"/>
      <c r="VDL365" s="291"/>
      <c r="VDM365" s="384"/>
      <c r="VDN365" s="266"/>
      <c r="VDO365" s="649"/>
      <c r="VDP365" s="326"/>
      <c r="VDQ365" s="368"/>
      <c r="VDR365" s="197"/>
      <c r="VDS365" s="650"/>
      <c r="VDT365" s="290"/>
      <c r="VDU365" s="291"/>
      <c r="VDV365" s="384"/>
      <c r="VDW365" s="266"/>
      <c r="VDX365" s="649"/>
      <c r="VDY365" s="326"/>
      <c r="VDZ365" s="368"/>
      <c r="VEA365" s="197"/>
      <c r="VEB365" s="650"/>
      <c r="VEC365" s="290"/>
      <c r="VED365" s="291"/>
      <c r="VEE365" s="384"/>
      <c r="VEF365" s="266"/>
      <c r="VEG365" s="649"/>
      <c r="VEH365" s="326"/>
      <c r="VEI365" s="368"/>
      <c r="VEJ365" s="197"/>
      <c r="VEK365" s="650"/>
      <c r="VEL365" s="290"/>
      <c r="VEM365" s="291"/>
      <c r="VEN365" s="384"/>
      <c r="VEO365" s="266"/>
      <c r="VEP365" s="649"/>
      <c r="VEQ365" s="326"/>
      <c r="VER365" s="368"/>
      <c r="VES365" s="197"/>
      <c r="VET365" s="650"/>
      <c r="VEU365" s="290"/>
      <c r="VEV365" s="291"/>
      <c r="VEW365" s="384"/>
      <c r="VEX365" s="266"/>
      <c r="VEY365" s="649"/>
      <c r="VEZ365" s="326"/>
      <c r="VFA365" s="368"/>
      <c r="VFB365" s="197"/>
      <c r="VFC365" s="650"/>
      <c r="VFD365" s="290"/>
      <c r="VFE365" s="291"/>
      <c r="VFF365" s="384"/>
      <c r="VFG365" s="266"/>
      <c r="VFH365" s="649"/>
      <c r="VFI365" s="326"/>
      <c r="VFJ365" s="368"/>
      <c r="VFK365" s="197"/>
      <c r="VFL365" s="650"/>
      <c r="VFM365" s="290"/>
      <c r="VFN365" s="291"/>
      <c r="VFO365" s="384"/>
      <c r="VFP365" s="266"/>
      <c r="VFQ365" s="649"/>
      <c r="VFR365" s="326"/>
      <c r="VFS365" s="368"/>
      <c r="VFT365" s="197"/>
      <c r="VFU365" s="650"/>
      <c r="VFV365" s="290"/>
      <c r="VFW365" s="291"/>
      <c r="VFX365" s="384"/>
      <c r="VFY365" s="266"/>
      <c r="VFZ365" s="649"/>
      <c r="VGA365" s="326"/>
      <c r="VGB365" s="368"/>
      <c r="VGC365" s="197"/>
      <c r="VGD365" s="650"/>
      <c r="VGE365" s="290"/>
      <c r="VGF365" s="291"/>
      <c r="VGG365" s="384"/>
      <c r="VGH365" s="266"/>
      <c r="VGI365" s="649"/>
      <c r="VGJ365" s="326"/>
      <c r="VGK365" s="368"/>
      <c r="VGL365" s="197"/>
      <c r="VGM365" s="650"/>
      <c r="VGN365" s="290"/>
      <c r="VGO365" s="291"/>
      <c r="VGP365" s="384"/>
      <c r="VGQ365" s="266"/>
      <c r="VGR365" s="649"/>
      <c r="VGS365" s="326"/>
      <c r="VGT365" s="368"/>
      <c r="VGU365" s="197"/>
      <c r="VGV365" s="650"/>
      <c r="VGW365" s="290"/>
      <c r="VGX365" s="291"/>
      <c r="VGY365" s="384"/>
      <c r="VGZ365" s="266"/>
      <c r="VHA365" s="649"/>
      <c r="VHB365" s="326"/>
      <c r="VHC365" s="368"/>
      <c r="VHD365" s="197"/>
      <c r="VHE365" s="650"/>
      <c r="VHF365" s="290"/>
      <c r="VHG365" s="291"/>
      <c r="VHH365" s="384"/>
      <c r="VHI365" s="266"/>
      <c r="VHJ365" s="649"/>
      <c r="VHK365" s="326"/>
      <c r="VHL365" s="368"/>
      <c r="VHM365" s="197"/>
      <c r="VHN365" s="650"/>
      <c r="VHO365" s="290"/>
      <c r="VHP365" s="291"/>
      <c r="VHQ365" s="384"/>
      <c r="VHR365" s="266"/>
      <c r="VHS365" s="649"/>
      <c r="VHT365" s="326"/>
      <c r="VHU365" s="368"/>
      <c r="VHV365" s="197"/>
      <c r="VHW365" s="650"/>
      <c r="VHX365" s="290"/>
      <c r="VHY365" s="291"/>
      <c r="VHZ365" s="384"/>
      <c r="VIA365" s="266"/>
      <c r="VIB365" s="649"/>
      <c r="VIC365" s="326"/>
      <c r="VID365" s="368"/>
      <c r="VIE365" s="197"/>
      <c r="VIF365" s="650"/>
      <c r="VIG365" s="290"/>
      <c r="VIH365" s="291"/>
      <c r="VII365" s="384"/>
      <c r="VIJ365" s="266"/>
      <c r="VIK365" s="649"/>
      <c r="VIL365" s="326"/>
      <c r="VIM365" s="368"/>
      <c r="VIN365" s="197"/>
      <c r="VIO365" s="650"/>
      <c r="VIP365" s="290"/>
      <c r="VIQ365" s="291"/>
      <c r="VIR365" s="384"/>
      <c r="VIS365" s="266"/>
      <c r="VIT365" s="649"/>
      <c r="VIU365" s="326"/>
      <c r="VIV365" s="368"/>
      <c r="VIW365" s="197"/>
      <c r="VIX365" s="650"/>
      <c r="VIY365" s="290"/>
      <c r="VIZ365" s="291"/>
      <c r="VJA365" s="384"/>
      <c r="VJB365" s="266"/>
      <c r="VJC365" s="649"/>
      <c r="VJD365" s="326"/>
      <c r="VJE365" s="368"/>
      <c r="VJF365" s="197"/>
      <c r="VJG365" s="650"/>
      <c r="VJH365" s="290"/>
      <c r="VJI365" s="291"/>
      <c r="VJJ365" s="384"/>
      <c r="VJK365" s="266"/>
      <c r="VJL365" s="649"/>
      <c r="VJM365" s="326"/>
      <c r="VJN365" s="368"/>
      <c r="VJO365" s="197"/>
      <c r="VJP365" s="650"/>
      <c r="VJQ365" s="290"/>
      <c r="VJR365" s="291"/>
      <c r="VJS365" s="384"/>
      <c r="VJT365" s="266"/>
      <c r="VJU365" s="649"/>
      <c r="VJV365" s="326"/>
      <c r="VJW365" s="368"/>
      <c r="VJX365" s="197"/>
      <c r="VJY365" s="650"/>
      <c r="VJZ365" s="290"/>
      <c r="VKA365" s="291"/>
      <c r="VKB365" s="384"/>
      <c r="VKC365" s="266"/>
      <c r="VKD365" s="649"/>
      <c r="VKE365" s="326"/>
      <c r="VKF365" s="368"/>
      <c r="VKG365" s="197"/>
      <c r="VKH365" s="650"/>
      <c r="VKI365" s="290"/>
      <c r="VKJ365" s="291"/>
      <c r="VKK365" s="384"/>
      <c r="VKL365" s="266"/>
      <c r="VKM365" s="649"/>
      <c r="VKN365" s="326"/>
      <c r="VKO365" s="368"/>
      <c r="VKP365" s="197"/>
      <c r="VKQ365" s="650"/>
      <c r="VKR365" s="290"/>
      <c r="VKS365" s="291"/>
      <c r="VKT365" s="384"/>
      <c r="VKU365" s="266"/>
      <c r="VKV365" s="649"/>
      <c r="VKW365" s="326"/>
      <c r="VKX365" s="368"/>
      <c r="VKY365" s="197"/>
      <c r="VKZ365" s="650"/>
      <c r="VLA365" s="290"/>
      <c r="VLB365" s="291"/>
      <c r="VLC365" s="384"/>
      <c r="VLD365" s="266"/>
      <c r="VLE365" s="649"/>
      <c r="VLF365" s="326"/>
      <c r="VLG365" s="368"/>
      <c r="VLH365" s="197"/>
      <c r="VLI365" s="650"/>
      <c r="VLJ365" s="290"/>
      <c r="VLK365" s="291"/>
      <c r="VLL365" s="384"/>
      <c r="VLM365" s="266"/>
      <c r="VLN365" s="649"/>
      <c r="VLO365" s="326"/>
      <c r="VLP365" s="368"/>
      <c r="VLQ365" s="197"/>
      <c r="VLR365" s="650"/>
      <c r="VLS365" s="290"/>
      <c r="VLT365" s="291"/>
      <c r="VLU365" s="384"/>
      <c r="VLV365" s="266"/>
      <c r="VLW365" s="649"/>
      <c r="VLX365" s="326"/>
      <c r="VLY365" s="368"/>
      <c r="VLZ365" s="197"/>
      <c r="VMA365" s="650"/>
      <c r="VMB365" s="290"/>
      <c r="VMC365" s="291"/>
      <c r="VMD365" s="384"/>
      <c r="VME365" s="266"/>
      <c r="VMF365" s="649"/>
      <c r="VMG365" s="326"/>
      <c r="VMH365" s="368"/>
      <c r="VMI365" s="197"/>
      <c r="VMJ365" s="650"/>
      <c r="VMK365" s="290"/>
      <c r="VML365" s="291"/>
      <c r="VMM365" s="384"/>
      <c r="VMN365" s="266"/>
      <c r="VMO365" s="649"/>
      <c r="VMP365" s="326"/>
      <c r="VMQ365" s="368"/>
      <c r="VMR365" s="197"/>
      <c r="VMS365" s="650"/>
      <c r="VMT365" s="290"/>
      <c r="VMU365" s="291"/>
      <c r="VMV365" s="384"/>
      <c r="VMW365" s="266"/>
      <c r="VMX365" s="649"/>
      <c r="VMY365" s="326"/>
      <c r="VMZ365" s="368"/>
      <c r="VNA365" s="197"/>
      <c r="VNB365" s="650"/>
      <c r="VNC365" s="290"/>
      <c r="VND365" s="291"/>
      <c r="VNE365" s="384"/>
      <c r="VNF365" s="266"/>
      <c r="VNG365" s="649"/>
      <c r="VNH365" s="326"/>
      <c r="VNI365" s="368"/>
      <c r="VNJ365" s="197"/>
      <c r="VNK365" s="650"/>
      <c r="VNL365" s="290"/>
      <c r="VNM365" s="291"/>
      <c r="VNN365" s="384"/>
      <c r="VNO365" s="266"/>
      <c r="VNP365" s="649"/>
      <c r="VNQ365" s="326"/>
      <c r="VNR365" s="368"/>
      <c r="VNS365" s="197"/>
      <c r="VNT365" s="650"/>
      <c r="VNU365" s="290"/>
      <c r="VNV365" s="291"/>
      <c r="VNW365" s="384"/>
      <c r="VNX365" s="266"/>
      <c r="VNY365" s="649"/>
      <c r="VNZ365" s="326"/>
      <c r="VOA365" s="368"/>
      <c r="VOB365" s="197"/>
      <c r="VOC365" s="650"/>
      <c r="VOD365" s="290"/>
      <c r="VOE365" s="291"/>
      <c r="VOF365" s="384"/>
      <c r="VOG365" s="266"/>
      <c r="VOH365" s="649"/>
      <c r="VOI365" s="326"/>
      <c r="VOJ365" s="368"/>
      <c r="VOK365" s="197"/>
      <c r="VOL365" s="650"/>
      <c r="VOM365" s="290"/>
      <c r="VON365" s="291"/>
      <c r="VOO365" s="384"/>
      <c r="VOP365" s="266"/>
      <c r="VOQ365" s="649"/>
      <c r="VOR365" s="326"/>
      <c r="VOS365" s="368"/>
      <c r="VOT365" s="197"/>
      <c r="VOU365" s="650"/>
      <c r="VOV365" s="290"/>
      <c r="VOW365" s="291"/>
      <c r="VOX365" s="384"/>
      <c r="VOY365" s="266"/>
      <c r="VOZ365" s="649"/>
      <c r="VPA365" s="326"/>
      <c r="VPB365" s="368"/>
      <c r="VPC365" s="197"/>
      <c r="VPD365" s="650"/>
      <c r="VPE365" s="290"/>
      <c r="VPF365" s="291"/>
      <c r="VPG365" s="384"/>
      <c r="VPH365" s="266"/>
      <c r="VPI365" s="649"/>
      <c r="VPJ365" s="326"/>
      <c r="VPK365" s="368"/>
      <c r="VPL365" s="197"/>
      <c r="VPM365" s="650"/>
      <c r="VPN365" s="290"/>
      <c r="VPO365" s="291"/>
      <c r="VPP365" s="384"/>
      <c r="VPQ365" s="266"/>
      <c r="VPR365" s="649"/>
      <c r="VPS365" s="326"/>
      <c r="VPT365" s="368"/>
      <c r="VPU365" s="197"/>
      <c r="VPV365" s="650"/>
      <c r="VPW365" s="290"/>
      <c r="VPX365" s="291"/>
      <c r="VPY365" s="384"/>
      <c r="VPZ365" s="266"/>
      <c r="VQA365" s="649"/>
      <c r="VQB365" s="326"/>
      <c r="VQC365" s="368"/>
      <c r="VQD365" s="197"/>
      <c r="VQE365" s="650"/>
      <c r="VQF365" s="290"/>
      <c r="VQG365" s="291"/>
      <c r="VQH365" s="384"/>
      <c r="VQI365" s="266"/>
      <c r="VQJ365" s="649"/>
      <c r="VQK365" s="326"/>
      <c r="VQL365" s="368"/>
      <c r="VQM365" s="197"/>
      <c r="VQN365" s="650"/>
      <c r="VQO365" s="290"/>
      <c r="VQP365" s="291"/>
      <c r="VQQ365" s="384"/>
      <c r="VQR365" s="266"/>
      <c r="VQS365" s="649"/>
      <c r="VQT365" s="326"/>
      <c r="VQU365" s="368"/>
      <c r="VQV365" s="197"/>
      <c r="VQW365" s="650"/>
      <c r="VQX365" s="290"/>
      <c r="VQY365" s="291"/>
      <c r="VQZ365" s="384"/>
      <c r="VRA365" s="266"/>
      <c r="VRB365" s="649"/>
      <c r="VRC365" s="326"/>
      <c r="VRD365" s="368"/>
      <c r="VRE365" s="197"/>
      <c r="VRF365" s="650"/>
      <c r="VRG365" s="290"/>
      <c r="VRH365" s="291"/>
      <c r="VRI365" s="384"/>
      <c r="VRJ365" s="266"/>
      <c r="VRK365" s="649"/>
      <c r="VRL365" s="326"/>
      <c r="VRM365" s="368"/>
      <c r="VRN365" s="197"/>
      <c r="VRO365" s="650"/>
      <c r="VRP365" s="290"/>
      <c r="VRQ365" s="291"/>
      <c r="VRR365" s="384"/>
      <c r="VRS365" s="266"/>
      <c r="VRT365" s="649"/>
      <c r="VRU365" s="326"/>
      <c r="VRV365" s="368"/>
      <c r="VRW365" s="197"/>
      <c r="VRX365" s="650"/>
      <c r="VRY365" s="290"/>
      <c r="VRZ365" s="291"/>
      <c r="VSA365" s="384"/>
      <c r="VSB365" s="266"/>
      <c r="VSC365" s="649"/>
      <c r="VSD365" s="326"/>
      <c r="VSE365" s="368"/>
      <c r="VSF365" s="197"/>
      <c r="VSG365" s="650"/>
      <c r="VSH365" s="290"/>
      <c r="VSI365" s="291"/>
      <c r="VSJ365" s="384"/>
      <c r="VSK365" s="266"/>
      <c r="VSL365" s="649"/>
      <c r="VSM365" s="326"/>
      <c r="VSN365" s="368"/>
      <c r="VSO365" s="197"/>
      <c r="VSP365" s="650"/>
      <c r="VSQ365" s="290"/>
      <c r="VSR365" s="291"/>
      <c r="VSS365" s="384"/>
      <c r="VST365" s="266"/>
      <c r="VSU365" s="649"/>
      <c r="VSV365" s="326"/>
      <c r="VSW365" s="368"/>
      <c r="VSX365" s="197"/>
      <c r="VSY365" s="650"/>
      <c r="VSZ365" s="290"/>
      <c r="VTA365" s="291"/>
      <c r="VTB365" s="384"/>
      <c r="VTC365" s="266"/>
      <c r="VTD365" s="649"/>
      <c r="VTE365" s="326"/>
      <c r="VTF365" s="368"/>
      <c r="VTG365" s="197"/>
      <c r="VTH365" s="650"/>
      <c r="VTI365" s="290"/>
      <c r="VTJ365" s="291"/>
      <c r="VTK365" s="384"/>
      <c r="VTL365" s="266"/>
      <c r="VTM365" s="649"/>
      <c r="VTN365" s="326"/>
      <c r="VTO365" s="368"/>
      <c r="VTP365" s="197"/>
      <c r="VTQ365" s="650"/>
      <c r="VTR365" s="290"/>
      <c r="VTS365" s="291"/>
      <c r="VTT365" s="384"/>
      <c r="VTU365" s="266"/>
      <c r="VTV365" s="649"/>
      <c r="VTW365" s="326"/>
      <c r="VTX365" s="368"/>
      <c r="VTY365" s="197"/>
      <c r="VTZ365" s="650"/>
      <c r="VUA365" s="290"/>
      <c r="VUB365" s="291"/>
      <c r="VUC365" s="384"/>
      <c r="VUD365" s="266"/>
      <c r="VUE365" s="649"/>
      <c r="VUF365" s="326"/>
      <c r="VUG365" s="368"/>
      <c r="VUH365" s="197"/>
      <c r="VUI365" s="650"/>
      <c r="VUJ365" s="290"/>
      <c r="VUK365" s="291"/>
      <c r="VUL365" s="384"/>
      <c r="VUM365" s="266"/>
      <c r="VUN365" s="649"/>
      <c r="VUO365" s="326"/>
      <c r="VUP365" s="368"/>
      <c r="VUQ365" s="197"/>
      <c r="VUR365" s="650"/>
      <c r="VUS365" s="290"/>
      <c r="VUT365" s="291"/>
      <c r="VUU365" s="384"/>
      <c r="VUV365" s="266"/>
      <c r="VUW365" s="649"/>
      <c r="VUX365" s="326"/>
      <c r="VUY365" s="368"/>
      <c r="VUZ365" s="197"/>
      <c r="VVA365" s="650"/>
      <c r="VVB365" s="290"/>
      <c r="VVC365" s="291"/>
      <c r="VVD365" s="384"/>
      <c r="VVE365" s="266"/>
      <c r="VVF365" s="649"/>
      <c r="VVG365" s="326"/>
      <c r="VVH365" s="368"/>
      <c r="VVI365" s="197"/>
      <c r="VVJ365" s="650"/>
      <c r="VVK365" s="290"/>
      <c r="VVL365" s="291"/>
      <c r="VVM365" s="384"/>
      <c r="VVN365" s="266"/>
      <c r="VVO365" s="649"/>
      <c r="VVP365" s="326"/>
      <c r="VVQ365" s="368"/>
      <c r="VVR365" s="197"/>
      <c r="VVS365" s="650"/>
      <c r="VVT365" s="290"/>
      <c r="VVU365" s="291"/>
      <c r="VVV365" s="384"/>
      <c r="VVW365" s="266"/>
      <c r="VVX365" s="649"/>
      <c r="VVY365" s="326"/>
      <c r="VVZ365" s="368"/>
      <c r="VWA365" s="197"/>
      <c r="VWB365" s="650"/>
      <c r="VWC365" s="290"/>
      <c r="VWD365" s="291"/>
      <c r="VWE365" s="384"/>
      <c r="VWF365" s="266"/>
      <c r="VWG365" s="649"/>
      <c r="VWH365" s="326"/>
      <c r="VWI365" s="368"/>
      <c r="VWJ365" s="197"/>
      <c r="VWK365" s="650"/>
      <c r="VWL365" s="290"/>
      <c r="VWM365" s="291"/>
      <c r="VWN365" s="384"/>
      <c r="VWO365" s="266"/>
      <c r="VWP365" s="649"/>
      <c r="VWQ365" s="326"/>
      <c r="VWR365" s="368"/>
      <c r="VWS365" s="197"/>
      <c r="VWT365" s="650"/>
      <c r="VWU365" s="290"/>
      <c r="VWV365" s="291"/>
      <c r="VWW365" s="384"/>
      <c r="VWX365" s="266"/>
      <c r="VWY365" s="649"/>
      <c r="VWZ365" s="326"/>
      <c r="VXA365" s="368"/>
      <c r="VXB365" s="197"/>
      <c r="VXC365" s="650"/>
      <c r="VXD365" s="290"/>
      <c r="VXE365" s="291"/>
      <c r="VXF365" s="384"/>
      <c r="VXG365" s="266"/>
      <c r="VXH365" s="649"/>
      <c r="VXI365" s="326"/>
      <c r="VXJ365" s="368"/>
      <c r="VXK365" s="197"/>
      <c r="VXL365" s="650"/>
      <c r="VXM365" s="290"/>
      <c r="VXN365" s="291"/>
      <c r="VXO365" s="384"/>
      <c r="VXP365" s="266"/>
      <c r="VXQ365" s="649"/>
      <c r="VXR365" s="326"/>
      <c r="VXS365" s="368"/>
      <c r="VXT365" s="197"/>
      <c r="VXU365" s="650"/>
      <c r="VXV365" s="290"/>
      <c r="VXW365" s="291"/>
      <c r="VXX365" s="384"/>
      <c r="VXY365" s="266"/>
      <c r="VXZ365" s="649"/>
      <c r="VYA365" s="326"/>
      <c r="VYB365" s="368"/>
      <c r="VYC365" s="197"/>
      <c r="VYD365" s="650"/>
      <c r="VYE365" s="290"/>
      <c r="VYF365" s="291"/>
      <c r="VYG365" s="384"/>
      <c r="VYH365" s="266"/>
      <c r="VYI365" s="649"/>
      <c r="VYJ365" s="326"/>
      <c r="VYK365" s="368"/>
      <c r="VYL365" s="197"/>
      <c r="VYM365" s="650"/>
      <c r="VYN365" s="290"/>
      <c r="VYO365" s="291"/>
      <c r="VYP365" s="384"/>
      <c r="VYQ365" s="266"/>
      <c r="VYR365" s="649"/>
      <c r="VYS365" s="326"/>
      <c r="VYT365" s="368"/>
      <c r="VYU365" s="197"/>
      <c r="VYV365" s="650"/>
      <c r="VYW365" s="290"/>
      <c r="VYX365" s="291"/>
      <c r="VYY365" s="384"/>
      <c r="VYZ365" s="266"/>
      <c r="VZA365" s="649"/>
      <c r="VZB365" s="326"/>
      <c r="VZC365" s="368"/>
      <c r="VZD365" s="197"/>
      <c r="VZE365" s="650"/>
      <c r="VZF365" s="290"/>
      <c r="VZG365" s="291"/>
      <c r="VZH365" s="384"/>
      <c r="VZI365" s="266"/>
      <c r="VZJ365" s="649"/>
      <c r="VZK365" s="326"/>
      <c r="VZL365" s="368"/>
      <c r="VZM365" s="197"/>
      <c r="VZN365" s="650"/>
      <c r="VZO365" s="290"/>
      <c r="VZP365" s="291"/>
      <c r="VZQ365" s="384"/>
      <c r="VZR365" s="266"/>
      <c r="VZS365" s="649"/>
      <c r="VZT365" s="326"/>
      <c r="VZU365" s="368"/>
      <c r="VZV365" s="197"/>
      <c r="VZW365" s="650"/>
      <c r="VZX365" s="290"/>
      <c r="VZY365" s="291"/>
      <c r="VZZ365" s="384"/>
      <c r="WAA365" s="266"/>
      <c r="WAB365" s="649"/>
      <c r="WAC365" s="326"/>
      <c r="WAD365" s="368"/>
      <c r="WAE365" s="197"/>
      <c r="WAF365" s="650"/>
      <c r="WAG365" s="290"/>
      <c r="WAH365" s="291"/>
      <c r="WAI365" s="384"/>
      <c r="WAJ365" s="266"/>
      <c r="WAK365" s="649"/>
      <c r="WAL365" s="326"/>
      <c r="WAM365" s="368"/>
      <c r="WAN365" s="197"/>
      <c r="WAO365" s="650"/>
      <c r="WAP365" s="290"/>
      <c r="WAQ365" s="291"/>
      <c r="WAR365" s="384"/>
      <c r="WAS365" s="266"/>
      <c r="WAT365" s="649"/>
      <c r="WAU365" s="326"/>
      <c r="WAV365" s="368"/>
      <c r="WAW365" s="197"/>
      <c r="WAX365" s="650"/>
      <c r="WAY365" s="290"/>
      <c r="WAZ365" s="291"/>
      <c r="WBA365" s="384"/>
      <c r="WBB365" s="266"/>
      <c r="WBC365" s="649"/>
      <c r="WBD365" s="326"/>
      <c r="WBE365" s="368"/>
      <c r="WBF365" s="197"/>
      <c r="WBG365" s="650"/>
      <c r="WBH365" s="290"/>
      <c r="WBI365" s="291"/>
      <c r="WBJ365" s="384"/>
      <c r="WBK365" s="266"/>
      <c r="WBL365" s="649"/>
      <c r="WBM365" s="326"/>
      <c r="WBN365" s="368"/>
      <c r="WBO365" s="197"/>
      <c r="WBP365" s="650"/>
      <c r="WBQ365" s="290"/>
      <c r="WBR365" s="291"/>
      <c r="WBS365" s="384"/>
      <c r="WBT365" s="266"/>
      <c r="WBU365" s="649"/>
      <c r="WBV365" s="326"/>
      <c r="WBW365" s="368"/>
      <c r="WBX365" s="197"/>
      <c r="WBY365" s="650"/>
      <c r="WBZ365" s="290"/>
      <c r="WCA365" s="291"/>
      <c r="WCB365" s="384"/>
      <c r="WCC365" s="266"/>
      <c r="WCD365" s="649"/>
      <c r="WCE365" s="326"/>
      <c r="WCF365" s="368"/>
      <c r="WCG365" s="197"/>
      <c r="WCH365" s="650"/>
      <c r="WCI365" s="290"/>
      <c r="WCJ365" s="291"/>
      <c r="WCK365" s="384"/>
      <c r="WCL365" s="266"/>
      <c r="WCM365" s="649"/>
      <c r="WCN365" s="326"/>
      <c r="WCO365" s="368"/>
      <c r="WCP365" s="197"/>
      <c r="WCQ365" s="650"/>
      <c r="WCR365" s="290"/>
      <c r="WCS365" s="291"/>
      <c r="WCT365" s="384"/>
      <c r="WCU365" s="266"/>
      <c r="WCV365" s="649"/>
      <c r="WCW365" s="326"/>
      <c r="WCX365" s="368"/>
      <c r="WCY365" s="197"/>
      <c r="WCZ365" s="650"/>
      <c r="WDA365" s="290"/>
      <c r="WDB365" s="291"/>
      <c r="WDC365" s="384"/>
      <c r="WDD365" s="266"/>
      <c r="WDE365" s="649"/>
      <c r="WDF365" s="326"/>
      <c r="WDG365" s="368"/>
      <c r="WDH365" s="197"/>
      <c r="WDI365" s="650"/>
      <c r="WDJ365" s="290"/>
      <c r="WDK365" s="291"/>
      <c r="WDL365" s="384"/>
      <c r="WDM365" s="266"/>
      <c r="WDN365" s="649"/>
      <c r="WDO365" s="326"/>
      <c r="WDP365" s="368"/>
      <c r="WDQ365" s="197"/>
      <c r="WDR365" s="650"/>
      <c r="WDS365" s="290"/>
      <c r="WDT365" s="291"/>
      <c r="WDU365" s="384"/>
      <c r="WDV365" s="266"/>
      <c r="WDW365" s="649"/>
      <c r="WDX365" s="326"/>
      <c r="WDY365" s="368"/>
      <c r="WDZ365" s="197"/>
      <c r="WEA365" s="650"/>
      <c r="WEB365" s="290"/>
      <c r="WEC365" s="291"/>
      <c r="WED365" s="384"/>
      <c r="WEE365" s="266"/>
      <c r="WEF365" s="649"/>
      <c r="WEG365" s="326"/>
      <c r="WEH365" s="368"/>
      <c r="WEI365" s="197"/>
      <c r="WEJ365" s="650"/>
      <c r="WEK365" s="290"/>
      <c r="WEL365" s="291"/>
      <c r="WEM365" s="384"/>
      <c r="WEN365" s="266"/>
      <c r="WEO365" s="649"/>
      <c r="WEP365" s="326"/>
      <c r="WEQ365" s="368"/>
      <c r="WER365" s="197"/>
      <c r="WES365" s="650"/>
      <c r="WET365" s="290"/>
      <c r="WEU365" s="291"/>
      <c r="WEV365" s="384"/>
      <c r="WEW365" s="266"/>
      <c r="WEX365" s="649"/>
      <c r="WEY365" s="326"/>
      <c r="WEZ365" s="368"/>
      <c r="WFA365" s="197"/>
      <c r="WFB365" s="650"/>
      <c r="WFC365" s="290"/>
      <c r="WFD365" s="291"/>
      <c r="WFE365" s="384"/>
      <c r="WFF365" s="266"/>
      <c r="WFG365" s="649"/>
      <c r="WFH365" s="326"/>
      <c r="WFI365" s="368"/>
      <c r="WFJ365" s="197"/>
      <c r="WFK365" s="650"/>
      <c r="WFL365" s="290"/>
      <c r="WFM365" s="291"/>
      <c r="WFN365" s="384"/>
      <c r="WFO365" s="266"/>
      <c r="WFP365" s="649"/>
      <c r="WFQ365" s="326"/>
      <c r="WFR365" s="368"/>
      <c r="WFS365" s="197"/>
      <c r="WFT365" s="650"/>
      <c r="WFU365" s="290"/>
      <c r="WFV365" s="291"/>
      <c r="WFW365" s="384"/>
      <c r="WFX365" s="266"/>
      <c r="WFY365" s="649"/>
      <c r="WFZ365" s="326"/>
      <c r="WGA365" s="368"/>
      <c r="WGB365" s="197"/>
      <c r="WGC365" s="650"/>
      <c r="WGD365" s="290"/>
      <c r="WGE365" s="291"/>
      <c r="WGF365" s="384"/>
      <c r="WGG365" s="266"/>
      <c r="WGH365" s="649"/>
      <c r="WGI365" s="326"/>
      <c r="WGJ365" s="368"/>
      <c r="WGK365" s="197"/>
      <c r="WGL365" s="650"/>
      <c r="WGM365" s="290"/>
      <c r="WGN365" s="291"/>
      <c r="WGO365" s="384"/>
      <c r="WGP365" s="266"/>
      <c r="WGQ365" s="649"/>
      <c r="WGR365" s="326"/>
      <c r="WGS365" s="368"/>
      <c r="WGT365" s="197"/>
      <c r="WGU365" s="650"/>
      <c r="WGV365" s="290"/>
      <c r="WGW365" s="291"/>
      <c r="WGX365" s="384"/>
      <c r="WGY365" s="266"/>
      <c r="WGZ365" s="649"/>
      <c r="WHA365" s="326"/>
      <c r="WHB365" s="368"/>
      <c r="WHC365" s="197"/>
      <c r="WHD365" s="650"/>
      <c r="WHE365" s="290"/>
      <c r="WHF365" s="291"/>
      <c r="WHG365" s="384"/>
      <c r="WHH365" s="266"/>
      <c r="WHI365" s="649"/>
      <c r="WHJ365" s="326"/>
      <c r="WHK365" s="368"/>
      <c r="WHL365" s="197"/>
      <c r="WHM365" s="650"/>
      <c r="WHN365" s="290"/>
      <c r="WHO365" s="291"/>
      <c r="WHP365" s="384"/>
      <c r="WHQ365" s="266"/>
      <c r="WHR365" s="649"/>
      <c r="WHS365" s="326"/>
      <c r="WHT365" s="368"/>
      <c r="WHU365" s="197"/>
      <c r="WHV365" s="650"/>
      <c r="WHW365" s="290"/>
      <c r="WHX365" s="291"/>
      <c r="WHY365" s="384"/>
      <c r="WHZ365" s="266"/>
      <c r="WIA365" s="649"/>
      <c r="WIB365" s="326"/>
      <c r="WIC365" s="368"/>
      <c r="WID365" s="197"/>
      <c r="WIE365" s="650"/>
      <c r="WIF365" s="290"/>
      <c r="WIG365" s="291"/>
      <c r="WIH365" s="384"/>
      <c r="WII365" s="266"/>
      <c r="WIJ365" s="649"/>
      <c r="WIK365" s="326"/>
      <c r="WIL365" s="368"/>
      <c r="WIM365" s="197"/>
      <c r="WIN365" s="650"/>
      <c r="WIO365" s="290"/>
      <c r="WIP365" s="291"/>
      <c r="WIQ365" s="384"/>
      <c r="WIR365" s="266"/>
      <c r="WIS365" s="649"/>
      <c r="WIT365" s="326"/>
      <c r="WIU365" s="368"/>
      <c r="WIV365" s="197"/>
      <c r="WIW365" s="650"/>
      <c r="WIX365" s="290"/>
      <c r="WIY365" s="291"/>
      <c r="WIZ365" s="384"/>
      <c r="WJA365" s="266"/>
      <c r="WJB365" s="649"/>
      <c r="WJC365" s="326"/>
      <c r="WJD365" s="368"/>
      <c r="WJE365" s="197"/>
      <c r="WJF365" s="650"/>
      <c r="WJG365" s="290"/>
      <c r="WJH365" s="291"/>
      <c r="WJI365" s="384"/>
      <c r="WJJ365" s="266"/>
      <c r="WJK365" s="649"/>
      <c r="WJL365" s="326"/>
      <c r="WJM365" s="368"/>
      <c r="WJN365" s="197"/>
      <c r="WJO365" s="650"/>
      <c r="WJP365" s="290"/>
      <c r="WJQ365" s="291"/>
      <c r="WJR365" s="384"/>
      <c r="WJS365" s="266"/>
      <c r="WJT365" s="649"/>
      <c r="WJU365" s="326"/>
      <c r="WJV365" s="368"/>
      <c r="WJW365" s="197"/>
      <c r="WJX365" s="650"/>
      <c r="WJY365" s="290"/>
      <c r="WJZ365" s="291"/>
      <c r="WKA365" s="384"/>
      <c r="WKB365" s="266"/>
      <c r="WKC365" s="649"/>
      <c r="WKD365" s="326"/>
      <c r="WKE365" s="368"/>
      <c r="WKF365" s="197"/>
      <c r="WKG365" s="650"/>
      <c r="WKH365" s="290"/>
      <c r="WKI365" s="291"/>
      <c r="WKJ365" s="384"/>
      <c r="WKK365" s="266"/>
      <c r="WKL365" s="649"/>
      <c r="WKM365" s="326"/>
      <c r="WKN365" s="368"/>
      <c r="WKO365" s="197"/>
      <c r="WKP365" s="650"/>
      <c r="WKQ365" s="290"/>
      <c r="WKR365" s="291"/>
      <c r="WKS365" s="384"/>
      <c r="WKT365" s="266"/>
      <c r="WKU365" s="649"/>
      <c r="WKV365" s="326"/>
      <c r="WKW365" s="368"/>
      <c r="WKX365" s="197"/>
      <c r="WKY365" s="650"/>
      <c r="WKZ365" s="290"/>
      <c r="WLA365" s="291"/>
      <c r="WLB365" s="384"/>
      <c r="WLC365" s="266"/>
      <c r="WLD365" s="649"/>
      <c r="WLE365" s="326"/>
      <c r="WLF365" s="368"/>
      <c r="WLG365" s="197"/>
      <c r="WLH365" s="650"/>
      <c r="WLI365" s="290"/>
      <c r="WLJ365" s="291"/>
      <c r="WLK365" s="384"/>
      <c r="WLL365" s="266"/>
      <c r="WLM365" s="649"/>
      <c r="WLN365" s="326"/>
      <c r="WLO365" s="368"/>
      <c r="WLP365" s="197"/>
      <c r="WLQ365" s="650"/>
      <c r="WLR365" s="290"/>
      <c r="WLS365" s="291"/>
      <c r="WLT365" s="384"/>
      <c r="WLU365" s="266"/>
      <c r="WLV365" s="649"/>
      <c r="WLW365" s="326"/>
      <c r="WLX365" s="368"/>
      <c r="WLY365" s="197"/>
      <c r="WLZ365" s="650"/>
      <c r="WMA365" s="290"/>
      <c r="WMB365" s="291"/>
      <c r="WMC365" s="384"/>
      <c r="WMD365" s="266"/>
      <c r="WME365" s="649"/>
      <c r="WMF365" s="326"/>
      <c r="WMG365" s="368"/>
      <c r="WMH365" s="197"/>
      <c r="WMI365" s="650"/>
      <c r="WMJ365" s="290"/>
      <c r="WMK365" s="291"/>
      <c r="WML365" s="384"/>
      <c r="WMM365" s="266"/>
      <c r="WMN365" s="649"/>
      <c r="WMO365" s="326"/>
      <c r="WMP365" s="368"/>
      <c r="WMQ365" s="197"/>
      <c r="WMR365" s="650"/>
      <c r="WMS365" s="290"/>
      <c r="WMT365" s="291"/>
      <c r="WMU365" s="384"/>
      <c r="WMV365" s="266"/>
      <c r="WMW365" s="649"/>
      <c r="WMX365" s="326"/>
      <c r="WMY365" s="368"/>
      <c r="WMZ365" s="197"/>
      <c r="WNA365" s="650"/>
      <c r="WNB365" s="290"/>
      <c r="WNC365" s="291"/>
      <c r="WND365" s="384"/>
      <c r="WNE365" s="266"/>
      <c r="WNF365" s="649"/>
      <c r="WNG365" s="326"/>
      <c r="WNH365" s="368"/>
      <c r="WNI365" s="197"/>
      <c r="WNJ365" s="650"/>
      <c r="WNK365" s="290"/>
      <c r="WNL365" s="291"/>
      <c r="WNM365" s="384"/>
      <c r="WNN365" s="266"/>
      <c r="WNO365" s="649"/>
      <c r="WNP365" s="326"/>
      <c r="WNQ365" s="368"/>
      <c r="WNR365" s="197"/>
      <c r="WNS365" s="650"/>
      <c r="WNT365" s="290"/>
      <c r="WNU365" s="291"/>
      <c r="WNV365" s="384"/>
      <c r="WNW365" s="266"/>
      <c r="WNX365" s="649"/>
      <c r="WNY365" s="326"/>
      <c r="WNZ365" s="368"/>
      <c r="WOA365" s="197"/>
      <c r="WOB365" s="650"/>
      <c r="WOC365" s="290"/>
      <c r="WOD365" s="291"/>
      <c r="WOE365" s="384"/>
      <c r="WOF365" s="266"/>
      <c r="WOG365" s="649"/>
      <c r="WOH365" s="326"/>
      <c r="WOI365" s="368"/>
      <c r="WOJ365" s="197"/>
      <c r="WOK365" s="650"/>
      <c r="WOL365" s="290"/>
      <c r="WOM365" s="291"/>
      <c r="WON365" s="384"/>
      <c r="WOO365" s="266"/>
      <c r="WOP365" s="649"/>
      <c r="WOQ365" s="326"/>
      <c r="WOR365" s="368"/>
      <c r="WOS365" s="197"/>
      <c r="WOT365" s="650"/>
      <c r="WOU365" s="290"/>
      <c r="WOV365" s="291"/>
      <c r="WOW365" s="384"/>
      <c r="WOX365" s="266"/>
      <c r="WOY365" s="649"/>
      <c r="WOZ365" s="326"/>
      <c r="WPA365" s="368"/>
      <c r="WPB365" s="197"/>
      <c r="WPC365" s="650"/>
      <c r="WPD365" s="290"/>
      <c r="WPE365" s="291"/>
      <c r="WPF365" s="384"/>
      <c r="WPG365" s="266"/>
      <c r="WPH365" s="649"/>
      <c r="WPI365" s="326"/>
      <c r="WPJ365" s="368"/>
      <c r="WPK365" s="197"/>
      <c r="WPL365" s="650"/>
      <c r="WPM365" s="290"/>
      <c r="WPN365" s="291"/>
      <c r="WPO365" s="384"/>
      <c r="WPP365" s="266"/>
      <c r="WPQ365" s="649"/>
      <c r="WPR365" s="326"/>
      <c r="WPS365" s="368"/>
      <c r="WPT365" s="197"/>
      <c r="WPU365" s="650"/>
      <c r="WPV365" s="290"/>
      <c r="WPW365" s="291"/>
      <c r="WPX365" s="384"/>
      <c r="WPY365" s="266"/>
      <c r="WPZ365" s="649"/>
      <c r="WQA365" s="326"/>
      <c r="WQB365" s="368"/>
      <c r="WQC365" s="197"/>
      <c r="WQD365" s="650"/>
      <c r="WQE365" s="290"/>
      <c r="WQF365" s="291"/>
      <c r="WQG365" s="384"/>
      <c r="WQH365" s="266"/>
      <c r="WQI365" s="649"/>
      <c r="WQJ365" s="326"/>
      <c r="WQK365" s="368"/>
      <c r="WQL365" s="197"/>
      <c r="WQM365" s="650"/>
      <c r="WQN365" s="290"/>
      <c r="WQO365" s="291"/>
      <c r="WQP365" s="384"/>
      <c r="WQQ365" s="266"/>
      <c r="WQR365" s="649"/>
      <c r="WQS365" s="326"/>
      <c r="WQT365" s="368"/>
      <c r="WQU365" s="197"/>
      <c r="WQV365" s="650"/>
      <c r="WQW365" s="290"/>
      <c r="WQX365" s="291"/>
      <c r="WQY365" s="384"/>
      <c r="WQZ365" s="266"/>
      <c r="WRA365" s="649"/>
      <c r="WRB365" s="326"/>
      <c r="WRC365" s="368"/>
      <c r="WRD365" s="197"/>
      <c r="WRE365" s="650"/>
      <c r="WRF365" s="290"/>
      <c r="WRG365" s="291"/>
      <c r="WRH365" s="384"/>
      <c r="WRI365" s="266"/>
      <c r="WRJ365" s="649"/>
      <c r="WRK365" s="326"/>
      <c r="WRL365" s="368"/>
      <c r="WRM365" s="197"/>
      <c r="WRN365" s="650"/>
      <c r="WRO365" s="290"/>
      <c r="WRP365" s="291"/>
      <c r="WRQ365" s="384"/>
      <c r="WRR365" s="266"/>
      <c r="WRS365" s="649"/>
      <c r="WRT365" s="326"/>
      <c r="WRU365" s="368"/>
      <c r="WRV365" s="197"/>
      <c r="WRW365" s="650"/>
      <c r="WRX365" s="290"/>
      <c r="WRY365" s="291"/>
      <c r="WRZ365" s="384"/>
      <c r="WSA365" s="266"/>
      <c r="WSB365" s="649"/>
      <c r="WSC365" s="326"/>
      <c r="WSD365" s="368"/>
      <c r="WSE365" s="197"/>
      <c r="WSF365" s="650"/>
      <c r="WSG365" s="290"/>
      <c r="WSH365" s="291"/>
      <c r="WSI365" s="384"/>
      <c r="WSJ365" s="266"/>
      <c r="WSK365" s="649"/>
      <c r="WSL365" s="326"/>
      <c r="WSM365" s="368"/>
      <c r="WSN365" s="197"/>
      <c r="WSO365" s="650"/>
      <c r="WSP365" s="290"/>
      <c r="WSQ365" s="291"/>
      <c r="WSR365" s="384"/>
      <c r="WSS365" s="266"/>
      <c r="WST365" s="649"/>
      <c r="WSU365" s="326"/>
      <c r="WSV365" s="368"/>
      <c r="WSW365" s="197"/>
      <c r="WSX365" s="650"/>
      <c r="WSY365" s="290"/>
      <c r="WSZ365" s="291"/>
      <c r="WTA365" s="384"/>
      <c r="WTB365" s="266"/>
      <c r="WTC365" s="649"/>
      <c r="WTD365" s="326"/>
      <c r="WTE365" s="368"/>
      <c r="WTF365" s="197"/>
      <c r="WTG365" s="650"/>
      <c r="WTH365" s="290"/>
      <c r="WTI365" s="291"/>
      <c r="WTJ365" s="384"/>
      <c r="WTK365" s="266"/>
      <c r="WTL365" s="649"/>
      <c r="WTM365" s="326"/>
      <c r="WTN365" s="368"/>
      <c r="WTO365" s="197"/>
      <c r="WTP365" s="650"/>
      <c r="WTQ365" s="290"/>
      <c r="WTR365" s="291"/>
      <c r="WTS365" s="384"/>
      <c r="WTT365" s="266"/>
      <c r="WTU365" s="649"/>
      <c r="WTV365" s="326"/>
      <c r="WTW365" s="368"/>
      <c r="WTX365" s="197"/>
      <c r="WTY365" s="650"/>
      <c r="WTZ365" s="290"/>
      <c r="WUA365" s="291"/>
      <c r="WUB365" s="384"/>
      <c r="WUC365" s="266"/>
      <c r="WUD365" s="649"/>
      <c r="WUE365" s="326"/>
      <c r="WUF365" s="368"/>
      <c r="WUG365" s="197"/>
      <c r="WUH365" s="650"/>
      <c r="WUI365" s="290"/>
      <c r="WUJ365" s="291"/>
      <c r="WUK365" s="384"/>
      <c r="WUL365" s="266"/>
      <c r="WUM365" s="649"/>
      <c r="WUN365" s="326"/>
      <c r="WUO365" s="368"/>
      <c r="WUP365" s="197"/>
      <c r="WUQ365" s="650"/>
      <c r="WUR365" s="290"/>
      <c r="WUS365" s="291"/>
      <c r="WUT365" s="384"/>
      <c r="WUU365" s="266"/>
      <c r="WUV365" s="649"/>
      <c r="WUW365" s="326"/>
      <c r="WUX365" s="368"/>
      <c r="WUY365" s="197"/>
      <c r="WUZ365" s="650"/>
      <c r="WVA365" s="290"/>
      <c r="WVB365" s="291"/>
      <c r="WVC365" s="384"/>
      <c r="WVD365" s="266"/>
      <c r="WVE365" s="649"/>
      <c r="WVF365" s="326"/>
      <c r="WVG365" s="368"/>
      <c r="WVH365" s="197"/>
      <c r="WVI365" s="650"/>
      <c r="WVJ365" s="290"/>
      <c r="WVK365" s="291"/>
      <c r="WVL365" s="384"/>
      <c r="WVM365" s="266"/>
      <c r="WVN365" s="649"/>
      <c r="WVO365" s="326"/>
      <c r="WVP365" s="368"/>
      <c r="WVQ365" s="197"/>
      <c r="WVR365" s="650"/>
      <c r="WVS365" s="290"/>
      <c r="WVT365" s="291"/>
      <c r="WVU365" s="384"/>
      <c r="WVV365" s="266"/>
      <c r="WVW365" s="649"/>
      <c r="WVX365" s="326"/>
      <c r="WVY365" s="368"/>
      <c r="WVZ365" s="197"/>
      <c r="WWA365" s="650"/>
      <c r="WWB365" s="290"/>
      <c r="WWC365" s="291"/>
      <c r="WWD365" s="384"/>
      <c r="WWE365" s="266"/>
      <c r="WWF365" s="649"/>
      <c r="WWG365" s="326"/>
      <c r="WWH365" s="368"/>
      <c r="WWI365" s="197"/>
      <c r="WWJ365" s="650"/>
      <c r="WWK365" s="290"/>
      <c r="WWL365" s="291"/>
      <c r="WWM365" s="384"/>
      <c r="WWN365" s="266"/>
      <c r="WWO365" s="649"/>
      <c r="WWP365" s="326"/>
      <c r="WWQ365" s="368"/>
      <c r="WWR365" s="197"/>
      <c r="WWS365" s="650"/>
      <c r="WWT365" s="290"/>
      <c r="WWU365" s="291"/>
      <c r="WWV365" s="384"/>
      <c r="WWW365" s="266"/>
      <c r="WWX365" s="649"/>
      <c r="WWY365" s="326"/>
      <c r="WWZ365" s="368"/>
      <c r="WXA365" s="197"/>
      <c r="WXB365" s="650"/>
      <c r="WXC365" s="290"/>
      <c r="WXD365" s="291"/>
      <c r="WXE365" s="384"/>
      <c r="WXF365" s="266"/>
      <c r="WXG365" s="649"/>
      <c r="WXH365" s="326"/>
      <c r="WXI365" s="368"/>
      <c r="WXJ365" s="197"/>
      <c r="WXK365" s="650"/>
      <c r="WXL365" s="290"/>
      <c r="WXM365" s="291"/>
      <c r="WXN365" s="384"/>
      <c r="WXO365" s="266"/>
      <c r="WXP365" s="649"/>
      <c r="WXQ365" s="326"/>
      <c r="WXR365" s="368"/>
      <c r="WXS365" s="197"/>
      <c r="WXT365" s="650"/>
      <c r="WXU365" s="290"/>
      <c r="WXV365" s="291"/>
      <c r="WXW365" s="384"/>
      <c r="WXX365" s="266"/>
      <c r="WXY365" s="649"/>
      <c r="WXZ365" s="326"/>
      <c r="WYA365" s="368"/>
      <c r="WYB365" s="197"/>
      <c r="WYC365" s="650"/>
      <c r="WYD365" s="290"/>
      <c r="WYE365" s="291"/>
      <c r="WYF365" s="384"/>
      <c r="WYG365" s="266"/>
      <c r="WYH365" s="649"/>
      <c r="WYI365" s="326"/>
      <c r="WYJ365" s="368"/>
      <c r="WYK365" s="197"/>
      <c r="WYL365" s="650"/>
      <c r="WYM365" s="290"/>
      <c r="WYN365" s="291"/>
      <c r="WYO365" s="384"/>
      <c r="WYP365" s="266"/>
      <c r="WYQ365" s="649"/>
      <c r="WYR365" s="326"/>
      <c r="WYS365" s="368"/>
      <c r="WYT365" s="197"/>
      <c r="WYU365" s="650"/>
      <c r="WYV365" s="290"/>
      <c r="WYW365" s="291"/>
      <c r="WYX365" s="384"/>
      <c r="WYY365" s="266"/>
      <c r="WYZ365" s="649"/>
      <c r="WZA365" s="326"/>
      <c r="WZB365" s="368"/>
      <c r="WZC365" s="197"/>
      <c r="WZD365" s="650"/>
      <c r="WZE365" s="290"/>
      <c r="WZF365" s="291"/>
      <c r="WZG365" s="384"/>
      <c r="WZH365" s="266"/>
      <c r="WZI365" s="649"/>
      <c r="WZJ365" s="326"/>
      <c r="WZK365" s="368"/>
      <c r="WZL365" s="197"/>
      <c r="WZM365" s="650"/>
      <c r="WZN365" s="290"/>
      <c r="WZO365" s="291"/>
      <c r="WZP365" s="384"/>
      <c r="WZQ365" s="266"/>
      <c r="WZR365" s="649"/>
      <c r="WZS365" s="326"/>
      <c r="WZT365" s="368"/>
      <c r="WZU365" s="197"/>
      <c r="WZV365" s="650"/>
      <c r="WZW365" s="290"/>
      <c r="WZX365" s="291"/>
      <c r="WZY365" s="384"/>
      <c r="WZZ365" s="266"/>
      <c r="XAA365" s="649"/>
      <c r="XAB365" s="326"/>
      <c r="XAC365" s="368"/>
      <c r="XAD365" s="197"/>
      <c r="XAE365" s="650"/>
      <c r="XAF365" s="290"/>
      <c r="XAG365" s="291"/>
      <c r="XAH365" s="384"/>
      <c r="XAI365" s="266"/>
      <c r="XAJ365" s="649"/>
      <c r="XAK365" s="326"/>
      <c r="XAL365" s="368"/>
      <c r="XAM365" s="197"/>
      <c r="XAN365" s="650"/>
      <c r="XAO365" s="290"/>
      <c r="XAP365" s="291"/>
      <c r="XAQ365" s="384"/>
      <c r="XAR365" s="266"/>
      <c r="XAS365" s="649"/>
      <c r="XAT365" s="326"/>
      <c r="XAU365" s="368"/>
      <c r="XAV365" s="197"/>
      <c r="XAW365" s="650"/>
      <c r="XAX365" s="290"/>
      <c r="XAY365" s="291"/>
      <c r="XAZ365" s="384"/>
      <c r="XBA365" s="266"/>
      <c r="XBB365" s="649"/>
      <c r="XBC365" s="326"/>
      <c r="XBD365" s="368"/>
      <c r="XBE365" s="197"/>
      <c r="XBF365" s="650"/>
      <c r="XBG365" s="290"/>
      <c r="XBH365" s="291"/>
      <c r="XBI365" s="384"/>
      <c r="XBJ365" s="266"/>
      <c r="XBK365" s="649"/>
      <c r="XBL365" s="326"/>
      <c r="XBM365" s="368"/>
      <c r="XBN365" s="197"/>
      <c r="XBO365" s="650"/>
      <c r="XBP365" s="290"/>
      <c r="XBQ365" s="291"/>
      <c r="XBR365" s="384"/>
      <c r="XBS365" s="266"/>
      <c r="XBT365" s="649"/>
      <c r="XBU365" s="326"/>
      <c r="XBV365" s="368"/>
      <c r="XBW365" s="197"/>
      <c r="XBX365" s="650"/>
      <c r="XBY365" s="290"/>
      <c r="XBZ365" s="291"/>
      <c r="XCA365" s="384"/>
      <c r="XCB365" s="266"/>
      <c r="XCC365" s="649"/>
      <c r="XCD365" s="326"/>
      <c r="XCE365" s="368"/>
      <c r="XCF365" s="197"/>
      <c r="XCG365" s="650"/>
      <c r="XCH365" s="290"/>
      <c r="XCI365" s="291"/>
      <c r="XCJ365" s="384"/>
      <c r="XCK365" s="266"/>
      <c r="XCL365" s="649"/>
      <c r="XCM365" s="326"/>
      <c r="XCN365" s="368"/>
      <c r="XCO365" s="197"/>
      <c r="XCP365" s="650"/>
      <c r="XCQ365" s="290"/>
      <c r="XCR365" s="291"/>
      <c r="XCS365" s="384"/>
      <c r="XCT365" s="266"/>
      <c r="XCU365" s="649"/>
      <c r="XCV365" s="326"/>
      <c r="XCW365" s="368"/>
      <c r="XCX365" s="197"/>
      <c r="XCY365" s="650"/>
      <c r="XCZ365" s="290"/>
      <c r="XDA365" s="291"/>
      <c r="XDB365" s="384"/>
      <c r="XDC365" s="266"/>
      <c r="XDD365" s="649"/>
      <c r="XDE365" s="326"/>
      <c r="XDF365" s="368"/>
      <c r="XDG365" s="197"/>
      <c r="XDH365" s="650"/>
      <c r="XDI365" s="290"/>
      <c r="XDJ365" s="291"/>
      <c r="XDK365" s="384"/>
      <c r="XDL365" s="266"/>
      <c r="XDM365" s="649"/>
      <c r="XDN365" s="326"/>
      <c r="XDO365" s="368"/>
      <c r="XDP365" s="197"/>
      <c r="XDQ365" s="650"/>
      <c r="XDR365" s="290"/>
      <c r="XDS365" s="291"/>
      <c r="XDT365" s="384"/>
      <c r="XDU365" s="266"/>
      <c r="XDV365" s="649"/>
      <c r="XDW365" s="326"/>
      <c r="XDX365" s="368"/>
      <c r="XDY365" s="197"/>
      <c r="XDZ365" s="650"/>
      <c r="XEA365" s="290"/>
      <c r="XEB365" s="291"/>
      <c r="XEC365" s="384"/>
      <c r="XED365" s="266"/>
      <c r="XEE365" s="649"/>
      <c r="XEF365" s="326"/>
      <c r="XEG365" s="368"/>
      <c r="XEH365" s="197"/>
      <c r="XEI365" s="650"/>
      <c r="XEJ365" s="290"/>
      <c r="XEK365" s="291"/>
      <c r="XEL365" s="384"/>
      <c r="XEM365" s="266"/>
      <c r="XEN365" s="649"/>
      <c r="XEO365" s="326"/>
      <c r="XEP365" s="368"/>
      <c r="XEQ365" s="197"/>
      <c r="XER365" s="650"/>
      <c r="XES365" s="290"/>
      <c r="XET365" s="291"/>
      <c r="XEU365" s="384"/>
      <c r="XEV365" s="266"/>
      <c r="XEW365" s="649"/>
      <c r="XEX365" s="326"/>
      <c r="XEY365" s="368"/>
      <c r="XEZ365" s="197"/>
      <c r="XFA365" s="650"/>
      <c r="XFB365" s="290"/>
      <c r="XFC365" s="291"/>
    </row>
    <row r="366" spans="1:16383" hidden="1" outlineLevel="2" x14ac:dyDescent="0.35">
      <c r="A366" s="284" t="s">
        <v>95</v>
      </c>
      <c r="B366" s="285">
        <v>130</v>
      </c>
      <c r="C366" s="286">
        <v>187.35</v>
      </c>
      <c r="D366" s="287">
        <f t="shared" si="26"/>
        <v>24355.5</v>
      </c>
      <c r="E366" s="288">
        <f>(C366-C354)/C366</f>
        <v>2.6688017080330931E-2</v>
      </c>
      <c r="F366" s="645">
        <f>D366/D372</f>
        <v>9.4651770963956564E-2</v>
      </c>
      <c r="G366" s="651">
        <v>229</v>
      </c>
      <c r="H366" s="521">
        <v>0.32</v>
      </c>
      <c r="I366" s="523">
        <f>D366-D354</f>
        <v>650</v>
      </c>
      <c r="J366" s="632"/>
      <c r="K366" s="595"/>
      <c r="L366" s="633"/>
      <c r="M366" s="634"/>
      <c r="N366" s="635"/>
      <c r="O366" s="622"/>
      <c r="P366" s="636"/>
      <c r="Q366" s="637"/>
      <c r="R366" s="638"/>
      <c r="S366" s="632"/>
      <c r="T366" s="595"/>
      <c r="U366" s="633"/>
      <c r="V366" s="634"/>
      <c r="W366" s="635"/>
      <c r="X366" s="622"/>
      <c r="Y366" s="636"/>
      <c r="Z366" s="637"/>
      <c r="AA366" s="632"/>
      <c r="AB366" s="595"/>
      <c r="AC366" s="633"/>
      <c r="AD366" s="634"/>
      <c r="AE366" s="635"/>
      <c r="AF366" s="622"/>
      <c r="AG366" s="636"/>
      <c r="AH366" s="637"/>
      <c r="AI366" s="638"/>
      <c r="AJ366" s="632"/>
      <c r="AK366" s="595"/>
      <c r="AL366" s="633"/>
      <c r="AM366" s="634"/>
      <c r="AN366" s="635"/>
      <c r="AO366" s="622"/>
      <c r="AP366" s="636"/>
      <c r="AQ366" s="637"/>
      <c r="AR366" s="638"/>
      <c r="AS366" s="632"/>
      <c r="AT366" s="595"/>
      <c r="AU366" s="633"/>
      <c r="AV366" s="634"/>
      <c r="AW366" s="635"/>
      <c r="AX366" s="622"/>
      <c r="AY366" s="636"/>
      <c r="AZ366" s="637"/>
      <c r="BA366" s="638"/>
      <c r="BB366" s="632"/>
      <c r="BC366" s="595"/>
      <c r="BD366" s="633"/>
      <c r="BE366" s="634"/>
      <c r="BF366" s="635"/>
      <c r="BG366" s="622"/>
      <c r="BH366" s="636"/>
      <c r="BI366" s="637"/>
      <c r="BJ366" s="638"/>
      <c r="BK366" s="632"/>
      <c r="BL366" s="595"/>
      <c r="BM366" s="633"/>
      <c r="BN366" s="634"/>
      <c r="BO366" s="635"/>
      <c r="BP366" s="622"/>
      <c r="BQ366" s="636"/>
      <c r="BR366" s="637"/>
      <c r="BS366" s="638"/>
      <c r="BT366" s="632"/>
      <c r="BU366" s="595"/>
      <c r="BV366" s="633"/>
      <c r="BW366" s="634"/>
      <c r="BX366" s="635"/>
      <c r="BY366" s="622"/>
      <c r="BZ366" s="636"/>
      <c r="CA366" s="637"/>
      <c r="CB366" s="638"/>
      <c r="CC366" s="632"/>
      <c r="CD366" s="595"/>
      <c r="CE366" s="633"/>
      <c r="CF366" s="634"/>
      <c r="CG366" s="635"/>
      <c r="CH366" s="622"/>
      <c r="CI366" s="636"/>
      <c r="CJ366" s="637"/>
      <c r="CK366" s="638"/>
      <c r="CL366" s="632"/>
      <c r="CM366" s="595"/>
      <c r="CN366" s="633"/>
      <c r="CO366" s="634"/>
      <c r="CP366" s="635"/>
      <c r="CQ366" s="622"/>
      <c r="CR366" s="636"/>
      <c r="CS366" s="637"/>
      <c r="CT366" s="638"/>
      <c r="CU366" s="632"/>
      <c r="CV366" s="595"/>
      <c r="CW366" s="633"/>
      <c r="CX366" s="634"/>
      <c r="CY366" s="635"/>
      <c r="CZ366" s="622"/>
      <c r="DA366" s="636"/>
      <c r="DB366" s="637"/>
      <c r="DC366" s="638"/>
      <c r="DD366" s="632"/>
      <c r="DE366" s="595"/>
      <c r="DF366" s="633"/>
      <c r="DG366" s="634"/>
      <c r="DH366" s="635"/>
      <c r="DI366" s="622"/>
      <c r="DJ366" s="636"/>
      <c r="DK366" s="637"/>
      <c r="DL366" s="638"/>
      <c r="DM366" s="632"/>
      <c r="DN366" s="595"/>
      <c r="DO366" s="633"/>
      <c r="DP366" s="634"/>
      <c r="DQ366" s="635"/>
      <c r="DR366" s="622"/>
      <c r="DS366" s="636"/>
      <c r="DT366" s="637"/>
      <c r="DU366" s="638"/>
      <c r="DV366" s="632"/>
      <c r="DW366" s="595"/>
      <c r="DX366" s="633"/>
      <c r="DY366" s="634"/>
      <c r="DZ366" s="635"/>
      <c r="EA366" s="622"/>
      <c r="EB366" s="636"/>
      <c r="EC366" s="637"/>
      <c r="ED366" s="638"/>
      <c r="EE366" s="632"/>
      <c r="EF366" s="595"/>
      <c r="EG366" s="633"/>
      <c r="EH366" s="634"/>
      <c r="EI366" s="635"/>
      <c r="EJ366" s="622"/>
      <c r="EK366" s="636"/>
      <c r="EL366" s="637"/>
      <c r="EM366" s="638"/>
      <c r="EN366" s="632"/>
      <c r="EO366" s="595"/>
      <c r="EP366" s="633"/>
      <c r="EQ366" s="634"/>
      <c r="ER366" s="635"/>
      <c r="ES366" s="622"/>
      <c r="ET366" s="636"/>
      <c r="EU366" s="637"/>
      <c r="EV366" s="638"/>
      <c r="EW366" s="632"/>
      <c r="EX366" s="595"/>
      <c r="EY366" s="633"/>
      <c r="EZ366" s="634"/>
      <c r="FA366" s="635"/>
      <c r="FB366" s="622"/>
      <c r="FC366" s="636"/>
      <c r="FD366" s="637"/>
      <c r="FE366" s="638"/>
      <c r="FF366" s="632"/>
      <c r="FG366" s="595"/>
      <c r="FH366" s="633"/>
      <c r="FI366" s="634"/>
      <c r="FJ366" s="635"/>
      <c r="FK366" s="622"/>
      <c r="FL366" s="636"/>
      <c r="FM366" s="637"/>
      <c r="FN366" s="638"/>
      <c r="FO366" s="632"/>
      <c r="FP366" s="595"/>
      <c r="FQ366" s="633"/>
      <c r="FR366" s="634"/>
      <c r="FS366" s="652"/>
      <c r="FT366" s="626"/>
      <c r="FU366" s="640"/>
      <c r="FV366" s="641"/>
      <c r="FW366" s="653"/>
      <c r="FX366" s="261"/>
      <c r="FY366" s="118"/>
      <c r="FZ366" s="219"/>
      <c r="GA366" s="247"/>
      <c r="GB366" s="652"/>
      <c r="GC366" s="626"/>
      <c r="GD366" s="640"/>
      <c r="GE366" s="641"/>
      <c r="GF366" s="653"/>
      <c r="GG366" s="261"/>
      <c r="GH366" s="118"/>
      <c r="GI366" s="219"/>
      <c r="GJ366" s="247"/>
      <c r="GK366" s="652"/>
      <c r="GL366" s="626"/>
      <c r="GM366" s="640"/>
      <c r="GN366" s="641"/>
      <c r="GO366" s="653"/>
      <c r="GP366" s="261"/>
      <c r="GQ366" s="118"/>
      <c r="GR366" s="219"/>
      <c r="GS366" s="247"/>
      <c r="GT366" s="652"/>
      <c r="GU366" s="626"/>
      <c r="GV366" s="640"/>
      <c r="GW366" s="641"/>
      <c r="GX366" s="653"/>
      <c r="GY366" s="261"/>
      <c r="GZ366" s="118"/>
      <c r="HA366" s="219"/>
      <c r="HB366" s="247"/>
      <c r="HC366" s="652"/>
      <c r="HD366" s="626"/>
      <c r="HE366" s="640"/>
      <c r="HF366" s="641"/>
      <c r="HG366" s="653"/>
      <c r="HH366" s="261"/>
      <c r="HI366" s="118"/>
      <c r="HJ366" s="219"/>
      <c r="HK366" s="247"/>
      <c r="HL366" s="652"/>
      <c r="HM366" s="626"/>
      <c r="HN366" s="640"/>
      <c r="HO366" s="641"/>
      <c r="HP366" s="653"/>
      <c r="HQ366" s="261"/>
      <c r="HR366" s="118"/>
      <c r="HS366" s="219"/>
      <c r="HT366" s="247"/>
      <c r="HU366" s="652"/>
      <c r="HV366" s="626"/>
      <c r="HW366" s="640"/>
      <c r="HX366" s="641"/>
      <c r="HY366" s="653"/>
      <c r="HZ366" s="261"/>
      <c r="IA366" s="118"/>
      <c r="IB366" s="219"/>
      <c r="IC366" s="247"/>
      <c r="ID366" s="652"/>
      <c r="IE366" s="626"/>
      <c r="IF366" s="640"/>
      <c r="IG366" s="641"/>
      <c r="IH366" s="653"/>
      <c r="II366" s="261"/>
      <c r="IJ366" s="118"/>
      <c r="IK366" s="219"/>
      <c r="IL366" s="247"/>
      <c r="IM366" s="652"/>
      <c r="IN366" s="626"/>
      <c r="IO366" s="640"/>
      <c r="IP366" s="641"/>
      <c r="IQ366" s="653"/>
      <c r="IR366" s="261"/>
      <c r="IS366" s="118"/>
      <c r="IT366" s="219"/>
      <c r="IU366" s="247"/>
      <c r="IV366" s="652"/>
      <c r="IW366" s="626"/>
      <c r="IX366" s="640"/>
      <c r="IY366" s="641"/>
      <c r="IZ366" s="653"/>
      <c r="JA366" s="261"/>
      <c r="JB366" s="118"/>
      <c r="JC366" s="219"/>
      <c r="JD366" s="247"/>
      <c r="JE366" s="652"/>
      <c r="JF366" s="626"/>
      <c r="JG366" s="640"/>
      <c r="JH366" s="641"/>
      <c r="JI366" s="653"/>
      <c r="JJ366" s="261"/>
      <c r="JK366" s="118"/>
      <c r="JL366" s="219"/>
      <c r="JM366" s="247"/>
      <c r="JN366" s="652"/>
      <c r="JO366" s="626"/>
      <c r="JP366" s="640"/>
      <c r="JQ366" s="641"/>
      <c r="JR366" s="653"/>
      <c r="JS366" s="261"/>
      <c r="JT366" s="118"/>
      <c r="JU366" s="219"/>
      <c r="JV366" s="247"/>
      <c r="JW366" s="652"/>
      <c r="JX366" s="626"/>
      <c r="JY366" s="640"/>
      <c r="JZ366" s="641"/>
      <c r="KA366" s="653"/>
      <c r="KB366" s="261"/>
      <c r="KC366" s="118"/>
      <c r="KD366" s="219"/>
      <c r="KE366" s="247"/>
      <c r="KF366" s="652"/>
      <c r="KG366" s="626"/>
      <c r="KH366" s="640"/>
      <c r="KI366" s="641"/>
      <c r="KJ366" s="653"/>
      <c r="KK366" s="261"/>
      <c r="KL366" s="118"/>
      <c r="KM366" s="219"/>
      <c r="KN366" s="247"/>
      <c r="KO366" s="652"/>
      <c r="KP366" s="626"/>
      <c r="KQ366" s="640"/>
      <c r="KR366" s="641"/>
      <c r="KS366" s="653"/>
      <c r="KT366" s="261"/>
      <c r="KU366" s="118"/>
      <c r="KV366" s="219"/>
      <c r="KW366" s="247"/>
      <c r="KX366" s="652"/>
      <c r="KY366" s="626"/>
      <c r="KZ366" s="640"/>
      <c r="LA366" s="641"/>
      <c r="LB366" s="653"/>
      <c r="LC366" s="261"/>
      <c r="LD366" s="118"/>
      <c r="LE366" s="219"/>
      <c r="LF366" s="247"/>
      <c r="LG366" s="652"/>
      <c r="LH366" s="626"/>
      <c r="LI366" s="640"/>
      <c r="LJ366" s="641"/>
      <c r="LK366" s="653"/>
      <c r="LL366" s="261"/>
      <c r="LM366" s="118"/>
      <c r="LN366" s="219"/>
      <c r="LO366" s="247"/>
      <c r="LP366" s="652"/>
      <c r="LQ366" s="626"/>
      <c r="LR366" s="640"/>
      <c r="LS366" s="641"/>
      <c r="LT366" s="653"/>
      <c r="LU366" s="261"/>
      <c r="LV366" s="118"/>
      <c r="LW366" s="219"/>
      <c r="LX366" s="247"/>
      <c r="LY366" s="652"/>
      <c r="LZ366" s="626"/>
      <c r="MA366" s="640"/>
      <c r="MB366" s="641"/>
      <c r="MC366" s="653"/>
      <c r="MD366" s="261"/>
      <c r="ME366" s="118"/>
      <c r="MF366" s="219"/>
      <c r="MG366" s="247"/>
      <c r="MH366" s="652"/>
      <c r="MI366" s="626"/>
      <c r="MJ366" s="640"/>
      <c r="MK366" s="641"/>
      <c r="ML366" s="653"/>
      <c r="MM366" s="261"/>
      <c r="MN366" s="118"/>
      <c r="MO366" s="219"/>
      <c r="MP366" s="247"/>
      <c r="MQ366" s="652"/>
      <c r="MR366" s="626"/>
      <c r="MS366" s="640"/>
      <c r="MT366" s="641"/>
      <c r="MU366" s="653"/>
      <c r="MV366" s="261"/>
      <c r="MW366" s="118"/>
      <c r="MX366" s="219"/>
      <c r="MY366" s="247"/>
      <c r="MZ366" s="652"/>
      <c r="NA366" s="626"/>
      <c r="NB366" s="640"/>
      <c r="NC366" s="641"/>
      <c r="ND366" s="653"/>
      <c r="NE366" s="261"/>
      <c r="NF366" s="118"/>
      <c r="NG366" s="219"/>
      <c r="NH366" s="247"/>
      <c r="NI366" s="652"/>
      <c r="NJ366" s="626"/>
      <c r="NK366" s="640"/>
      <c r="NL366" s="641"/>
      <c r="NM366" s="653"/>
      <c r="NN366" s="261"/>
      <c r="NO366" s="118"/>
      <c r="NP366" s="219"/>
      <c r="NQ366" s="247"/>
      <c r="NR366" s="652"/>
      <c r="NS366" s="626"/>
      <c r="NT366" s="640"/>
      <c r="NU366" s="641"/>
      <c r="NV366" s="653"/>
      <c r="NW366" s="261"/>
      <c r="NX366" s="118"/>
      <c r="NY366" s="219"/>
      <c r="NZ366" s="247"/>
      <c r="OA366" s="652"/>
      <c r="OB366" s="626"/>
      <c r="OC366" s="640"/>
      <c r="OD366" s="641"/>
      <c r="OE366" s="653"/>
      <c r="OF366" s="261"/>
      <c r="OG366" s="118"/>
      <c r="OH366" s="219"/>
      <c r="OI366" s="247"/>
      <c r="OJ366" s="652"/>
      <c r="OK366" s="626"/>
      <c r="OL366" s="640"/>
      <c r="OM366" s="641"/>
      <c r="ON366" s="653"/>
      <c r="OO366" s="261"/>
      <c r="OP366" s="118"/>
      <c r="OQ366" s="219"/>
      <c r="OR366" s="247"/>
      <c r="OS366" s="652"/>
      <c r="OT366" s="626"/>
      <c r="OU366" s="640"/>
      <c r="OV366" s="641"/>
      <c r="OW366" s="653"/>
      <c r="OX366" s="261"/>
      <c r="OY366" s="118"/>
      <c r="OZ366" s="219"/>
      <c r="PA366" s="247"/>
      <c r="PB366" s="652"/>
      <c r="PC366" s="626"/>
      <c r="PD366" s="640"/>
      <c r="PE366" s="641"/>
      <c r="PF366" s="653"/>
      <c r="PG366" s="261"/>
      <c r="PH366" s="118"/>
      <c r="PI366" s="219"/>
      <c r="PJ366" s="247"/>
      <c r="PK366" s="652"/>
      <c r="PL366" s="626"/>
      <c r="PM366" s="640"/>
      <c r="PN366" s="641"/>
      <c r="PO366" s="653"/>
      <c r="PP366" s="261"/>
      <c r="PQ366" s="118"/>
      <c r="PR366" s="219"/>
      <c r="PS366" s="247"/>
      <c r="PT366" s="652"/>
      <c r="PU366" s="626"/>
      <c r="PV366" s="640"/>
      <c r="PW366" s="641"/>
      <c r="PX366" s="653"/>
      <c r="PY366" s="261"/>
      <c r="PZ366" s="118"/>
      <c r="QA366" s="219"/>
      <c r="QB366" s="247"/>
      <c r="QC366" s="652"/>
      <c r="QD366" s="626"/>
      <c r="QE366" s="640"/>
      <c r="QF366" s="641"/>
      <c r="QG366" s="653"/>
      <c r="QH366" s="261"/>
      <c r="QI366" s="118"/>
      <c r="QJ366" s="219"/>
      <c r="QK366" s="247"/>
      <c r="QL366" s="652"/>
      <c r="QM366" s="626"/>
      <c r="QN366" s="640"/>
      <c r="QO366" s="641"/>
      <c r="QP366" s="653"/>
      <c r="QQ366" s="261"/>
      <c r="QR366" s="118"/>
      <c r="QS366" s="219"/>
      <c r="QT366" s="247"/>
      <c r="QU366" s="652"/>
      <c r="QV366" s="626"/>
      <c r="QW366" s="640"/>
      <c r="QX366" s="641"/>
      <c r="QY366" s="653"/>
      <c r="QZ366" s="261"/>
      <c r="RA366" s="118"/>
      <c r="RB366" s="219"/>
      <c r="RC366" s="247"/>
      <c r="RD366" s="652"/>
      <c r="RE366" s="626"/>
      <c r="RF366" s="640"/>
      <c r="RG366" s="641"/>
      <c r="RH366" s="653"/>
      <c r="RI366" s="261"/>
      <c r="RJ366" s="118"/>
      <c r="RK366" s="219"/>
      <c r="RL366" s="247"/>
      <c r="RM366" s="652"/>
      <c r="RN366" s="626"/>
      <c r="RO366" s="640"/>
      <c r="RP366" s="641"/>
      <c r="RQ366" s="653"/>
      <c r="RR366" s="261"/>
      <c r="RS366" s="118"/>
      <c r="RT366" s="219"/>
      <c r="RU366" s="247"/>
      <c r="RV366" s="652"/>
      <c r="RW366" s="626"/>
      <c r="RX366" s="640"/>
      <c r="RY366" s="641"/>
      <c r="RZ366" s="653"/>
      <c r="SA366" s="261"/>
      <c r="SB366" s="118"/>
      <c r="SC366" s="219"/>
      <c r="SD366" s="247"/>
      <c r="SE366" s="652"/>
      <c r="SF366" s="626"/>
      <c r="SG366" s="640"/>
      <c r="SH366" s="641"/>
      <c r="SI366" s="653"/>
      <c r="SJ366" s="261"/>
      <c r="SK366" s="118"/>
      <c r="SL366" s="219"/>
      <c r="SM366" s="247"/>
      <c r="SN366" s="652"/>
      <c r="SO366" s="626"/>
      <c r="SP366" s="640"/>
      <c r="SQ366" s="641"/>
      <c r="SR366" s="653"/>
      <c r="SS366" s="261"/>
      <c r="ST366" s="118"/>
      <c r="SU366" s="219"/>
      <c r="SV366" s="247"/>
      <c r="SW366" s="652"/>
      <c r="SX366" s="626"/>
      <c r="SY366" s="640"/>
      <c r="SZ366" s="641"/>
      <c r="TA366" s="653"/>
      <c r="TB366" s="261"/>
      <c r="TC366" s="118"/>
      <c r="TD366" s="219"/>
      <c r="TE366" s="247"/>
      <c r="TF366" s="652"/>
      <c r="TG366" s="626"/>
      <c r="TH366" s="640"/>
      <c r="TI366" s="641"/>
      <c r="TJ366" s="653"/>
      <c r="TK366" s="261"/>
      <c r="TL366" s="118"/>
      <c r="TM366" s="219"/>
      <c r="TN366" s="247"/>
      <c r="TO366" s="652"/>
      <c r="TP366" s="626"/>
      <c r="TQ366" s="640"/>
      <c r="TR366" s="641"/>
      <c r="TS366" s="653"/>
      <c r="TT366" s="261"/>
      <c r="TU366" s="118"/>
      <c r="TV366" s="219"/>
      <c r="TW366" s="247"/>
      <c r="TX366" s="652"/>
      <c r="TY366" s="626"/>
      <c r="TZ366" s="640"/>
      <c r="UA366" s="641"/>
      <c r="UB366" s="653"/>
      <c r="UC366" s="261"/>
      <c r="UD366" s="118"/>
      <c r="UE366" s="219"/>
      <c r="UF366" s="247"/>
      <c r="UG366" s="652"/>
      <c r="UH366" s="626"/>
      <c r="UI366" s="640"/>
      <c r="UJ366" s="641"/>
      <c r="UK366" s="653"/>
      <c r="UL366" s="261"/>
      <c r="UM366" s="118"/>
      <c r="UN366" s="219"/>
      <c r="UO366" s="247"/>
      <c r="UP366" s="652"/>
      <c r="UQ366" s="626"/>
      <c r="UR366" s="640"/>
      <c r="US366" s="641"/>
      <c r="UT366" s="653"/>
      <c r="UU366" s="261"/>
      <c r="UV366" s="118"/>
      <c r="UW366" s="219"/>
      <c r="UX366" s="247"/>
      <c r="UY366" s="652"/>
      <c r="UZ366" s="626"/>
      <c r="VA366" s="640"/>
      <c r="VB366" s="641"/>
      <c r="VC366" s="653"/>
      <c r="VD366" s="261"/>
      <c r="VE366" s="118"/>
      <c r="VF366" s="219"/>
      <c r="VG366" s="247"/>
      <c r="VH366" s="652"/>
      <c r="VI366" s="626"/>
      <c r="VJ366" s="640"/>
      <c r="VK366" s="641"/>
      <c r="VL366" s="653"/>
      <c r="VM366" s="261"/>
      <c r="VN366" s="118"/>
      <c r="VO366" s="219"/>
      <c r="VP366" s="247"/>
      <c r="VQ366" s="652"/>
      <c r="VR366" s="626"/>
      <c r="VS366" s="640"/>
      <c r="VT366" s="641"/>
      <c r="VU366" s="653"/>
      <c r="VV366" s="261"/>
      <c r="VW366" s="118"/>
      <c r="VX366" s="219"/>
      <c r="VY366" s="247"/>
      <c r="VZ366" s="652"/>
      <c r="WA366" s="626"/>
      <c r="WB366" s="640"/>
      <c r="WC366" s="641"/>
      <c r="WD366" s="653"/>
      <c r="WE366" s="261"/>
      <c r="WF366" s="118"/>
      <c r="WG366" s="219"/>
      <c r="WH366" s="247"/>
      <c r="WI366" s="652"/>
      <c r="WJ366" s="626"/>
      <c r="WK366" s="640"/>
      <c r="WL366" s="641"/>
      <c r="WM366" s="653"/>
      <c r="WN366" s="261"/>
      <c r="WO366" s="118"/>
      <c r="WP366" s="219"/>
      <c r="WQ366" s="247"/>
      <c r="WR366" s="652"/>
      <c r="WS366" s="626"/>
      <c r="WT366" s="640"/>
      <c r="WU366" s="641"/>
      <c r="WV366" s="653"/>
      <c r="WW366" s="261"/>
      <c r="WX366" s="118"/>
      <c r="WY366" s="219"/>
      <c r="WZ366" s="247"/>
      <c r="XA366" s="652"/>
      <c r="XB366" s="626"/>
      <c r="XC366" s="640"/>
      <c r="XD366" s="641"/>
      <c r="XE366" s="653"/>
      <c r="XF366" s="261"/>
      <c r="XG366" s="118"/>
      <c r="XH366" s="219"/>
      <c r="XI366" s="247"/>
      <c r="XJ366" s="652"/>
      <c r="XK366" s="626"/>
      <c r="XL366" s="640"/>
      <c r="XM366" s="641"/>
      <c r="XN366" s="653"/>
      <c r="XO366" s="261"/>
      <c r="XP366" s="118"/>
      <c r="XQ366" s="219"/>
      <c r="XR366" s="247"/>
      <c r="XS366" s="652"/>
      <c r="XT366" s="626"/>
      <c r="XU366" s="640"/>
      <c r="XV366" s="641"/>
      <c r="XW366" s="653"/>
      <c r="XX366" s="261"/>
      <c r="XY366" s="118"/>
      <c r="XZ366" s="219"/>
      <c r="YA366" s="247"/>
      <c r="YB366" s="652"/>
      <c r="YC366" s="626"/>
      <c r="YD366" s="640"/>
      <c r="YE366" s="641"/>
      <c r="YF366" s="653"/>
      <c r="YG366" s="261"/>
      <c r="YH366" s="118"/>
      <c r="YI366" s="219"/>
      <c r="YJ366" s="247"/>
      <c r="YK366" s="652"/>
      <c r="YL366" s="626"/>
      <c r="YM366" s="640"/>
      <c r="YN366" s="641"/>
      <c r="YO366" s="653"/>
      <c r="YP366" s="261"/>
      <c r="YQ366" s="118"/>
      <c r="YR366" s="219"/>
      <c r="YS366" s="247"/>
      <c r="YT366" s="652"/>
      <c r="YU366" s="626"/>
      <c r="YV366" s="640"/>
      <c r="YW366" s="641"/>
      <c r="YX366" s="653"/>
      <c r="YY366" s="261"/>
      <c r="YZ366" s="118"/>
      <c r="ZA366" s="219"/>
      <c r="ZB366" s="247"/>
      <c r="ZC366" s="652"/>
      <c r="ZD366" s="626"/>
      <c r="ZE366" s="640"/>
      <c r="ZF366" s="641"/>
      <c r="ZG366" s="653"/>
      <c r="ZH366" s="261"/>
      <c r="ZI366" s="118"/>
      <c r="ZJ366" s="219"/>
      <c r="ZK366" s="247"/>
      <c r="ZL366" s="652"/>
      <c r="ZM366" s="626"/>
      <c r="ZN366" s="640"/>
      <c r="ZO366" s="641"/>
      <c r="ZP366" s="653"/>
      <c r="ZQ366" s="261"/>
      <c r="ZR366" s="118"/>
      <c r="ZS366" s="219"/>
      <c r="ZT366" s="247"/>
      <c r="ZU366" s="652"/>
      <c r="ZV366" s="626"/>
      <c r="ZW366" s="640"/>
      <c r="ZX366" s="641"/>
      <c r="ZY366" s="653"/>
      <c r="ZZ366" s="261"/>
      <c r="AAA366" s="118"/>
      <c r="AAB366" s="219"/>
      <c r="AAC366" s="247"/>
      <c r="AAD366" s="652"/>
      <c r="AAE366" s="626"/>
      <c r="AAF366" s="640"/>
      <c r="AAG366" s="641"/>
      <c r="AAH366" s="653"/>
      <c r="AAI366" s="261"/>
      <c r="AAJ366" s="118"/>
      <c r="AAK366" s="219"/>
      <c r="AAL366" s="247"/>
      <c r="AAM366" s="652"/>
      <c r="AAN366" s="626"/>
      <c r="AAO366" s="640"/>
      <c r="AAP366" s="641"/>
      <c r="AAQ366" s="653"/>
      <c r="AAR366" s="261"/>
      <c r="AAS366" s="118"/>
      <c r="AAT366" s="219"/>
      <c r="AAU366" s="247"/>
      <c r="AAV366" s="652"/>
      <c r="AAW366" s="626"/>
      <c r="AAX366" s="640"/>
      <c r="AAY366" s="641"/>
      <c r="AAZ366" s="653"/>
      <c r="ABA366" s="261"/>
      <c r="ABB366" s="118"/>
      <c r="ABC366" s="219"/>
      <c r="ABD366" s="247"/>
      <c r="ABE366" s="652"/>
      <c r="ABF366" s="626"/>
      <c r="ABG366" s="640"/>
      <c r="ABH366" s="641"/>
      <c r="ABI366" s="653"/>
      <c r="ABJ366" s="261"/>
      <c r="ABK366" s="118"/>
      <c r="ABL366" s="219"/>
      <c r="ABM366" s="247"/>
      <c r="ABN366" s="652"/>
      <c r="ABO366" s="626"/>
      <c r="ABP366" s="640"/>
      <c r="ABQ366" s="641"/>
      <c r="ABR366" s="653"/>
      <c r="ABS366" s="261"/>
      <c r="ABT366" s="118"/>
      <c r="ABU366" s="219"/>
      <c r="ABV366" s="247"/>
      <c r="ABW366" s="652"/>
      <c r="ABX366" s="626"/>
      <c r="ABY366" s="640"/>
      <c r="ABZ366" s="641"/>
      <c r="ACA366" s="653"/>
      <c r="ACB366" s="261"/>
      <c r="ACC366" s="118"/>
      <c r="ACD366" s="219"/>
      <c r="ACE366" s="247"/>
      <c r="ACF366" s="652"/>
      <c r="ACG366" s="626"/>
      <c r="ACH366" s="640"/>
      <c r="ACI366" s="641"/>
      <c r="ACJ366" s="653"/>
      <c r="ACK366" s="261"/>
      <c r="ACL366" s="118"/>
      <c r="ACM366" s="219"/>
      <c r="ACN366" s="247"/>
      <c r="ACO366" s="652"/>
      <c r="ACP366" s="626"/>
      <c r="ACQ366" s="640"/>
      <c r="ACR366" s="641"/>
      <c r="ACS366" s="653"/>
      <c r="ACT366" s="261"/>
      <c r="ACU366" s="118"/>
      <c r="ACV366" s="219"/>
      <c r="ACW366" s="247"/>
      <c r="ACX366" s="652"/>
      <c r="ACY366" s="626"/>
      <c r="ACZ366" s="640"/>
      <c r="ADA366" s="641"/>
      <c r="ADB366" s="653"/>
      <c r="ADC366" s="261"/>
      <c r="ADD366" s="118"/>
      <c r="ADE366" s="219"/>
      <c r="ADF366" s="247"/>
      <c r="ADG366" s="652"/>
      <c r="ADH366" s="626"/>
      <c r="ADI366" s="640"/>
      <c r="ADJ366" s="641"/>
      <c r="ADK366" s="653"/>
      <c r="ADL366" s="261"/>
      <c r="ADM366" s="118"/>
      <c r="ADN366" s="219"/>
      <c r="ADO366" s="247"/>
      <c r="ADP366" s="652"/>
      <c r="ADQ366" s="626"/>
      <c r="ADR366" s="640"/>
      <c r="ADS366" s="641"/>
      <c r="ADT366" s="653"/>
      <c r="ADU366" s="261"/>
      <c r="ADV366" s="118"/>
      <c r="ADW366" s="219"/>
      <c r="ADX366" s="247"/>
      <c r="ADY366" s="652"/>
      <c r="ADZ366" s="626"/>
      <c r="AEA366" s="640"/>
      <c r="AEB366" s="641"/>
      <c r="AEC366" s="653"/>
      <c r="AED366" s="261"/>
      <c r="AEE366" s="118"/>
      <c r="AEF366" s="219"/>
      <c r="AEG366" s="247"/>
      <c r="AEH366" s="652"/>
      <c r="AEI366" s="626"/>
      <c r="AEJ366" s="640"/>
      <c r="AEK366" s="641"/>
      <c r="AEL366" s="653"/>
      <c r="AEM366" s="261"/>
      <c r="AEN366" s="118"/>
      <c r="AEO366" s="219"/>
      <c r="AEP366" s="247"/>
      <c r="AEQ366" s="652"/>
      <c r="AER366" s="626"/>
      <c r="AES366" s="640"/>
      <c r="AET366" s="641"/>
      <c r="AEU366" s="653"/>
      <c r="AEV366" s="261"/>
      <c r="AEW366" s="118"/>
      <c r="AEX366" s="219"/>
      <c r="AEY366" s="247"/>
      <c r="AEZ366" s="652"/>
      <c r="AFA366" s="626"/>
      <c r="AFB366" s="640"/>
      <c r="AFC366" s="641"/>
      <c r="AFD366" s="653"/>
      <c r="AFE366" s="261"/>
      <c r="AFF366" s="118"/>
      <c r="AFG366" s="219"/>
      <c r="AFH366" s="247"/>
      <c r="AFI366" s="652"/>
      <c r="AFJ366" s="626"/>
      <c r="AFK366" s="640"/>
      <c r="AFL366" s="641"/>
      <c r="AFM366" s="653"/>
      <c r="AFN366" s="261"/>
      <c r="AFO366" s="118"/>
      <c r="AFP366" s="219"/>
      <c r="AFQ366" s="247"/>
      <c r="AFR366" s="652"/>
      <c r="AFS366" s="626"/>
      <c r="AFT366" s="640"/>
      <c r="AFU366" s="641"/>
      <c r="AFV366" s="653"/>
      <c r="AFW366" s="261"/>
      <c r="AFX366" s="118"/>
      <c r="AFY366" s="219"/>
      <c r="AFZ366" s="247"/>
      <c r="AGA366" s="652"/>
      <c r="AGB366" s="626"/>
      <c r="AGC366" s="640"/>
      <c r="AGD366" s="641"/>
      <c r="AGE366" s="653"/>
      <c r="AGF366" s="261"/>
      <c r="AGG366" s="118"/>
      <c r="AGH366" s="219"/>
      <c r="AGI366" s="247"/>
      <c r="AGJ366" s="652"/>
      <c r="AGK366" s="626"/>
      <c r="AGL366" s="640"/>
      <c r="AGM366" s="641"/>
      <c r="AGN366" s="653"/>
      <c r="AGO366" s="261"/>
      <c r="AGP366" s="118"/>
      <c r="AGQ366" s="219"/>
      <c r="AGR366" s="247"/>
      <c r="AGS366" s="652"/>
      <c r="AGT366" s="626"/>
      <c r="AGU366" s="640"/>
      <c r="AGV366" s="641"/>
      <c r="AGW366" s="653"/>
      <c r="AGX366" s="261"/>
      <c r="AGY366" s="118"/>
      <c r="AGZ366" s="219"/>
      <c r="AHA366" s="247"/>
      <c r="AHB366" s="652"/>
      <c r="AHC366" s="626"/>
      <c r="AHD366" s="640"/>
      <c r="AHE366" s="641"/>
      <c r="AHF366" s="653"/>
      <c r="AHG366" s="261"/>
      <c r="AHH366" s="118"/>
      <c r="AHI366" s="219"/>
      <c r="AHJ366" s="247"/>
      <c r="AHK366" s="652"/>
      <c r="AHL366" s="626"/>
      <c r="AHM366" s="640"/>
      <c r="AHN366" s="641"/>
      <c r="AHO366" s="653"/>
      <c r="AHP366" s="261"/>
      <c r="AHQ366" s="118"/>
      <c r="AHR366" s="219"/>
      <c r="AHS366" s="247"/>
      <c r="AHT366" s="652"/>
      <c r="AHU366" s="626"/>
      <c r="AHV366" s="640"/>
      <c r="AHW366" s="641"/>
      <c r="AHX366" s="653"/>
      <c r="AHY366" s="261"/>
      <c r="AHZ366" s="118"/>
      <c r="AIA366" s="219"/>
      <c r="AIB366" s="247"/>
      <c r="AIC366" s="652"/>
      <c r="AID366" s="626"/>
      <c r="AIE366" s="640"/>
      <c r="AIF366" s="641"/>
      <c r="AIG366" s="653"/>
      <c r="AIH366" s="261"/>
      <c r="AII366" s="118"/>
      <c r="AIJ366" s="219"/>
      <c r="AIK366" s="247"/>
      <c r="AIL366" s="652"/>
      <c r="AIM366" s="626"/>
      <c r="AIN366" s="640"/>
      <c r="AIO366" s="641"/>
      <c r="AIP366" s="653"/>
      <c r="AIQ366" s="261"/>
      <c r="AIR366" s="118"/>
      <c r="AIS366" s="219"/>
      <c r="AIT366" s="247"/>
      <c r="AIU366" s="652"/>
      <c r="AIV366" s="626"/>
      <c r="AIW366" s="640"/>
      <c r="AIX366" s="641"/>
      <c r="AIY366" s="653"/>
      <c r="AIZ366" s="261"/>
      <c r="AJA366" s="118"/>
      <c r="AJB366" s="219"/>
      <c r="AJC366" s="247"/>
      <c r="AJD366" s="652"/>
      <c r="AJE366" s="626"/>
      <c r="AJF366" s="640"/>
      <c r="AJG366" s="641"/>
      <c r="AJH366" s="653"/>
      <c r="AJI366" s="261"/>
      <c r="AJJ366" s="118"/>
      <c r="AJK366" s="219"/>
      <c r="AJL366" s="247"/>
      <c r="AJM366" s="652"/>
      <c r="AJN366" s="626"/>
      <c r="AJO366" s="640"/>
      <c r="AJP366" s="641"/>
      <c r="AJQ366" s="653"/>
      <c r="AJR366" s="261"/>
      <c r="AJS366" s="118"/>
      <c r="AJT366" s="219"/>
      <c r="AJU366" s="247"/>
      <c r="AJV366" s="652"/>
      <c r="AJW366" s="626"/>
      <c r="AJX366" s="640"/>
      <c r="AJY366" s="641"/>
      <c r="AJZ366" s="653"/>
      <c r="AKA366" s="261"/>
      <c r="AKB366" s="118"/>
      <c r="AKC366" s="219"/>
      <c r="AKD366" s="247"/>
      <c r="AKE366" s="652"/>
      <c r="AKF366" s="626"/>
      <c r="AKG366" s="640"/>
      <c r="AKH366" s="641"/>
      <c r="AKI366" s="653"/>
      <c r="AKJ366" s="261"/>
      <c r="AKK366" s="118"/>
      <c r="AKL366" s="219"/>
      <c r="AKM366" s="247"/>
      <c r="AKN366" s="652"/>
      <c r="AKO366" s="626"/>
      <c r="AKP366" s="640"/>
      <c r="AKQ366" s="641"/>
      <c r="AKR366" s="653"/>
      <c r="AKS366" s="261"/>
      <c r="AKT366" s="118"/>
      <c r="AKU366" s="219"/>
      <c r="AKV366" s="247"/>
      <c r="AKW366" s="652"/>
      <c r="AKX366" s="626"/>
      <c r="AKY366" s="640"/>
      <c r="AKZ366" s="641"/>
      <c r="ALA366" s="653"/>
      <c r="ALB366" s="261"/>
      <c r="ALC366" s="118"/>
      <c r="ALD366" s="219"/>
      <c r="ALE366" s="247"/>
      <c r="ALF366" s="652"/>
      <c r="ALG366" s="626"/>
      <c r="ALH366" s="640"/>
      <c r="ALI366" s="641"/>
      <c r="ALJ366" s="653"/>
      <c r="ALK366" s="261"/>
      <c r="ALL366" s="118"/>
      <c r="ALM366" s="219"/>
      <c r="ALN366" s="247"/>
      <c r="ALO366" s="652"/>
      <c r="ALP366" s="626"/>
      <c r="ALQ366" s="640"/>
      <c r="ALR366" s="641"/>
      <c r="ALS366" s="653"/>
      <c r="ALT366" s="261"/>
      <c r="ALU366" s="118"/>
      <c r="ALV366" s="219"/>
      <c r="ALW366" s="247"/>
      <c r="ALX366" s="652"/>
      <c r="ALY366" s="626"/>
      <c r="ALZ366" s="640"/>
      <c r="AMA366" s="641"/>
      <c r="AMB366" s="653"/>
      <c r="AMC366" s="261"/>
      <c r="AMD366" s="118"/>
      <c r="AME366" s="219"/>
      <c r="AMF366" s="247"/>
      <c r="AMG366" s="652"/>
      <c r="AMH366" s="626"/>
      <c r="AMI366" s="640"/>
      <c r="AMJ366" s="641"/>
      <c r="AMK366" s="653"/>
      <c r="AML366" s="261"/>
      <c r="AMM366" s="118"/>
      <c r="AMN366" s="219"/>
      <c r="AMO366" s="247"/>
      <c r="AMP366" s="652"/>
      <c r="AMQ366" s="626"/>
      <c r="AMR366" s="640"/>
      <c r="AMS366" s="641"/>
      <c r="AMT366" s="653"/>
      <c r="AMU366" s="261"/>
      <c r="AMV366" s="118"/>
      <c r="AMW366" s="219"/>
      <c r="AMX366" s="247"/>
      <c r="AMY366" s="652"/>
      <c r="AMZ366" s="626"/>
      <c r="ANA366" s="640"/>
      <c r="ANB366" s="641"/>
      <c r="ANC366" s="653"/>
      <c r="AND366" s="261"/>
      <c r="ANE366" s="118"/>
      <c r="ANF366" s="219"/>
      <c r="ANG366" s="247"/>
      <c r="ANH366" s="652"/>
      <c r="ANI366" s="626"/>
      <c r="ANJ366" s="640"/>
      <c r="ANK366" s="641"/>
      <c r="ANL366" s="653"/>
      <c r="ANM366" s="261"/>
      <c r="ANN366" s="118"/>
      <c r="ANO366" s="219"/>
      <c r="ANP366" s="247"/>
      <c r="ANQ366" s="652"/>
      <c r="ANR366" s="626"/>
      <c r="ANS366" s="640"/>
      <c r="ANT366" s="641"/>
      <c r="ANU366" s="653"/>
      <c r="ANV366" s="261"/>
      <c r="ANW366" s="118"/>
      <c r="ANX366" s="219"/>
      <c r="ANY366" s="247"/>
      <c r="ANZ366" s="652"/>
      <c r="AOA366" s="626"/>
      <c r="AOB366" s="640"/>
      <c r="AOC366" s="641"/>
      <c r="AOD366" s="653"/>
      <c r="AOE366" s="261"/>
      <c r="AOF366" s="118"/>
      <c r="AOG366" s="219"/>
      <c r="AOH366" s="247"/>
      <c r="AOI366" s="652"/>
      <c r="AOJ366" s="626"/>
      <c r="AOK366" s="640"/>
      <c r="AOL366" s="641"/>
      <c r="AOM366" s="653"/>
      <c r="AON366" s="261"/>
      <c r="AOO366" s="118"/>
      <c r="AOP366" s="219"/>
      <c r="AOQ366" s="247"/>
      <c r="AOR366" s="652"/>
      <c r="AOS366" s="626"/>
      <c r="AOT366" s="640"/>
      <c r="AOU366" s="641"/>
      <c r="AOV366" s="653"/>
      <c r="AOW366" s="261"/>
      <c r="AOX366" s="118"/>
      <c r="AOY366" s="219"/>
      <c r="AOZ366" s="247"/>
      <c r="APA366" s="652"/>
      <c r="APB366" s="626"/>
      <c r="APC366" s="640"/>
      <c r="APD366" s="641"/>
      <c r="APE366" s="653"/>
      <c r="APF366" s="261"/>
      <c r="APG366" s="118"/>
      <c r="APH366" s="219"/>
      <c r="API366" s="247"/>
      <c r="APJ366" s="652"/>
      <c r="APK366" s="626"/>
      <c r="APL366" s="640"/>
      <c r="APM366" s="641"/>
      <c r="APN366" s="653"/>
      <c r="APO366" s="261"/>
      <c r="APP366" s="118"/>
      <c r="APQ366" s="219"/>
      <c r="APR366" s="247"/>
      <c r="APS366" s="652"/>
      <c r="APT366" s="626"/>
      <c r="APU366" s="640"/>
      <c r="APV366" s="641"/>
      <c r="APW366" s="653"/>
      <c r="APX366" s="261"/>
      <c r="APY366" s="118"/>
      <c r="APZ366" s="219"/>
      <c r="AQA366" s="247"/>
      <c r="AQB366" s="652"/>
      <c r="AQC366" s="626"/>
      <c r="AQD366" s="640"/>
      <c r="AQE366" s="641"/>
      <c r="AQF366" s="653"/>
      <c r="AQG366" s="261"/>
      <c r="AQH366" s="118"/>
      <c r="AQI366" s="219"/>
      <c r="AQJ366" s="247"/>
      <c r="AQK366" s="652"/>
      <c r="AQL366" s="626"/>
      <c r="AQM366" s="640"/>
      <c r="AQN366" s="641"/>
      <c r="AQO366" s="653"/>
      <c r="AQP366" s="261"/>
      <c r="AQQ366" s="118"/>
      <c r="AQR366" s="219"/>
      <c r="AQS366" s="247"/>
      <c r="AQT366" s="652"/>
      <c r="AQU366" s="626"/>
      <c r="AQV366" s="640"/>
      <c r="AQW366" s="641"/>
      <c r="AQX366" s="653"/>
      <c r="AQY366" s="261"/>
      <c r="AQZ366" s="118"/>
      <c r="ARA366" s="219"/>
      <c r="ARB366" s="247"/>
      <c r="ARC366" s="652"/>
      <c r="ARD366" s="626"/>
      <c r="ARE366" s="640"/>
      <c r="ARF366" s="641"/>
      <c r="ARG366" s="653"/>
      <c r="ARH366" s="261"/>
      <c r="ARI366" s="118"/>
      <c r="ARJ366" s="219"/>
      <c r="ARK366" s="247"/>
      <c r="ARL366" s="652"/>
      <c r="ARM366" s="626"/>
      <c r="ARN366" s="640"/>
      <c r="ARO366" s="641"/>
      <c r="ARP366" s="653"/>
      <c r="ARQ366" s="261"/>
      <c r="ARR366" s="118"/>
      <c r="ARS366" s="219"/>
      <c r="ART366" s="247"/>
      <c r="ARU366" s="652"/>
      <c r="ARV366" s="626"/>
      <c r="ARW366" s="640"/>
      <c r="ARX366" s="641"/>
      <c r="ARY366" s="653"/>
      <c r="ARZ366" s="261"/>
      <c r="ASA366" s="118"/>
      <c r="ASB366" s="219"/>
      <c r="ASC366" s="247"/>
      <c r="ASD366" s="652"/>
      <c r="ASE366" s="626"/>
      <c r="ASF366" s="640"/>
      <c r="ASG366" s="641"/>
      <c r="ASH366" s="653"/>
      <c r="ASI366" s="261"/>
      <c r="ASJ366" s="118"/>
      <c r="ASK366" s="219"/>
      <c r="ASL366" s="247"/>
      <c r="ASM366" s="652"/>
      <c r="ASN366" s="626"/>
      <c r="ASO366" s="640"/>
      <c r="ASP366" s="641"/>
      <c r="ASQ366" s="653"/>
      <c r="ASR366" s="261"/>
      <c r="ASS366" s="118"/>
      <c r="AST366" s="219"/>
      <c r="ASU366" s="247"/>
      <c r="ASV366" s="652"/>
      <c r="ASW366" s="626"/>
      <c r="ASX366" s="640"/>
      <c r="ASY366" s="641"/>
      <c r="ASZ366" s="653"/>
      <c r="ATA366" s="261"/>
      <c r="ATB366" s="118"/>
      <c r="ATC366" s="219"/>
      <c r="ATD366" s="247"/>
      <c r="ATE366" s="652"/>
      <c r="ATF366" s="626"/>
      <c r="ATG366" s="640"/>
      <c r="ATH366" s="641"/>
      <c r="ATI366" s="653"/>
      <c r="ATJ366" s="261"/>
      <c r="ATK366" s="118"/>
      <c r="ATL366" s="219"/>
      <c r="ATM366" s="247"/>
      <c r="ATN366" s="652"/>
      <c r="ATO366" s="626"/>
      <c r="ATP366" s="640"/>
      <c r="ATQ366" s="641"/>
      <c r="ATR366" s="653"/>
      <c r="ATS366" s="261"/>
      <c r="ATT366" s="118"/>
      <c r="ATU366" s="219"/>
      <c r="ATV366" s="247"/>
      <c r="ATW366" s="652"/>
      <c r="ATX366" s="626"/>
      <c r="ATY366" s="640"/>
      <c r="ATZ366" s="641"/>
      <c r="AUA366" s="653"/>
      <c r="AUB366" s="261"/>
      <c r="AUC366" s="118"/>
      <c r="AUD366" s="219"/>
      <c r="AUE366" s="247"/>
      <c r="AUF366" s="652"/>
      <c r="AUG366" s="626"/>
      <c r="AUH366" s="640"/>
      <c r="AUI366" s="641"/>
      <c r="AUJ366" s="653"/>
      <c r="AUK366" s="261"/>
      <c r="AUL366" s="118"/>
      <c r="AUM366" s="219"/>
      <c r="AUN366" s="247"/>
      <c r="AUO366" s="652"/>
      <c r="AUP366" s="626"/>
      <c r="AUQ366" s="640"/>
      <c r="AUR366" s="641"/>
      <c r="AUS366" s="653"/>
      <c r="AUT366" s="261"/>
      <c r="AUU366" s="118"/>
      <c r="AUV366" s="219"/>
      <c r="AUW366" s="247"/>
      <c r="AUX366" s="652"/>
      <c r="AUY366" s="626"/>
      <c r="AUZ366" s="640"/>
      <c r="AVA366" s="641"/>
      <c r="AVB366" s="653"/>
      <c r="AVC366" s="261"/>
      <c r="AVD366" s="118"/>
      <c r="AVE366" s="219"/>
      <c r="AVF366" s="247"/>
      <c r="AVG366" s="652"/>
      <c r="AVH366" s="626"/>
      <c r="AVI366" s="640"/>
      <c r="AVJ366" s="641"/>
      <c r="AVK366" s="653"/>
      <c r="AVL366" s="261"/>
      <c r="AVM366" s="118"/>
      <c r="AVN366" s="219"/>
      <c r="AVO366" s="247"/>
      <c r="AVP366" s="652"/>
      <c r="AVQ366" s="626"/>
      <c r="AVR366" s="640"/>
      <c r="AVS366" s="641"/>
      <c r="AVT366" s="653"/>
      <c r="AVU366" s="261"/>
      <c r="AVV366" s="118"/>
      <c r="AVW366" s="219"/>
      <c r="AVX366" s="247"/>
      <c r="AVY366" s="652"/>
      <c r="AVZ366" s="626"/>
      <c r="AWA366" s="640"/>
      <c r="AWB366" s="641"/>
      <c r="AWC366" s="653"/>
      <c r="AWD366" s="261"/>
      <c r="AWE366" s="118"/>
      <c r="AWF366" s="219"/>
      <c r="AWG366" s="247"/>
      <c r="AWH366" s="652"/>
      <c r="AWI366" s="626"/>
      <c r="AWJ366" s="640"/>
      <c r="AWK366" s="641"/>
      <c r="AWL366" s="653"/>
      <c r="AWM366" s="261"/>
      <c r="AWN366" s="118"/>
      <c r="AWO366" s="219"/>
      <c r="AWP366" s="247"/>
      <c r="AWQ366" s="652"/>
      <c r="AWR366" s="626"/>
      <c r="AWS366" s="640"/>
      <c r="AWT366" s="641"/>
      <c r="AWU366" s="653"/>
      <c r="AWV366" s="261"/>
      <c r="AWW366" s="118"/>
      <c r="AWX366" s="219"/>
      <c r="AWY366" s="247"/>
      <c r="AWZ366" s="652"/>
      <c r="AXA366" s="626"/>
      <c r="AXB366" s="640"/>
      <c r="AXC366" s="641"/>
      <c r="AXD366" s="653"/>
      <c r="AXE366" s="261"/>
      <c r="AXF366" s="118"/>
      <c r="AXG366" s="219"/>
      <c r="AXH366" s="247"/>
      <c r="AXI366" s="652"/>
      <c r="AXJ366" s="626"/>
      <c r="AXK366" s="640"/>
      <c r="AXL366" s="641"/>
      <c r="AXM366" s="653"/>
      <c r="AXN366" s="261"/>
      <c r="AXO366" s="118"/>
      <c r="AXP366" s="219"/>
      <c r="AXQ366" s="247"/>
      <c r="AXR366" s="652"/>
      <c r="AXS366" s="626"/>
      <c r="AXT366" s="640"/>
      <c r="AXU366" s="641"/>
      <c r="AXV366" s="653"/>
      <c r="AXW366" s="261"/>
      <c r="AXX366" s="118"/>
      <c r="AXY366" s="219"/>
      <c r="AXZ366" s="247"/>
      <c r="AYA366" s="652"/>
      <c r="AYB366" s="626"/>
      <c r="AYC366" s="640"/>
      <c r="AYD366" s="641"/>
      <c r="AYE366" s="653"/>
      <c r="AYF366" s="261"/>
      <c r="AYG366" s="118"/>
      <c r="AYH366" s="219"/>
      <c r="AYI366" s="247"/>
      <c r="AYJ366" s="652"/>
      <c r="AYK366" s="626"/>
      <c r="AYL366" s="640"/>
      <c r="AYM366" s="641"/>
      <c r="AYN366" s="653"/>
      <c r="AYO366" s="261"/>
      <c r="AYP366" s="118"/>
      <c r="AYQ366" s="219"/>
      <c r="AYR366" s="247"/>
      <c r="AYS366" s="652"/>
      <c r="AYT366" s="626"/>
      <c r="AYU366" s="640"/>
      <c r="AYV366" s="641"/>
      <c r="AYW366" s="653"/>
      <c r="AYX366" s="261"/>
      <c r="AYY366" s="118"/>
      <c r="AYZ366" s="219"/>
      <c r="AZA366" s="247"/>
      <c r="AZB366" s="652"/>
      <c r="AZC366" s="626"/>
      <c r="AZD366" s="640"/>
      <c r="AZE366" s="641"/>
      <c r="AZF366" s="653"/>
      <c r="AZG366" s="261"/>
      <c r="AZH366" s="118"/>
      <c r="AZI366" s="219"/>
      <c r="AZJ366" s="247"/>
      <c r="AZK366" s="652"/>
      <c r="AZL366" s="626"/>
      <c r="AZM366" s="640"/>
      <c r="AZN366" s="641"/>
      <c r="AZO366" s="653"/>
      <c r="AZP366" s="261"/>
      <c r="AZQ366" s="118"/>
      <c r="AZR366" s="219"/>
      <c r="AZS366" s="247"/>
      <c r="AZT366" s="652"/>
      <c r="AZU366" s="626"/>
      <c r="AZV366" s="640"/>
      <c r="AZW366" s="641"/>
      <c r="AZX366" s="653"/>
      <c r="AZY366" s="261"/>
      <c r="AZZ366" s="118"/>
      <c r="BAA366" s="219"/>
      <c r="BAB366" s="247"/>
      <c r="BAC366" s="652"/>
      <c r="BAD366" s="626"/>
      <c r="BAE366" s="640"/>
      <c r="BAF366" s="641"/>
      <c r="BAG366" s="653"/>
      <c r="BAH366" s="261"/>
      <c r="BAI366" s="118"/>
      <c r="BAJ366" s="219"/>
      <c r="BAK366" s="247"/>
      <c r="BAL366" s="652"/>
      <c r="BAM366" s="626"/>
      <c r="BAN366" s="640"/>
      <c r="BAO366" s="641"/>
      <c r="BAP366" s="653"/>
      <c r="BAQ366" s="261"/>
      <c r="BAR366" s="118"/>
      <c r="BAS366" s="219"/>
      <c r="BAT366" s="247"/>
      <c r="BAU366" s="652"/>
      <c r="BAV366" s="626"/>
      <c r="BAW366" s="640"/>
      <c r="BAX366" s="641"/>
      <c r="BAY366" s="653"/>
      <c r="BAZ366" s="261"/>
      <c r="BBA366" s="118"/>
      <c r="BBB366" s="219"/>
      <c r="BBC366" s="247"/>
      <c r="BBD366" s="652"/>
      <c r="BBE366" s="626"/>
      <c r="BBF366" s="640"/>
      <c r="BBG366" s="641"/>
      <c r="BBH366" s="653"/>
      <c r="BBI366" s="261"/>
      <c r="BBJ366" s="118"/>
      <c r="BBK366" s="219"/>
      <c r="BBL366" s="247"/>
      <c r="BBM366" s="652"/>
      <c r="BBN366" s="626"/>
      <c r="BBO366" s="640"/>
      <c r="BBP366" s="641"/>
      <c r="BBQ366" s="653"/>
      <c r="BBR366" s="261"/>
      <c r="BBS366" s="118"/>
      <c r="BBT366" s="219"/>
      <c r="BBU366" s="247"/>
      <c r="BBV366" s="652"/>
      <c r="BBW366" s="626"/>
      <c r="BBX366" s="640"/>
      <c r="BBY366" s="641"/>
      <c r="BBZ366" s="653"/>
      <c r="BCA366" s="261"/>
      <c r="BCB366" s="118"/>
      <c r="BCC366" s="219"/>
      <c r="BCD366" s="247"/>
      <c r="BCE366" s="652"/>
      <c r="BCF366" s="626"/>
      <c r="BCG366" s="640"/>
      <c r="BCH366" s="641"/>
      <c r="BCI366" s="653"/>
      <c r="BCJ366" s="261"/>
      <c r="BCK366" s="118"/>
      <c r="BCL366" s="219"/>
      <c r="BCM366" s="247"/>
      <c r="BCN366" s="652"/>
      <c r="BCO366" s="626"/>
      <c r="BCP366" s="640"/>
      <c r="BCQ366" s="641"/>
      <c r="BCR366" s="653"/>
      <c r="BCS366" s="261"/>
      <c r="BCT366" s="118"/>
      <c r="BCU366" s="219"/>
      <c r="BCV366" s="247"/>
      <c r="BCW366" s="652"/>
      <c r="BCX366" s="626"/>
      <c r="BCY366" s="640"/>
      <c r="BCZ366" s="641"/>
      <c r="BDA366" s="653"/>
      <c r="BDB366" s="261"/>
      <c r="BDC366" s="118"/>
      <c r="BDD366" s="219"/>
      <c r="BDE366" s="247"/>
      <c r="BDF366" s="652"/>
      <c r="BDG366" s="626"/>
      <c r="BDH366" s="640"/>
      <c r="BDI366" s="641"/>
      <c r="BDJ366" s="653"/>
      <c r="BDK366" s="261"/>
      <c r="BDL366" s="118"/>
      <c r="BDM366" s="219"/>
      <c r="BDN366" s="247"/>
      <c r="BDO366" s="652"/>
      <c r="BDP366" s="626"/>
      <c r="BDQ366" s="640"/>
      <c r="BDR366" s="641"/>
      <c r="BDS366" s="653"/>
      <c r="BDT366" s="261"/>
      <c r="BDU366" s="118"/>
      <c r="BDV366" s="219"/>
      <c r="BDW366" s="247"/>
      <c r="BDX366" s="652"/>
      <c r="BDY366" s="626"/>
      <c r="BDZ366" s="640"/>
      <c r="BEA366" s="641"/>
      <c r="BEB366" s="653"/>
      <c r="BEC366" s="261"/>
      <c r="BED366" s="118"/>
      <c r="BEE366" s="219"/>
      <c r="BEF366" s="247"/>
      <c r="BEG366" s="652"/>
      <c r="BEH366" s="626"/>
      <c r="BEI366" s="640"/>
      <c r="BEJ366" s="641"/>
      <c r="BEK366" s="653"/>
      <c r="BEL366" s="261"/>
      <c r="BEM366" s="118"/>
      <c r="BEN366" s="219"/>
      <c r="BEO366" s="247"/>
      <c r="BEP366" s="652"/>
      <c r="BEQ366" s="626"/>
      <c r="BER366" s="640"/>
      <c r="BES366" s="641"/>
      <c r="BET366" s="653"/>
      <c r="BEU366" s="261"/>
      <c r="BEV366" s="118"/>
      <c r="BEW366" s="219"/>
      <c r="BEX366" s="247"/>
      <c r="BEY366" s="652"/>
      <c r="BEZ366" s="626"/>
      <c r="BFA366" s="640"/>
      <c r="BFB366" s="641"/>
      <c r="BFC366" s="653"/>
      <c r="BFD366" s="261"/>
      <c r="BFE366" s="118"/>
      <c r="BFF366" s="219"/>
      <c r="BFG366" s="247"/>
      <c r="BFH366" s="652"/>
      <c r="BFI366" s="626"/>
      <c r="BFJ366" s="640"/>
      <c r="BFK366" s="641"/>
      <c r="BFL366" s="653"/>
      <c r="BFM366" s="261"/>
      <c r="BFN366" s="118"/>
      <c r="BFO366" s="219"/>
      <c r="BFP366" s="247"/>
      <c r="BFQ366" s="652"/>
      <c r="BFR366" s="626"/>
      <c r="BFS366" s="640"/>
      <c r="BFT366" s="641"/>
      <c r="BFU366" s="653"/>
      <c r="BFV366" s="261"/>
      <c r="BFW366" s="118"/>
      <c r="BFX366" s="219"/>
      <c r="BFY366" s="247"/>
      <c r="BFZ366" s="652"/>
      <c r="BGA366" s="626"/>
      <c r="BGB366" s="640"/>
      <c r="BGC366" s="641"/>
      <c r="BGD366" s="653"/>
      <c r="BGE366" s="261"/>
      <c r="BGF366" s="118"/>
      <c r="BGG366" s="219"/>
      <c r="BGH366" s="247"/>
      <c r="BGI366" s="652"/>
      <c r="BGJ366" s="626"/>
      <c r="BGK366" s="640"/>
      <c r="BGL366" s="641"/>
      <c r="BGM366" s="653"/>
      <c r="BGN366" s="261"/>
      <c r="BGO366" s="118"/>
      <c r="BGP366" s="219"/>
      <c r="BGQ366" s="247"/>
      <c r="BGR366" s="652"/>
      <c r="BGS366" s="626"/>
      <c r="BGT366" s="640"/>
      <c r="BGU366" s="641"/>
      <c r="BGV366" s="653"/>
      <c r="BGW366" s="261"/>
      <c r="BGX366" s="118"/>
      <c r="BGY366" s="219"/>
      <c r="BGZ366" s="247"/>
      <c r="BHA366" s="652"/>
      <c r="BHB366" s="626"/>
      <c r="BHC366" s="640"/>
      <c r="BHD366" s="641"/>
      <c r="BHE366" s="653"/>
      <c r="BHF366" s="261"/>
      <c r="BHG366" s="118"/>
      <c r="BHH366" s="219"/>
      <c r="BHI366" s="247"/>
      <c r="BHJ366" s="652"/>
      <c r="BHK366" s="626"/>
      <c r="BHL366" s="640"/>
      <c r="BHM366" s="641"/>
      <c r="BHN366" s="653"/>
      <c r="BHO366" s="261"/>
      <c r="BHP366" s="118"/>
      <c r="BHQ366" s="219"/>
      <c r="BHR366" s="247"/>
      <c r="BHS366" s="652"/>
      <c r="BHT366" s="626"/>
      <c r="BHU366" s="640"/>
      <c r="BHV366" s="641"/>
      <c r="BHW366" s="653"/>
      <c r="BHX366" s="261"/>
      <c r="BHY366" s="118"/>
      <c r="BHZ366" s="219"/>
      <c r="BIA366" s="247"/>
      <c r="BIB366" s="652"/>
      <c r="BIC366" s="626"/>
      <c r="BID366" s="640"/>
      <c r="BIE366" s="641"/>
      <c r="BIF366" s="653"/>
      <c r="BIG366" s="261"/>
      <c r="BIH366" s="118"/>
      <c r="BII366" s="219"/>
      <c r="BIJ366" s="247"/>
      <c r="BIK366" s="652"/>
      <c r="BIL366" s="626"/>
      <c r="BIM366" s="640"/>
      <c r="BIN366" s="641"/>
      <c r="BIO366" s="653"/>
      <c r="BIP366" s="261"/>
      <c r="BIQ366" s="118"/>
      <c r="BIR366" s="219"/>
      <c r="BIS366" s="247"/>
      <c r="BIT366" s="652"/>
      <c r="BIU366" s="626"/>
      <c r="BIV366" s="640"/>
      <c r="BIW366" s="641"/>
      <c r="BIX366" s="653"/>
      <c r="BIY366" s="261"/>
      <c r="BIZ366" s="118"/>
      <c r="BJA366" s="219"/>
      <c r="BJB366" s="247"/>
      <c r="BJC366" s="652"/>
      <c r="BJD366" s="626"/>
      <c r="BJE366" s="640"/>
      <c r="BJF366" s="641"/>
      <c r="BJG366" s="653"/>
      <c r="BJH366" s="261"/>
      <c r="BJI366" s="118"/>
      <c r="BJJ366" s="219"/>
      <c r="BJK366" s="247"/>
      <c r="BJL366" s="652"/>
      <c r="BJM366" s="626"/>
      <c r="BJN366" s="640"/>
      <c r="BJO366" s="641"/>
      <c r="BJP366" s="653"/>
      <c r="BJQ366" s="261"/>
      <c r="BJR366" s="118"/>
      <c r="BJS366" s="219"/>
      <c r="BJT366" s="247"/>
      <c r="BJU366" s="652"/>
      <c r="BJV366" s="626"/>
      <c r="BJW366" s="640"/>
      <c r="BJX366" s="641"/>
      <c r="BJY366" s="653"/>
      <c r="BJZ366" s="261"/>
      <c r="BKA366" s="118"/>
      <c r="BKB366" s="219"/>
      <c r="BKC366" s="247"/>
      <c r="BKD366" s="652"/>
      <c r="BKE366" s="626"/>
      <c r="BKF366" s="640"/>
      <c r="BKG366" s="641"/>
      <c r="BKH366" s="653"/>
      <c r="BKI366" s="261"/>
      <c r="BKJ366" s="118"/>
      <c r="BKK366" s="219"/>
      <c r="BKL366" s="247"/>
      <c r="BKM366" s="652"/>
      <c r="BKN366" s="626"/>
      <c r="BKO366" s="640"/>
      <c r="BKP366" s="641"/>
      <c r="BKQ366" s="653"/>
      <c r="BKR366" s="261"/>
      <c r="BKS366" s="118"/>
      <c r="BKT366" s="219"/>
      <c r="BKU366" s="247"/>
      <c r="BKV366" s="652"/>
      <c r="BKW366" s="626"/>
      <c r="BKX366" s="640"/>
      <c r="BKY366" s="641"/>
      <c r="BKZ366" s="653"/>
      <c r="BLA366" s="261"/>
      <c r="BLB366" s="118"/>
      <c r="BLC366" s="219"/>
      <c r="BLD366" s="247"/>
      <c r="BLE366" s="652"/>
      <c r="BLF366" s="626"/>
      <c r="BLG366" s="640"/>
      <c r="BLH366" s="641"/>
      <c r="BLI366" s="653"/>
      <c r="BLJ366" s="261"/>
      <c r="BLK366" s="118"/>
      <c r="BLL366" s="219"/>
      <c r="BLM366" s="247"/>
      <c r="BLN366" s="652"/>
      <c r="BLO366" s="626"/>
      <c r="BLP366" s="640"/>
      <c r="BLQ366" s="641"/>
      <c r="BLR366" s="653"/>
      <c r="BLS366" s="261"/>
      <c r="BLT366" s="118"/>
      <c r="BLU366" s="219"/>
      <c r="BLV366" s="247"/>
      <c r="BLW366" s="652"/>
      <c r="BLX366" s="626"/>
      <c r="BLY366" s="640"/>
      <c r="BLZ366" s="641"/>
      <c r="BMA366" s="653"/>
      <c r="BMB366" s="261"/>
      <c r="BMC366" s="118"/>
      <c r="BMD366" s="219"/>
      <c r="BME366" s="247"/>
      <c r="BMF366" s="652"/>
      <c r="BMG366" s="626"/>
      <c r="BMH366" s="640"/>
      <c r="BMI366" s="641"/>
      <c r="BMJ366" s="653"/>
      <c r="BMK366" s="261"/>
      <c r="BML366" s="118"/>
      <c r="BMM366" s="219"/>
      <c r="BMN366" s="247"/>
      <c r="BMO366" s="652"/>
      <c r="BMP366" s="626"/>
      <c r="BMQ366" s="640"/>
      <c r="BMR366" s="641"/>
      <c r="BMS366" s="653"/>
      <c r="BMT366" s="261"/>
      <c r="BMU366" s="118"/>
      <c r="BMV366" s="219"/>
      <c r="BMW366" s="247"/>
      <c r="BMX366" s="652"/>
      <c r="BMY366" s="626"/>
      <c r="BMZ366" s="640"/>
      <c r="BNA366" s="641"/>
      <c r="BNB366" s="653"/>
      <c r="BNC366" s="261"/>
      <c r="BND366" s="118"/>
      <c r="BNE366" s="219"/>
      <c r="BNF366" s="247"/>
      <c r="BNG366" s="652"/>
      <c r="BNH366" s="626"/>
      <c r="BNI366" s="640"/>
      <c r="BNJ366" s="641"/>
      <c r="BNK366" s="653"/>
      <c r="BNL366" s="261"/>
      <c r="BNM366" s="118"/>
      <c r="BNN366" s="219"/>
      <c r="BNO366" s="247"/>
      <c r="BNP366" s="652"/>
      <c r="BNQ366" s="626"/>
      <c r="BNR366" s="640"/>
      <c r="BNS366" s="641"/>
      <c r="BNT366" s="653"/>
      <c r="BNU366" s="261"/>
      <c r="BNV366" s="118"/>
      <c r="BNW366" s="219"/>
      <c r="BNX366" s="247"/>
      <c r="BNY366" s="652"/>
      <c r="BNZ366" s="626"/>
      <c r="BOA366" s="640"/>
      <c r="BOB366" s="641"/>
      <c r="BOC366" s="653"/>
      <c r="BOD366" s="261"/>
      <c r="BOE366" s="118"/>
      <c r="BOF366" s="219"/>
      <c r="BOG366" s="247"/>
      <c r="BOH366" s="652"/>
      <c r="BOI366" s="626"/>
      <c r="BOJ366" s="640"/>
      <c r="BOK366" s="641"/>
      <c r="BOL366" s="653"/>
      <c r="BOM366" s="261"/>
      <c r="BON366" s="118"/>
      <c r="BOO366" s="219"/>
      <c r="BOP366" s="247"/>
      <c r="BOQ366" s="652"/>
      <c r="BOR366" s="626"/>
      <c r="BOS366" s="640"/>
      <c r="BOT366" s="641"/>
      <c r="BOU366" s="653"/>
      <c r="BOV366" s="261"/>
      <c r="BOW366" s="118"/>
      <c r="BOX366" s="219"/>
      <c r="BOY366" s="247"/>
      <c r="BOZ366" s="652"/>
      <c r="BPA366" s="626"/>
      <c r="BPB366" s="640"/>
      <c r="BPC366" s="641"/>
      <c r="BPD366" s="653"/>
      <c r="BPE366" s="261"/>
      <c r="BPF366" s="118"/>
      <c r="BPG366" s="219"/>
      <c r="BPH366" s="247"/>
      <c r="BPI366" s="652"/>
      <c r="BPJ366" s="626"/>
      <c r="BPK366" s="640"/>
      <c r="BPL366" s="641"/>
      <c r="BPM366" s="653"/>
      <c r="BPN366" s="261"/>
      <c r="BPO366" s="118"/>
      <c r="BPP366" s="219"/>
      <c r="BPQ366" s="247"/>
      <c r="BPR366" s="652"/>
      <c r="BPS366" s="626"/>
      <c r="BPT366" s="640"/>
      <c r="BPU366" s="641"/>
      <c r="BPV366" s="653"/>
      <c r="BPW366" s="261"/>
      <c r="BPX366" s="118"/>
      <c r="BPY366" s="219"/>
      <c r="BPZ366" s="247"/>
      <c r="BQA366" s="652"/>
      <c r="BQB366" s="626"/>
      <c r="BQC366" s="640"/>
      <c r="BQD366" s="641"/>
      <c r="BQE366" s="653"/>
      <c r="BQF366" s="261"/>
      <c r="BQG366" s="118"/>
      <c r="BQH366" s="219"/>
      <c r="BQI366" s="247"/>
      <c r="BQJ366" s="652"/>
      <c r="BQK366" s="626"/>
      <c r="BQL366" s="640"/>
      <c r="BQM366" s="641"/>
      <c r="BQN366" s="653"/>
      <c r="BQO366" s="261"/>
      <c r="BQP366" s="118"/>
      <c r="BQQ366" s="219"/>
      <c r="BQR366" s="247"/>
      <c r="BQS366" s="652"/>
      <c r="BQT366" s="626"/>
      <c r="BQU366" s="640"/>
      <c r="BQV366" s="641"/>
      <c r="BQW366" s="653"/>
      <c r="BQX366" s="261"/>
      <c r="BQY366" s="118"/>
      <c r="BQZ366" s="219"/>
      <c r="BRA366" s="247"/>
      <c r="BRB366" s="652"/>
      <c r="BRC366" s="626"/>
      <c r="BRD366" s="640"/>
      <c r="BRE366" s="641"/>
      <c r="BRF366" s="653"/>
      <c r="BRG366" s="261"/>
      <c r="BRH366" s="118"/>
      <c r="BRI366" s="219"/>
      <c r="BRJ366" s="247"/>
      <c r="BRK366" s="652"/>
      <c r="BRL366" s="626"/>
      <c r="BRM366" s="640"/>
      <c r="BRN366" s="641"/>
      <c r="BRO366" s="653"/>
      <c r="BRP366" s="261"/>
      <c r="BRQ366" s="118"/>
      <c r="BRR366" s="219"/>
      <c r="BRS366" s="247"/>
      <c r="BRT366" s="652"/>
      <c r="BRU366" s="626"/>
      <c r="BRV366" s="640"/>
      <c r="BRW366" s="641"/>
      <c r="BRX366" s="653"/>
      <c r="BRY366" s="261"/>
      <c r="BRZ366" s="118"/>
      <c r="BSA366" s="219"/>
      <c r="BSB366" s="247"/>
      <c r="BSC366" s="652"/>
      <c r="BSD366" s="626"/>
      <c r="BSE366" s="640"/>
      <c r="BSF366" s="641"/>
      <c r="BSG366" s="653"/>
      <c r="BSH366" s="261"/>
      <c r="BSI366" s="118"/>
      <c r="BSJ366" s="219"/>
      <c r="BSK366" s="247"/>
      <c r="BSL366" s="652"/>
      <c r="BSM366" s="626"/>
      <c r="BSN366" s="640"/>
      <c r="BSO366" s="641"/>
      <c r="BSP366" s="653"/>
      <c r="BSQ366" s="261"/>
      <c r="BSR366" s="118"/>
      <c r="BSS366" s="219"/>
      <c r="BST366" s="247"/>
      <c r="BSU366" s="652"/>
      <c r="BSV366" s="626"/>
      <c r="BSW366" s="640"/>
      <c r="BSX366" s="641"/>
      <c r="BSY366" s="653"/>
      <c r="BSZ366" s="261"/>
      <c r="BTA366" s="118"/>
      <c r="BTB366" s="219"/>
      <c r="BTC366" s="247"/>
      <c r="BTD366" s="652"/>
      <c r="BTE366" s="626"/>
      <c r="BTF366" s="640"/>
      <c r="BTG366" s="641"/>
      <c r="BTH366" s="653"/>
      <c r="BTI366" s="261"/>
      <c r="BTJ366" s="118"/>
      <c r="BTK366" s="219"/>
      <c r="BTL366" s="247"/>
      <c r="BTM366" s="652"/>
      <c r="BTN366" s="626"/>
      <c r="BTO366" s="640"/>
      <c r="BTP366" s="641"/>
      <c r="BTQ366" s="653"/>
      <c r="BTR366" s="261"/>
      <c r="BTS366" s="118"/>
      <c r="BTT366" s="219"/>
      <c r="BTU366" s="247"/>
      <c r="BTV366" s="652"/>
      <c r="BTW366" s="626"/>
      <c r="BTX366" s="640"/>
      <c r="BTY366" s="641"/>
      <c r="BTZ366" s="653"/>
      <c r="BUA366" s="261"/>
      <c r="BUB366" s="118"/>
      <c r="BUC366" s="219"/>
      <c r="BUD366" s="247"/>
      <c r="BUE366" s="652"/>
      <c r="BUF366" s="626"/>
      <c r="BUG366" s="640"/>
      <c r="BUH366" s="641"/>
      <c r="BUI366" s="653"/>
      <c r="BUJ366" s="261"/>
      <c r="BUK366" s="118"/>
      <c r="BUL366" s="219"/>
      <c r="BUM366" s="247"/>
      <c r="BUN366" s="652"/>
      <c r="BUO366" s="626"/>
      <c r="BUP366" s="640"/>
      <c r="BUQ366" s="641"/>
      <c r="BUR366" s="653"/>
      <c r="BUS366" s="261"/>
      <c r="BUT366" s="118"/>
      <c r="BUU366" s="219"/>
      <c r="BUV366" s="247"/>
      <c r="BUW366" s="652"/>
      <c r="BUX366" s="626"/>
      <c r="BUY366" s="640"/>
      <c r="BUZ366" s="641"/>
      <c r="BVA366" s="653"/>
      <c r="BVB366" s="261"/>
      <c r="BVC366" s="118"/>
      <c r="BVD366" s="219"/>
      <c r="BVE366" s="247"/>
      <c r="BVF366" s="652"/>
      <c r="BVG366" s="626"/>
      <c r="BVH366" s="640"/>
      <c r="BVI366" s="641"/>
      <c r="BVJ366" s="653"/>
      <c r="BVK366" s="261"/>
      <c r="BVL366" s="118"/>
      <c r="BVM366" s="219"/>
      <c r="BVN366" s="247"/>
      <c r="BVO366" s="652"/>
      <c r="BVP366" s="626"/>
      <c r="BVQ366" s="640"/>
      <c r="BVR366" s="641"/>
      <c r="BVS366" s="653"/>
      <c r="BVT366" s="261"/>
      <c r="BVU366" s="118"/>
      <c r="BVV366" s="219"/>
      <c r="BVW366" s="247"/>
      <c r="BVX366" s="652"/>
      <c r="BVY366" s="626"/>
      <c r="BVZ366" s="640"/>
      <c r="BWA366" s="641"/>
      <c r="BWB366" s="653"/>
      <c r="BWC366" s="261"/>
      <c r="BWD366" s="118"/>
      <c r="BWE366" s="219"/>
      <c r="BWF366" s="247"/>
      <c r="BWG366" s="652"/>
      <c r="BWH366" s="626"/>
      <c r="BWI366" s="640"/>
      <c r="BWJ366" s="641"/>
      <c r="BWK366" s="653"/>
      <c r="BWL366" s="261"/>
      <c r="BWM366" s="118"/>
      <c r="BWN366" s="219"/>
      <c r="BWO366" s="247"/>
      <c r="BWP366" s="652"/>
      <c r="BWQ366" s="626"/>
      <c r="BWR366" s="640"/>
      <c r="BWS366" s="641"/>
      <c r="BWT366" s="653"/>
      <c r="BWU366" s="261"/>
      <c r="BWV366" s="118"/>
      <c r="BWW366" s="219"/>
      <c r="BWX366" s="247"/>
      <c r="BWY366" s="652"/>
      <c r="BWZ366" s="626"/>
      <c r="BXA366" s="640"/>
      <c r="BXB366" s="641"/>
      <c r="BXC366" s="653"/>
      <c r="BXD366" s="261"/>
      <c r="BXE366" s="118"/>
      <c r="BXF366" s="219"/>
      <c r="BXG366" s="247"/>
      <c r="BXH366" s="652"/>
      <c r="BXI366" s="626"/>
      <c r="BXJ366" s="640"/>
      <c r="BXK366" s="641"/>
      <c r="BXL366" s="653"/>
      <c r="BXM366" s="261"/>
      <c r="BXN366" s="118"/>
      <c r="BXO366" s="219"/>
      <c r="BXP366" s="247"/>
      <c r="BXQ366" s="652"/>
      <c r="BXR366" s="626"/>
      <c r="BXS366" s="640"/>
      <c r="BXT366" s="641"/>
      <c r="BXU366" s="653"/>
      <c r="BXV366" s="261"/>
      <c r="BXW366" s="118"/>
      <c r="BXX366" s="219"/>
      <c r="BXY366" s="247"/>
      <c r="BXZ366" s="652"/>
      <c r="BYA366" s="626"/>
      <c r="BYB366" s="640"/>
      <c r="BYC366" s="641"/>
      <c r="BYD366" s="653"/>
      <c r="BYE366" s="261"/>
      <c r="BYF366" s="118"/>
      <c r="BYG366" s="219"/>
      <c r="BYH366" s="247"/>
      <c r="BYI366" s="652"/>
      <c r="BYJ366" s="626"/>
      <c r="BYK366" s="640"/>
      <c r="BYL366" s="641"/>
      <c r="BYM366" s="653"/>
      <c r="BYN366" s="261"/>
      <c r="BYO366" s="118"/>
      <c r="BYP366" s="219"/>
      <c r="BYQ366" s="247"/>
      <c r="BYR366" s="652"/>
      <c r="BYS366" s="626"/>
      <c r="BYT366" s="640"/>
      <c r="BYU366" s="641"/>
      <c r="BYV366" s="653"/>
      <c r="BYW366" s="261"/>
      <c r="BYX366" s="118"/>
      <c r="BYY366" s="219"/>
      <c r="BYZ366" s="247"/>
      <c r="BZA366" s="652"/>
      <c r="BZB366" s="626"/>
      <c r="BZC366" s="640"/>
      <c r="BZD366" s="641"/>
      <c r="BZE366" s="653"/>
      <c r="BZF366" s="261"/>
      <c r="BZG366" s="118"/>
      <c r="BZH366" s="219"/>
      <c r="BZI366" s="247"/>
      <c r="BZJ366" s="652"/>
      <c r="BZK366" s="626"/>
      <c r="BZL366" s="640"/>
      <c r="BZM366" s="641"/>
      <c r="BZN366" s="653"/>
      <c r="BZO366" s="261"/>
      <c r="BZP366" s="118"/>
      <c r="BZQ366" s="219"/>
      <c r="BZR366" s="247"/>
      <c r="BZS366" s="652"/>
      <c r="BZT366" s="626"/>
      <c r="BZU366" s="640"/>
      <c r="BZV366" s="641"/>
      <c r="BZW366" s="653"/>
      <c r="BZX366" s="261"/>
      <c r="BZY366" s="118"/>
      <c r="BZZ366" s="219"/>
      <c r="CAA366" s="247"/>
      <c r="CAB366" s="652"/>
      <c r="CAC366" s="626"/>
      <c r="CAD366" s="640"/>
      <c r="CAE366" s="641"/>
      <c r="CAF366" s="653"/>
      <c r="CAG366" s="261"/>
      <c r="CAH366" s="118"/>
      <c r="CAI366" s="219"/>
      <c r="CAJ366" s="247"/>
      <c r="CAK366" s="652"/>
      <c r="CAL366" s="626"/>
      <c r="CAM366" s="640"/>
      <c r="CAN366" s="641"/>
      <c r="CAO366" s="653"/>
      <c r="CAP366" s="261"/>
      <c r="CAQ366" s="118"/>
      <c r="CAR366" s="219"/>
      <c r="CAS366" s="247"/>
      <c r="CAT366" s="652"/>
      <c r="CAU366" s="626"/>
      <c r="CAV366" s="640"/>
      <c r="CAW366" s="641"/>
      <c r="CAX366" s="653"/>
      <c r="CAY366" s="261"/>
      <c r="CAZ366" s="118"/>
      <c r="CBA366" s="219"/>
      <c r="CBB366" s="247"/>
      <c r="CBC366" s="652"/>
      <c r="CBD366" s="626"/>
      <c r="CBE366" s="640"/>
      <c r="CBF366" s="641"/>
      <c r="CBG366" s="653"/>
      <c r="CBH366" s="261"/>
      <c r="CBI366" s="118"/>
      <c r="CBJ366" s="219"/>
      <c r="CBK366" s="247"/>
      <c r="CBL366" s="652"/>
      <c r="CBM366" s="626"/>
      <c r="CBN366" s="640"/>
      <c r="CBO366" s="641"/>
      <c r="CBP366" s="653"/>
      <c r="CBQ366" s="261"/>
      <c r="CBR366" s="118"/>
      <c r="CBS366" s="219"/>
      <c r="CBT366" s="247"/>
      <c r="CBU366" s="652"/>
      <c r="CBV366" s="626"/>
      <c r="CBW366" s="640"/>
      <c r="CBX366" s="641"/>
      <c r="CBY366" s="653"/>
      <c r="CBZ366" s="261"/>
      <c r="CCA366" s="118"/>
      <c r="CCB366" s="219"/>
      <c r="CCC366" s="247"/>
      <c r="CCD366" s="652"/>
      <c r="CCE366" s="626"/>
      <c r="CCF366" s="640"/>
      <c r="CCG366" s="641"/>
      <c r="CCH366" s="653"/>
      <c r="CCI366" s="261"/>
      <c r="CCJ366" s="118"/>
      <c r="CCK366" s="219"/>
      <c r="CCL366" s="247"/>
      <c r="CCM366" s="652"/>
      <c r="CCN366" s="626"/>
      <c r="CCO366" s="640"/>
      <c r="CCP366" s="641"/>
      <c r="CCQ366" s="653"/>
      <c r="CCR366" s="261"/>
      <c r="CCS366" s="118"/>
      <c r="CCT366" s="219"/>
      <c r="CCU366" s="247"/>
      <c r="CCV366" s="652"/>
      <c r="CCW366" s="626"/>
      <c r="CCX366" s="640"/>
      <c r="CCY366" s="641"/>
      <c r="CCZ366" s="653"/>
      <c r="CDA366" s="261"/>
      <c r="CDB366" s="118"/>
      <c r="CDC366" s="219"/>
      <c r="CDD366" s="247"/>
      <c r="CDE366" s="652"/>
      <c r="CDF366" s="626"/>
      <c r="CDG366" s="640"/>
      <c r="CDH366" s="641"/>
      <c r="CDI366" s="653"/>
      <c r="CDJ366" s="261"/>
      <c r="CDK366" s="118"/>
      <c r="CDL366" s="219"/>
      <c r="CDM366" s="247"/>
      <c r="CDN366" s="652"/>
      <c r="CDO366" s="626"/>
      <c r="CDP366" s="640"/>
      <c r="CDQ366" s="641"/>
      <c r="CDR366" s="653"/>
      <c r="CDS366" s="261"/>
      <c r="CDT366" s="118"/>
      <c r="CDU366" s="219"/>
      <c r="CDV366" s="247"/>
      <c r="CDW366" s="652"/>
      <c r="CDX366" s="626"/>
      <c r="CDY366" s="640"/>
      <c r="CDZ366" s="641"/>
      <c r="CEA366" s="653"/>
      <c r="CEB366" s="261"/>
      <c r="CEC366" s="118"/>
      <c r="CED366" s="219"/>
      <c r="CEE366" s="247"/>
      <c r="CEF366" s="652"/>
      <c r="CEG366" s="626"/>
      <c r="CEH366" s="640"/>
      <c r="CEI366" s="641"/>
      <c r="CEJ366" s="653"/>
      <c r="CEK366" s="261"/>
      <c r="CEL366" s="118"/>
      <c r="CEM366" s="219"/>
      <c r="CEN366" s="247"/>
      <c r="CEO366" s="652"/>
      <c r="CEP366" s="626"/>
      <c r="CEQ366" s="640"/>
      <c r="CER366" s="641"/>
      <c r="CES366" s="653"/>
      <c r="CET366" s="261"/>
      <c r="CEU366" s="118"/>
      <c r="CEV366" s="219"/>
      <c r="CEW366" s="247"/>
      <c r="CEX366" s="652"/>
      <c r="CEY366" s="626"/>
      <c r="CEZ366" s="640"/>
      <c r="CFA366" s="641"/>
      <c r="CFB366" s="653"/>
      <c r="CFC366" s="261"/>
      <c r="CFD366" s="118"/>
      <c r="CFE366" s="219"/>
      <c r="CFF366" s="247"/>
      <c r="CFG366" s="652"/>
      <c r="CFH366" s="626"/>
      <c r="CFI366" s="640"/>
      <c r="CFJ366" s="641"/>
      <c r="CFK366" s="653"/>
      <c r="CFL366" s="261"/>
      <c r="CFM366" s="118"/>
      <c r="CFN366" s="219"/>
      <c r="CFO366" s="247"/>
      <c r="CFP366" s="652"/>
      <c r="CFQ366" s="626"/>
      <c r="CFR366" s="640"/>
      <c r="CFS366" s="641"/>
      <c r="CFT366" s="653"/>
      <c r="CFU366" s="261"/>
      <c r="CFV366" s="118"/>
      <c r="CFW366" s="219"/>
      <c r="CFX366" s="247"/>
      <c r="CFY366" s="652"/>
      <c r="CFZ366" s="626"/>
      <c r="CGA366" s="640"/>
      <c r="CGB366" s="641"/>
      <c r="CGC366" s="653"/>
      <c r="CGD366" s="261"/>
      <c r="CGE366" s="118"/>
      <c r="CGF366" s="219"/>
      <c r="CGG366" s="247"/>
      <c r="CGH366" s="652"/>
      <c r="CGI366" s="626"/>
      <c r="CGJ366" s="640"/>
      <c r="CGK366" s="641"/>
      <c r="CGL366" s="653"/>
      <c r="CGM366" s="261"/>
      <c r="CGN366" s="118"/>
      <c r="CGO366" s="219"/>
      <c r="CGP366" s="247"/>
      <c r="CGQ366" s="652"/>
      <c r="CGR366" s="626"/>
      <c r="CGS366" s="640"/>
      <c r="CGT366" s="641"/>
      <c r="CGU366" s="653"/>
      <c r="CGV366" s="261"/>
      <c r="CGW366" s="118"/>
      <c r="CGX366" s="219"/>
      <c r="CGY366" s="247"/>
      <c r="CGZ366" s="652"/>
      <c r="CHA366" s="626"/>
      <c r="CHB366" s="640"/>
      <c r="CHC366" s="641"/>
      <c r="CHD366" s="653"/>
      <c r="CHE366" s="261"/>
      <c r="CHF366" s="118"/>
      <c r="CHG366" s="219"/>
      <c r="CHH366" s="247"/>
      <c r="CHI366" s="652"/>
      <c r="CHJ366" s="626"/>
      <c r="CHK366" s="640"/>
      <c r="CHL366" s="641"/>
      <c r="CHM366" s="653"/>
      <c r="CHN366" s="261"/>
      <c r="CHO366" s="118"/>
      <c r="CHP366" s="219"/>
      <c r="CHQ366" s="247"/>
      <c r="CHR366" s="652"/>
      <c r="CHS366" s="626"/>
      <c r="CHT366" s="640"/>
      <c r="CHU366" s="641"/>
      <c r="CHV366" s="653"/>
      <c r="CHW366" s="261"/>
      <c r="CHX366" s="118"/>
      <c r="CHY366" s="219"/>
      <c r="CHZ366" s="247"/>
      <c r="CIA366" s="652"/>
      <c r="CIB366" s="626"/>
      <c r="CIC366" s="640"/>
      <c r="CID366" s="641"/>
      <c r="CIE366" s="653"/>
      <c r="CIF366" s="261"/>
      <c r="CIG366" s="118"/>
      <c r="CIH366" s="219"/>
      <c r="CII366" s="247"/>
      <c r="CIJ366" s="652"/>
      <c r="CIK366" s="626"/>
      <c r="CIL366" s="640"/>
      <c r="CIM366" s="641"/>
      <c r="CIN366" s="653"/>
      <c r="CIO366" s="261"/>
      <c r="CIP366" s="118"/>
      <c r="CIQ366" s="219"/>
      <c r="CIR366" s="247"/>
      <c r="CIS366" s="652"/>
      <c r="CIT366" s="626"/>
      <c r="CIU366" s="640"/>
      <c r="CIV366" s="641"/>
      <c r="CIW366" s="653"/>
      <c r="CIX366" s="261"/>
      <c r="CIY366" s="118"/>
      <c r="CIZ366" s="219"/>
      <c r="CJA366" s="247"/>
      <c r="CJB366" s="652"/>
      <c r="CJC366" s="626"/>
      <c r="CJD366" s="640"/>
      <c r="CJE366" s="641"/>
      <c r="CJF366" s="653"/>
      <c r="CJG366" s="261"/>
      <c r="CJH366" s="118"/>
      <c r="CJI366" s="219"/>
      <c r="CJJ366" s="247"/>
      <c r="CJK366" s="652"/>
      <c r="CJL366" s="626"/>
      <c r="CJM366" s="640"/>
      <c r="CJN366" s="641"/>
      <c r="CJO366" s="653"/>
      <c r="CJP366" s="261"/>
      <c r="CJQ366" s="118"/>
      <c r="CJR366" s="219"/>
      <c r="CJS366" s="247"/>
      <c r="CJT366" s="652"/>
      <c r="CJU366" s="626"/>
      <c r="CJV366" s="640"/>
      <c r="CJW366" s="641"/>
      <c r="CJX366" s="653"/>
      <c r="CJY366" s="261"/>
      <c r="CJZ366" s="118"/>
      <c r="CKA366" s="219"/>
      <c r="CKB366" s="247"/>
      <c r="CKC366" s="652"/>
      <c r="CKD366" s="626"/>
      <c r="CKE366" s="640"/>
      <c r="CKF366" s="641"/>
      <c r="CKG366" s="653"/>
      <c r="CKH366" s="261"/>
      <c r="CKI366" s="118"/>
      <c r="CKJ366" s="219"/>
      <c r="CKK366" s="247"/>
      <c r="CKL366" s="652"/>
      <c r="CKM366" s="626"/>
      <c r="CKN366" s="640"/>
      <c r="CKO366" s="641"/>
      <c r="CKP366" s="653"/>
      <c r="CKQ366" s="261"/>
      <c r="CKR366" s="118"/>
      <c r="CKS366" s="219"/>
      <c r="CKT366" s="247"/>
      <c r="CKU366" s="652"/>
      <c r="CKV366" s="626"/>
      <c r="CKW366" s="640"/>
      <c r="CKX366" s="641"/>
      <c r="CKY366" s="653"/>
      <c r="CKZ366" s="261"/>
      <c r="CLA366" s="118"/>
      <c r="CLB366" s="219"/>
      <c r="CLC366" s="247"/>
      <c r="CLD366" s="652"/>
      <c r="CLE366" s="626"/>
      <c r="CLF366" s="640"/>
      <c r="CLG366" s="641"/>
      <c r="CLH366" s="653"/>
      <c r="CLI366" s="261"/>
      <c r="CLJ366" s="118"/>
      <c r="CLK366" s="219"/>
      <c r="CLL366" s="247"/>
      <c r="CLM366" s="652"/>
      <c r="CLN366" s="626"/>
      <c r="CLO366" s="640"/>
      <c r="CLP366" s="641"/>
      <c r="CLQ366" s="653"/>
      <c r="CLR366" s="261"/>
      <c r="CLS366" s="118"/>
      <c r="CLT366" s="219"/>
      <c r="CLU366" s="247"/>
      <c r="CLV366" s="652"/>
      <c r="CLW366" s="626"/>
      <c r="CLX366" s="640"/>
      <c r="CLY366" s="641"/>
      <c r="CLZ366" s="653"/>
      <c r="CMA366" s="261"/>
      <c r="CMB366" s="118"/>
      <c r="CMC366" s="219"/>
      <c r="CMD366" s="247"/>
      <c r="CME366" s="652"/>
      <c r="CMF366" s="626"/>
      <c r="CMG366" s="640"/>
      <c r="CMH366" s="641"/>
      <c r="CMI366" s="653"/>
      <c r="CMJ366" s="261"/>
      <c r="CMK366" s="118"/>
      <c r="CML366" s="219"/>
      <c r="CMM366" s="247"/>
      <c r="CMN366" s="652"/>
      <c r="CMO366" s="626"/>
      <c r="CMP366" s="640"/>
      <c r="CMQ366" s="641"/>
      <c r="CMR366" s="653"/>
      <c r="CMS366" s="261"/>
      <c r="CMT366" s="118"/>
      <c r="CMU366" s="219"/>
      <c r="CMV366" s="247"/>
      <c r="CMW366" s="652"/>
      <c r="CMX366" s="626"/>
      <c r="CMY366" s="640"/>
      <c r="CMZ366" s="641"/>
      <c r="CNA366" s="653"/>
      <c r="CNB366" s="261"/>
      <c r="CNC366" s="118"/>
      <c r="CND366" s="219"/>
      <c r="CNE366" s="247"/>
      <c r="CNF366" s="652"/>
      <c r="CNG366" s="626"/>
      <c r="CNH366" s="640"/>
      <c r="CNI366" s="641"/>
      <c r="CNJ366" s="653"/>
      <c r="CNK366" s="261"/>
      <c r="CNL366" s="118"/>
      <c r="CNM366" s="219"/>
      <c r="CNN366" s="247"/>
      <c r="CNO366" s="652"/>
      <c r="CNP366" s="626"/>
      <c r="CNQ366" s="640"/>
      <c r="CNR366" s="641"/>
      <c r="CNS366" s="653"/>
      <c r="CNT366" s="261"/>
      <c r="CNU366" s="118"/>
      <c r="CNV366" s="219"/>
      <c r="CNW366" s="247"/>
      <c r="CNX366" s="652"/>
      <c r="CNY366" s="626"/>
      <c r="CNZ366" s="640"/>
      <c r="COA366" s="641"/>
      <c r="COB366" s="653"/>
      <c r="COC366" s="261"/>
      <c r="COD366" s="118"/>
      <c r="COE366" s="219"/>
      <c r="COF366" s="247"/>
      <c r="COG366" s="652"/>
      <c r="COH366" s="626"/>
      <c r="COI366" s="640"/>
      <c r="COJ366" s="641"/>
      <c r="COK366" s="653"/>
      <c r="COL366" s="261"/>
      <c r="COM366" s="118"/>
      <c r="CON366" s="219"/>
      <c r="COO366" s="247"/>
      <c r="COP366" s="652"/>
      <c r="COQ366" s="626"/>
      <c r="COR366" s="640"/>
      <c r="COS366" s="641"/>
      <c r="COT366" s="653"/>
      <c r="COU366" s="261"/>
      <c r="COV366" s="118"/>
      <c r="COW366" s="219"/>
      <c r="COX366" s="247"/>
      <c r="COY366" s="652"/>
      <c r="COZ366" s="626"/>
      <c r="CPA366" s="640"/>
      <c r="CPB366" s="641"/>
      <c r="CPC366" s="653"/>
      <c r="CPD366" s="261"/>
      <c r="CPE366" s="118"/>
      <c r="CPF366" s="219"/>
      <c r="CPG366" s="247"/>
      <c r="CPH366" s="652"/>
      <c r="CPI366" s="626"/>
      <c r="CPJ366" s="640"/>
      <c r="CPK366" s="641"/>
      <c r="CPL366" s="653"/>
      <c r="CPM366" s="261"/>
      <c r="CPN366" s="118"/>
      <c r="CPO366" s="219"/>
      <c r="CPP366" s="247"/>
      <c r="CPQ366" s="652"/>
      <c r="CPR366" s="626"/>
      <c r="CPS366" s="640"/>
      <c r="CPT366" s="641"/>
      <c r="CPU366" s="653"/>
      <c r="CPV366" s="261"/>
      <c r="CPW366" s="118"/>
      <c r="CPX366" s="219"/>
      <c r="CPY366" s="247"/>
      <c r="CPZ366" s="652"/>
      <c r="CQA366" s="626"/>
      <c r="CQB366" s="640"/>
      <c r="CQC366" s="641"/>
      <c r="CQD366" s="653"/>
      <c r="CQE366" s="261"/>
      <c r="CQF366" s="118"/>
      <c r="CQG366" s="219"/>
      <c r="CQH366" s="247"/>
      <c r="CQI366" s="652"/>
      <c r="CQJ366" s="626"/>
      <c r="CQK366" s="640"/>
      <c r="CQL366" s="641"/>
      <c r="CQM366" s="653"/>
      <c r="CQN366" s="261"/>
      <c r="CQO366" s="118"/>
      <c r="CQP366" s="219"/>
      <c r="CQQ366" s="247"/>
      <c r="CQR366" s="652"/>
      <c r="CQS366" s="626"/>
      <c r="CQT366" s="640"/>
      <c r="CQU366" s="641"/>
      <c r="CQV366" s="653"/>
      <c r="CQW366" s="261"/>
      <c r="CQX366" s="118"/>
      <c r="CQY366" s="219"/>
      <c r="CQZ366" s="247"/>
      <c r="CRA366" s="652"/>
      <c r="CRB366" s="626"/>
      <c r="CRC366" s="640"/>
      <c r="CRD366" s="641"/>
      <c r="CRE366" s="653"/>
      <c r="CRF366" s="261"/>
      <c r="CRG366" s="118"/>
      <c r="CRH366" s="219"/>
      <c r="CRI366" s="247"/>
      <c r="CRJ366" s="652"/>
      <c r="CRK366" s="626"/>
      <c r="CRL366" s="640"/>
      <c r="CRM366" s="641"/>
      <c r="CRN366" s="653"/>
      <c r="CRO366" s="261"/>
      <c r="CRP366" s="118"/>
      <c r="CRQ366" s="219"/>
      <c r="CRR366" s="247"/>
      <c r="CRS366" s="652"/>
      <c r="CRT366" s="626"/>
      <c r="CRU366" s="640"/>
      <c r="CRV366" s="641"/>
      <c r="CRW366" s="653"/>
      <c r="CRX366" s="261"/>
      <c r="CRY366" s="118"/>
      <c r="CRZ366" s="219"/>
      <c r="CSA366" s="247"/>
      <c r="CSB366" s="652"/>
      <c r="CSC366" s="626"/>
      <c r="CSD366" s="640"/>
      <c r="CSE366" s="641"/>
      <c r="CSF366" s="653"/>
      <c r="CSG366" s="261"/>
      <c r="CSH366" s="118"/>
      <c r="CSI366" s="219"/>
      <c r="CSJ366" s="247"/>
      <c r="CSK366" s="652"/>
      <c r="CSL366" s="626"/>
      <c r="CSM366" s="640"/>
      <c r="CSN366" s="641"/>
      <c r="CSO366" s="653"/>
      <c r="CSP366" s="261"/>
      <c r="CSQ366" s="118"/>
      <c r="CSR366" s="219"/>
      <c r="CSS366" s="247"/>
      <c r="CST366" s="652"/>
      <c r="CSU366" s="626"/>
      <c r="CSV366" s="640"/>
      <c r="CSW366" s="641"/>
      <c r="CSX366" s="653"/>
      <c r="CSY366" s="261"/>
      <c r="CSZ366" s="118"/>
      <c r="CTA366" s="219"/>
      <c r="CTB366" s="247"/>
      <c r="CTC366" s="652"/>
      <c r="CTD366" s="626"/>
      <c r="CTE366" s="640"/>
      <c r="CTF366" s="641"/>
      <c r="CTG366" s="653"/>
      <c r="CTH366" s="261"/>
      <c r="CTI366" s="118"/>
      <c r="CTJ366" s="219"/>
      <c r="CTK366" s="247"/>
      <c r="CTL366" s="652"/>
      <c r="CTM366" s="626"/>
      <c r="CTN366" s="640"/>
      <c r="CTO366" s="641"/>
      <c r="CTP366" s="653"/>
      <c r="CTQ366" s="261"/>
      <c r="CTR366" s="118"/>
      <c r="CTS366" s="219"/>
      <c r="CTT366" s="247"/>
      <c r="CTU366" s="652"/>
      <c r="CTV366" s="626"/>
      <c r="CTW366" s="640"/>
      <c r="CTX366" s="641"/>
      <c r="CTY366" s="653"/>
      <c r="CTZ366" s="261"/>
      <c r="CUA366" s="118"/>
      <c r="CUB366" s="219"/>
      <c r="CUC366" s="247"/>
      <c r="CUD366" s="652"/>
      <c r="CUE366" s="626"/>
      <c r="CUF366" s="640"/>
      <c r="CUG366" s="641"/>
      <c r="CUH366" s="653"/>
      <c r="CUI366" s="261"/>
      <c r="CUJ366" s="118"/>
      <c r="CUK366" s="219"/>
      <c r="CUL366" s="247"/>
      <c r="CUM366" s="652"/>
      <c r="CUN366" s="626"/>
      <c r="CUO366" s="640"/>
      <c r="CUP366" s="641"/>
      <c r="CUQ366" s="653"/>
      <c r="CUR366" s="261"/>
      <c r="CUS366" s="118"/>
      <c r="CUT366" s="219"/>
      <c r="CUU366" s="247"/>
      <c r="CUV366" s="652"/>
      <c r="CUW366" s="626"/>
      <c r="CUX366" s="640"/>
      <c r="CUY366" s="641"/>
      <c r="CUZ366" s="653"/>
      <c r="CVA366" s="261"/>
      <c r="CVB366" s="118"/>
      <c r="CVC366" s="219"/>
      <c r="CVD366" s="247"/>
      <c r="CVE366" s="652"/>
      <c r="CVF366" s="626"/>
      <c r="CVG366" s="640"/>
      <c r="CVH366" s="641"/>
      <c r="CVI366" s="653"/>
      <c r="CVJ366" s="261"/>
      <c r="CVK366" s="118"/>
      <c r="CVL366" s="219"/>
      <c r="CVM366" s="247"/>
      <c r="CVN366" s="652"/>
      <c r="CVO366" s="626"/>
      <c r="CVP366" s="640"/>
      <c r="CVQ366" s="641"/>
      <c r="CVR366" s="653"/>
      <c r="CVS366" s="261"/>
      <c r="CVT366" s="118"/>
      <c r="CVU366" s="219"/>
      <c r="CVV366" s="247"/>
      <c r="CVW366" s="652"/>
      <c r="CVX366" s="626"/>
      <c r="CVY366" s="640"/>
      <c r="CVZ366" s="641"/>
      <c r="CWA366" s="653"/>
      <c r="CWB366" s="261"/>
      <c r="CWC366" s="118"/>
      <c r="CWD366" s="219"/>
      <c r="CWE366" s="247"/>
      <c r="CWF366" s="652"/>
      <c r="CWG366" s="626"/>
      <c r="CWH366" s="640"/>
      <c r="CWI366" s="641"/>
      <c r="CWJ366" s="653"/>
      <c r="CWK366" s="261"/>
      <c r="CWL366" s="118"/>
      <c r="CWM366" s="219"/>
      <c r="CWN366" s="247"/>
      <c r="CWO366" s="652"/>
      <c r="CWP366" s="626"/>
      <c r="CWQ366" s="640"/>
      <c r="CWR366" s="641"/>
      <c r="CWS366" s="653"/>
      <c r="CWT366" s="261"/>
      <c r="CWU366" s="118"/>
      <c r="CWV366" s="219"/>
      <c r="CWW366" s="247"/>
      <c r="CWX366" s="652"/>
      <c r="CWY366" s="626"/>
      <c r="CWZ366" s="640"/>
      <c r="CXA366" s="641"/>
      <c r="CXB366" s="653"/>
      <c r="CXC366" s="261"/>
      <c r="CXD366" s="118"/>
      <c r="CXE366" s="219"/>
      <c r="CXF366" s="247"/>
      <c r="CXG366" s="652"/>
      <c r="CXH366" s="626"/>
      <c r="CXI366" s="640"/>
      <c r="CXJ366" s="641"/>
      <c r="CXK366" s="653"/>
      <c r="CXL366" s="261"/>
      <c r="CXM366" s="118"/>
      <c r="CXN366" s="219"/>
      <c r="CXO366" s="247"/>
      <c r="CXP366" s="652"/>
      <c r="CXQ366" s="626"/>
      <c r="CXR366" s="640"/>
      <c r="CXS366" s="641"/>
      <c r="CXT366" s="653"/>
      <c r="CXU366" s="261"/>
      <c r="CXV366" s="118"/>
      <c r="CXW366" s="219"/>
      <c r="CXX366" s="247"/>
      <c r="CXY366" s="652"/>
      <c r="CXZ366" s="626"/>
      <c r="CYA366" s="640"/>
      <c r="CYB366" s="641"/>
      <c r="CYC366" s="653"/>
      <c r="CYD366" s="261"/>
      <c r="CYE366" s="118"/>
      <c r="CYF366" s="219"/>
      <c r="CYG366" s="247"/>
      <c r="CYH366" s="652"/>
      <c r="CYI366" s="626"/>
      <c r="CYJ366" s="640"/>
      <c r="CYK366" s="641"/>
      <c r="CYL366" s="653"/>
      <c r="CYM366" s="261"/>
      <c r="CYN366" s="118"/>
      <c r="CYO366" s="219"/>
      <c r="CYP366" s="247"/>
      <c r="CYQ366" s="652"/>
      <c r="CYR366" s="626"/>
      <c r="CYS366" s="640"/>
      <c r="CYT366" s="641"/>
      <c r="CYU366" s="653"/>
      <c r="CYV366" s="261"/>
      <c r="CYW366" s="118"/>
      <c r="CYX366" s="219"/>
      <c r="CYY366" s="247"/>
      <c r="CYZ366" s="652"/>
      <c r="CZA366" s="626"/>
      <c r="CZB366" s="640"/>
      <c r="CZC366" s="641"/>
      <c r="CZD366" s="653"/>
      <c r="CZE366" s="261"/>
      <c r="CZF366" s="118"/>
      <c r="CZG366" s="219"/>
      <c r="CZH366" s="247"/>
      <c r="CZI366" s="652"/>
      <c r="CZJ366" s="626"/>
      <c r="CZK366" s="640"/>
      <c r="CZL366" s="641"/>
      <c r="CZM366" s="653"/>
      <c r="CZN366" s="261"/>
      <c r="CZO366" s="118"/>
      <c r="CZP366" s="219"/>
      <c r="CZQ366" s="247"/>
      <c r="CZR366" s="652"/>
      <c r="CZS366" s="626"/>
      <c r="CZT366" s="640"/>
      <c r="CZU366" s="641"/>
      <c r="CZV366" s="653"/>
      <c r="CZW366" s="261"/>
      <c r="CZX366" s="118"/>
      <c r="CZY366" s="219"/>
      <c r="CZZ366" s="247"/>
      <c r="DAA366" s="652"/>
      <c r="DAB366" s="626"/>
      <c r="DAC366" s="640"/>
      <c r="DAD366" s="641"/>
      <c r="DAE366" s="653"/>
      <c r="DAF366" s="261"/>
      <c r="DAG366" s="118"/>
      <c r="DAH366" s="219"/>
      <c r="DAI366" s="247"/>
      <c r="DAJ366" s="652"/>
      <c r="DAK366" s="626"/>
      <c r="DAL366" s="640"/>
      <c r="DAM366" s="641"/>
      <c r="DAN366" s="653"/>
      <c r="DAO366" s="261"/>
      <c r="DAP366" s="118"/>
      <c r="DAQ366" s="219"/>
      <c r="DAR366" s="247"/>
      <c r="DAS366" s="652"/>
      <c r="DAT366" s="626"/>
      <c r="DAU366" s="640"/>
      <c r="DAV366" s="641"/>
      <c r="DAW366" s="653"/>
      <c r="DAX366" s="261"/>
      <c r="DAY366" s="118"/>
      <c r="DAZ366" s="219"/>
      <c r="DBA366" s="247"/>
      <c r="DBB366" s="652"/>
      <c r="DBC366" s="626"/>
      <c r="DBD366" s="640"/>
      <c r="DBE366" s="641"/>
      <c r="DBF366" s="653"/>
      <c r="DBG366" s="261"/>
      <c r="DBH366" s="118"/>
      <c r="DBI366" s="219"/>
      <c r="DBJ366" s="247"/>
      <c r="DBK366" s="652"/>
      <c r="DBL366" s="626"/>
      <c r="DBM366" s="640"/>
      <c r="DBN366" s="641"/>
      <c r="DBO366" s="653"/>
      <c r="DBP366" s="261"/>
      <c r="DBQ366" s="118"/>
      <c r="DBR366" s="219"/>
      <c r="DBS366" s="247"/>
      <c r="DBT366" s="652"/>
      <c r="DBU366" s="626"/>
      <c r="DBV366" s="640"/>
      <c r="DBW366" s="641"/>
      <c r="DBX366" s="653"/>
      <c r="DBY366" s="261"/>
      <c r="DBZ366" s="118"/>
      <c r="DCA366" s="219"/>
      <c r="DCB366" s="247"/>
      <c r="DCC366" s="652"/>
      <c r="DCD366" s="626"/>
      <c r="DCE366" s="640"/>
      <c r="DCF366" s="641"/>
      <c r="DCG366" s="653"/>
      <c r="DCH366" s="261"/>
      <c r="DCI366" s="118"/>
      <c r="DCJ366" s="219"/>
      <c r="DCK366" s="247"/>
      <c r="DCL366" s="652"/>
      <c r="DCM366" s="626"/>
      <c r="DCN366" s="640"/>
      <c r="DCO366" s="641"/>
      <c r="DCP366" s="653"/>
      <c r="DCQ366" s="261"/>
      <c r="DCR366" s="118"/>
      <c r="DCS366" s="219"/>
      <c r="DCT366" s="247"/>
      <c r="DCU366" s="652"/>
      <c r="DCV366" s="626"/>
      <c r="DCW366" s="640"/>
      <c r="DCX366" s="641"/>
      <c r="DCY366" s="653"/>
      <c r="DCZ366" s="261"/>
      <c r="DDA366" s="118"/>
      <c r="DDB366" s="219"/>
      <c r="DDC366" s="247"/>
      <c r="DDD366" s="652"/>
      <c r="DDE366" s="626"/>
      <c r="DDF366" s="640"/>
      <c r="DDG366" s="641"/>
      <c r="DDH366" s="653"/>
      <c r="DDI366" s="261"/>
      <c r="DDJ366" s="118"/>
      <c r="DDK366" s="219"/>
      <c r="DDL366" s="247"/>
      <c r="DDM366" s="652"/>
      <c r="DDN366" s="626"/>
      <c r="DDO366" s="640"/>
      <c r="DDP366" s="641"/>
      <c r="DDQ366" s="653"/>
      <c r="DDR366" s="261"/>
      <c r="DDS366" s="118"/>
      <c r="DDT366" s="219"/>
      <c r="DDU366" s="247"/>
      <c r="DDV366" s="652"/>
      <c r="DDW366" s="626"/>
      <c r="DDX366" s="640"/>
      <c r="DDY366" s="641"/>
      <c r="DDZ366" s="653"/>
      <c r="DEA366" s="261"/>
      <c r="DEB366" s="118"/>
      <c r="DEC366" s="219"/>
      <c r="DED366" s="247"/>
      <c r="DEE366" s="652"/>
      <c r="DEF366" s="626"/>
      <c r="DEG366" s="640"/>
      <c r="DEH366" s="641"/>
      <c r="DEI366" s="653"/>
      <c r="DEJ366" s="261"/>
      <c r="DEK366" s="118"/>
      <c r="DEL366" s="219"/>
      <c r="DEM366" s="247"/>
      <c r="DEN366" s="652"/>
      <c r="DEO366" s="626"/>
      <c r="DEP366" s="640"/>
      <c r="DEQ366" s="641"/>
      <c r="DER366" s="653"/>
      <c r="DES366" s="261"/>
      <c r="DET366" s="118"/>
      <c r="DEU366" s="219"/>
      <c r="DEV366" s="247"/>
      <c r="DEW366" s="652"/>
      <c r="DEX366" s="626"/>
      <c r="DEY366" s="640"/>
      <c r="DEZ366" s="641"/>
      <c r="DFA366" s="653"/>
      <c r="DFB366" s="261"/>
      <c r="DFC366" s="118"/>
      <c r="DFD366" s="219"/>
      <c r="DFE366" s="247"/>
      <c r="DFF366" s="652"/>
      <c r="DFG366" s="626"/>
      <c r="DFH366" s="640"/>
      <c r="DFI366" s="641"/>
      <c r="DFJ366" s="653"/>
      <c r="DFK366" s="261"/>
      <c r="DFL366" s="118"/>
      <c r="DFM366" s="219"/>
      <c r="DFN366" s="247"/>
      <c r="DFO366" s="652"/>
      <c r="DFP366" s="626"/>
      <c r="DFQ366" s="640"/>
      <c r="DFR366" s="641"/>
      <c r="DFS366" s="653"/>
      <c r="DFT366" s="261"/>
      <c r="DFU366" s="118"/>
      <c r="DFV366" s="219"/>
      <c r="DFW366" s="247"/>
      <c r="DFX366" s="652"/>
      <c r="DFY366" s="626"/>
      <c r="DFZ366" s="640"/>
      <c r="DGA366" s="641"/>
      <c r="DGB366" s="653"/>
      <c r="DGC366" s="261"/>
      <c r="DGD366" s="118"/>
      <c r="DGE366" s="219"/>
      <c r="DGF366" s="247"/>
      <c r="DGG366" s="652"/>
      <c r="DGH366" s="626"/>
      <c r="DGI366" s="640"/>
      <c r="DGJ366" s="641"/>
      <c r="DGK366" s="653"/>
      <c r="DGL366" s="261"/>
      <c r="DGM366" s="118"/>
      <c r="DGN366" s="219"/>
      <c r="DGO366" s="247"/>
      <c r="DGP366" s="652"/>
      <c r="DGQ366" s="626"/>
      <c r="DGR366" s="640"/>
      <c r="DGS366" s="641"/>
      <c r="DGT366" s="653"/>
      <c r="DGU366" s="261"/>
      <c r="DGV366" s="118"/>
      <c r="DGW366" s="219"/>
      <c r="DGX366" s="247"/>
      <c r="DGY366" s="652"/>
      <c r="DGZ366" s="626"/>
      <c r="DHA366" s="640"/>
      <c r="DHB366" s="641"/>
      <c r="DHC366" s="653"/>
      <c r="DHD366" s="261"/>
      <c r="DHE366" s="118"/>
      <c r="DHF366" s="219"/>
      <c r="DHG366" s="247"/>
      <c r="DHH366" s="652"/>
      <c r="DHI366" s="626"/>
      <c r="DHJ366" s="640"/>
      <c r="DHK366" s="641"/>
      <c r="DHL366" s="653"/>
      <c r="DHM366" s="261"/>
      <c r="DHN366" s="118"/>
      <c r="DHO366" s="219"/>
      <c r="DHP366" s="247"/>
      <c r="DHQ366" s="652"/>
      <c r="DHR366" s="626"/>
      <c r="DHS366" s="640"/>
      <c r="DHT366" s="641"/>
      <c r="DHU366" s="653"/>
      <c r="DHV366" s="261"/>
      <c r="DHW366" s="118"/>
      <c r="DHX366" s="219"/>
      <c r="DHY366" s="247"/>
      <c r="DHZ366" s="652"/>
      <c r="DIA366" s="626"/>
      <c r="DIB366" s="640"/>
      <c r="DIC366" s="641"/>
      <c r="DID366" s="653"/>
      <c r="DIE366" s="261"/>
      <c r="DIF366" s="118"/>
      <c r="DIG366" s="219"/>
      <c r="DIH366" s="247"/>
      <c r="DII366" s="652"/>
      <c r="DIJ366" s="626"/>
      <c r="DIK366" s="640"/>
      <c r="DIL366" s="641"/>
      <c r="DIM366" s="653"/>
      <c r="DIN366" s="261"/>
      <c r="DIO366" s="118"/>
      <c r="DIP366" s="219"/>
      <c r="DIQ366" s="247"/>
      <c r="DIR366" s="652"/>
      <c r="DIS366" s="626"/>
      <c r="DIT366" s="640"/>
      <c r="DIU366" s="641"/>
      <c r="DIV366" s="653"/>
      <c r="DIW366" s="261"/>
      <c r="DIX366" s="118"/>
      <c r="DIY366" s="219"/>
      <c r="DIZ366" s="247"/>
      <c r="DJA366" s="652"/>
      <c r="DJB366" s="626"/>
      <c r="DJC366" s="640"/>
      <c r="DJD366" s="641"/>
      <c r="DJE366" s="653"/>
      <c r="DJF366" s="261"/>
      <c r="DJG366" s="118"/>
      <c r="DJH366" s="219"/>
      <c r="DJI366" s="247"/>
      <c r="DJJ366" s="652"/>
      <c r="DJK366" s="626"/>
      <c r="DJL366" s="640"/>
      <c r="DJM366" s="641"/>
      <c r="DJN366" s="653"/>
      <c r="DJO366" s="261"/>
      <c r="DJP366" s="118"/>
      <c r="DJQ366" s="219"/>
      <c r="DJR366" s="247"/>
      <c r="DJS366" s="652"/>
      <c r="DJT366" s="626"/>
      <c r="DJU366" s="640"/>
      <c r="DJV366" s="641"/>
      <c r="DJW366" s="653"/>
      <c r="DJX366" s="261"/>
      <c r="DJY366" s="118"/>
      <c r="DJZ366" s="219"/>
      <c r="DKA366" s="247"/>
      <c r="DKB366" s="652"/>
      <c r="DKC366" s="626"/>
      <c r="DKD366" s="640"/>
      <c r="DKE366" s="641"/>
      <c r="DKF366" s="653"/>
      <c r="DKG366" s="261"/>
      <c r="DKH366" s="118"/>
      <c r="DKI366" s="219"/>
      <c r="DKJ366" s="247"/>
      <c r="DKK366" s="652"/>
      <c r="DKL366" s="626"/>
      <c r="DKM366" s="640"/>
      <c r="DKN366" s="641"/>
      <c r="DKO366" s="653"/>
      <c r="DKP366" s="261"/>
      <c r="DKQ366" s="118"/>
      <c r="DKR366" s="219"/>
      <c r="DKS366" s="247"/>
      <c r="DKT366" s="652"/>
      <c r="DKU366" s="626"/>
      <c r="DKV366" s="640"/>
      <c r="DKW366" s="641"/>
      <c r="DKX366" s="653"/>
      <c r="DKY366" s="261"/>
      <c r="DKZ366" s="118"/>
      <c r="DLA366" s="219"/>
      <c r="DLB366" s="247"/>
      <c r="DLC366" s="652"/>
      <c r="DLD366" s="626"/>
      <c r="DLE366" s="640"/>
      <c r="DLF366" s="641"/>
      <c r="DLG366" s="653"/>
      <c r="DLH366" s="261"/>
      <c r="DLI366" s="118"/>
      <c r="DLJ366" s="219"/>
      <c r="DLK366" s="247"/>
      <c r="DLL366" s="652"/>
      <c r="DLM366" s="626"/>
      <c r="DLN366" s="640"/>
      <c r="DLO366" s="641"/>
      <c r="DLP366" s="653"/>
      <c r="DLQ366" s="261"/>
      <c r="DLR366" s="118"/>
      <c r="DLS366" s="219"/>
      <c r="DLT366" s="247"/>
      <c r="DLU366" s="652"/>
      <c r="DLV366" s="626"/>
      <c r="DLW366" s="640"/>
      <c r="DLX366" s="641"/>
      <c r="DLY366" s="653"/>
      <c r="DLZ366" s="261"/>
      <c r="DMA366" s="118"/>
      <c r="DMB366" s="219"/>
      <c r="DMC366" s="247"/>
      <c r="DMD366" s="652"/>
      <c r="DME366" s="626"/>
      <c r="DMF366" s="640"/>
      <c r="DMG366" s="641"/>
      <c r="DMH366" s="653"/>
      <c r="DMI366" s="261"/>
      <c r="DMJ366" s="118"/>
      <c r="DMK366" s="219"/>
      <c r="DML366" s="247"/>
      <c r="DMM366" s="652"/>
      <c r="DMN366" s="626"/>
      <c r="DMO366" s="640"/>
      <c r="DMP366" s="641"/>
      <c r="DMQ366" s="653"/>
      <c r="DMR366" s="261"/>
      <c r="DMS366" s="118"/>
      <c r="DMT366" s="219"/>
      <c r="DMU366" s="247"/>
      <c r="DMV366" s="652"/>
      <c r="DMW366" s="626"/>
      <c r="DMX366" s="640"/>
      <c r="DMY366" s="641"/>
      <c r="DMZ366" s="653"/>
      <c r="DNA366" s="261"/>
      <c r="DNB366" s="118"/>
      <c r="DNC366" s="219"/>
      <c r="DND366" s="247"/>
      <c r="DNE366" s="652"/>
      <c r="DNF366" s="626"/>
      <c r="DNG366" s="640"/>
      <c r="DNH366" s="641"/>
      <c r="DNI366" s="653"/>
      <c r="DNJ366" s="261"/>
      <c r="DNK366" s="118"/>
      <c r="DNL366" s="219"/>
      <c r="DNM366" s="247"/>
      <c r="DNN366" s="652"/>
      <c r="DNO366" s="626"/>
      <c r="DNP366" s="640"/>
      <c r="DNQ366" s="641"/>
      <c r="DNR366" s="653"/>
      <c r="DNS366" s="261"/>
      <c r="DNT366" s="118"/>
      <c r="DNU366" s="219"/>
      <c r="DNV366" s="247"/>
      <c r="DNW366" s="652"/>
      <c r="DNX366" s="626"/>
      <c r="DNY366" s="640"/>
      <c r="DNZ366" s="641"/>
      <c r="DOA366" s="653"/>
      <c r="DOB366" s="261"/>
      <c r="DOC366" s="118"/>
      <c r="DOD366" s="219"/>
      <c r="DOE366" s="247"/>
      <c r="DOF366" s="652"/>
      <c r="DOG366" s="626"/>
      <c r="DOH366" s="640"/>
      <c r="DOI366" s="641"/>
      <c r="DOJ366" s="653"/>
      <c r="DOK366" s="261"/>
      <c r="DOL366" s="118"/>
      <c r="DOM366" s="219"/>
      <c r="DON366" s="247"/>
      <c r="DOO366" s="652"/>
      <c r="DOP366" s="626"/>
      <c r="DOQ366" s="640"/>
      <c r="DOR366" s="641"/>
      <c r="DOS366" s="653"/>
      <c r="DOT366" s="261"/>
      <c r="DOU366" s="118"/>
      <c r="DOV366" s="219"/>
      <c r="DOW366" s="247"/>
      <c r="DOX366" s="652"/>
      <c r="DOY366" s="626"/>
      <c r="DOZ366" s="640"/>
      <c r="DPA366" s="641"/>
      <c r="DPB366" s="653"/>
      <c r="DPC366" s="261"/>
      <c r="DPD366" s="118"/>
      <c r="DPE366" s="219"/>
      <c r="DPF366" s="247"/>
      <c r="DPG366" s="652"/>
      <c r="DPH366" s="626"/>
      <c r="DPI366" s="640"/>
      <c r="DPJ366" s="641"/>
      <c r="DPK366" s="653"/>
      <c r="DPL366" s="261"/>
      <c r="DPM366" s="118"/>
      <c r="DPN366" s="219"/>
      <c r="DPO366" s="247"/>
      <c r="DPP366" s="652"/>
      <c r="DPQ366" s="626"/>
      <c r="DPR366" s="640"/>
      <c r="DPS366" s="641"/>
      <c r="DPT366" s="653"/>
      <c r="DPU366" s="261"/>
      <c r="DPV366" s="118"/>
      <c r="DPW366" s="219"/>
      <c r="DPX366" s="247"/>
      <c r="DPY366" s="652"/>
      <c r="DPZ366" s="626"/>
      <c r="DQA366" s="640"/>
      <c r="DQB366" s="641"/>
      <c r="DQC366" s="653"/>
      <c r="DQD366" s="261"/>
      <c r="DQE366" s="118"/>
      <c r="DQF366" s="219"/>
      <c r="DQG366" s="247"/>
      <c r="DQH366" s="652"/>
      <c r="DQI366" s="626"/>
      <c r="DQJ366" s="640"/>
      <c r="DQK366" s="641"/>
      <c r="DQL366" s="653"/>
      <c r="DQM366" s="261"/>
      <c r="DQN366" s="118"/>
      <c r="DQO366" s="219"/>
      <c r="DQP366" s="247"/>
      <c r="DQQ366" s="652"/>
      <c r="DQR366" s="626"/>
      <c r="DQS366" s="640"/>
      <c r="DQT366" s="641"/>
      <c r="DQU366" s="653"/>
      <c r="DQV366" s="261"/>
      <c r="DQW366" s="118"/>
      <c r="DQX366" s="219"/>
      <c r="DQY366" s="247"/>
      <c r="DQZ366" s="652"/>
      <c r="DRA366" s="626"/>
      <c r="DRB366" s="640"/>
      <c r="DRC366" s="641"/>
      <c r="DRD366" s="653"/>
      <c r="DRE366" s="261"/>
      <c r="DRF366" s="118"/>
      <c r="DRG366" s="219"/>
      <c r="DRH366" s="247"/>
      <c r="DRI366" s="652"/>
      <c r="DRJ366" s="626"/>
      <c r="DRK366" s="640"/>
      <c r="DRL366" s="641"/>
      <c r="DRM366" s="653"/>
      <c r="DRN366" s="261"/>
      <c r="DRO366" s="118"/>
      <c r="DRP366" s="219"/>
      <c r="DRQ366" s="247"/>
      <c r="DRR366" s="652"/>
      <c r="DRS366" s="626"/>
      <c r="DRT366" s="640"/>
      <c r="DRU366" s="641"/>
      <c r="DRV366" s="653"/>
      <c r="DRW366" s="261"/>
      <c r="DRX366" s="118"/>
      <c r="DRY366" s="219"/>
      <c r="DRZ366" s="247"/>
      <c r="DSA366" s="652"/>
      <c r="DSB366" s="626"/>
      <c r="DSC366" s="640"/>
      <c r="DSD366" s="641"/>
      <c r="DSE366" s="653"/>
      <c r="DSF366" s="261"/>
      <c r="DSG366" s="118"/>
      <c r="DSH366" s="219"/>
      <c r="DSI366" s="247"/>
      <c r="DSJ366" s="652"/>
      <c r="DSK366" s="626"/>
      <c r="DSL366" s="640"/>
      <c r="DSM366" s="641"/>
      <c r="DSN366" s="653"/>
      <c r="DSO366" s="261"/>
      <c r="DSP366" s="118"/>
      <c r="DSQ366" s="219"/>
      <c r="DSR366" s="247"/>
      <c r="DSS366" s="652"/>
      <c r="DST366" s="626"/>
      <c r="DSU366" s="640"/>
      <c r="DSV366" s="641"/>
      <c r="DSW366" s="653"/>
      <c r="DSX366" s="261"/>
      <c r="DSY366" s="118"/>
      <c r="DSZ366" s="219"/>
      <c r="DTA366" s="247"/>
      <c r="DTB366" s="652"/>
      <c r="DTC366" s="626"/>
      <c r="DTD366" s="640"/>
      <c r="DTE366" s="641"/>
      <c r="DTF366" s="653"/>
      <c r="DTG366" s="261"/>
      <c r="DTH366" s="118"/>
      <c r="DTI366" s="219"/>
      <c r="DTJ366" s="247"/>
      <c r="DTK366" s="652"/>
      <c r="DTL366" s="626"/>
      <c r="DTM366" s="640"/>
      <c r="DTN366" s="641"/>
      <c r="DTO366" s="653"/>
      <c r="DTP366" s="261"/>
      <c r="DTQ366" s="118"/>
      <c r="DTR366" s="219"/>
      <c r="DTS366" s="247"/>
      <c r="DTT366" s="652"/>
      <c r="DTU366" s="626"/>
      <c r="DTV366" s="640"/>
      <c r="DTW366" s="641"/>
      <c r="DTX366" s="653"/>
      <c r="DTY366" s="261"/>
      <c r="DTZ366" s="118"/>
      <c r="DUA366" s="219"/>
      <c r="DUB366" s="247"/>
      <c r="DUC366" s="652"/>
      <c r="DUD366" s="626"/>
      <c r="DUE366" s="640"/>
      <c r="DUF366" s="641"/>
      <c r="DUG366" s="653"/>
      <c r="DUH366" s="261"/>
      <c r="DUI366" s="118"/>
      <c r="DUJ366" s="219"/>
      <c r="DUK366" s="247"/>
      <c r="DUL366" s="652"/>
      <c r="DUM366" s="626"/>
      <c r="DUN366" s="640"/>
      <c r="DUO366" s="641"/>
      <c r="DUP366" s="653"/>
      <c r="DUQ366" s="261"/>
      <c r="DUR366" s="118"/>
      <c r="DUS366" s="219"/>
      <c r="DUT366" s="247"/>
      <c r="DUU366" s="652"/>
      <c r="DUV366" s="626"/>
      <c r="DUW366" s="640"/>
      <c r="DUX366" s="641"/>
      <c r="DUY366" s="653"/>
      <c r="DUZ366" s="261"/>
      <c r="DVA366" s="118"/>
      <c r="DVB366" s="219"/>
      <c r="DVC366" s="247"/>
      <c r="DVD366" s="652"/>
      <c r="DVE366" s="626"/>
      <c r="DVF366" s="640"/>
      <c r="DVG366" s="641"/>
      <c r="DVH366" s="653"/>
      <c r="DVI366" s="261"/>
      <c r="DVJ366" s="118"/>
      <c r="DVK366" s="219"/>
      <c r="DVL366" s="247"/>
      <c r="DVM366" s="652"/>
      <c r="DVN366" s="626"/>
      <c r="DVO366" s="640"/>
      <c r="DVP366" s="641"/>
      <c r="DVQ366" s="653"/>
      <c r="DVR366" s="261"/>
      <c r="DVS366" s="118"/>
      <c r="DVT366" s="219"/>
      <c r="DVU366" s="247"/>
      <c r="DVV366" s="652"/>
      <c r="DVW366" s="626"/>
      <c r="DVX366" s="640"/>
      <c r="DVY366" s="641"/>
      <c r="DVZ366" s="653"/>
      <c r="DWA366" s="261"/>
      <c r="DWB366" s="118"/>
      <c r="DWC366" s="219"/>
      <c r="DWD366" s="247"/>
      <c r="DWE366" s="652"/>
      <c r="DWF366" s="626"/>
      <c r="DWG366" s="640"/>
      <c r="DWH366" s="641"/>
      <c r="DWI366" s="653"/>
      <c r="DWJ366" s="261"/>
      <c r="DWK366" s="118"/>
      <c r="DWL366" s="219"/>
      <c r="DWM366" s="247"/>
      <c r="DWN366" s="652"/>
      <c r="DWO366" s="626"/>
      <c r="DWP366" s="640"/>
      <c r="DWQ366" s="641"/>
      <c r="DWR366" s="653"/>
      <c r="DWS366" s="261"/>
      <c r="DWT366" s="118"/>
      <c r="DWU366" s="219"/>
      <c r="DWV366" s="247"/>
      <c r="DWW366" s="652"/>
      <c r="DWX366" s="626"/>
      <c r="DWY366" s="640"/>
      <c r="DWZ366" s="641"/>
      <c r="DXA366" s="653"/>
      <c r="DXB366" s="261"/>
      <c r="DXC366" s="118"/>
      <c r="DXD366" s="219"/>
      <c r="DXE366" s="247"/>
      <c r="DXF366" s="652"/>
      <c r="DXG366" s="626"/>
      <c r="DXH366" s="640"/>
      <c r="DXI366" s="641"/>
      <c r="DXJ366" s="653"/>
      <c r="DXK366" s="261"/>
      <c r="DXL366" s="118"/>
      <c r="DXM366" s="219"/>
      <c r="DXN366" s="247"/>
      <c r="DXO366" s="652"/>
      <c r="DXP366" s="626"/>
      <c r="DXQ366" s="640"/>
      <c r="DXR366" s="641"/>
      <c r="DXS366" s="653"/>
      <c r="DXT366" s="261"/>
      <c r="DXU366" s="118"/>
      <c r="DXV366" s="219"/>
      <c r="DXW366" s="247"/>
      <c r="DXX366" s="652"/>
      <c r="DXY366" s="626"/>
      <c r="DXZ366" s="640"/>
      <c r="DYA366" s="641"/>
      <c r="DYB366" s="653"/>
      <c r="DYC366" s="261"/>
      <c r="DYD366" s="118"/>
      <c r="DYE366" s="219"/>
      <c r="DYF366" s="247"/>
      <c r="DYG366" s="652"/>
      <c r="DYH366" s="626"/>
      <c r="DYI366" s="640"/>
      <c r="DYJ366" s="641"/>
      <c r="DYK366" s="653"/>
      <c r="DYL366" s="261"/>
      <c r="DYM366" s="118"/>
      <c r="DYN366" s="219"/>
      <c r="DYO366" s="247"/>
      <c r="DYP366" s="652"/>
      <c r="DYQ366" s="626"/>
      <c r="DYR366" s="640"/>
      <c r="DYS366" s="641"/>
      <c r="DYT366" s="653"/>
      <c r="DYU366" s="261"/>
      <c r="DYV366" s="118"/>
      <c r="DYW366" s="219"/>
      <c r="DYX366" s="247"/>
      <c r="DYY366" s="652"/>
      <c r="DYZ366" s="626"/>
      <c r="DZA366" s="640"/>
      <c r="DZB366" s="641"/>
      <c r="DZC366" s="653"/>
      <c r="DZD366" s="261"/>
      <c r="DZE366" s="118"/>
      <c r="DZF366" s="219"/>
      <c r="DZG366" s="247"/>
      <c r="DZH366" s="652"/>
      <c r="DZI366" s="626"/>
      <c r="DZJ366" s="640"/>
      <c r="DZK366" s="641"/>
      <c r="DZL366" s="653"/>
      <c r="DZM366" s="261"/>
      <c r="DZN366" s="118"/>
      <c r="DZO366" s="219"/>
      <c r="DZP366" s="247"/>
      <c r="DZQ366" s="652"/>
      <c r="DZR366" s="626"/>
      <c r="DZS366" s="640"/>
      <c r="DZT366" s="641"/>
      <c r="DZU366" s="653"/>
      <c r="DZV366" s="261"/>
      <c r="DZW366" s="118"/>
      <c r="DZX366" s="219"/>
      <c r="DZY366" s="247"/>
      <c r="DZZ366" s="652"/>
      <c r="EAA366" s="626"/>
      <c r="EAB366" s="640"/>
      <c r="EAC366" s="641"/>
      <c r="EAD366" s="653"/>
      <c r="EAE366" s="261"/>
      <c r="EAF366" s="118"/>
      <c r="EAG366" s="219"/>
      <c r="EAH366" s="247"/>
      <c r="EAI366" s="652"/>
      <c r="EAJ366" s="626"/>
      <c r="EAK366" s="640"/>
      <c r="EAL366" s="641"/>
      <c r="EAM366" s="653"/>
      <c r="EAN366" s="261"/>
      <c r="EAO366" s="118"/>
      <c r="EAP366" s="219"/>
      <c r="EAQ366" s="247"/>
      <c r="EAR366" s="652"/>
      <c r="EAS366" s="626"/>
      <c r="EAT366" s="640"/>
      <c r="EAU366" s="641"/>
      <c r="EAV366" s="653"/>
      <c r="EAW366" s="261"/>
      <c r="EAX366" s="118"/>
      <c r="EAY366" s="219"/>
      <c r="EAZ366" s="247"/>
      <c r="EBA366" s="652"/>
      <c r="EBB366" s="626"/>
      <c r="EBC366" s="640"/>
      <c r="EBD366" s="641"/>
      <c r="EBE366" s="653"/>
      <c r="EBF366" s="261"/>
      <c r="EBG366" s="118"/>
      <c r="EBH366" s="219"/>
      <c r="EBI366" s="247"/>
      <c r="EBJ366" s="652"/>
      <c r="EBK366" s="626"/>
      <c r="EBL366" s="640"/>
      <c r="EBM366" s="641"/>
      <c r="EBN366" s="653"/>
      <c r="EBO366" s="261"/>
      <c r="EBP366" s="118"/>
      <c r="EBQ366" s="219"/>
      <c r="EBR366" s="247"/>
      <c r="EBS366" s="652"/>
      <c r="EBT366" s="626"/>
      <c r="EBU366" s="640"/>
      <c r="EBV366" s="641"/>
      <c r="EBW366" s="653"/>
      <c r="EBX366" s="261"/>
      <c r="EBY366" s="118"/>
      <c r="EBZ366" s="219"/>
      <c r="ECA366" s="247"/>
      <c r="ECB366" s="652"/>
      <c r="ECC366" s="626"/>
      <c r="ECD366" s="640"/>
      <c r="ECE366" s="641"/>
      <c r="ECF366" s="653"/>
      <c r="ECG366" s="261"/>
      <c r="ECH366" s="118"/>
      <c r="ECI366" s="219"/>
      <c r="ECJ366" s="247"/>
      <c r="ECK366" s="652"/>
      <c r="ECL366" s="626"/>
      <c r="ECM366" s="640"/>
      <c r="ECN366" s="641"/>
      <c r="ECO366" s="653"/>
      <c r="ECP366" s="261"/>
      <c r="ECQ366" s="118"/>
      <c r="ECR366" s="219"/>
      <c r="ECS366" s="247"/>
      <c r="ECT366" s="652"/>
      <c r="ECU366" s="626"/>
      <c r="ECV366" s="640"/>
      <c r="ECW366" s="641"/>
      <c r="ECX366" s="653"/>
      <c r="ECY366" s="261"/>
      <c r="ECZ366" s="118"/>
      <c r="EDA366" s="219"/>
      <c r="EDB366" s="247"/>
      <c r="EDC366" s="652"/>
      <c r="EDD366" s="626"/>
      <c r="EDE366" s="640"/>
      <c r="EDF366" s="641"/>
      <c r="EDG366" s="653"/>
      <c r="EDH366" s="261"/>
      <c r="EDI366" s="118"/>
      <c r="EDJ366" s="219"/>
      <c r="EDK366" s="247"/>
      <c r="EDL366" s="652"/>
      <c r="EDM366" s="626"/>
      <c r="EDN366" s="640"/>
      <c r="EDO366" s="641"/>
      <c r="EDP366" s="653"/>
      <c r="EDQ366" s="261"/>
      <c r="EDR366" s="118"/>
      <c r="EDS366" s="219"/>
      <c r="EDT366" s="247"/>
      <c r="EDU366" s="652"/>
      <c r="EDV366" s="626"/>
      <c r="EDW366" s="640"/>
      <c r="EDX366" s="641"/>
      <c r="EDY366" s="653"/>
      <c r="EDZ366" s="261"/>
      <c r="EEA366" s="118"/>
      <c r="EEB366" s="219"/>
      <c r="EEC366" s="247"/>
      <c r="EED366" s="652"/>
      <c r="EEE366" s="626"/>
      <c r="EEF366" s="640"/>
      <c r="EEG366" s="641"/>
      <c r="EEH366" s="653"/>
      <c r="EEI366" s="261"/>
      <c r="EEJ366" s="118"/>
      <c r="EEK366" s="219"/>
      <c r="EEL366" s="247"/>
      <c r="EEM366" s="652"/>
      <c r="EEN366" s="626"/>
      <c r="EEO366" s="640"/>
      <c r="EEP366" s="641"/>
      <c r="EEQ366" s="653"/>
      <c r="EER366" s="261"/>
      <c r="EES366" s="118"/>
      <c r="EET366" s="219"/>
      <c r="EEU366" s="247"/>
      <c r="EEV366" s="652"/>
      <c r="EEW366" s="626"/>
      <c r="EEX366" s="640"/>
      <c r="EEY366" s="641"/>
      <c r="EEZ366" s="653"/>
      <c r="EFA366" s="261"/>
      <c r="EFB366" s="118"/>
      <c r="EFC366" s="219"/>
      <c r="EFD366" s="247"/>
      <c r="EFE366" s="652"/>
      <c r="EFF366" s="626"/>
      <c r="EFG366" s="640"/>
      <c r="EFH366" s="641"/>
      <c r="EFI366" s="653"/>
      <c r="EFJ366" s="261"/>
      <c r="EFK366" s="118"/>
      <c r="EFL366" s="219"/>
      <c r="EFM366" s="247"/>
      <c r="EFN366" s="652"/>
      <c r="EFO366" s="626"/>
      <c r="EFP366" s="640"/>
      <c r="EFQ366" s="641"/>
      <c r="EFR366" s="653"/>
      <c r="EFS366" s="261"/>
      <c r="EFT366" s="118"/>
      <c r="EFU366" s="219"/>
      <c r="EFV366" s="247"/>
      <c r="EFW366" s="652"/>
      <c r="EFX366" s="626"/>
      <c r="EFY366" s="640"/>
      <c r="EFZ366" s="641"/>
      <c r="EGA366" s="653"/>
      <c r="EGB366" s="261"/>
      <c r="EGC366" s="118"/>
      <c r="EGD366" s="219"/>
      <c r="EGE366" s="247"/>
      <c r="EGF366" s="652"/>
      <c r="EGG366" s="626"/>
      <c r="EGH366" s="640"/>
      <c r="EGI366" s="641"/>
      <c r="EGJ366" s="653"/>
      <c r="EGK366" s="261"/>
      <c r="EGL366" s="118"/>
      <c r="EGM366" s="219"/>
      <c r="EGN366" s="247"/>
      <c r="EGO366" s="652"/>
      <c r="EGP366" s="626"/>
      <c r="EGQ366" s="640"/>
      <c r="EGR366" s="641"/>
      <c r="EGS366" s="653"/>
      <c r="EGT366" s="261"/>
      <c r="EGU366" s="118"/>
      <c r="EGV366" s="219"/>
      <c r="EGW366" s="247"/>
      <c r="EGX366" s="652"/>
      <c r="EGY366" s="626"/>
      <c r="EGZ366" s="640"/>
      <c r="EHA366" s="641"/>
      <c r="EHB366" s="653"/>
      <c r="EHC366" s="261"/>
      <c r="EHD366" s="118"/>
      <c r="EHE366" s="219"/>
      <c r="EHF366" s="247"/>
      <c r="EHG366" s="652"/>
      <c r="EHH366" s="626"/>
      <c r="EHI366" s="640"/>
      <c r="EHJ366" s="641"/>
      <c r="EHK366" s="653"/>
      <c r="EHL366" s="261"/>
      <c r="EHM366" s="118"/>
      <c r="EHN366" s="219"/>
      <c r="EHO366" s="247"/>
      <c r="EHP366" s="652"/>
      <c r="EHQ366" s="626"/>
      <c r="EHR366" s="640"/>
      <c r="EHS366" s="641"/>
      <c r="EHT366" s="653"/>
      <c r="EHU366" s="261"/>
      <c r="EHV366" s="118"/>
      <c r="EHW366" s="219"/>
      <c r="EHX366" s="247"/>
      <c r="EHY366" s="652"/>
      <c r="EHZ366" s="626"/>
      <c r="EIA366" s="640"/>
      <c r="EIB366" s="641"/>
      <c r="EIC366" s="653"/>
      <c r="EID366" s="261"/>
      <c r="EIE366" s="118"/>
      <c r="EIF366" s="219"/>
      <c r="EIG366" s="247"/>
      <c r="EIH366" s="652"/>
      <c r="EII366" s="626"/>
      <c r="EIJ366" s="640"/>
      <c r="EIK366" s="641"/>
      <c r="EIL366" s="653"/>
      <c r="EIM366" s="261"/>
      <c r="EIN366" s="118"/>
      <c r="EIO366" s="219"/>
      <c r="EIP366" s="247"/>
      <c r="EIQ366" s="652"/>
      <c r="EIR366" s="626"/>
      <c r="EIS366" s="640"/>
      <c r="EIT366" s="641"/>
      <c r="EIU366" s="653"/>
      <c r="EIV366" s="261"/>
      <c r="EIW366" s="118"/>
      <c r="EIX366" s="219"/>
      <c r="EIY366" s="247"/>
      <c r="EIZ366" s="652"/>
      <c r="EJA366" s="626"/>
      <c r="EJB366" s="640"/>
      <c r="EJC366" s="641"/>
      <c r="EJD366" s="653"/>
      <c r="EJE366" s="261"/>
      <c r="EJF366" s="118"/>
      <c r="EJG366" s="219"/>
      <c r="EJH366" s="247"/>
      <c r="EJI366" s="652"/>
      <c r="EJJ366" s="626"/>
      <c r="EJK366" s="640"/>
      <c r="EJL366" s="641"/>
      <c r="EJM366" s="653"/>
      <c r="EJN366" s="261"/>
      <c r="EJO366" s="118"/>
      <c r="EJP366" s="219"/>
      <c r="EJQ366" s="247"/>
      <c r="EJR366" s="652"/>
      <c r="EJS366" s="626"/>
      <c r="EJT366" s="640"/>
      <c r="EJU366" s="641"/>
      <c r="EJV366" s="653"/>
      <c r="EJW366" s="261"/>
      <c r="EJX366" s="118"/>
      <c r="EJY366" s="219"/>
      <c r="EJZ366" s="247"/>
      <c r="EKA366" s="652"/>
      <c r="EKB366" s="626"/>
      <c r="EKC366" s="640"/>
      <c r="EKD366" s="641"/>
      <c r="EKE366" s="653"/>
      <c r="EKF366" s="261"/>
      <c r="EKG366" s="118"/>
      <c r="EKH366" s="219"/>
      <c r="EKI366" s="247"/>
      <c r="EKJ366" s="652"/>
      <c r="EKK366" s="626"/>
      <c r="EKL366" s="640"/>
      <c r="EKM366" s="641"/>
      <c r="EKN366" s="653"/>
      <c r="EKO366" s="261"/>
      <c r="EKP366" s="118"/>
      <c r="EKQ366" s="219"/>
      <c r="EKR366" s="247"/>
      <c r="EKS366" s="652"/>
      <c r="EKT366" s="626"/>
      <c r="EKU366" s="640"/>
      <c r="EKV366" s="641"/>
      <c r="EKW366" s="653"/>
      <c r="EKX366" s="261"/>
      <c r="EKY366" s="118"/>
      <c r="EKZ366" s="219"/>
      <c r="ELA366" s="247"/>
      <c r="ELB366" s="652"/>
      <c r="ELC366" s="626"/>
      <c r="ELD366" s="640"/>
      <c r="ELE366" s="641"/>
      <c r="ELF366" s="653"/>
      <c r="ELG366" s="261"/>
      <c r="ELH366" s="118"/>
      <c r="ELI366" s="219"/>
      <c r="ELJ366" s="247"/>
      <c r="ELK366" s="652"/>
      <c r="ELL366" s="626"/>
      <c r="ELM366" s="640"/>
      <c r="ELN366" s="641"/>
      <c r="ELO366" s="653"/>
      <c r="ELP366" s="261"/>
      <c r="ELQ366" s="118"/>
      <c r="ELR366" s="219"/>
      <c r="ELS366" s="247"/>
      <c r="ELT366" s="652"/>
      <c r="ELU366" s="626"/>
      <c r="ELV366" s="640"/>
      <c r="ELW366" s="641"/>
      <c r="ELX366" s="653"/>
      <c r="ELY366" s="261"/>
      <c r="ELZ366" s="118"/>
      <c r="EMA366" s="219"/>
      <c r="EMB366" s="247"/>
      <c r="EMC366" s="652"/>
      <c r="EMD366" s="626"/>
      <c r="EME366" s="640"/>
      <c r="EMF366" s="641"/>
      <c r="EMG366" s="653"/>
      <c r="EMH366" s="261"/>
      <c r="EMI366" s="118"/>
      <c r="EMJ366" s="219"/>
      <c r="EMK366" s="247"/>
      <c r="EML366" s="652"/>
      <c r="EMM366" s="626"/>
      <c r="EMN366" s="640"/>
      <c r="EMO366" s="641"/>
      <c r="EMP366" s="653"/>
      <c r="EMQ366" s="261"/>
      <c r="EMR366" s="118"/>
      <c r="EMS366" s="219"/>
      <c r="EMT366" s="247"/>
      <c r="EMU366" s="652"/>
      <c r="EMV366" s="626"/>
      <c r="EMW366" s="640"/>
      <c r="EMX366" s="641"/>
      <c r="EMY366" s="653"/>
      <c r="EMZ366" s="261"/>
      <c r="ENA366" s="118"/>
      <c r="ENB366" s="219"/>
      <c r="ENC366" s="247"/>
      <c r="END366" s="652"/>
      <c r="ENE366" s="626"/>
      <c r="ENF366" s="640"/>
      <c r="ENG366" s="641"/>
      <c r="ENH366" s="653"/>
      <c r="ENI366" s="261"/>
      <c r="ENJ366" s="118"/>
      <c r="ENK366" s="219"/>
      <c r="ENL366" s="247"/>
      <c r="ENM366" s="652"/>
      <c r="ENN366" s="626"/>
      <c r="ENO366" s="640"/>
      <c r="ENP366" s="641"/>
      <c r="ENQ366" s="653"/>
      <c r="ENR366" s="261"/>
      <c r="ENS366" s="118"/>
      <c r="ENT366" s="219"/>
      <c r="ENU366" s="247"/>
      <c r="ENV366" s="652"/>
      <c r="ENW366" s="626"/>
      <c r="ENX366" s="640"/>
      <c r="ENY366" s="641"/>
      <c r="ENZ366" s="653"/>
      <c r="EOA366" s="261"/>
      <c r="EOB366" s="118"/>
      <c r="EOC366" s="219"/>
      <c r="EOD366" s="247"/>
      <c r="EOE366" s="652"/>
      <c r="EOF366" s="626"/>
      <c r="EOG366" s="640"/>
      <c r="EOH366" s="641"/>
      <c r="EOI366" s="653"/>
      <c r="EOJ366" s="261"/>
      <c r="EOK366" s="118"/>
      <c r="EOL366" s="219"/>
      <c r="EOM366" s="247"/>
      <c r="EON366" s="652"/>
      <c r="EOO366" s="626"/>
      <c r="EOP366" s="640"/>
      <c r="EOQ366" s="641"/>
      <c r="EOR366" s="653"/>
      <c r="EOS366" s="261"/>
      <c r="EOT366" s="118"/>
      <c r="EOU366" s="219"/>
      <c r="EOV366" s="247"/>
      <c r="EOW366" s="652"/>
      <c r="EOX366" s="626"/>
      <c r="EOY366" s="640"/>
      <c r="EOZ366" s="641"/>
      <c r="EPA366" s="653"/>
      <c r="EPB366" s="261"/>
      <c r="EPC366" s="118"/>
      <c r="EPD366" s="219"/>
      <c r="EPE366" s="247"/>
      <c r="EPF366" s="652"/>
      <c r="EPG366" s="626"/>
      <c r="EPH366" s="640"/>
      <c r="EPI366" s="641"/>
      <c r="EPJ366" s="653"/>
      <c r="EPK366" s="261"/>
      <c r="EPL366" s="118"/>
      <c r="EPM366" s="219"/>
      <c r="EPN366" s="247"/>
      <c r="EPO366" s="652"/>
      <c r="EPP366" s="626"/>
      <c r="EPQ366" s="640"/>
      <c r="EPR366" s="641"/>
      <c r="EPS366" s="653"/>
      <c r="EPT366" s="261"/>
      <c r="EPU366" s="118"/>
      <c r="EPV366" s="219"/>
      <c r="EPW366" s="247"/>
      <c r="EPX366" s="652"/>
      <c r="EPY366" s="626"/>
      <c r="EPZ366" s="640"/>
      <c r="EQA366" s="641"/>
      <c r="EQB366" s="653"/>
      <c r="EQC366" s="261"/>
      <c r="EQD366" s="118"/>
      <c r="EQE366" s="219"/>
      <c r="EQF366" s="247"/>
      <c r="EQG366" s="652"/>
      <c r="EQH366" s="626"/>
      <c r="EQI366" s="640"/>
      <c r="EQJ366" s="641"/>
      <c r="EQK366" s="653"/>
      <c r="EQL366" s="261"/>
      <c r="EQM366" s="118"/>
      <c r="EQN366" s="219"/>
      <c r="EQO366" s="247"/>
      <c r="EQP366" s="652"/>
      <c r="EQQ366" s="626"/>
      <c r="EQR366" s="640"/>
      <c r="EQS366" s="641"/>
      <c r="EQT366" s="653"/>
      <c r="EQU366" s="261"/>
      <c r="EQV366" s="118"/>
      <c r="EQW366" s="219"/>
      <c r="EQX366" s="247"/>
      <c r="EQY366" s="652"/>
      <c r="EQZ366" s="626"/>
      <c r="ERA366" s="640"/>
      <c r="ERB366" s="641"/>
      <c r="ERC366" s="653"/>
      <c r="ERD366" s="261"/>
      <c r="ERE366" s="118"/>
      <c r="ERF366" s="219"/>
      <c r="ERG366" s="247"/>
      <c r="ERH366" s="652"/>
      <c r="ERI366" s="626"/>
      <c r="ERJ366" s="640"/>
      <c r="ERK366" s="641"/>
      <c r="ERL366" s="653"/>
      <c r="ERM366" s="261"/>
      <c r="ERN366" s="118"/>
      <c r="ERO366" s="219"/>
      <c r="ERP366" s="247"/>
      <c r="ERQ366" s="652"/>
      <c r="ERR366" s="626"/>
      <c r="ERS366" s="640"/>
      <c r="ERT366" s="641"/>
      <c r="ERU366" s="653"/>
      <c r="ERV366" s="261"/>
      <c r="ERW366" s="118"/>
      <c r="ERX366" s="219"/>
      <c r="ERY366" s="247"/>
      <c r="ERZ366" s="652"/>
      <c r="ESA366" s="626"/>
      <c r="ESB366" s="640"/>
      <c r="ESC366" s="641"/>
      <c r="ESD366" s="653"/>
      <c r="ESE366" s="261"/>
      <c r="ESF366" s="118"/>
      <c r="ESG366" s="219"/>
      <c r="ESH366" s="247"/>
      <c r="ESI366" s="652"/>
      <c r="ESJ366" s="626"/>
      <c r="ESK366" s="640"/>
      <c r="ESL366" s="641"/>
      <c r="ESM366" s="653"/>
      <c r="ESN366" s="261"/>
      <c r="ESO366" s="118"/>
      <c r="ESP366" s="219"/>
      <c r="ESQ366" s="247"/>
      <c r="ESR366" s="652"/>
      <c r="ESS366" s="626"/>
      <c r="EST366" s="640"/>
      <c r="ESU366" s="641"/>
      <c r="ESV366" s="653"/>
      <c r="ESW366" s="261"/>
      <c r="ESX366" s="118"/>
      <c r="ESY366" s="219"/>
      <c r="ESZ366" s="247"/>
      <c r="ETA366" s="652"/>
      <c r="ETB366" s="626"/>
      <c r="ETC366" s="640"/>
      <c r="ETD366" s="641"/>
      <c r="ETE366" s="653"/>
      <c r="ETF366" s="261"/>
      <c r="ETG366" s="118"/>
      <c r="ETH366" s="219"/>
      <c r="ETI366" s="247"/>
      <c r="ETJ366" s="652"/>
      <c r="ETK366" s="626"/>
      <c r="ETL366" s="640"/>
      <c r="ETM366" s="641"/>
      <c r="ETN366" s="653"/>
      <c r="ETO366" s="261"/>
      <c r="ETP366" s="118"/>
      <c r="ETQ366" s="219"/>
      <c r="ETR366" s="247"/>
      <c r="ETS366" s="652"/>
      <c r="ETT366" s="626"/>
      <c r="ETU366" s="640"/>
      <c r="ETV366" s="641"/>
      <c r="ETW366" s="653"/>
      <c r="ETX366" s="261"/>
      <c r="ETY366" s="118"/>
      <c r="ETZ366" s="219"/>
      <c r="EUA366" s="247"/>
      <c r="EUB366" s="652"/>
      <c r="EUC366" s="626"/>
      <c r="EUD366" s="640"/>
      <c r="EUE366" s="641"/>
      <c r="EUF366" s="653"/>
      <c r="EUG366" s="261"/>
      <c r="EUH366" s="118"/>
      <c r="EUI366" s="219"/>
      <c r="EUJ366" s="247"/>
      <c r="EUK366" s="652"/>
      <c r="EUL366" s="626"/>
      <c r="EUM366" s="640"/>
      <c r="EUN366" s="641"/>
      <c r="EUO366" s="653"/>
      <c r="EUP366" s="261"/>
      <c r="EUQ366" s="118"/>
      <c r="EUR366" s="219"/>
      <c r="EUS366" s="247"/>
      <c r="EUT366" s="652"/>
      <c r="EUU366" s="626"/>
      <c r="EUV366" s="640"/>
      <c r="EUW366" s="641"/>
      <c r="EUX366" s="653"/>
      <c r="EUY366" s="261"/>
      <c r="EUZ366" s="118"/>
      <c r="EVA366" s="219"/>
      <c r="EVB366" s="247"/>
      <c r="EVC366" s="652"/>
      <c r="EVD366" s="626"/>
      <c r="EVE366" s="640"/>
      <c r="EVF366" s="641"/>
      <c r="EVG366" s="653"/>
      <c r="EVH366" s="261"/>
      <c r="EVI366" s="118"/>
      <c r="EVJ366" s="219"/>
      <c r="EVK366" s="247"/>
      <c r="EVL366" s="652"/>
      <c r="EVM366" s="626"/>
      <c r="EVN366" s="640"/>
      <c r="EVO366" s="641"/>
      <c r="EVP366" s="653"/>
      <c r="EVQ366" s="261"/>
      <c r="EVR366" s="118"/>
      <c r="EVS366" s="219"/>
      <c r="EVT366" s="247"/>
      <c r="EVU366" s="652"/>
      <c r="EVV366" s="626"/>
      <c r="EVW366" s="640"/>
      <c r="EVX366" s="641"/>
      <c r="EVY366" s="653"/>
      <c r="EVZ366" s="261"/>
      <c r="EWA366" s="118"/>
      <c r="EWB366" s="219"/>
      <c r="EWC366" s="247"/>
      <c r="EWD366" s="652"/>
      <c r="EWE366" s="626"/>
      <c r="EWF366" s="640"/>
      <c r="EWG366" s="641"/>
      <c r="EWH366" s="653"/>
      <c r="EWI366" s="261"/>
      <c r="EWJ366" s="118"/>
      <c r="EWK366" s="219"/>
      <c r="EWL366" s="247"/>
      <c r="EWM366" s="652"/>
      <c r="EWN366" s="626"/>
      <c r="EWO366" s="640"/>
      <c r="EWP366" s="641"/>
      <c r="EWQ366" s="653"/>
      <c r="EWR366" s="261"/>
      <c r="EWS366" s="118"/>
      <c r="EWT366" s="219"/>
      <c r="EWU366" s="247"/>
      <c r="EWV366" s="652"/>
      <c r="EWW366" s="626"/>
      <c r="EWX366" s="640"/>
      <c r="EWY366" s="641"/>
      <c r="EWZ366" s="653"/>
      <c r="EXA366" s="261"/>
      <c r="EXB366" s="118"/>
      <c r="EXC366" s="219"/>
      <c r="EXD366" s="247"/>
      <c r="EXE366" s="652"/>
      <c r="EXF366" s="626"/>
      <c r="EXG366" s="640"/>
      <c r="EXH366" s="641"/>
      <c r="EXI366" s="653"/>
      <c r="EXJ366" s="261"/>
      <c r="EXK366" s="118"/>
      <c r="EXL366" s="219"/>
      <c r="EXM366" s="247"/>
      <c r="EXN366" s="652"/>
      <c r="EXO366" s="626"/>
      <c r="EXP366" s="640"/>
      <c r="EXQ366" s="641"/>
      <c r="EXR366" s="653"/>
      <c r="EXS366" s="261"/>
      <c r="EXT366" s="118"/>
      <c r="EXU366" s="219"/>
      <c r="EXV366" s="247"/>
      <c r="EXW366" s="652"/>
      <c r="EXX366" s="626"/>
      <c r="EXY366" s="640"/>
      <c r="EXZ366" s="641"/>
      <c r="EYA366" s="653"/>
      <c r="EYB366" s="261"/>
      <c r="EYC366" s="118"/>
      <c r="EYD366" s="219"/>
      <c r="EYE366" s="247"/>
      <c r="EYF366" s="652"/>
      <c r="EYG366" s="626"/>
      <c r="EYH366" s="640"/>
      <c r="EYI366" s="641"/>
      <c r="EYJ366" s="653"/>
      <c r="EYK366" s="261"/>
      <c r="EYL366" s="118"/>
      <c r="EYM366" s="219"/>
      <c r="EYN366" s="247"/>
      <c r="EYO366" s="652"/>
      <c r="EYP366" s="626"/>
      <c r="EYQ366" s="640"/>
      <c r="EYR366" s="641"/>
      <c r="EYS366" s="653"/>
      <c r="EYT366" s="261"/>
      <c r="EYU366" s="118"/>
      <c r="EYV366" s="219"/>
      <c r="EYW366" s="247"/>
      <c r="EYX366" s="652"/>
      <c r="EYY366" s="626"/>
      <c r="EYZ366" s="640"/>
      <c r="EZA366" s="641"/>
      <c r="EZB366" s="653"/>
      <c r="EZC366" s="261"/>
      <c r="EZD366" s="118"/>
      <c r="EZE366" s="219"/>
      <c r="EZF366" s="247"/>
      <c r="EZG366" s="652"/>
      <c r="EZH366" s="626"/>
      <c r="EZI366" s="640"/>
      <c r="EZJ366" s="641"/>
      <c r="EZK366" s="653"/>
      <c r="EZL366" s="261"/>
      <c r="EZM366" s="118"/>
      <c r="EZN366" s="219"/>
      <c r="EZO366" s="247"/>
      <c r="EZP366" s="652"/>
      <c r="EZQ366" s="626"/>
      <c r="EZR366" s="640"/>
      <c r="EZS366" s="641"/>
      <c r="EZT366" s="653"/>
      <c r="EZU366" s="261"/>
      <c r="EZV366" s="118"/>
      <c r="EZW366" s="219"/>
      <c r="EZX366" s="247"/>
      <c r="EZY366" s="652"/>
      <c r="EZZ366" s="626"/>
      <c r="FAA366" s="640"/>
      <c r="FAB366" s="641"/>
      <c r="FAC366" s="653"/>
      <c r="FAD366" s="261"/>
      <c r="FAE366" s="118"/>
      <c r="FAF366" s="219"/>
      <c r="FAG366" s="247"/>
      <c r="FAH366" s="652"/>
      <c r="FAI366" s="626"/>
      <c r="FAJ366" s="640"/>
      <c r="FAK366" s="641"/>
      <c r="FAL366" s="653"/>
      <c r="FAM366" s="261"/>
      <c r="FAN366" s="118"/>
      <c r="FAO366" s="219"/>
      <c r="FAP366" s="247"/>
      <c r="FAQ366" s="652"/>
      <c r="FAR366" s="626"/>
      <c r="FAS366" s="640"/>
      <c r="FAT366" s="641"/>
      <c r="FAU366" s="653"/>
      <c r="FAV366" s="261"/>
      <c r="FAW366" s="118"/>
      <c r="FAX366" s="219"/>
      <c r="FAY366" s="247"/>
      <c r="FAZ366" s="652"/>
      <c r="FBA366" s="626"/>
      <c r="FBB366" s="640"/>
      <c r="FBC366" s="641"/>
      <c r="FBD366" s="653"/>
      <c r="FBE366" s="261"/>
      <c r="FBF366" s="118"/>
      <c r="FBG366" s="219"/>
      <c r="FBH366" s="247"/>
      <c r="FBI366" s="652"/>
      <c r="FBJ366" s="626"/>
      <c r="FBK366" s="640"/>
      <c r="FBL366" s="641"/>
      <c r="FBM366" s="653"/>
      <c r="FBN366" s="261"/>
      <c r="FBO366" s="118"/>
      <c r="FBP366" s="219"/>
      <c r="FBQ366" s="247"/>
      <c r="FBR366" s="652"/>
      <c r="FBS366" s="626"/>
      <c r="FBT366" s="640"/>
      <c r="FBU366" s="641"/>
      <c r="FBV366" s="653"/>
      <c r="FBW366" s="261"/>
      <c r="FBX366" s="118"/>
      <c r="FBY366" s="219"/>
      <c r="FBZ366" s="247"/>
      <c r="FCA366" s="652"/>
      <c r="FCB366" s="626"/>
      <c r="FCC366" s="640"/>
      <c r="FCD366" s="641"/>
      <c r="FCE366" s="653"/>
      <c r="FCF366" s="261"/>
      <c r="FCG366" s="118"/>
      <c r="FCH366" s="219"/>
      <c r="FCI366" s="247"/>
      <c r="FCJ366" s="652"/>
      <c r="FCK366" s="626"/>
      <c r="FCL366" s="640"/>
      <c r="FCM366" s="641"/>
      <c r="FCN366" s="653"/>
      <c r="FCO366" s="261"/>
      <c r="FCP366" s="118"/>
      <c r="FCQ366" s="219"/>
      <c r="FCR366" s="247"/>
      <c r="FCS366" s="652"/>
      <c r="FCT366" s="626"/>
      <c r="FCU366" s="640"/>
      <c r="FCV366" s="641"/>
      <c r="FCW366" s="653"/>
      <c r="FCX366" s="261"/>
      <c r="FCY366" s="118"/>
      <c r="FCZ366" s="219"/>
      <c r="FDA366" s="247"/>
      <c r="FDB366" s="652"/>
      <c r="FDC366" s="626"/>
      <c r="FDD366" s="640"/>
      <c r="FDE366" s="641"/>
      <c r="FDF366" s="653"/>
      <c r="FDG366" s="261"/>
      <c r="FDH366" s="118"/>
      <c r="FDI366" s="219"/>
      <c r="FDJ366" s="247"/>
      <c r="FDK366" s="652"/>
      <c r="FDL366" s="626"/>
      <c r="FDM366" s="640"/>
      <c r="FDN366" s="641"/>
      <c r="FDO366" s="653"/>
      <c r="FDP366" s="261"/>
      <c r="FDQ366" s="118"/>
      <c r="FDR366" s="219"/>
      <c r="FDS366" s="247"/>
      <c r="FDT366" s="652"/>
      <c r="FDU366" s="626"/>
      <c r="FDV366" s="640"/>
      <c r="FDW366" s="641"/>
      <c r="FDX366" s="653"/>
      <c r="FDY366" s="261"/>
      <c r="FDZ366" s="118"/>
      <c r="FEA366" s="219"/>
      <c r="FEB366" s="247"/>
      <c r="FEC366" s="652"/>
      <c r="FED366" s="626"/>
      <c r="FEE366" s="640"/>
      <c r="FEF366" s="641"/>
      <c r="FEG366" s="653"/>
      <c r="FEH366" s="261"/>
      <c r="FEI366" s="118"/>
      <c r="FEJ366" s="219"/>
      <c r="FEK366" s="247"/>
      <c r="FEL366" s="652"/>
      <c r="FEM366" s="626"/>
      <c r="FEN366" s="640"/>
      <c r="FEO366" s="641"/>
      <c r="FEP366" s="653"/>
      <c r="FEQ366" s="261"/>
      <c r="FER366" s="118"/>
      <c r="FES366" s="219"/>
      <c r="FET366" s="247"/>
      <c r="FEU366" s="652"/>
      <c r="FEV366" s="626"/>
      <c r="FEW366" s="640"/>
      <c r="FEX366" s="641"/>
      <c r="FEY366" s="653"/>
      <c r="FEZ366" s="261"/>
      <c r="FFA366" s="118"/>
      <c r="FFB366" s="219"/>
      <c r="FFC366" s="247"/>
      <c r="FFD366" s="652"/>
      <c r="FFE366" s="626"/>
      <c r="FFF366" s="640"/>
      <c r="FFG366" s="641"/>
      <c r="FFH366" s="653"/>
      <c r="FFI366" s="261"/>
      <c r="FFJ366" s="118"/>
      <c r="FFK366" s="219"/>
      <c r="FFL366" s="247"/>
      <c r="FFM366" s="652"/>
      <c r="FFN366" s="626"/>
      <c r="FFO366" s="640"/>
      <c r="FFP366" s="641"/>
      <c r="FFQ366" s="653"/>
      <c r="FFR366" s="261"/>
      <c r="FFS366" s="118"/>
      <c r="FFT366" s="219"/>
      <c r="FFU366" s="247"/>
      <c r="FFV366" s="652"/>
      <c r="FFW366" s="626"/>
      <c r="FFX366" s="640"/>
      <c r="FFY366" s="641"/>
      <c r="FFZ366" s="653"/>
      <c r="FGA366" s="261"/>
      <c r="FGB366" s="118"/>
      <c r="FGC366" s="219"/>
      <c r="FGD366" s="247"/>
      <c r="FGE366" s="652"/>
      <c r="FGF366" s="626"/>
      <c r="FGG366" s="640"/>
      <c r="FGH366" s="641"/>
      <c r="FGI366" s="653"/>
      <c r="FGJ366" s="261"/>
      <c r="FGK366" s="118"/>
      <c r="FGL366" s="219"/>
      <c r="FGM366" s="247"/>
      <c r="FGN366" s="652"/>
      <c r="FGO366" s="626"/>
      <c r="FGP366" s="640"/>
      <c r="FGQ366" s="641"/>
      <c r="FGR366" s="653"/>
      <c r="FGS366" s="261"/>
      <c r="FGT366" s="118"/>
      <c r="FGU366" s="219"/>
      <c r="FGV366" s="247"/>
      <c r="FGW366" s="652"/>
      <c r="FGX366" s="626"/>
      <c r="FGY366" s="640"/>
      <c r="FGZ366" s="641"/>
      <c r="FHA366" s="653"/>
      <c r="FHB366" s="261"/>
      <c r="FHC366" s="118"/>
      <c r="FHD366" s="219"/>
      <c r="FHE366" s="247"/>
      <c r="FHF366" s="652"/>
      <c r="FHG366" s="626"/>
      <c r="FHH366" s="640"/>
      <c r="FHI366" s="641"/>
      <c r="FHJ366" s="653"/>
      <c r="FHK366" s="261"/>
      <c r="FHL366" s="118"/>
      <c r="FHM366" s="219"/>
      <c r="FHN366" s="247"/>
      <c r="FHO366" s="652"/>
      <c r="FHP366" s="626"/>
      <c r="FHQ366" s="640"/>
      <c r="FHR366" s="641"/>
      <c r="FHS366" s="653"/>
      <c r="FHT366" s="261"/>
      <c r="FHU366" s="118"/>
      <c r="FHV366" s="219"/>
      <c r="FHW366" s="247"/>
      <c r="FHX366" s="652"/>
      <c r="FHY366" s="626"/>
      <c r="FHZ366" s="640"/>
      <c r="FIA366" s="641"/>
      <c r="FIB366" s="653"/>
      <c r="FIC366" s="261"/>
      <c r="FID366" s="118"/>
      <c r="FIE366" s="219"/>
      <c r="FIF366" s="247"/>
      <c r="FIG366" s="652"/>
      <c r="FIH366" s="626"/>
      <c r="FII366" s="640"/>
      <c r="FIJ366" s="641"/>
      <c r="FIK366" s="653"/>
      <c r="FIL366" s="261"/>
      <c r="FIM366" s="118"/>
      <c r="FIN366" s="219"/>
      <c r="FIO366" s="247"/>
      <c r="FIP366" s="652"/>
      <c r="FIQ366" s="626"/>
      <c r="FIR366" s="640"/>
      <c r="FIS366" s="641"/>
      <c r="FIT366" s="653"/>
      <c r="FIU366" s="261"/>
      <c r="FIV366" s="118"/>
      <c r="FIW366" s="219"/>
      <c r="FIX366" s="247"/>
      <c r="FIY366" s="652"/>
      <c r="FIZ366" s="626"/>
      <c r="FJA366" s="640"/>
      <c r="FJB366" s="641"/>
      <c r="FJC366" s="653"/>
      <c r="FJD366" s="261"/>
      <c r="FJE366" s="118"/>
      <c r="FJF366" s="219"/>
      <c r="FJG366" s="247"/>
      <c r="FJH366" s="652"/>
      <c r="FJI366" s="626"/>
      <c r="FJJ366" s="640"/>
      <c r="FJK366" s="641"/>
      <c r="FJL366" s="653"/>
      <c r="FJM366" s="261"/>
      <c r="FJN366" s="118"/>
      <c r="FJO366" s="219"/>
      <c r="FJP366" s="247"/>
      <c r="FJQ366" s="652"/>
      <c r="FJR366" s="626"/>
      <c r="FJS366" s="640"/>
      <c r="FJT366" s="641"/>
      <c r="FJU366" s="653"/>
      <c r="FJV366" s="261"/>
      <c r="FJW366" s="118"/>
      <c r="FJX366" s="219"/>
      <c r="FJY366" s="247"/>
      <c r="FJZ366" s="652"/>
      <c r="FKA366" s="626"/>
      <c r="FKB366" s="640"/>
      <c r="FKC366" s="641"/>
      <c r="FKD366" s="653"/>
      <c r="FKE366" s="261"/>
      <c r="FKF366" s="118"/>
      <c r="FKG366" s="219"/>
      <c r="FKH366" s="247"/>
      <c r="FKI366" s="652"/>
      <c r="FKJ366" s="626"/>
      <c r="FKK366" s="640"/>
      <c r="FKL366" s="641"/>
      <c r="FKM366" s="653"/>
      <c r="FKN366" s="261"/>
      <c r="FKO366" s="118"/>
      <c r="FKP366" s="219"/>
      <c r="FKQ366" s="247"/>
      <c r="FKR366" s="652"/>
      <c r="FKS366" s="626"/>
      <c r="FKT366" s="640"/>
      <c r="FKU366" s="641"/>
      <c r="FKV366" s="653"/>
      <c r="FKW366" s="261"/>
      <c r="FKX366" s="118"/>
      <c r="FKY366" s="219"/>
      <c r="FKZ366" s="247"/>
      <c r="FLA366" s="652"/>
      <c r="FLB366" s="626"/>
      <c r="FLC366" s="640"/>
      <c r="FLD366" s="641"/>
      <c r="FLE366" s="653"/>
      <c r="FLF366" s="261"/>
      <c r="FLG366" s="118"/>
      <c r="FLH366" s="219"/>
      <c r="FLI366" s="247"/>
      <c r="FLJ366" s="652"/>
      <c r="FLK366" s="626"/>
      <c r="FLL366" s="640"/>
      <c r="FLM366" s="641"/>
      <c r="FLN366" s="653"/>
      <c r="FLO366" s="261"/>
      <c r="FLP366" s="118"/>
      <c r="FLQ366" s="219"/>
      <c r="FLR366" s="247"/>
      <c r="FLS366" s="652"/>
      <c r="FLT366" s="626"/>
      <c r="FLU366" s="640"/>
      <c r="FLV366" s="641"/>
      <c r="FLW366" s="653"/>
      <c r="FLX366" s="261"/>
      <c r="FLY366" s="118"/>
      <c r="FLZ366" s="219"/>
      <c r="FMA366" s="247"/>
      <c r="FMB366" s="652"/>
      <c r="FMC366" s="626"/>
      <c r="FMD366" s="640"/>
      <c r="FME366" s="641"/>
      <c r="FMF366" s="653"/>
      <c r="FMG366" s="261"/>
      <c r="FMH366" s="118"/>
      <c r="FMI366" s="219"/>
      <c r="FMJ366" s="247"/>
      <c r="FMK366" s="652"/>
      <c r="FML366" s="626"/>
      <c r="FMM366" s="640"/>
      <c r="FMN366" s="641"/>
      <c r="FMO366" s="653"/>
      <c r="FMP366" s="261"/>
      <c r="FMQ366" s="118"/>
      <c r="FMR366" s="219"/>
      <c r="FMS366" s="247"/>
      <c r="FMT366" s="652"/>
      <c r="FMU366" s="626"/>
      <c r="FMV366" s="640"/>
      <c r="FMW366" s="641"/>
      <c r="FMX366" s="653"/>
      <c r="FMY366" s="261"/>
      <c r="FMZ366" s="118"/>
      <c r="FNA366" s="219"/>
      <c r="FNB366" s="247"/>
      <c r="FNC366" s="652"/>
      <c r="FND366" s="626"/>
      <c r="FNE366" s="640"/>
      <c r="FNF366" s="641"/>
      <c r="FNG366" s="653"/>
      <c r="FNH366" s="261"/>
      <c r="FNI366" s="118"/>
      <c r="FNJ366" s="219"/>
      <c r="FNK366" s="247"/>
      <c r="FNL366" s="652"/>
      <c r="FNM366" s="626"/>
      <c r="FNN366" s="640"/>
      <c r="FNO366" s="641"/>
      <c r="FNP366" s="653"/>
      <c r="FNQ366" s="261"/>
      <c r="FNR366" s="118"/>
      <c r="FNS366" s="219"/>
      <c r="FNT366" s="247"/>
      <c r="FNU366" s="652"/>
      <c r="FNV366" s="626"/>
      <c r="FNW366" s="640"/>
      <c r="FNX366" s="641"/>
      <c r="FNY366" s="653"/>
      <c r="FNZ366" s="261"/>
      <c r="FOA366" s="118"/>
      <c r="FOB366" s="219"/>
      <c r="FOC366" s="247"/>
      <c r="FOD366" s="652"/>
      <c r="FOE366" s="626"/>
      <c r="FOF366" s="640"/>
      <c r="FOG366" s="641"/>
      <c r="FOH366" s="653"/>
      <c r="FOI366" s="261"/>
      <c r="FOJ366" s="118"/>
      <c r="FOK366" s="219"/>
      <c r="FOL366" s="247"/>
      <c r="FOM366" s="652"/>
      <c r="FON366" s="626"/>
      <c r="FOO366" s="640"/>
      <c r="FOP366" s="641"/>
      <c r="FOQ366" s="653"/>
      <c r="FOR366" s="261"/>
      <c r="FOS366" s="118"/>
      <c r="FOT366" s="219"/>
      <c r="FOU366" s="247"/>
      <c r="FOV366" s="652"/>
      <c r="FOW366" s="626"/>
      <c r="FOX366" s="640"/>
      <c r="FOY366" s="641"/>
      <c r="FOZ366" s="653"/>
      <c r="FPA366" s="261"/>
      <c r="FPB366" s="118"/>
      <c r="FPC366" s="219"/>
      <c r="FPD366" s="247"/>
      <c r="FPE366" s="652"/>
      <c r="FPF366" s="626"/>
      <c r="FPG366" s="640"/>
      <c r="FPH366" s="641"/>
      <c r="FPI366" s="653"/>
      <c r="FPJ366" s="261"/>
      <c r="FPK366" s="118"/>
      <c r="FPL366" s="219"/>
      <c r="FPM366" s="247"/>
      <c r="FPN366" s="652"/>
      <c r="FPO366" s="626"/>
      <c r="FPP366" s="640"/>
      <c r="FPQ366" s="641"/>
      <c r="FPR366" s="653"/>
      <c r="FPS366" s="261"/>
      <c r="FPT366" s="118"/>
      <c r="FPU366" s="219"/>
      <c r="FPV366" s="247"/>
      <c r="FPW366" s="652"/>
      <c r="FPX366" s="626"/>
      <c r="FPY366" s="640"/>
      <c r="FPZ366" s="641"/>
      <c r="FQA366" s="653"/>
      <c r="FQB366" s="261"/>
      <c r="FQC366" s="118"/>
      <c r="FQD366" s="219"/>
      <c r="FQE366" s="247"/>
      <c r="FQF366" s="652"/>
      <c r="FQG366" s="626"/>
      <c r="FQH366" s="640"/>
      <c r="FQI366" s="641"/>
      <c r="FQJ366" s="653"/>
      <c r="FQK366" s="261"/>
      <c r="FQL366" s="118"/>
      <c r="FQM366" s="219"/>
      <c r="FQN366" s="247"/>
      <c r="FQO366" s="652"/>
      <c r="FQP366" s="626"/>
      <c r="FQQ366" s="640"/>
      <c r="FQR366" s="641"/>
      <c r="FQS366" s="653"/>
      <c r="FQT366" s="261"/>
      <c r="FQU366" s="118"/>
      <c r="FQV366" s="219"/>
      <c r="FQW366" s="247"/>
      <c r="FQX366" s="652"/>
      <c r="FQY366" s="626"/>
      <c r="FQZ366" s="640"/>
      <c r="FRA366" s="641"/>
      <c r="FRB366" s="653"/>
      <c r="FRC366" s="261"/>
      <c r="FRD366" s="118"/>
      <c r="FRE366" s="219"/>
      <c r="FRF366" s="247"/>
      <c r="FRG366" s="652"/>
      <c r="FRH366" s="626"/>
      <c r="FRI366" s="640"/>
      <c r="FRJ366" s="641"/>
      <c r="FRK366" s="653"/>
      <c r="FRL366" s="261"/>
      <c r="FRM366" s="118"/>
      <c r="FRN366" s="219"/>
      <c r="FRO366" s="247"/>
      <c r="FRP366" s="652"/>
      <c r="FRQ366" s="626"/>
      <c r="FRR366" s="640"/>
      <c r="FRS366" s="641"/>
      <c r="FRT366" s="653"/>
      <c r="FRU366" s="261"/>
      <c r="FRV366" s="118"/>
      <c r="FRW366" s="219"/>
      <c r="FRX366" s="247"/>
      <c r="FRY366" s="652"/>
      <c r="FRZ366" s="626"/>
      <c r="FSA366" s="640"/>
      <c r="FSB366" s="641"/>
      <c r="FSC366" s="653"/>
      <c r="FSD366" s="261"/>
      <c r="FSE366" s="118"/>
      <c r="FSF366" s="219"/>
      <c r="FSG366" s="247"/>
      <c r="FSH366" s="652"/>
      <c r="FSI366" s="626"/>
      <c r="FSJ366" s="640"/>
      <c r="FSK366" s="641"/>
      <c r="FSL366" s="653"/>
      <c r="FSM366" s="261"/>
      <c r="FSN366" s="118"/>
      <c r="FSO366" s="219"/>
      <c r="FSP366" s="247"/>
      <c r="FSQ366" s="652"/>
      <c r="FSR366" s="626"/>
      <c r="FSS366" s="640"/>
      <c r="FST366" s="641"/>
      <c r="FSU366" s="653"/>
      <c r="FSV366" s="261"/>
      <c r="FSW366" s="118"/>
      <c r="FSX366" s="219"/>
      <c r="FSY366" s="247"/>
      <c r="FSZ366" s="652"/>
      <c r="FTA366" s="626"/>
      <c r="FTB366" s="640"/>
      <c r="FTC366" s="641"/>
      <c r="FTD366" s="653"/>
      <c r="FTE366" s="261"/>
      <c r="FTF366" s="118"/>
      <c r="FTG366" s="219"/>
      <c r="FTH366" s="247"/>
      <c r="FTI366" s="652"/>
      <c r="FTJ366" s="626"/>
      <c r="FTK366" s="640"/>
      <c r="FTL366" s="641"/>
      <c r="FTM366" s="653"/>
      <c r="FTN366" s="261"/>
      <c r="FTO366" s="118"/>
      <c r="FTP366" s="219"/>
      <c r="FTQ366" s="247"/>
      <c r="FTR366" s="652"/>
      <c r="FTS366" s="626"/>
      <c r="FTT366" s="640"/>
      <c r="FTU366" s="641"/>
      <c r="FTV366" s="653"/>
      <c r="FTW366" s="261"/>
      <c r="FTX366" s="118"/>
      <c r="FTY366" s="219"/>
      <c r="FTZ366" s="247"/>
      <c r="FUA366" s="652"/>
      <c r="FUB366" s="626"/>
      <c r="FUC366" s="640"/>
      <c r="FUD366" s="641"/>
      <c r="FUE366" s="653"/>
      <c r="FUF366" s="261"/>
      <c r="FUG366" s="118"/>
      <c r="FUH366" s="219"/>
      <c r="FUI366" s="247"/>
      <c r="FUJ366" s="652"/>
      <c r="FUK366" s="626"/>
      <c r="FUL366" s="640"/>
      <c r="FUM366" s="641"/>
      <c r="FUN366" s="653"/>
      <c r="FUO366" s="261"/>
      <c r="FUP366" s="118"/>
      <c r="FUQ366" s="219"/>
      <c r="FUR366" s="247"/>
      <c r="FUS366" s="652"/>
      <c r="FUT366" s="626"/>
      <c r="FUU366" s="640"/>
      <c r="FUV366" s="641"/>
      <c r="FUW366" s="653"/>
      <c r="FUX366" s="261"/>
      <c r="FUY366" s="118"/>
      <c r="FUZ366" s="219"/>
      <c r="FVA366" s="247"/>
      <c r="FVB366" s="652"/>
      <c r="FVC366" s="626"/>
      <c r="FVD366" s="640"/>
      <c r="FVE366" s="641"/>
      <c r="FVF366" s="653"/>
      <c r="FVG366" s="261"/>
      <c r="FVH366" s="654"/>
      <c r="FVI366" s="286"/>
      <c r="FVJ366" s="287"/>
      <c r="FVK366" s="296"/>
      <c r="FVL366" s="266"/>
      <c r="FVM366" s="649"/>
      <c r="FVN366" s="326"/>
      <c r="FVO366" s="655"/>
      <c r="FVP366" s="284"/>
      <c r="FVQ366" s="656"/>
      <c r="FVR366" s="286"/>
      <c r="FVS366" s="287"/>
      <c r="FVT366" s="296"/>
      <c r="FVU366" s="266"/>
      <c r="FVV366" s="649"/>
      <c r="FVW366" s="326"/>
      <c r="FVX366" s="655"/>
      <c r="FVY366" s="284"/>
      <c r="FVZ366" s="656"/>
      <c r="FWA366" s="286"/>
      <c r="FWB366" s="287"/>
      <c r="FWC366" s="296"/>
      <c r="FWD366" s="266"/>
      <c r="FWE366" s="649"/>
      <c r="FWF366" s="326"/>
      <c r="FWG366" s="655"/>
      <c r="FWH366" s="284"/>
      <c r="FWI366" s="656"/>
      <c r="FWJ366" s="286"/>
      <c r="FWK366" s="287"/>
      <c r="FWL366" s="296"/>
      <c r="FWM366" s="266"/>
      <c r="FWN366" s="649"/>
      <c r="FWO366" s="326"/>
      <c r="FWP366" s="655"/>
      <c r="FWQ366" s="284"/>
      <c r="FWR366" s="656"/>
      <c r="FWS366" s="286"/>
      <c r="FWT366" s="287"/>
      <c r="FWU366" s="296"/>
      <c r="FWV366" s="266"/>
      <c r="FWW366" s="649"/>
      <c r="FWX366" s="326"/>
      <c r="FWY366" s="655"/>
      <c r="FWZ366" s="284"/>
      <c r="FXA366" s="656"/>
      <c r="FXB366" s="286"/>
      <c r="FXC366" s="287"/>
      <c r="FXD366" s="296"/>
      <c r="FXE366" s="266"/>
      <c r="FXF366" s="649"/>
      <c r="FXG366" s="326"/>
      <c r="FXH366" s="655"/>
      <c r="FXI366" s="284"/>
      <c r="FXJ366" s="656"/>
      <c r="FXK366" s="286"/>
      <c r="FXL366" s="287"/>
      <c r="FXM366" s="296"/>
      <c r="FXN366" s="266"/>
      <c r="FXO366" s="649"/>
      <c r="FXP366" s="326"/>
      <c r="FXQ366" s="655"/>
      <c r="FXR366" s="284"/>
      <c r="FXS366" s="656"/>
      <c r="FXT366" s="286"/>
      <c r="FXU366" s="287"/>
      <c r="FXV366" s="296"/>
      <c r="FXW366" s="266"/>
      <c r="FXX366" s="649"/>
      <c r="FXY366" s="326"/>
      <c r="FXZ366" s="655"/>
      <c r="FYA366" s="284"/>
      <c r="FYB366" s="656"/>
      <c r="FYC366" s="286"/>
      <c r="FYD366" s="287"/>
      <c r="FYE366" s="296"/>
      <c r="FYF366" s="266"/>
      <c r="FYG366" s="649"/>
      <c r="FYH366" s="326"/>
      <c r="FYI366" s="655"/>
      <c r="FYJ366" s="284"/>
      <c r="FYK366" s="656"/>
      <c r="FYL366" s="286"/>
      <c r="FYM366" s="287"/>
      <c r="FYN366" s="296"/>
      <c r="FYO366" s="266"/>
      <c r="FYP366" s="649"/>
      <c r="FYQ366" s="326"/>
      <c r="FYR366" s="655"/>
      <c r="FYS366" s="284"/>
      <c r="FYT366" s="656"/>
      <c r="FYU366" s="286"/>
      <c r="FYV366" s="287"/>
      <c r="FYW366" s="296"/>
      <c r="FYX366" s="266"/>
      <c r="FYY366" s="649"/>
      <c r="FYZ366" s="326"/>
      <c r="FZA366" s="655"/>
      <c r="FZB366" s="284"/>
      <c r="FZC366" s="656"/>
      <c r="FZD366" s="286"/>
      <c r="FZE366" s="287"/>
      <c r="FZF366" s="296"/>
      <c r="FZG366" s="266"/>
      <c r="FZH366" s="649"/>
      <c r="FZI366" s="326"/>
      <c r="FZJ366" s="655"/>
      <c r="FZK366" s="284"/>
      <c r="FZL366" s="656"/>
      <c r="FZM366" s="286"/>
      <c r="FZN366" s="287"/>
      <c r="FZO366" s="296"/>
      <c r="FZP366" s="266"/>
      <c r="FZQ366" s="649"/>
      <c r="FZR366" s="326"/>
      <c r="FZS366" s="655"/>
      <c r="FZT366" s="284"/>
      <c r="FZU366" s="656"/>
      <c r="FZV366" s="286"/>
      <c r="FZW366" s="287"/>
      <c r="FZX366" s="296"/>
      <c r="FZY366" s="266"/>
      <c r="FZZ366" s="649"/>
      <c r="GAA366" s="326"/>
      <c r="GAB366" s="655"/>
      <c r="GAC366" s="284"/>
      <c r="GAD366" s="656"/>
      <c r="GAE366" s="286"/>
      <c r="GAF366" s="287"/>
      <c r="GAG366" s="296"/>
      <c r="GAH366" s="266"/>
      <c r="GAI366" s="649"/>
      <c r="GAJ366" s="326"/>
      <c r="GAK366" s="655"/>
      <c r="GAL366" s="284"/>
      <c r="GAM366" s="656"/>
      <c r="GAN366" s="286"/>
      <c r="GAO366" s="287"/>
      <c r="GAP366" s="296"/>
      <c r="GAQ366" s="266"/>
      <c r="GAR366" s="649"/>
      <c r="GAS366" s="326"/>
      <c r="GAT366" s="655"/>
      <c r="GAU366" s="284"/>
      <c r="GAV366" s="656"/>
      <c r="GAW366" s="286"/>
      <c r="GAX366" s="287"/>
      <c r="GAY366" s="296"/>
      <c r="GAZ366" s="266"/>
      <c r="GBA366" s="649"/>
      <c r="GBB366" s="326"/>
      <c r="GBC366" s="655"/>
      <c r="GBD366" s="284"/>
      <c r="GBE366" s="656"/>
      <c r="GBF366" s="286"/>
      <c r="GBG366" s="287"/>
      <c r="GBH366" s="296"/>
      <c r="GBI366" s="266"/>
      <c r="GBJ366" s="649"/>
      <c r="GBK366" s="326"/>
      <c r="GBL366" s="655"/>
      <c r="GBM366" s="284"/>
      <c r="GBN366" s="656"/>
      <c r="GBO366" s="286"/>
      <c r="GBP366" s="287"/>
      <c r="GBQ366" s="296"/>
      <c r="GBR366" s="266"/>
      <c r="GBS366" s="649"/>
      <c r="GBT366" s="326"/>
      <c r="GBU366" s="655"/>
      <c r="GBV366" s="284"/>
      <c r="GBW366" s="656"/>
      <c r="GBX366" s="286"/>
      <c r="GBY366" s="287"/>
      <c r="GBZ366" s="296"/>
      <c r="GCA366" s="266"/>
      <c r="GCB366" s="649"/>
      <c r="GCC366" s="326"/>
      <c r="GCD366" s="655"/>
      <c r="GCE366" s="284"/>
      <c r="GCF366" s="656"/>
      <c r="GCG366" s="286"/>
      <c r="GCH366" s="287"/>
      <c r="GCI366" s="296"/>
      <c r="GCJ366" s="266"/>
      <c r="GCK366" s="649"/>
      <c r="GCL366" s="326"/>
      <c r="GCM366" s="655"/>
      <c r="GCN366" s="284"/>
      <c r="GCO366" s="656"/>
      <c r="GCP366" s="286"/>
      <c r="GCQ366" s="287"/>
      <c r="GCR366" s="296"/>
      <c r="GCS366" s="266"/>
      <c r="GCT366" s="649"/>
      <c r="GCU366" s="326"/>
      <c r="GCV366" s="655"/>
      <c r="GCW366" s="284"/>
      <c r="GCX366" s="656"/>
      <c r="GCY366" s="286"/>
      <c r="GCZ366" s="287"/>
      <c r="GDA366" s="296"/>
      <c r="GDB366" s="266"/>
      <c r="GDC366" s="649"/>
      <c r="GDD366" s="326"/>
      <c r="GDE366" s="655"/>
      <c r="GDF366" s="284"/>
      <c r="GDG366" s="656"/>
      <c r="GDH366" s="286"/>
      <c r="GDI366" s="287"/>
      <c r="GDJ366" s="296"/>
      <c r="GDK366" s="266"/>
      <c r="GDL366" s="649"/>
      <c r="GDM366" s="326"/>
      <c r="GDN366" s="655"/>
      <c r="GDO366" s="284"/>
      <c r="GDP366" s="656"/>
      <c r="GDQ366" s="286"/>
      <c r="GDR366" s="287"/>
      <c r="GDS366" s="296"/>
      <c r="GDT366" s="266"/>
      <c r="GDU366" s="649"/>
      <c r="GDV366" s="326"/>
      <c r="GDW366" s="655"/>
      <c r="GDX366" s="284"/>
      <c r="GDY366" s="656"/>
      <c r="GDZ366" s="286"/>
      <c r="GEA366" s="287"/>
      <c r="GEB366" s="296"/>
      <c r="GEC366" s="266"/>
      <c r="GED366" s="649"/>
      <c r="GEE366" s="326"/>
      <c r="GEF366" s="655"/>
      <c r="GEG366" s="284"/>
      <c r="GEH366" s="656"/>
      <c r="GEI366" s="286"/>
      <c r="GEJ366" s="287"/>
      <c r="GEK366" s="296"/>
      <c r="GEL366" s="266"/>
      <c r="GEM366" s="649"/>
      <c r="GEN366" s="326"/>
      <c r="GEO366" s="655"/>
      <c r="GEP366" s="284"/>
      <c r="GEQ366" s="656"/>
      <c r="GER366" s="286"/>
      <c r="GES366" s="287"/>
      <c r="GET366" s="296"/>
      <c r="GEU366" s="266"/>
      <c r="GEV366" s="649"/>
      <c r="GEW366" s="326"/>
      <c r="GEX366" s="655"/>
      <c r="GEY366" s="284"/>
      <c r="GEZ366" s="656"/>
      <c r="GFA366" s="286"/>
      <c r="GFB366" s="287"/>
      <c r="GFC366" s="296"/>
      <c r="GFD366" s="266"/>
      <c r="GFE366" s="649"/>
      <c r="GFF366" s="326"/>
      <c r="GFG366" s="655"/>
      <c r="GFH366" s="284"/>
      <c r="GFI366" s="656"/>
      <c r="GFJ366" s="286"/>
      <c r="GFK366" s="287"/>
      <c r="GFL366" s="296"/>
      <c r="GFM366" s="266"/>
      <c r="GFN366" s="649"/>
      <c r="GFO366" s="326"/>
      <c r="GFP366" s="655"/>
      <c r="GFQ366" s="284"/>
      <c r="GFR366" s="656"/>
      <c r="GFS366" s="286"/>
      <c r="GFT366" s="287"/>
      <c r="GFU366" s="296"/>
      <c r="GFV366" s="266"/>
      <c r="GFW366" s="649"/>
      <c r="GFX366" s="326"/>
      <c r="GFY366" s="655"/>
      <c r="GFZ366" s="284"/>
      <c r="GGA366" s="656"/>
      <c r="GGB366" s="286"/>
      <c r="GGC366" s="287"/>
      <c r="GGD366" s="296"/>
      <c r="GGE366" s="266"/>
      <c r="GGF366" s="649"/>
      <c r="GGG366" s="326"/>
      <c r="GGH366" s="655"/>
      <c r="GGI366" s="284"/>
      <c r="GGJ366" s="656"/>
      <c r="GGK366" s="286"/>
      <c r="GGL366" s="287"/>
      <c r="GGM366" s="296"/>
      <c r="GGN366" s="266"/>
      <c r="GGO366" s="649"/>
      <c r="GGP366" s="326"/>
      <c r="GGQ366" s="655"/>
      <c r="GGR366" s="284"/>
      <c r="GGS366" s="656"/>
      <c r="GGT366" s="286"/>
      <c r="GGU366" s="287"/>
      <c r="GGV366" s="296"/>
      <c r="GGW366" s="266"/>
      <c r="GGX366" s="649"/>
      <c r="GGY366" s="326"/>
      <c r="GGZ366" s="655"/>
      <c r="GHA366" s="284"/>
      <c r="GHB366" s="656"/>
      <c r="GHC366" s="286"/>
      <c r="GHD366" s="287"/>
      <c r="GHE366" s="296"/>
      <c r="GHF366" s="266"/>
      <c r="GHG366" s="649"/>
      <c r="GHH366" s="326"/>
      <c r="GHI366" s="655"/>
      <c r="GHJ366" s="284"/>
      <c r="GHK366" s="656"/>
      <c r="GHL366" s="286"/>
      <c r="GHM366" s="287"/>
      <c r="GHN366" s="296"/>
      <c r="GHO366" s="266"/>
      <c r="GHP366" s="649"/>
      <c r="GHQ366" s="326"/>
      <c r="GHR366" s="655"/>
      <c r="GHS366" s="284"/>
      <c r="GHT366" s="656"/>
      <c r="GHU366" s="286"/>
      <c r="GHV366" s="287"/>
      <c r="GHW366" s="296"/>
      <c r="GHX366" s="266"/>
      <c r="GHY366" s="649"/>
      <c r="GHZ366" s="326"/>
      <c r="GIA366" s="655"/>
      <c r="GIB366" s="284"/>
      <c r="GIC366" s="656"/>
      <c r="GID366" s="286"/>
      <c r="GIE366" s="287"/>
      <c r="GIF366" s="296"/>
      <c r="GIG366" s="266"/>
      <c r="GIH366" s="649"/>
      <c r="GII366" s="326"/>
      <c r="GIJ366" s="655"/>
      <c r="GIK366" s="284"/>
      <c r="GIL366" s="656"/>
      <c r="GIM366" s="286"/>
      <c r="GIN366" s="287"/>
      <c r="GIO366" s="296"/>
      <c r="GIP366" s="266"/>
      <c r="GIQ366" s="649"/>
      <c r="GIR366" s="326"/>
      <c r="GIS366" s="655"/>
      <c r="GIT366" s="284"/>
      <c r="GIU366" s="656"/>
      <c r="GIV366" s="286"/>
      <c r="GIW366" s="287"/>
      <c r="GIX366" s="296"/>
      <c r="GIY366" s="266"/>
      <c r="GIZ366" s="649"/>
      <c r="GJA366" s="326"/>
      <c r="GJB366" s="655"/>
      <c r="GJC366" s="284"/>
      <c r="GJD366" s="656"/>
      <c r="GJE366" s="286"/>
      <c r="GJF366" s="287"/>
      <c r="GJG366" s="296"/>
      <c r="GJH366" s="266"/>
      <c r="GJI366" s="649"/>
      <c r="GJJ366" s="326"/>
      <c r="GJK366" s="655"/>
      <c r="GJL366" s="284"/>
      <c r="GJM366" s="656"/>
      <c r="GJN366" s="286"/>
      <c r="GJO366" s="287"/>
      <c r="GJP366" s="296"/>
      <c r="GJQ366" s="266"/>
      <c r="GJR366" s="649"/>
      <c r="GJS366" s="326"/>
      <c r="GJT366" s="655"/>
      <c r="GJU366" s="284"/>
      <c r="GJV366" s="656"/>
      <c r="GJW366" s="286"/>
      <c r="GJX366" s="287"/>
      <c r="GJY366" s="296"/>
      <c r="GJZ366" s="266"/>
      <c r="GKA366" s="649"/>
      <c r="GKB366" s="326"/>
      <c r="GKC366" s="655"/>
      <c r="GKD366" s="284"/>
      <c r="GKE366" s="656"/>
      <c r="GKF366" s="286"/>
      <c r="GKG366" s="287"/>
      <c r="GKH366" s="296"/>
      <c r="GKI366" s="266"/>
      <c r="GKJ366" s="649"/>
      <c r="GKK366" s="326"/>
      <c r="GKL366" s="655"/>
      <c r="GKM366" s="284"/>
      <c r="GKN366" s="656"/>
      <c r="GKO366" s="286"/>
      <c r="GKP366" s="287"/>
      <c r="GKQ366" s="296"/>
      <c r="GKR366" s="266"/>
      <c r="GKS366" s="649"/>
      <c r="GKT366" s="326"/>
      <c r="GKU366" s="655"/>
      <c r="GKV366" s="284"/>
      <c r="GKW366" s="656"/>
      <c r="GKX366" s="286"/>
      <c r="GKY366" s="287"/>
      <c r="GKZ366" s="296"/>
      <c r="GLA366" s="266"/>
      <c r="GLB366" s="649"/>
      <c r="GLC366" s="326"/>
      <c r="GLD366" s="655"/>
      <c r="GLE366" s="284"/>
      <c r="GLF366" s="656"/>
      <c r="GLG366" s="286"/>
      <c r="GLH366" s="287"/>
      <c r="GLI366" s="296"/>
      <c r="GLJ366" s="266"/>
      <c r="GLK366" s="649"/>
      <c r="GLL366" s="326"/>
      <c r="GLM366" s="655"/>
      <c r="GLN366" s="284"/>
      <c r="GLO366" s="656"/>
      <c r="GLP366" s="286"/>
      <c r="GLQ366" s="287"/>
      <c r="GLR366" s="296"/>
      <c r="GLS366" s="266"/>
      <c r="GLT366" s="649"/>
      <c r="GLU366" s="326"/>
      <c r="GLV366" s="655"/>
      <c r="GLW366" s="284"/>
      <c r="GLX366" s="656"/>
      <c r="GLY366" s="286"/>
      <c r="GLZ366" s="287"/>
      <c r="GMA366" s="296"/>
      <c r="GMB366" s="266"/>
      <c r="GMC366" s="649"/>
      <c r="GMD366" s="326"/>
      <c r="GME366" s="655"/>
      <c r="GMF366" s="284"/>
      <c r="GMG366" s="656"/>
      <c r="GMH366" s="286"/>
      <c r="GMI366" s="287"/>
      <c r="GMJ366" s="296"/>
      <c r="GMK366" s="266"/>
      <c r="GML366" s="649"/>
      <c r="GMM366" s="326"/>
      <c r="GMN366" s="655"/>
      <c r="GMO366" s="284"/>
      <c r="GMP366" s="656"/>
      <c r="GMQ366" s="286"/>
      <c r="GMR366" s="287"/>
      <c r="GMS366" s="296"/>
      <c r="GMT366" s="266"/>
      <c r="GMU366" s="649"/>
      <c r="GMV366" s="326"/>
      <c r="GMW366" s="655"/>
      <c r="GMX366" s="284"/>
      <c r="GMY366" s="656"/>
      <c r="GMZ366" s="286"/>
      <c r="GNA366" s="287"/>
      <c r="GNB366" s="296"/>
      <c r="GNC366" s="266"/>
      <c r="GND366" s="649"/>
      <c r="GNE366" s="326"/>
      <c r="GNF366" s="655"/>
      <c r="GNG366" s="284"/>
      <c r="GNH366" s="656"/>
      <c r="GNI366" s="286"/>
      <c r="GNJ366" s="287"/>
      <c r="GNK366" s="296"/>
      <c r="GNL366" s="266"/>
      <c r="GNM366" s="649"/>
      <c r="GNN366" s="326"/>
      <c r="GNO366" s="655"/>
      <c r="GNP366" s="284"/>
      <c r="GNQ366" s="656"/>
      <c r="GNR366" s="286"/>
      <c r="GNS366" s="287"/>
      <c r="GNT366" s="296"/>
      <c r="GNU366" s="266"/>
      <c r="GNV366" s="649"/>
      <c r="GNW366" s="326"/>
      <c r="GNX366" s="655"/>
      <c r="GNY366" s="284"/>
      <c r="GNZ366" s="656"/>
      <c r="GOA366" s="286"/>
      <c r="GOB366" s="287"/>
      <c r="GOC366" s="296"/>
      <c r="GOD366" s="266"/>
      <c r="GOE366" s="649"/>
      <c r="GOF366" s="326"/>
      <c r="GOG366" s="655"/>
      <c r="GOH366" s="284"/>
      <c r="GOI366" s="656"/>
      <c r="GOJ366" s="286"/>
      <c r="GOK366" s="287"/>
      <c r="GOL366" s="296"/>
      <c r="GOM366" s="266"/>
      <c r="GON366" s="649"/>
      <c r="GOO366" s="326"/>
      <c r="GOP366" s="655"/>
      <c r="GOQ366" s="284"/>
      <c r="GOR366" s="656"/>
      <c r="GOS366" s="286"/>
      <c r="GOT366" s="287"/>
      <c r="GOU366" s="296"/>
      <c r="GOV366" s="266"/>
      <c r="GOW366" s="649"/>
      <c r="GOX366" s="326"/>
      <c r="GOY366" s="655"/>
      <c r="GOZ366" s="284"/>
      <c r="GPA366" s="656"/>
      <c r="GPB366" s="286"/>
      <c r="GPC366" s="287"/>
      <c r="GPD366" s="296"/>
      <c r="GPE366" s="266"/>
      <c r="GPF366" s="649"/>
      <c r="GPG366" s="326"/>
      <c r="GPH366" s="655"/>
      <c r="GPI366" s="284"/>
      <c r="GPJ366" s="656"/>
      <c r="GPK366" s="286"/>
      <c r="GPL366" s="287"/>
      <c r="GPM366" s="296"/>
      <c r="GPN366" s="266"/>
      <c r="GPO366" s="649"/>
      <c r="GPP366" s="326"/>
      <c r="GPQ366" s="655"/>
      <c r="GPR366" s="284"/>
      <c r="GPS366" s="656"/>
      <c r="GPT366" s="286"/>
      <c r="GPU366" s="287"/>
      <c r="GPV366" s="296"/>
      <c r="GPW366" s="266"/>
      <c r="GPX366" s="649"/>
      <c r="GPY366" s="326"/>
      <c r="GPZ366" s="655"/>
      <c r="GQA366" s="284"/>
      <c r="GQB366" s="656"/>
      <c r="GQC366" s="286"/>
      <c r="GQD366" s="287"/>
      <c r="GQE366" s="296"/>
      <c r="GQF366" s="266"/>
      <c r="GQG366" s="649"/>
      <c r="GQH366" s="326"/>
      <c r="GQI366" s="655"/>
      <c r="GQJ366" s="284"/>
      <c r="GQK366" s="656"/>
      <c r="GQL366" s="286"/>
      <c r="GQM366" s="287"/>
      <c r="GQN366" s="296"/>
      <c r="GQO366" s="266"/>
      <c r="GQP366" s="649"/>
      <c r="GQQ366" s="326"/>
      <c r="GQR366" s="655"/>
      <c r="GQS366" s="284"/>
      <c r="GQT366" s="656"/>
      <c r="GQU366" s="286"/>
      <c r="GQV366" s="287"/>
      <c r="GQW366" s="296"/>
      <c r="GQX366" s="266"/>
      <c r="GQY366" s="649"/>
      <c r="GQZ366" s="326"/>
      <c r="GRA366" s="655"/>
      <c r="GRB366" s="284"/>
      <c r="GRC366" s="656"/>
      <c r="GRD366" s="286"/>
      <c r="GRE366" s="287"/>
      <c r="GRF366" s="296"/>
      <c r="GRG366" s="266"/>
      <c r="GRH366" s="649"/>
      <c r="GRI366" s="326"/>
      <c r="GRJ366" s="655"/>
      <c r="GRK366" s="284"/>
      <c r="GRL366" s="656"/>
      <c r="GRM366" s="286"/>
      <c r="GRN366" s="287"/>
      <c r="GRO366" s="296"/>
      <c r="GRP366" s="266"/>
      <c r="GRQ366" s="649"/>
      <c r="GRR366" s="326"/>
      <c r="GRS366" s="655"/>
      <c r="GRT366" s="284"/>
      <c r="GRU366" s="656"/>
      <c r="GRV366" s="286"/>
      <c r="GRW366" s="287"/>
      <c r="GRX366" s="296"/>
      <c r="GRY366" s="266"/>
      <c r="GRZ366" s="649"/>
      <c r="GSA366" s="326"/>
      <c r="GSB366" s="655"/>
      <c r="GSC366" s="284"/>
      <c r="GSD366" s="656"/>
      <c r="GSE366" s="286"/>
      <c r="GSF366" s="287"/>
      <c r="GSG366" s="296"/>
      <c r="GSH366" s="266"/>
      <c r="GSI366" s="649"/>
      <c r="GSJ366" s="326"/>
      <c r="GSK366" s="655"/>
      <c r="GSL366" s="284"/>
      <c r="GSM366" s="656"/>
      <c r="GSN366" s="286"/>
      <c r="GSO366" s="287"/>
      <c r="GSP366" s="296"/>
      <c r="GSQ366" s="266"/>
      <c r="GSR366" s="649"/>
      <c r="GSS366" s="326"/>
      <c r="GST366" s="655"/>
      <c r="GSU366" s="284"/>
      <c r="GSV366" s="656"/>
      <c r="GSW366" s="286"/>
      <c r="GSX366" s="287"/>
      <c r="GSY366" s="296"/>
      <c r="GSZ366" s="266"/>
      <c r="GTA366" s="649"/>
      <c r="GTB366" s="326"/>
      <c r="GTC366" s="655"/>
      <c r="GTD366" s="284"/>
      <c r="GTE366" s="656"/>
      <c r="GTF366" s="286"/>
      <c r="GTG366" s="287"/>
      <c r="GTH366" s="296"/>
      <c r="GTI366" s="266"/>
      <c r="GTJ366" s="649"/>
      <c r="GTK366" s="326"/>
      <c r="GTL366" s="655"/>
      <c r="GTM366" s="284"/>
      <c r="GTN366" s="656"/>
      <c r="GTO366" s="286"/>
      <c r="GTP366" s="287"/>
      <c r="GTQ366" s="296"/>
      <c r="GTR366" s="266"/>
      <c r="GTS366" s="649"/>
      <c r="GTT366" s="326"/>
      <c r="GTU366" s="655"/>
      <c r="GTV366" s="284"/>
      <c r="GTW366" s="656"/>
      <c r="GTX366" s="286"/>
      <c r="GTY366" s="287"/>
      <c r="GTZ366" s="296"/>
      <c r="GUA366" s="266"/>
      <c r="GUB366" s="649"/>
      <c r="GUC366" s="326"/>
      <c r="GUD366" s="655"/>
      <c r="GUE366" s="284"/>
      <c r="GUF366" s="656"/>
      <c r="GUG366" s="286"/>
      <c r="GUH366" s="287"/>
      <c r="GUI366" s="296"/>
      <c r="GUJ366" s="266"/>
      <c r="GUK366" s="649"/>
      <c r="GUL366" s="326"/>
      <c r="GUM366" s="655"/>
      <c r="GUN366" s="284"/>
      <c r="GUO366" s="656"/>
      <c r="GUP366" s="286"/>
      <c r="GUQ366" s="287"/>
      <c r="GUR366" s="296"/>
      <c r="GUS366" s="266"/>
      <c r="GUT366" s="649"/>
      <c r="GUU366" s="326"/>
      <c r="GUV366" s="655"/>
      <c r="GUW366" s="284"/>
      <c r="GUX366" s="656"/>
      <c r="GUY366" s="286"/>
      <c r="GUZ366" s="287"/>
      <c r="GVA366" s="296"/>
      <c r="GVB366" s="266"/>
      <c r="GVC366" s="649"/>
      <c r="GVD366" s="326"/>
      <c r="GVE366" s="655"/>
      <c r="GVF366" s="284"/>
      <c r="GVG366" s="656"/>
      <c r="GVH366" s="286"/>
      <c r="GVI366" s="287"/>
      <c r="GVJ366" s="296"/>
      <c r="GVK366" s="266"/>
      <c r="GVL366" s="649"/>
      <c r="GVM366" s="326"/>
      <c r="GVN366" s="655"/>
      <c r="GVO366" s="284"/>
      <c r="GVP366" s="656"/>
      <c r="GVQ366" s="286"/>
      <c r="GVR366" s="287"/>
      <c r="GVS366" s="296"/>
      <c r="GVT366" s="266"/>
      <c r="GVU366" s="649"/>
      <c r="GVV366" s="326"/>
      <c r="GVW366" s="655"/>
      <c r="GVX366" s="284"/>
      <c r="GVY366" s="656"/>
      <c r="GVZ366" s="286"/>
      <c r="GWA366" s="287"/>
      <c r="GWB366" s="296"/>
      <c r="GWC366" s="266"/>
      <c r="GWD366" s="649"/>
      <c r="GWE366" s="326"/>
      <c r="GWF366" s="655"/>
      <c r="GWG366" s="284"/>
      <c r="GWH366" s="656"/>
      <c r="GWI366" s="286"/>
      <c r="GWJ366" s="287"/>
      <c r="GWK366" s="296"/>
      <c r="GWL366" s="266"/>
      <c r="GWM366" s="649"/>
      <c r="GWN366" s="326"/>
      <c r="GWO366" s="655"/>
      <c r="GWP366" s="284"/>
      <c r="GWQ366" s="656"/>
      <c r="GWR366" s="286"/>
      <c r="GWS366" s="287"/>
      <c r="GWT366" s="296"/>
      <c r="GWU366" s="266"/>
      <c r="GWV366" s="649"/>
      <c r="GWW366" s="326"/>
      <c r="GWX366" s="655"/>
      <c r="GWY366" s="284"/>
      <c r="GWZ366" s="656"/>
      <c r="GXA366" s="286"/>
      <c r="GXB366" s="287"/>
      <c r="GXC366" s="296"/>
      <c r="GXD366" s="266"/>
      <c r="GXE366" s="649"/>
      <c r="GXF366" s="326"/>
      <c r="GXG366" s="655"/>
      <c r="GXH366" s="284"/>
      <c r="GXI366" s="656"/>
      <c r="GXJ366" s="286"/>
      <c r="GXK366" s="287"/>
      <c r="GXL366" s="296"/>
      <c r="GXM366" s="266"/>
      <c r="GXN366" s="649"/>
      <c r="GXO366" s="326"/>
      <c r="GXP366" s="655"/>
      <c r="GXQ366" s="284"/>
      <c r="GXR366" s="656"/>
      <c r="GXS366" s="286"/>
      <c r="GXT366" s="287"/>
      <c r="GXU366" s="296"/>
      <c r="GXV366" s="266"/>
      <c r="GXW366" s="649"/>
      <c r="GXX366" s="326"/>
      <c r="GXY366" s="655"/>
      <c r="GXZ366" s="284"/>
      <c r="GYA366" s="656"/>
      <c r="GYB366" s="286"/>
      <c r="GYC366" s="287"/>
      <c r="GYD366" s="296"/>
      <c r="GYE366" s="266"/>
      <c r="GYF366" s="649"/>
      <c r="GYG366" s="326"/>
      <c r="GYH366" s="655"/>
      <c r="GYI366" s="284"/>
      <c r="GYJ366" s="656"/>
      <c r="GYK366" s="286"/>
      <c r="GYL366" s="287"/>
      <c r="GYM366" s="296"/>
      <c r="GYN366" s="266"/>
      <c r="GYO366" s="649"/>
      <c r="GYP366" s="326"/>
      <c r="GYQ366" s="655"/>
      <c r="GYR366" s="284"/>
      <c r="GYS366" s="656"/>
      <c r="GYT366" s="286"/>
      <c r="GYU366" s="287"/>
      <c r="GYV366" s="296"/>
      <c r="GYW366" s="266"/>
      <c r="GYX366" s="649"/>
      <c r="GYY366" s="326"/>
      <c r="GYZ366" s="655"/>
      <c r="GZA366" s="284"/>
      <c r="GZB366" s="656"/>
      <c r="GZC366" s="286"/>
      <c r="GZD366" s="287"/>
      <c r="GZE366" s="296"/>
      <c r="GZF366" s="266"/>
      <c r="GZG366" s="649"/>
      <c r="GZH366" s="326"/>
      <c r="GZI366" s="655"/>
      <c r="GZJ366" s="284"/>
      <c r="GZK366" s="656"/>
      <c r="GZL366" s="286"/>
      <c r="GZM366" s="287"/>
      <c r="GZN366" s="296"/>
      <c r="GZO366" s="266"/>
      <c r="GZP366" s="649"/>
      <c r="GZQ366" s="326"/>
      <c r="GZR366" s="655"/>
      <c r="GZS366" s="284"/>
      <c r="GZT366" s="656"/>
      <c r="GZU366" s="286"/>
      <c r="GZV366" s="287"/>
      <c r="GZW366" s="296"/>
      <c r="GZX366" s="266"/>
      <c r="GZY366" s="649"/>
      <c r="GZZ366" s="326"/>
      <c r="HAA366" s="655"/>
      <c r="HAB366" s="284"/>
      <c r="HAC366" s="656"/>
      <c r="HAD366" s="286"/>
      <c r="HAE366" s="287"/>
      <c r="HAF366" s="296"/>
      <c r="HAG366" s="266"/>
      <c r="HAH366" s="649"/>
      <c r="HAI366" s="326"/>
      <c r="HAJ366" s="655"/>
      <c r="HAK366" s="284"/>
      <c r="HAL366" s="656"/>
      <c r="HAM366" s="286"/>
      <c r="HAN366" s="287"/>
      <c r="HAO366" s="296"/>
      <c r="HAP366" s="266"/>
      <c r="HAQ366" s="649"/>
      <c r="HAR366" s="326"/>
      <c r="HAS366" s="655"/>
      <c r="HAT366" s="284"/>
      <c r="HAU366" s="656"/>
      <c r="HAV366" s="286"/>
      <c r="HAW366" s="287"/>
      <c r="HAX366" s="296"/>
      <c r="HAY366" s="266"/>
      <c r="HAZ366" s="649"/>
      <c r="HBA366" s="326"/>
      <c r="HBB366" s="655"/>
      <c r="HBC366" s="284"/>
      <c r="HBD366" s="656"/>
      <c r="HBE366" s="286"/>
      <c r="HBF366" s="287"/>
      <c r="HBG366" s="296"/>
      <c r="HBH366" s="266"/>
      <c r="HBI366" s="649"/>
      <c r="HBJ366" s="326"/>
      <c r="HBK366" s="655"/>
      <c r="HBL366" s="284"/>
      <c r="HBM366" s="656"/>
      <c r="HBN366" s="286"/>
      <c r="HBO366" s="287"/>
      <c r="HBP366" s="296"/>
      <c r="HBQ366" s="266"/>
      <c r="HBR366" s="649"/>
      <c r="HBS366" s="326"/>
      <c r="HBT366" s="655"/>
      <c r="HBU366" s="284"/>
      <c r="HBV366" s="656"/>
      <c r="HBW366" s="286"/>
      <c r="HBX366" s="287"/>
      <c r="HBY366" s="296"/>
      <c r="HBZ366" s="266"/>
      <c r="HCA366" s="649"/>
      <c r="HCB366" s="326"/>
      <c r="HCC366" s="655"/>
      <c r="HCD366" s="284"/>
      <c r="HCE366" s="656"/>
      <c r="HCF366" s="286"/>
      <c r="HCG366" s="287"/>
      <c r="HCH366" s="296"/>
      <c r="HCI366" s="266"/>
      <c r="HCJ366" s="649"/>
      <c r="HCK366" s="326"/>
      <c r="HCL366" s="655"/>
      <c r="HCM366" s="284"/>
      <c r="HCN366" s="656"/>
      <c r="HCO366" s="286"/>
      <c r="HCP366" s="287"/>
      <c r="HCQ366" s="296"/>
      <c r="HCR366" s="266"/>
      <c r="HCS366" s="649"/>
      <c r="HCT366" s="326"/>
      <c r="HCU366" s="655"/>
      <c r="HCV366" s="284"/>
      <c r="HCW366" s="656"/>
      <c r="HCX366" s="286"/>
      <c r="HCY366" s="287"/>
      <c r="HCZ366" s="296"/>
      <c r="HDA366" s="266"/>
      <c r="HDB366" s="649"/>
      <c r="HDC366" s="326"/>
      <c r="HDD366" s="655"/>
      <c r="HDE366" s="284"/>
      <c r="HDF366" s="656"/>
      <c r="HDG366" s="286"/>
      <c r="HDH366" s="287"/>
      <c r="HDI366" s="296"/>
      <c r="HDJ366" s="266"/>
      <c r="HDK366" s="649"/>
      <c r="HDL366" s="326"/>
      <c r="HDM366" s="655"/>
      <c r="HDN366" s="284"/>
      <c r="HDO366" s="656"/>
      <c r="HDP366" s="286"/>
      <c r="HDQ366" s="287"/>
      <c r="HDR366" s="296"/>
      <c r="HDS366" s="266"/>
      <c r="HDT366" s="649"/>
      <c r="HDU366" s="326"/>
      <c r="HDV366" s="655"/>
      <c r="HDW366" s="284"/>
      <c r="HDX366" s="656"/>
      <c r="HDY366" s="286"/>
      <c r="HDZ366" s="287"/>
      <c r="HEA366" s="296"/>
      <c r="HEB366" s="266"/>
      <c r="HEC366" s="649"/>
      <c r="HED366" s="326"/>
      <c r="HEE366" s="655"/>
      <c r="HEF366" s="284"/>
      <c r="HEG366" s="656"/>
      <c r="HEH366" s="286"/>
      <c r="HEI366" s="287"/>
      <c r="HEJ366" s="296"/>
      <c r="HEK366" s="266"/>
      <c r="HEL366" s="649"/>
      <c r="HEM366" s="326"/>
      <c r="HEN366" s="655"/>
      <c r="HEO366" s="284"/>
      <c r="HEP366" s="656"/>
      <c r="HEQ366" s="286"/>
      <c r="HER366" s="287"/>
      <c r="HES366" s="296"/>
      <c r="HET366" s="266"/>
      <c r="HEU366" s="649"/>
      <c r="HEV366" s="326"/>
      <c r="HEW366" s="655"/>
      <c r="HEX366" s="284"/>
      <c r="HEY366" s="656"/>
      <c r="HEZ366" s="286"/>
      <c r="HFA366" s="287"/>
      <c r="HFB366" s="296"/>
      <c r="HFC366" s="266"/>
      <c r="HFD366" s="649"/>
      <c r="HFE366" s="326"/>
      <c r="HFF366" s="655"/>
      <c r="HFG366" s="284"/>
      <c r="HFH366" s="656"/>
      <c r="HFI366" s="286"/>
      <c r="HFJ366" s="287"/>
      <c r="HFK366" s="296"/>
      <c r="HFL366" s="266"/>
      <c r="HFM366" s="649"/>
      <c r="HFN366" s="326"/>
      <c r="HFO366" s="655"/>
      <c r="HFP366" s="284"/>
      <c r="HFQ366" s="656"/>
      <c r="HFR366" s="286"/>
      <c r="HFS366" s="287"/>
      <c r="HFT366" s="296"/>
      <c r="HFU366" s="266"/>
      <c r="HFV366" s="649"/>
      <c r="HFW366" s="326"/>
      <c r="HFX366" s="655"/>
      <c r="HFY366" s="284"/>
      <c r="HFZ366" s="656"/>
      <c r="HGA366" s="286"/>
      <c r="HGB366" s="287"/>
      <c r="HGC366" s="296"/>
      <c r="HGD366" s="266"/>
      <c r="HGE366" s="649"/>
      <c r="HGF366" s="326"/>
      <c r="HGG366" s="655"/>
      <c r="HGH366" s="284"/>
      <c r="HGI366" s="656"/>
      <c r="HGJ366" s="286"/>
      <c r="HGK366" s="287"/>
      <c r="HGL366" s="296"/>
      <c r="HGM366" s="266"/>
      <c r="HGN366" s="649"/>
      <c r="HGO366" s="326"/>
      <c r="HGP366" s="655"/>
      <c r="HGQ366" s="284"/>
      <c r="HGR366" s="656"/>
      <c r="HGS366" s="286"/>
      <c r="HGT366" s="287"/>
      <c r="HGU366" s="296"/>
      <c r="HGV366" s="266"/>
      <c r="HGW366" s="649"/>
      <c r="HGX366" s="326"/>
      <c r="HGY366" s="655"/>
      <c r="HGZ366" s="284"/>
      <c r="HHA366" s="656"/>
      <c r="HHB366" s="286"/>
      <c r="HHC366" s="287"/>
      <c r="HHD366" s="296"/>
      <c r="HHE366" s="266"/>
      <c r="HHF366" s="649"/>
      <c r="HHG366" s="326"/>
      <c r="HHH366" s="655"/>
      <c r="HHI366" s="284"/>
      <c r="HHJ366" s="656"/>
      <c r="HHK366" s="286"/>
      <c r="HHL366" s="287"/>
      <c r="HHM366" s="296"/>
      <c r="HHN366" s="266"/>
      <c r="HHO366" s="649"/>
      <c r="HHP366" s="326"/>
      <c r="HHQ366" s="655"/>
      <c r="HHR366" s="284"/>
      <c r="HHS366" s="656"/>
      <c r="HHT366" s="286"/>
      <c r="HHU366" s="287"/>
      <c r="HHV366" s="296"/>
      <c r="HHW366" s="266"/>
      <c r="HHX366" s="649"/>
      <c r="HHY366" s="326"/>
      <c r="HHZ366" s="655"/>
      <c r="HIA366" s="284"/>
      <c r="HIB366" s="656"/>
      <c r="HIC366" s="286"/>
      <c r="HID366" s="287"/>
      <c r="HIE366" s="296"/>
      <c r="HIF366" s="266"/>
      <c r="HIG366" s="649"/>
      <c r="HIH366" s="326"/>
      <c r="HII366" s="655"/>
      <c r="HIJ366" s="284"/>
      <c r="HIK366" s="656"/>
      <c r="HIL366" s="286"/>
      <c r="HIM366" s="287"/>
      <c r="HIN366" s="296"/>
      <c r="HIO366" s="266"/>
      <c r="HIP366" s="649"/>
      <c r="HIQ366" s="326"/>
      <c r="HIR366" s="655"/>
      <c r="HIS366" s="284"/>
      <c r="HIT366" s="656"/>
      <c r="HIU366" s="286"/>
      <c r="HIV366" s="287"/>
      <c r="HIW366" s="296"/>
      <c r="HIX366" s="266"/>
      <c r="HIY366" s="649"/>
      <c r="HIZ366" s="326"/>
      <c r="HJA366" s="655"/>
      <c r="HJB366" s="284"/>
      <c r="HJC366" s="656"/>
      <c r="HJD366" s="286"/>
      <c r="HJE366" s="287"/>
      <c r="HJF366" s="296"/>
      <c r="HJG366" s="266"/>
      <c r="HJH366" s="649"/>
      <c r="HJI366" s="326"/>
      <c r="HJJ366" s="655"/>
      <c r="HJK366" s="284"/>
      <c r="HJL366" s="656"/>
      <c r="HJM366" s="286"/>
      <c r="HJN366" s="287"/>
      <c r="HJO366" s="296"/>
      <c r="HJP366" s="266"/>
      <c r="HJQ366" s="649"/>
      <c r="HJR366" s="326"/>
      <c r="HJS366" s="655"/>
      <c r="HJT366" s="284"/>
      <c r="HJU366" s="656"/>
      <c r="HJV366" s="286"/>
      <c r="HJW366" s="287"/>
      <c r="HJX366" s="296"/>
      <c r="HJY366" s="266"/>
      <c r="HJZ366" s="649"/>
      <c r="HKA366" s="326"/>
      <c r="HKB366" s="655"/>
      <c r="HKC366" s="284"/>
      <c r="HKD366" s="656"/>
      <c r="HKE366" s="286"/>
      <c r="HKF366" s="287"/>
      <c r="HKG366" s="296"/>
      <c r="HKH366" s="266"/>
      <c r="HKI366" s="649"/>
      <c r="HKJ366" s="326"/>
      <c r="HKK366" s="655"/>
      <c r="HKL366" s="284"/>
      <c r="HKM366" s="656"/>
      <c r="HKN366" s="286"/>
      <c r="HKO366" s="287"/>
      <c r="HKP366" s="296"/>
      <c r="HKQ366" s="266"/>
      <c r="HKR366" s="649"/>
      <c r="HKS366" s="326"/>
      <c r="HKT366" s="655"/>
      <c r="HKU366" s="284"/>
      <c r="HKV366" s="656"/>
      <c r="HKW366" s="286"/>
      <c r="HKX366" s="287"/>
      <c r="HKY366" s="296"/>
      <c r="HKZ366" s="266"/>
      <c r="HLA366" s="649"/>
      <c r="HLB366" s="326"/>
      <c r="HLC366" s="655"/>
      <c r="HLD366" s="284"/>
      <c r="HLE366" s="656"/>
      <c r="HLF366" s="286"/>
      <c r="HLG366" s="287"/>
      <c r="HLH366" s="296"/>
      <c r="HLI366" s="266"/>
      <c r="HLJ366" s="649"/>
      <c r="HLK366" s="326"/>
      <c r="HLL366" s="655"/>
      <c r="HLM366" s="284"/>
      <c r="HLN366" s="656"/>
      <c r="HLO366" s="286"/>
      <c r="HLP366" s="287"/>
      <c r="HLQ366" s="296"/>
      <c r="HLR366" s="266"/>
      <c r="HLS366" s="649"/>
      <c r="HLT366" s="326"/>
      <c r="HLU366" s="655"/>
      <c r="HLV366" s="284"/>
      <c r="HLW366" s="656"/>
      <c r="HLX366" s="286"/>
      <c r="HLY366" s="287"/>
      <c r="HLZ366" s="296"/>
      <c r="HMA366" s="266"/>
      <c r="HMB366" s="649"/>
      <c r="HMC366" s="326"/>
      <c r="HMD366" s="655"/>
      <c r="HME366" s="284"/>
      <c r="HMF366" s="656"/>
      <c r="HMG366" s="286"/>
      <c r="HMH366" s="287"/>
      <c r="HMI366" s="296"/>
      <c r="HMJ366" s="266"/>
      <c r="HMK366" s="649"/>
      <c r="HML366" s="326"/>
      <c r="HMM366" s="655"/>
      <c r="HMN366" s="284"/>
      <c r="HMO366" s="656"/>
      <c r="HMP366" s="286"/>
      <c r="HMQ366" s="287"/>
      <c r="HMR366" s="296"/>
      <c r="HMS366" s="266"/>
      <c r="HMT366" s="649"/>
      <c r="HMU366" s="326"/>
      <c r="HMV366" s="655"/>
      <c r="HMW366" s="284"/>
      <c r="HMX366" s="656"/>
      <c r="HMY366" s="286"/>
      <c r="HMZ366" s="287"/>
      <c r="HNA366" s="296"/>
      <c r="HNB366" s="266"/>
      <c r="HNC366" s="649"/>
      <c r="HND366" s="326"/>
      <c r="HNE366" s="655"/>
      <c r="HNF366" s="284"/>
      <c r="HNG366" s="656"/>
      <c r="HNH366" s="286"/>
      <c r="HNI366" s="287"/>
      <c r="HNJ366" s="296"/>
      <c r="HNK366" s="266"/>
      <c r="HNL366" s="649"/>
      <c r="HNM366" s="326"/>
      <c r="HNN366" s="655"/>
      <c r="HNO366" s="284"/>
      <c r="HNP366" s="656"/>
      <c r="HNQ366" s="286"/>
      <c r="HNR366" s="287"/>
      <c r="HNS366" s="296"/>
      <c r="HNT366" s="266"/>
      <c r="HNU366" s="649"/>
      <c r="HNV366" s="326"/>
      <c r="HNW366" s="655"/>
      <c r="HNX366" s="284"/>
      <c r="HNY366" s="656"/>
      <c r="HNZ366" s="286"/>
      <c r="HOA366" s="287"/>
      <c r="HOB366" s="296"/>
      <c r="HOC366" s="266"/>
      <c r="HOD366" s="649"/>
      <c r="HOE366" s="326"/>
      <c r="HOF366" s="655"/>
      <c r="HOG366" s="284"/>
      <c r="HOH366" s="656"/>
      <c r="HOI366" s="286"/>
      <c r="HOJ366" s="287"/>
      <c r="HOK366" s="296"/>
      <c r="HOL366" s="266"/>
      <c r="HOM366" s="649"/>
      <c r="HON366" s="326"/>
      <c r="HOO366" s="655"/>
      <c r="HOP366" s="284"/>
      <c r="HOQ366" s="656"/>
      <c r="HOR366" s="286"/>
      <c r="HOS366" s="287"/>
      <c r="HOT366" s="296"/>
      <c r="HOU366" s="266"/>
      <c r="HOV366" s="649"/>
      <c r="HOW366" s="326"/>
      <c r="HOX366" s="655"/>
      <c r="HOY366" s="284"/>
      <c r="HOZ366" s="656"/>
      <c r="HPA366" s="286"/>
      <c r="HPB366" s="287"/>
      <c r="HPC366" s="296"/>
      <c r="HPD366" s="266"/>
      <c r="HPE366" s="649"/>
      <c r="HPF366" s="326"/>
      <c r="HPG366" s="655"/>
      <c r="HPH366" s="284"/>
      <c r="HPI366" s="656"/>
      <c r="HPJ366" s="286"/>
      <c r="HPK366" s="287"/>
      <c r="HPL366" s="296"/>
      <c r="HPM366" s="266"/>
      <c r="HPN366" s="649"/>
      <c r="HPO366" s="326"/>
      <c r="HPP366" s="655"/>
      <c r="HPQ366" s="284"/>
      <c r="HPR366" s="656"/>
      <c r="HPS366" s="286"/>
      <c r="HPT366" s="287"/>
      <c r="HPU366" s="296"/>
      <c r="HPV366" s="266"/>
      <c r="HPW366" s="649"/>
      <c r="HPX366" s="326"/>
      <c r="HPY366" s="655"/>
      <c r="HPZ366" s="284"/>
      <c r="HQA366" s="656"/>
      <c r="HQB366" s="286"/>
      <c r="HQC366" s="287"/>
      <c r="HQD366" s="296"/>
      <c r="HQE366" s="266"/>
      <c r="HQF366" s="649"/>
      <c r="HQG366" s="326"/>
      <c r="HQH366" s="655"/>
      <c r="HQI366" s="284"/>
      <c r="HQJ366" s="656"/>
      <c r="HQK366" s="286"/>
      <c r="HQL366" s="287"/>
      <c r="HQM366" s="296"/>
      <c r="HQN366" s="266"/>
      <c r="HQO366" s="649"/>
      <c r="HQP366" s="326"/>
      <c r="HQQ366" s="655"/>
      <c r="HQR366" s="284"/>
      <c r="HQS366" s="656"/>
      <c r="HQT366" s="286"/>
      <c r="HQU366" s="287"/>
      <c r="HQV366" s="296"/>
      <c r="HQW366" s="266"/>
      <c r="HQX366" s="649"/>
      <c r="HQY366" s="326"/>
      <c r="HQZ366" s="655"/>
      <c r="HRA366" s="284"/>
      <c r="HRB366" s="656"/>
      <c r="HRC366" s="286"/>
      <c r="HRD366" s="287"/>
      <c r="HRE366" s="296"/>
      <c r="HRF366" s="266"/>
      <c r="HRG366" s="649"/>
      <c r="HRH366" s="326"/>
      <c r="HRI366" s="655"/>
      <c r="HRJ366" s="284"/>
      <c r="HRK366" s="656"/>
      <c r="HRL366" s="286"/>
      <c r="HRM366" s="287"/>
      <c r="HRN366" s="296"/>
      <c r="HRO366" s="266"/>
      <c r="HRP366" s="649"/>
      <c r="HRQ366" s="326"/>
      <c r="HRR366" s="655"/>
      <c r="HRS366" s="284"/>
      <c r="HRT366" s="656"/>
      <c r="HRU366" s="286"/>
      <c r="HRV366" s="287"/>
      <c r="HRW366" s="296"/>
      <c r="HRX366" s="266"/>
      <c r="HRY366" s="649"/>
      <c r="HRZ366" s="326"/>
      <c r="HSA366" s="655"/>
      <c r="HSB366" s="284"/>
      <c r="HSC366" s="656"/>
      <c r="HSD366" s="286"/>
      <c r="HSE366" s="287"/>
      <c r="HSF366" s="296"/>
      <c r="HSG366" s="266"/>
      <c r="HSH366" s="649"/>
      <c r="HSI366" s="326"/>
      <c r="HSJ366" s="655"/>
      <c r="HSK366" s="284"/>
      <c r="HSL366" s="656"/>
      <c r="HSM366" s="286"/>
      <c r="HSN366" s="287"/>
      <c r="HSO366" s="296"/>
      <c r="HSP366" s="266"/>
      <c r="HSQ366" s="649"/>
      <c r="HSR366" s="326"/>
      <c r="HSS366" s="655"/>
      <c r="HST366" s="284"/>
      <c r="HSU366" s="656"/>
      <c r="HSV366" s="286"/>
      <c r="HSW366" s="287"/>
      <c r="HSX366" s="296"/>
      <c r="HSY366" s="266"/>
      <c r="HSZ366" s="649"/>
      <c r="HTA366" s="326"/>
      <c r="HTB366" s="655"/>
      <c r="HTC366" s="284"/>
      <c r="HTD366" s="656"/>
      <c r="HTE366" s="286"/>
      <c r="HTF366" s="287"/>
      <c r="HTG366" s="296"/>
      <c r="HTH366" s="266"/>
      <c r="HTI366" s="649"/>
      <c r="HTJ366" s="326"/>
      <c r="HTK366" s="655"/>
      <c r="HTL366" s="284"/>
      <c r="HTM366" s="656"/>
      <c r="HTN366" s="286"/>
      <c r="HTO366" s="287"/>
      <c r="HTP366" s="296"/>
      <c r="HTQ366" s="266"/>
      <c r="HTR366" s="649"/>
      <c r="HTS366" s="326"/>
      <c r="HTT366" s="655"/>
      <c r="HTU366" s="284"/>
      <c r="HTV366" s="656"/>
      <c r="HTW366" s="286"/>
      <c r="HTX366" s="287"/>
      <c r="HTY366" s="296"/>
      <c r="HTZ366" s="266"/>
      <c r="HUA366" s="649"/>
      <c r="HUB366" s="326"/>
      <c r="HUC366" s="655"/>
      <c r="HUD366" s="284"/>
      <c r="HUE366" s="656"/>
      <c r="HUF366" s="286"/>
      <c r="HUG366" s="287"/>
      <c r="HUH366" s="296"/>
      <c r="HUI366" s="266"/>
      <c r="HUJ366" s="649"/>
      <c r="HUK366" s="326"/>
      <c r="HUL366" s="655"/>
      <c r="HUM366" s="284"/>
      <c r="HUN366" s="656"/>
      <c r="HUO366" s="286"/>
      <c r="HUP366" s="287"/>
      <c r="HUQ366" s="296"/>
      <c r="HUR366" s="266"/>
      <c r="HUS366" s="649"/>
      <c r="HUT366" s="326"/>
      <c r="HUU366" s="655"/>
      <c r="HUV366" s="284"/>
      <c r="HUW366" s="656"/>
      <c r="HUX366" s="286"/>
      <c r="HUY366" s="287"/>
      <c r="HUZ366" s="296"/>
      <c r="HVA366" s="266"/>
      <c r="HVB366" s="649"/>
      <c r="HVC366" s="326"/>
      <c r="HVD366" s="655"/>
      <c r="HVE366" s="284"/>
      <c r="HVF366" s="656"/>
      <c r="HVG366" s="286"/>
      <c r="HVH366" s="287"/>
      <c r="HVI366" s="296"/>
      <c r="HVJ366" s="266"/>
      <c r="HVK366" s="649"/>
      <c r="HVL366" s="326"/>
      <c r="HVM366" s="655"/>
      <c r="HVN366" s="284"/>
      <c r="HVO366" s="656"/>
      <c r="HVP366" s="286"/>
      <c r="HVQ366" s="287"/>
      <c r="HVR366" s="296"/>
      <c r="HVS366" s="266"/>
      <c r="HVT366" s="649"/>
      <c r="HVU366" s="326"/>
      <c r="HVV366" s="655"/>
      <c r="HVW366" s="284"/>
      <c r="HVX366" s="656"/>
      <c r="HVY366" s="286"/>
      <c r="HVZ366" s="287"/>
      <c r="HWA366" s="296"/>
      <c r="HWB366" s="266"/>
      <c r="HWC366" s="649"/>
      <c r="HWD366" s="326"/>
      <c r="HWE366" s="655"/>
      <c r="HWF366" s="284"/>
      <c r="HWG366" s="656"/>
      <c r="HWH366" s="286"/>
      <c r="HWI366" s="287"/>
      <c r="HWJ366" s="296"/>
      <c r="HWK366" s="266"/>
      <c r="HWL366" s="649"/>
      <c r="HWM366" s="326"/>
      <c r="HWN366" s="655"/>
      <c r="HWO366" s="284"/>
      <c r="HWP366" s="656"/>
      <c r="HWQ366" s="286"/>
      <c r="HWR366" s="287"/>
      <c r="HWS366" s="296"/>
      <c r="HWT366" s="266"/>
      <c r="HWU366" s="649"/>
      <c r="HWV366" s="326"/>
      <c r="HWW366" s="655"/>
      <c r="HWX366" s="284"/>
      <c r="HWY366" s="656"/>
      <c r="HWZ366" s="286"/>
      <c r="HXA366" s="287"/>
      <c r="HXB366" s="296"/>
      <c r="HXC366" s="266"/>
      <c r="HXD366" s="649"/>
      <c r="HXE366" s="326"/>
      <c r="HXF366" s="655"/>
      <c r="HXG366" s="284"/>
      <c r="HXH366" s="656"/>
      <c r="HXI366" s="286"/>
      <c r="HXJ366" s="287"/>
      <c r="HXK366" s="296"/>
      <c r="HXL366" s="266"/>
      <c r="HXM366" s="649"/>
      <c r="HXN366" s="326"/>
      <c r="HXO366" s="655"/>
      <c r="HXP366" s="284"/>
      <c r="HXQ366" s="656"/>
      <c r="HXR366" s="286"/>
      <c r="HXS366" s="287"/>
      <c r="HXT366" s="296"/>
      <c r="HXU366" s="266"/>
      <c r="HXV366" s="649"/>
      <c r="HXW366" s="326"/>
      <c r="HXX366" s="655"/>
      <c r="HXY366" s="284"/>
      <c r="HXZ366" s="656"/>
      <c r="HYA366" s="286"/>
      <c r="HYB366" s="287"/>
      <c r="HYC366" s="296"/>
      <c r="HYD366" s="266"/>
      <c r="HYE366" s="649"/>
      <c r="HYF366" s="326"/>
      <c r="HYG366" s="655"/>
      <c r="HYH366" s="284"/>
      <c r="HYI366" s="656"/>
      <c r="HYJ366" s="286"/>
      <c r="HYK366" s="287"/>
      <c r="HYL366" s="296"/>
      <c r="HYM366" s="266"/>
      <c r="HYN366" s="649"/>
      <c r="HYO366" s="326"/>
      <c r="HYP366" s="655"/>
      <c r="HYQ366" s="284"/>
      <c r="HYR366" s="656"/>
      <c r="HYS366" s="286"/>
      <c r="HYT366" s="287"/>
      <c r="HYU366" s="296"/>
      <c r="HYV366" s="266"/>
      <c r="HYW366" s="649"/>
      <c r="HYX366" s="326"/>
      <c r="HYY366" s="655"/>
      <c r="HYZ366" s="284"/>
      <c r="HZA366" s="656"/>
      <c r="HZB366" s="286"/>
      <c r="HZC366" s="287"/>
      <c r="HZD366" s="296"/>
      <c r="HZE366" s="266"/>
      <c r="HZF366" s="649"/>
      <c r="HZG366" s="326"/>
      <c r="HZH366" s="655"/>
      <c r="HZI366" s="284"/>
      <c r="HZJ366" s="656"/>
      <c r="HZK366" s="286"/>
      <c r="HZL366" s="287"/>
      <c r="HZM366" s="296"/>
      <c r="HZN366" s="266"/>
      <c r="HZO366" s="649"/>
      <c r="HZP366" s="326"/>
      <c r="HZQ366" s="655"/>
      <c r="HZR366" s="284"/>
      <c r="HZS366" s="656"/>
      <c r="HZT366" s="286"/>
      <c r="HZU366" s="287"/>
      <c r="HZV366" s="296"/>
      <c r="HZW366" s="266"/>
      <c r="HZX366" s="649"/>
      <c r="HZY366" s="326"/>
      <c r="HZZ366" s="655"/>
      <c r="IAA366" s="284"/>
      <c r="IAB366" s="656"/>
      <c r="IAC366" s="286"/>
      <c r="IAD366" s="287"/>
      <c r="IAE366" s="296"/>
      <c r="IAF366" s="266"/>
      <c r="IAG366" s="649"/>
      <c r="IAH366" s="326"/>
      <c r="IAI366" s="655"/>
      <c r="IAJ366" s="284"/>
      <c r="IAK366" s="656"/>
      <c r="IAL366" s="286"/>
      <c r="IAM366" s="287"/>
      <c r="IAN366" s="296"/>
      <c r="IAO366" s="266"/>
      <c r="IAP366" s="649"/>
      <c r="IAQ366" s="326"/>
      <c r="IAR366" s="655"/>
      <c r="IAS366" s="284"/>
      <c r="IAT366" s="656"/>
      <c r="IAU366" s="286"/>
      <c r="IAV366" s="287"/>
      <c r="IAW366" s="296"/>
      <c r="IAX366" s="266"/>
      <c r="IAY366" s="649"/>
      <c r="IAZ366" s="326"/>
      <c r="IBA366" s="655"/>
      <c r="IBB366" s="284"/>
      <c r="IBC366" s="656"/>
      <c r="IBD366" s="286"/>
      <c r="IBE366" s="287"/>
      <c r="IBF366" s="296"/>
      <c r="IBG366" s="266"/>
      <c r="IBH366" s="649"/>
      <c r="IBI366" s="326"/>
      <c r="IBJ366" s="655"/>
      <c r="IBK366" s="284"/>
      <c r="IBL366" s="656"/>
      <c r="IBM366" s="286"/>
      <c r="IBN366" s="287"/>
      <c r="IBO366" s="296"/>
      <c r="IBP366" s="266"/>
      <c r="IBQ366" s="649"/>
      <c r="IBR366" s="326"/>
      <c r="IBS366" s="655"/>
      <c r="IBT366" s="284"/>
      <c r="IBU366" s="656"/>
      <c r="IBV366" s="286"/>
      <c r="IBW366" s="287"/>
      <c r="IBX366" s="296"/>
      <c r="IBY366" s="266"/>
      <c r="IBZ366" s="649"/>
      <c r="ICA366" s="326"/>
      <c r="ICB366" s="655"/>
      <c r="ICC366" s="284"/>
      <c r="ICD366" s="656"/>
      <c r="ICE366" s="286"/>
      <c r="ICF366" s="287"/>
      <c r="ICG366" s="296"/>
      <c r="ICH366" s="266"/>
      <c r="ICI366" s="649"/>
      <c r="ICJ366" s="326"/>
      <c r="ICK366" s="655"/>
      <c r="ICL366" s="284"/>
      <c r="ICM366" s="656"/>
      <c r="ICN366" s="286"/>
      <c r="ICO366" s="287"/>
      <c r="ICP366" s="296"/>
      <c r="ICQ366" s="266"/>
      <c r="ICR366" s="649"/>
      <c r="ICS366" s="326"/>
      <c r="ICT366" s="655"/>
      <c r="ICU366" s="284"/>
      <c r="ICV366" s="656"/>
      <c r="ICW366" s="286"/>
      <c r="ICX366" s="287"/>
      <c r="ICY366" s="296"/>
      <c r="ICZ366" s="266"/>
      <c r="IDA366" s="649"/>
      <c r="IDB366" s="326"/>
      <c r="IDC366" s="655"/>
      <c r="IDD366" s="284"/>
      <c r="IDE366" s="656"/>
      <c r="IDF366" s="286"/>
      <c r="IDG366" s="287"/>
      <c r="IDH366" s="296"/>
      <c r="IDI366" s="266"/>
      <c r="IDJ366" s="649"/>
      <c r="IDK366" s="326"/>
      <c r="IDL366" s="655"/>
      <c r="IDM366" s="284"/>
      <c r="IDN366" s="656"/>
      <c r="IDO366" s="286"/>
      <c r="IDP366" s="287"/>
      <c r="IDQ366" s="296"/>
      <c r="IDR366" s="266"/>
      <c r="IDS366" s="649"/>
      <c r="IDT366" s="326"/>
      <c r="IDU366" s="655"/>
      <c r="IDV366" s="284"/>
      <c r="IDW366" s="656"/>
      <c r="IDX366" s="286"/>
      <c r="IDY366" s="287"/>
      <c r="IDZ366" s="296"/>
      <c r="IEA366" s="266"/>
      <c r="IEB366" s="649"/>
      <c r="IEC366" s="326"/>
      <c r="IED366" s="655"/>
      <c r="IEE366" s="284"/>
      <c r="IEF366" s="656"/>
      <c r="IEG366" s="286"/>
      <c r="IEH366" s="287"/>
      <c r="IEI366" s="296"/>
      <c r="IEJ366" s="266"/>
      <c r="IEK366" s="649"/>
      <c r="IEL366" s="326"/>
      <c r="IEM366" s="655"/>
      <c r="IEN366" s="284"/>
      <c r="IEO366" s="656"/>
      <c r="IEP366" s="286"/>
      <c r="IEQ366" s="287"/>
      <c r="IER366" s="296"/>
      <c r="IES366" s="266"/>
      <c r="IET366" s="649"/>
      <c r="IEU366" s="326"/>
      <c r="IEV366" s="655"/>
      <c r="IEW366" s="284"/>
      <c r="IEX366" s="656"/>
      <c r="IEY366" s="286"/>
      <c r="IEZ366" s="287"/>
      <c r="IFA366" s="296"/>
      <c r="IFB366" s="266"/>
      <c r="IFC366" s="649"/>
      <c r="IFD366" s="326"/>
      <c r="IFE366" s="655"/>
      <c r="IFF366" s="284"/>
      <c r="IFG366" s="656"/>
      <c r="IFH366" s="286"/>
      <c r="IFI366" s="287"/>
      <c r="IFJ366" s="296"/>
      <c r="IFK366" s="266"/>
      <c r="IFL366" s="649"/>
      <c r="IFM366" s="326"/>
      <c r="IFN366" s="655"/>
      <c r="IFO366" s="284"/>
      <c r="IFP366" s="656"/>
      <c r="IFQ366" s="286"/>
      <c r="IFR366" s="287"/>
      <c r="IFS366" s="296"/>
      <c r="IFT366" s="266"/>
      <c r="IFU366" s="649"/>
      <c r="IFV366" s="326"/>
      <c r="IFW366" s="655"/>
      <c r="IFX366" s="284"/>
      <c r="IFY366" s="656"/>
      <c r="IFZ366" s="286"/>
      <c r="IGA366" s="287"/>
      <c r="IGB366" s="296"/>
      <c r="IGC366" s="266"/>
      <c r="IGD366" s="649"/>
      <c r="IGE366" s="326"/>
      <c r="IGF366" s="655"/>
      <c r="IGG366" s="284"/>
      <c r="IGH366" s="656"/>
      <c r="IGI366" s="286"/>
      <c r="IGJ366" s="287"/>
      <c r="IGK366" s="296"/>
      <c r="IGL366" s="266"/>
      <c r="IGM366" s="649"/>
      <c r="IGN366" s="326"/>
      <c r="IGO366" s="655"/>
      <c r="IGP366" s="284"/>
      <c r="IGQ366" s="656"/>
      <c r="IGR366" s="286"/>
      <c r="IGS366" s="287"/>
      <c r="IGT366" s="296"/>
      <c r="IGU366" s="266"/>
      <c r="IGV366" s="649"/>
      <c r="IGW366" s="326"/>
      <c r="IGX366" s="655"/>
      <c r="IGY366" s="284"/>
      <c r="IGZ366" s="656"/>
      <c r="IHA366" s="286"/>
      <c r="IHB366" s="287"/>
      <c r="IHC366" s="296"/>
      <c r="IHD366" s="266"/>
      <c r="IHE366" s="649"/>
      <c r="IHF366" s="326"/>
      <c r="IHG366" s="655"/>
      <c r="IHH366" s="284"/>
      <c r="IHI366" s="656"/>
      <c r="IHJ366" s="286"/>
      <c r="IHK366" s="287"/>
      <c r="IHL366" s="296"/>
      <c r="IHM366" s="266"/>
      <c r="IHN366" s="649"/>
      <c r="IHO366" s="326"/>
      <c r="IHP366" s="655"/>
      <c r="IHQ366" s="284"/>
      <c r="IHR366" s="656"/>
      <c r="IHS366" s="286"/>
      <c r="IHT366" s="287"/>
      <c r="IHU366" s="296"/>
      <c r="IHV366" s="266"/>
      <c r="IHW366" s="649"/>
      <c r="IHX366" s="326"/>
      <c r="IHY366" s="655"/>
      <c r="IHZ366" s="284"/>
      <c r="IIA366" s="656"/>
      <c r="IIB366" s="286"/>
      <c r="IIC366" s="287"/>
      <c r="IID366" s="296"/>
      <c r="IIE366" s="266"/>
      <c r="IIF366" s="649"/>
      <c r="IIG366" s="326"/>
      <c r="IIH366" s="655"/>
      <c r="III366" s="284"/>
      <c r="IIJ366" s="656"/>
      <c r="IIK366" s="286"/>
      <c r="IIL366" s="287"/>
      <c r="IIM366" s="296"/>
      <c r="IIN366" s="266"/>
      <c r="IIO366" s="649"/>
      <c r="IIP366" s="326"/>
      <c r="IIQ366" s="655"/>
      <c r="IIR366" s="284"/>
      <c r="IIS366" s="656"/>
      <c r="IIT366" s="286"/>
      <c r="IIU366" s="287"/>
      <c r="IIV366" s="296"/>
      <c r="IIW366" s="266"/>
      <c r="IIX366" s="649"/>
      <c r="IIY366" s="326"/>
      <c r="IIZ366" s="655"/>
      <c r="IJA366" s="284"/>
      <c r="IJB366" s="656"/>
      <c r="IJC366" s="286"/>
      <c r="IJD366" s="287"/>
      <c r="IJE366" s="296"/>
      <c r="IJF366" s="266"/>
      <c r="IJG366" s="649"/>
      <c r="IJH366" s="326"/>
      <c r="IJI366" s="655"/>
      <c r="IJJ366" s="284"/>
      <c r="IJK366" s="656"/>
      <c r="IJL366" s="286"/>
      <c r="IJM366" s="287"/>
      <c r="IJN366" s="296"/>
      <c r="IJO366" s="266"/>
      <c r="IJP366" s="649"/>
      <c r="IJQ366" s="326"/>
      <c r="IJR366" s="655"/>
      <c r="IJS366" s="284"/>
      <c r="IJT366" s="656"/>
      <c r="IJU366" s="286"/>
      <c r="IJV366" s="287"/>
      <c r="IJW366" s="296"/>
      <c r="IJX366" s="266"/>
      <c r="IJY366" s="649"/>
      <c r="IJZ366" s="326"/>
      <c r="IKA366" s="655"/>
      <c r="IKB366" s="284"/>
      <c r="IKC366" s="656"/>
      <c r="IKD366" s="286"/>
      <c r="IKE366" s="287"/>
      <c r="IKF366" s="296"/>
      <c r="IKG366" s="266"/>
      <c r="IKH366" s="649"/>
      <c r="IKI366" s="326"/>
      <c r="IKJ366" s="655"/>
      <c r="IKK366" s="284"/>
      <c r="IKL366" s="656"/>
      <c r="IKM366" s="286"/>
      <c r="IKN366" s="287"/>
      <c r="IKO366" s="296"/>
      <c r="IKP366" s="266"/>
      <c r="IKQ366" s="649"/>
      <c r="IKR366" s="326"/>
      <c r="IKS366" s="655"/>
      <c r="IKT366" s="284"/>
      <c r="IKU366" s="656"/>
      <c r="IKV366" s="286"/>
      <c r="IKW366" s="287"/>
      <c r="IKX366" s="296"/>
      <c r="IKY366" s="266"/>
      <c r="IKZ366" s="649"/>
      <c r="ILA366" s="326"/>
      <c r="ILB366" s="655"/>
      <c r="ILC366" s="284"/>
      <c r="ILD366" s="656"/>
      <c r="ILE366" s="286"/>
      <c r="ILF366" s="287"/>
      <c r="ILG366" s="296"/>
      <c r="ILH366" s="266"/>
      <c r="ILI366" s="649"/>
      <c r="ILJ366" s="326"/>
      <c r="ILK366" s="655"/>
      <c r="ILL366" s="284"/>
      <c r="ILM366" s="656"/>
      <c r="ILN366" s="286"/>
      <c r="ILO366" s="287"/>
      <c r="ILP366" s="296"/>
      <c r="ILQ366" s="266"/>
      <c r="ILR366" s="649"/>
      <c r="ILS366" s="326"/>
      <c r="ILT366" s="655"/>
      <c r="ILU366" s="284"/>
      <c r="ILV366" s="656"/>
      <c r="ILW366" s="286"/>
      <c r="ILX366" s="287"/>
      <c r="ILY366" s="296"/>
      <c r="ILZ366" s="266"/>
      <c r="IMA366" s="649"/>
      <c r="IMB366" s="326"/>
      <c r="IMC366" s="655"/>
      <c r="IMD366" s="284"/>
      <c r="IME366" s="656"/>
      <c r="IMF366" s="286"/>
      <c r="IMG366" s="287"/>
      <c r="IMH366" s="296"/>
      <c r="IMI366" s="266"/>
      <c r="IMJ366" s="649"/>
      <c r="IMK366" s="326"/>
      <c r="IML366" s="655"/>
      <c r="IMM366" s="284"/>
      <c r="IMN366" s="656"/>
      <c r="IMO366" s="286"/>
      <c r="IMP366" s="287"/>
      <c r="IMQ366" s="296"/>
      <c r="IMR366" s="266"/>
      <c r="IMS366" s="649"/>
      <c r="IMT366" s="326"/>
      <c r="IMU366" s="655"/>
      <c r="IMV366" s="284"/>
      <c r="IMW366" s="656"/>
      <c r="IMX366" s="286"/>
      <c r="IMY366" s="287"/>
      <c r="IMZ366" s="296"/>
      <c r="INA366" s="266"/>
      <c r="INB366" s="649"/>
      <c r="INC366" s="326"/>
      <c r="IND366" s="655"/>
      <c r="INE366" s="284"/>
      <c r="INF366" s="656"/>
      <c r="ING366" s="286"/>
      <c r="INH366" s="287"/>
      <c r="INI366" s="296"/>
      <c r="INJ366" s="266"/>
      <c r="INK366" s="649"/>
      <c r="INL366" s="326"/>
      <c r="INM366" s="655"/>
      <c r="INN366" s="284"/>
      <c r="INO366" s="656"/>
      <c r="INP366" s="286"/>
      <c r="INQ366" s="287"/>
      <c r="INR366" s="296"/>
      <c r="INS366" s="266"/>
      <c r="INT366" s="649"/>
      <c r="INU366" s="326"/>
      <c r="INV366" s="655"/>
      <c r="INW366" s="284"/>
      <c r="INX366" s="656"/>
      <c r="INY366" s="286"/>
      <c r="INZ366" s="287"/>
      <c r="IOA366" s="296"/>
      <c r="IOB366" s="266"/>
      <c r="IOC366" s="649"/>
      <c r="IOD366" s="326"/>
      <c r="IOE366" s="655"/>
      <c r="IOF366" s="284"/>
      <c r="IOG366" s="656"/>
      <c r="IOH366" s="286"/>
      <c r="IOI366" s="287"/>
      <c r="IOJ366" s="296"/>
      <c r="IOK366" s="266"/>
      <c r="IOL366" s="649"/>
      <c r="IOM366" s="326"/>
      <c r="ION366" s="655"/>
      <c r="IOO366" s="284"/>
      <c r="IOP366" s="656"/>
      <c r="IOQ366" s="286"/>
      <c r="IOR366" s="287"/>
      <c r="IOS366" s="296"/>
      <c r="IOT366" s="266"/>
      <c r="IOU366" s="649"/>
      <c r="IOV366" s="326"/>
      <c r="IOW366" s="655"/>
      <c r="IOX366" s="284"/>
      <c r="IOY366" s="656"/>
      <c r="IOZ366" s="286"/>
      <c r="IPA366" s="287"/>
      <c r="IPB366" s="296"/>
      <c r="IPC366" s="266"/>
      <c r="IPD366" s="649"/>
      <c r="IPE366" s="326"/>
      <c r="IPF366" s="655"/>
      <c r="IPG366" s="284"/>
      <c r="IPH366" s="656"/>
      <c r="IPI366" s="286"/>
      <c r="IPJ366" s="287"/>
      <c r="IPK366" s="296"/>
      <c r="IPL366" s="266"/>
      <c r="IPM366" s="649"/>
      <c r="IPN366" s="326"/>
      <c r="IPO366" s="655"/>
      <c r="IPP366" s="284"/>
      <c r="IPQ366" s="656"/>
      <c r="IPR366" s="286"/>
      <c r="IPS366" s="287"/>
      <c r="IPT366" s="296"/>
      <c r="IPU366" s="266"/>
      <c r="IPV366" s="649"/>
      <c r="IPW366" s="326"/>
      <c r="IPX366" s="655"/>
      <c r="IPY366" s="284"/>
      <c r="IPZ366" s="656"/>
      <c r="IQA366" s="286"/>
      <c r="IQB366" s="287"/>
      <c r="IQC366" s="296"/>
      <c r="IQD366" s="266"/>
      <c r="IQE366" s="649"/>
      <c r="IQF366" s="326"/>
      <c r="IQG366" s="655"/>
      <c r="IQH366" s="284"/>
      <c r="IQI366" s="656"/>
      <c r="IQJ366" s="286"/>
      <c r="IQK366" s="287"/>
      <c r="IQL366" s="296"/>
      <c r="IQM366" s="266"/>
      <c r="IQN366" s="649"/>
      <c r="IQO366" s="326"/>
      <c r="IQP366" s="655"/>
      <c r="IQQ366" s="284"/>
      <c r="IQR366" s="656"/>
      <c r="IQS366" s="286"/>
      <c r="IQT366" s="287"/>
      <c r="IQU366" s="296"/>
      <c r="IQV366" s="266"/>
      <c r="IQW366" s="649"/>
      <c r="IQX366" s="326"/>
      <c r="IQY366" s="655"/>
      <c r="IQZ366" s="284"/>
      <c r="IRA366" s="656"/>
      <c r="IRB366" s="286"/>
      <c r="IRC366" s="287"/>
      <c r="IRD366" s="296"/>
      <c r="IRE366" s="266"/>
      <c r="IRF366" s="649"/>
      <c r="IRG366" s="326"/>
      <c r="IRH366" s="655"/>
      <c r="IRI366" s="284"/>
      <c r="IRJ366" s="656"/>
      <c r="IRK366" s="286"/>
      <c r="IRL366" s="287"/>
      <c r="IRM366" s="296"/>
      <c r="IRN366" s="266"/>
      <c r="IRO366" s="649"/>
      <c r="IRP366" s="326"/>
      <c r="IRQ366" s="655"/>
      <c r="IRR366" s="284"/>
      <c r="IRS366" s="656"/>
      <c r="IRT366" s="286"/>
      <c r="IRU366" s="287"/>
      <c r="IRV366" s="296"/>
      <c r="IRW366" s="266"/>
      <c r="IRX366" s="649"/>
      <c r="IRY366" s="326"/>
      <c r="IRZ366" s="655"/>
      <c r="ISA366" s="284"/>
      <c r="ISB366" s="656"/>
      <c r="ISC366" s="286"/>
      <c r="ISD366" s="287"/>
      <c r="ISE366" s="296"/>
      <c r="ISF366" s="266"/>
      <c r="ISG366" s="649"/>
      <c r="ISH366" s="326"/>
      <c r="ISI366" s="655"/>
      <c r="ISJ366" s="284"/>
      <c r="ISK366" s="656"/>
      <c r="ISL366" s="286"/>
      <c r="ISM366" s="287"/>
      <c r="ISN366" s="296"/>
      <c r="ISO366" s="266"/>
      <c r="ISP366" s="649"/>
      <c r="ISQ366" s="326"/>
      <c r="ISR366" s="655"/>
      <c r="ISS366" s="284"/>
      <c r="IST366" s="656"/>
      <c r="ISU366" s="286"/>
      <c r="ISV366" s="287"/>
      <c r="ISW366" s="296"/>
      <c r="ISX366" s="266"/>
      <c r="ISY366" s="649"/>
      <c r="ISZ366" s="326"/>
      <c r="ITA366" s="655"/>
      <c r="ITB366" s="284"/>
      <c r="ITC366" s="656"/>
      <c r="ITD366" s="286"/>
      <c r="ITE366" s="287"/>
      <c r="ITF366" s="296"/>
      <c r="ITG366" s="266"/>
      <c r="ITH366" s="649"/>
      <c r="ITI366" s="326"/>
      <c r="ITJ366" s="655"/>
      <c r="ITK366" s="284"/>
      <c r="ITL366" s="656"/>
      <c r="ITM366" s="286"/>
      <c r="ITN366" s="287"/>
      <c r="ITO366" s="296"/>
      <c r="ITP366" s="266"/>
      <c r="ITQ366" s="649"/>
      <c r="ITR366" s="326"/>
      <c r="ITS366" s="655"/>
      <c r="ITT366" s="284"/>
      <c r="ITU366" s="656"/>
      <c r="ITV366" s="286"/>
      <c r="ITW366" s="287"/>
      <c r="ITX366" s="296"/>
      <c r="ITY366" s="266"/>
      <c r="ITZ366" s="649"/>
      <c r="IUA366" s="326"/>
      <c r="IUB366" s="655"/>
      <c r="IUC366" s="284"/>
      <c r="IUD366" s="656"/>
      <c r="IUE366" s="286"/>
      <c r="IUF366" s="287"/>
      <c r="IUG366" s="296"/>
      <c r="IUH366" s="266"/>
      <c r="IUI366" s="649"/>
      <c r="IUJ366" s="326"/>
      <c r="IUK366" s="655"/>
      <c r="IUL366" s="284"/>
      <c r="IUM366" s="656"/>
      <c r="IUN366" s="286"/>
      <c r="IUO366" s="287"/>
      <c r="IUP366" s="296"/>
      <c r="IUQ366" s="266"/>
      <c r="IUR366" s="649"/>
      <c r="IUS366" s="326"/>
      <c r="IUT366" s="655"/>
      <c r="IUU366" s="284"/>
      <c r="IUV366" s="656"/>
      <c r="IUW366" s="286"/>
      <c r="IUX366" s="287"/>
      <c r="IUY366" s="296"/>
      <c r="IUZ366" s="266"/>
      <c r="IVA366" s="649"/>
      <c r="IVB366" s="326"/>
      <c r="IVC366" s="655"/>
      <c r="IVD366" s="284"/>
      <c r="IVE366" s="656"/>
      <c r="IVF366" s="286"/>
      <c r="IVG366" s="287"/>
      <c r="IVH366" s="296"/>
      <c r="IVI366" s="266"/>
      <c r="IVJ366" s="649"/>
      <c r="IVK366" s="326"/>
      <c r="IVL366" s="655"/>
      <c r="IVM366" s="284"/>
      <c r="IVN366" s="656"/>
      <c r="IVO366" s="286"/>
      <c r="IVP366" s="287"/>
      <c r="IVQ366" s="296"/>
      <c r="IVR366" s="266"/>
      <c r="IVS366" s="649"/>
      <c r="IVT366" s="326"/>
      <c r="IVU366" s="655"/>
      <c r="IVV366" s="284"/>
      <c r="IVW366" s="656"/>
      <c r="IVX366" s="286"/>
      <c r="IVY366" s="287"/>
      <c r="IVZ366" s="296"/>
      <c r="IWA366" s="266"/>
      <c r="IWB366" s="649"/>
      <c r="IWC366" s="326"/>
      <c r="IWD366" s="655"/>
      <c r="IWE366" s="284"/>
      <c r="IWF366" s="656"/>
      <c r="IWG366" s="286"/>
      <c r="IWH366" s="287"/>
      <c r="IWI366" s="296"/>
      <c r="IWJ366" s="266"/>
      <c r="IWK366" s="649"/>
      <c r="IWL366" s="326"/>
      <c r="IWM366" s="655"/>
      <c r="IWN366" s="284"/>
      <c r="IWO366" s="656"/>
      <c r="IWP366" s="286"/>
      <c r="IWQ366" s="287"/>
      <c r="IWR366" s="296"/>
      <c r="IWS366" s="266"/>
      <c r="IWT366" s="649"/>
      <c r="IWU366" s="326"/>
      <c r="IWV366" s="655"/>
      <c r="IWW366" s="284"/>
      <c r="IWX366" s="656"/>
      <c r="IWY366" s="286"/>
      <c r="IWZ366" s="287"/>
      <c r="IXA366" s="296"/>
      <c r="IXB366" s="266"/>
      <c r="IXC366" s="649"/>
      <c r="IXD366" s="326"/>
      <c r="IXE366" s="655"/>
      <c r="IXF366" s="284"/>
      <c r="IXG366" s="656"/>
      <c r="IXH366" s="286"/>
      <c r="IXI366" s="287"/>
      <c r="IXJ366" s="296"/>
      <c r="IXK366" s="266"/>
      <c r="IXL366" s="649"/>
      <c r="IXM366" s="326"/>
      <c r="IXN366" s="655"/>
      <c r="IXO366" s="284"/>
      <c r="IXP366" s="656"/>
      <c r="IXQ366" s="286"/>
      <c r="IXR366" s="287"/>
      <c r="IXS366" s="296"/>
      <c r="IXT366" s="266"/>
      <c r="IXU366" s="649"/>
      <c r="IXV366" s="326"/>
      <c r="IXW366" s="655"/>
      <c r="IXX366" s="284"/>
      <c r="IXY366" s="656"/>
      <c r="IXZ366" s="286"/>
      <c r="IYA366" s="287"/>
      <c r="IYB366" s="296"/>
      <c r="IYC366" s="266"/>
      <c r="IYD366" s="649"/>
      <c r="IYE366" s="326"/>
      <c r="IYF366" s="655"/>
      <c r="IYG366" s="284"/>
      <c r="IYH366" s="656"/>
      <c r="IYI366" s="286"/>
      <c r="IYJ366" s="287"/>
      <c r="IYK366" s="296"/>
      <c r="IYL366" s="266"/>
      <c r="IYM366" s="649"/>
      <c r="IYN366" s="326"/>
      <c r="IYO366" s="655"/>
      <c r="IYP366" s="284"/>
      <c r="IYQ366" s="656"/>
      <c r="IYR366" s="286"/>
      <c r="IYS366" s="287"/>
      <c r="IYT366" s="296"/>
      <c r="IYU366" s="266"/>
      <c r="IYV366" s="649"/>
      <c r="IYW366" s="326"/>
      <c r="IYX366" s="655"/>
      <c r="IYY366" s="284"/>
      <c r="IYZ366" s="656"/>
      <c r="IZA366" s="286"/>
      <c r="IZB366" s="287"/>
      <c r="IZC366" s="296"/>
      <c r="IZD366" s="266"/>
      <c r="IZE366" s="649"/>
      <c r="IZF366" s="326"/>
      <c r="IZG366" s="655"/>
      <c r="IZH366" s="284"/>
      <c r="IZI366" s="656"/>
      <c r="IZJ366" s="286"/>
      <c r="IZK366" s="287"/>
      <c r="IZL366" s="296"/>
      <c r="IZM366" s="266"/>
      <c r="IZN366" s="649"/>
      <c r="IZO366" s="326"/>
      <c r="IZP366" s="655"/>
      <c r="IZQ366" s="284"/>
      <c r="IZR366" s="656"/>
      <c r="IZS366" s="286"/>
      <c r="IZT366" s="287"/>
      <c r="IZU366" s="296"/>
      <c r="IZV366" s="266"/>
      <c r="IZW366" s="649"/>
      <c r="IZX366" s="326"/>
      <c r="IZY366" s="655"/>
      <c r="IZZ366" s="284"/>
      <c r="JAA366" s="656"/>
      <c r="JAB366" s="286"/>
      <c r="JAC366" s="287"/>
      <c r="JAD366" s="296"/>
      <c r="JAE366" s="266"/>
      <c r="JAF366" s="649"/>
      <c r="JAG366" s="326"/>
      <c r="JAH366" s="655"/>
      <c r="JAI366" s="284"/>
      <c r="JAJ366" s="656"/>
      <c r="JAK366" s="286"/>
      <c r="JAL366" s="287"/>
      <c r="JAM366" s="296"/>
      <c r="JAN366" s="266"/>
      <c r="JAO366" s="649"/>
      <c r="JAP366" s="326"/>
      <c r="JAQ366" s="655"/>
      <c r="JAR366" s="284"/>
      <c r="JAS366" s="656"/>
      <c r="JAT366" s="286"/>
      <c r="JAU366" s="287"/>
      <c r="JAV366" s="296"/>
      <c r="JAW366" s="266"/>
      <c r="JAX366" s="649"/>
      <c r="JAY366" s="326"/>
      <c r="JAZ366" s="655"/>
      <c r="JBA366" s="284"/>
      <c r="JBB366" s="656"/>
      <c r="JBC366" s="286"/>
      <c r="JBD366" s="287"/>
      <c r="JBE366" s="296"/>
      <c r="JBF366" s="266"/>
      <c r="JBG366" s="649"/>
      <c r="JBH366" s="326"/>
      <c r="JBI366" s="655"/>
      <c r="JBJ366" s="284"/>
      <c r="JBK366" s="656"/>
      <c r="JBL366" s="286"/>
      <c r="JBM366" s="287"/>
      <c r="JBN366" s="296"/>
      <c r="JBO366" s="266"/>
      <c r="JBP366" s="649"/>
      <c r="JBQ366" s="326"/>
      <c r="JBR366" s="655"/>
      <c r="JBS366" s="284"/>
      <c r="JBT366" s="656"/>
      <c r="JBU366" s="286"/>
      <c r="JBV366" s="287"/>
      <c r="JBW366" s="296"/>
      <c r="JBX366" s="266"/>
      <c r="JBY366" s="649"/>
      <c r="JBZ366" s="326"/>
      <c r="JCA366" s="655"/>
      <c r="JCB366" s="284"/>
      <c r="JCC366" s="656"/>
      <c r="JCD366" s="286"/>
      <c r="JCE366" s="287"/>
      <c r="JCF366" s="296"/>
      <c r="JCG366" s="266"/>
      <c r="JCH366" s="649"/>
      <c r="JCI366" s="326"/>
      <c r="JCJ366" s="655"/>
      <c r="JCK366" s="284"/>
      <c r="JCL366" s="656"/>
      <c r="JCM366" s="286"/>
      <c r="JCN366" s="287"/>
      <c r="JCO366" s="296"/>
      <c r="JCP366" s="266"/>
      <c r="JCQ366" s="649"/>
      <c r="JCR366" s="326"/>
      <c r="JCS366" s="655"/>
      <c r="JCT366" s="284"/>
      <c r="JCU366" s="656"/>
      <c r="JCV366" s="286"/>
      <c r="JCW366" s="287"/>
      <c r="JCX366" s="296"/>
      <c r="JCY366" s="266"/>
      <c r="JCZ366" s="649"/>
      <c r="JDA366" s="326"/>
      <c r="JDB366" s="655"/>
      <c r="JDC366" s="284"/>
      <c r="JDD366" s="656"/>
      <c r="JDE366" s="286"/>
      <c r="JDF366" s="287"/>
      <c r="JDG366" s="296"/>
      <c r="JDH366" s="266"/>
      <c r="JDI366" s="649"/>
      <c r="JDJ366" s="326"/>
      <c r="JDK366" s="655"/>
      <c r="JDL366" s="284"/>
      <c r="JDM366" s="656"/>
      <c r="JDN366" s="286"/>
      <c r="JDO366" s="287"/>
      <c r="JDP366" s="296"/>
      <c r="JDQ366" s="266"/>
      <c r="JDR366" s="649"/>
      <c r="JDS366" s="326"/>
      <c r="JDT366" s="655"/>
      <c r="JDU366" s="284"/>
      <c r="JDV366" s="656"/>
      <c r="JDW366" s="286"/>
      <c r="JDX366" s="287"/>
      <c r="JDY366" s="296"/>
      <c r="JDZ366" s="266"/>
      <c r="JEA366" s="649"/>
      <c r="JEB366" s="326"/>
      <c r="JEC366" s="655"/>
      <c r="JED366" s="284"/>
      <c r="JEE366" s="656"/>
      <c r="JEF366" s="286"/>
      <c r="JEG366" s="287"/>
      <c r="JEH366" s="296"/>
      <c r="JEI366" s="266"/>
      <c r="JEJ366" s="649"/>
      <c r="JEK366" s="326"/>
      <c r="JEL366" s="655"/>
      <c r="JEM366" s="284"/>
      <c r="JEN366" s="656"/>
      <c r="JEO366" s="286"/>
      <c r="JEP366" s="287"/>
      <c r="JEQ366" s="296"/>
      <c r="JER366" s="266"/>
      <c r="JES366" s="649"/>
      <c r="JET366" s="326"/>
      <c r="JEU366" s="655"/>
      <c r="JEV366" s="284"/>
      <c r="JEW366" s="656"/>
      <c r="JEX366" s="286"/>
      <c r="JEY366" s="287"/>
      <c r="JEZ366" s="296"/>
      <c r="JFA366" s="266"/>
      <c r="JFB366" s="649"/>
      <c r="JFC366" s="326"/>
      <c r="JFD366" s="655"/>
      <c r="JFE366" s="284"/>
      <c r="JFF366" s="656"/>
      <c r="JFG366" s="286"/>
      <c r="JFH366" s="287"/>
      <c r="JFI366" s="296"/>
      <c r="JFJ366" s="266"/>
      <c r="JFK366" s="649"/>
      <c r="JFL366" s="326"/>
      <c r="JFM366" s="655"/>
      <c r="JFN366" s="284"/>
      <c r="JFO366" s="656"/>
      <c r="JFP366" s="286"/>
      <c r="JFQ366" s="287"/>
      <c r="JFR366" s="296"/>
      <c r="JFS366" s="266"/>
      <c r="JFT366" s="649"/>
      <c r="JFU366" s="326"/>
      <c r="JFV366" s="655"/>
      <c r="JFW366" s="284"/>
      <c r="JFX366" s="656"/>
      <c r="JFY366" s="286"/>
      <c r="JFZ366" s="287"/>
      <c r="JGA366" s="296"/>
      <c r="JGB366" s="266"/>
      <c r="JGC366" s="649"/>
      <c r="JGD366" s="326"/>
      <c r="JGE366" s="655"/>
      <c r="JGF366" s="284"/>
      <c r="JGG366" s="656"/>
      <c r="JGH366" s="286"/>
      <c r="JGI366" s="287"/>
      <c r="JGJ366" s="296"/>
      <c r="JGK366" s="266"/>
      <c r="JGL366" s="649"/>
      <c r="JGM366" s="326"/>
      <c r="JGN366" s="655"/>
      <c r="JGO366" s="284"/>
      <c r="JGP366" s="656"/>
      <c r="JGQ366" s="286"/>
      <c r="JGR366" s="287"/>
      <c r="JGS366" s="296"/>
      <c r="JGT366" s="266"/>
      <c r="JGU366" s="649"/>
      <c r="JGV366" s="326"/>
      <c r="JGW366" s="655"/>
      <c r="JGX366" s="284"/>
      <c r="JGY366" s="656"/>
      <c r="JGZ366" s="286"/>
      <c r="JHA366" s="287"/>
      <c r="JHB366" s="296"/>
      <c r="JHC366" s="266"/>
      <c r="JHD366" s="649"/>
      <c r="JHE366" s="326"/>
      <c r="JHF366" s="655"/>
      <c r="JHG366" s="284"/>
      <c r="JHH366" s="656"/>
      <c r="JHI366" s="286"/>
      <c r="JHJ366" s="287"/>
      <c r="JHK366" s="296"/>
      <c r="JHL366" s="266"/>
      <c r="JHM366" s="649"/>
      <c r="JHN366" s="326"/>
      <c r="JHO366" s="655"/>
      <c r="JHP366" s="284"/>
      <c r="JHQ366" s="656"/>
      <c r="JHR366" s="286"/>
      <c r="JHS366" s="287"/>
      <c r="JHT366" s="296"/>
      <c r="JHU366" s="266"/>
      <c r="JHV366" s="649"/>
      <c r="JHW366" s="326"/>
      <c r="JHX366" s="655"/>
      <c r="JHY366" s="284"/>
      <c r="JHZ366" s="656"/>
      <c r="JIA366" s="286"/>
      <c r="JIB366" s="287"/>
      <c r="JIC366" s="296"/>
      <c r="JID366" s="266"/>
      <c r="JIE366" s="649"/>
      <c r="JIF366" s="326"/>
      <c r="JIG366" s="655"/>
      <c r="JIH366" s="284"/>
      <c r="JII366" s="656"/>
      <c r="JIJ366" s="286"/>
      <c r="JIK366" s="287"/>
      <c r="JIL366" s="296"/>
      <c r="JIM366" s="266"/>
      <c r="JIN366" s="649"/>
      <c r="JIO366" s="326"/>
      <c r="JIP366" s="655"/>
      <c r="JIQ366" s="284"/>
      <c r="JIR366" s="656"/>
      <c r="JIS366" s="286"/>
      <c r="JIT366" s="287"/>
      <c r="JIU366" s="296"/>
      <c r="JIV366" s="266"/>
      <c r="JIW366" s="649"/>
      <c r="JIX366" s="326"/>
      <c r="JIY366" s="655"/>
      <c r="JIZ366" s="284"/>
      <c r="JJA366" s="656"/>
      <c r="JJB366" s="286"/>
      <c r="JJC366" s="287"/>
      <c r="JJD366" s="296"/>
      <c r="JJE366" s="266"/>
      <c r="JJF366" s="649"/>
      <c r="JJG366" s="326"/>
      <c r="JJH366" s="655"/>
      <c r="JJI366" s="284"/>
      <c r="JJJ366" s="656"/>
      <c r="JJK366" s="286"/>
      <c r="JJL366" s="287"/>
      <c r="JJM366" s="296"/>
      <c r="JJN366" s="266"/>
      <c r="JJO366" s="649"/>
      <c r="JJP366" s="326"/>
      <c r="JJQ366" s="655"/>
      <c r="JJR366" s="284"/>
      <c r="JJS366" s="656"/>
      <c r="JJT366" s="286"/>
      <c r="JJU366" s="287"/>
      <c r="JJV366" s="296"/>
      <c r="JJW366" s="266"/>
      <c r="JJX366" s="649"/>
      <c r="JJY366" s="326"/>
      <c r="JJZ366" s="655"/>
      <c r="JKA366" s="284"/>
      <c r="JKB366" s="656"/>
      <c r="JKC366" s="286"/>
      <c r="JKD366" s="287"/>
      <c r="JKE366" s="296"/>
      <c r="JKF366" s="266"/>
      <c r="JKG366" s="649"/>
      <c r="JKH366" s="326"/>
      <c r="JKI366" s="655"/>
      <c r="JKJ366" s="284"/>
      <c r="JKK366" s="656"/>
      <c r="JKL366" s="286"/>
      <c r="JKM366" s="287"/>
      <c r="JKN366" s="296"/>
      <c r="JKO366" s="266"/>
      <c r="JKP366" s="649"/>
      <c r="JKQ366" s="326"/>
      <c r="JKR366" s="655"/>
      <c r="JKS366" s="284"/>
      <c r="JKT366" s="656"/>
      <c r="JKU366" s="286"/>
      <c r="JKV366" s="287"/>
      <c r="JKW366" s="296"/>
      <c r="JKX366" s="266"/>
      <c r="JKY366" s="649"/>
      <c r="JKZ366" s="326"/>
      <c r="JLA366" s="655"/>
      <c r="JLB366" s="284"/>
      <c r="JLC366" s="656"/>
      <c r="JLD366" s="286"/>
      <c r="JLE366" s="287"/>
      <c r="JLF366" s="296"/>
      <c r="JLG366" s="266"/>
      <c r="JLH366" s="649"/>
      <c r="JLI366" s="326"/>
      <c r="JLJ366" s="655"/>
      <c r="JLK366" s="284"/>
      <c r="JLL366" s="656"/>
      <c r="JLM366" s="286"/>
      <c r="JLN366" s="287"/>
      <c r="JLO366" s="296"/>
      <c r="JLP366" s="266"/>
      <c r="JLQ366" s="649"/>
      <c r="JLR366" s="326"/>
      <c r="JLS366" s="655"/>
      <c r="JLT366" s="284"/>
      <c r="JLU366" s="656"/>
      <c r="JLV366" s="286"/>
      <c r="JLW366" s="287"/>
      <c r="JLX366" s="296"/>
      <c r="JLY366" s="266"/>
      <c r="JLZ366" s="649"/>
      <c r="JMA366" s="326"/>
      <c r="JMB366" s="655"/>
      <c r="JMC366" s="284"/>
      <c r="JMD366" s="656"/>
      <c r="JME366" s="286"/>
      <c r="JMF366" s="287"/>
      <c r="JMG366" s="296"/>
      <c r="JMH366" s="266"/>
      <c r="JMI366" s="649"/>
      <c r="JMJ366" s="326"/>
      <c r="JMK366" s="655"/>
      <c r="JML366" s="284"/>
      <c r="JMM366" s="656"/>
      <c r="JMN366" s="286"/>
      <c r="JMO366" s="287"/>
      <c r="JMP366" s="296"/>
      <c r="JMQ366" s="266"/>
      <c r="JMR366" s="649"/>
      <c r="JMS366" s="326"/>
      <c r="JMT366" s="655"/>
      <c r="JMU366" s="284"/>
      <c r="JMV366" s="656"/>
      <c r="JMW366" s="286"/>
      <c r="JMX366" s="287"/>
      <c r="JMY366" s="296"/>
      <c r="JMZ366" s="266"/>
      <c r="JNA366" s="649"/>
      <c r="JNB366" s="326"/>
      <c r="JNC366" s="655"/>
      <c r="JND366" s="284"/>
      <c r="JNE366" s="656"/>
      <c r="JNF366" s="286"/>
      <c r="JNG366" s="287"/>
      <c r="JNH366" s="296"/>
      <c r="JNI366" s="266"/>
      <c r="JNJ366" s="649"/>
      <c r="JNK366" s="326"/>
      <c r="JNL366" s="655"/>
      <c r="JNM366" s="284"/>
      <c r="JNN366" s="656"/>
      <c r="JNO366" s="286"/>
      <c r="JNP366" s="287"/>
      <c r="JNQ366" s="296"/>
      <c r="JNR366" s="266"/>
      <c r="JNS366" s="649"/>
      <c r="JNT366" s="326"/>
      <c r="JNU366" s="655"/>
      <c r="JNV366" s="284"/>
      <c r="JNW366" s="656"/>
      <c r="JNX366" s="286"/>
      <c r="JNY366" s="287"/>
      <c r="JNZ366" s="296"/>
      <c r="JOA366" s="266"/>
      <c r="JOB366" s="649"/>
      <c r="JOC366" s="326"/>
      <c r="JOD366" s="655"/>
      <c r="JOE366" s="284"/>
      <c r="JOF366" s="656"/>
      <c r="JOG366" s="286"/>
      <c r="JOH366" s="287"/>
      <c r="JOI366" s="296"/>
      <c r="JOJ366" s="266"/>
      <c r="JOK366" s="649"/>
      <c r="JOL366" s="326"/>
      <c r="JOM366" s="655"/>
      <c r="JON366" s="284"/>
      <c r="JOO366" s="656"/>
      <c r="JOP366" s="286"/>
      <c r="JOQ366" s="287"/>
      <c r="JOR366" s="296"/>
      <c r="JOS366" s="266"/>
      <c r="JOT366" s="649"/>
      <c r="JOU366" s="326"/>
      <c r="JOV366" s="655"/>
      <c r="JOW366" s="284"/>
      <c r="JOX366" s="656"/>
      <c r="JOY366" s="286"/>
      <c r="JOZ366" s="287"/>
      <c r="JPA366" s="296"/>
      <c r="JPB366" s="266"/>
      <c r="JPC366" s="649"/>
      <c r="JPD366" s="326"/>
      <c r="JPE366" s="655"/>
      <c r="JPF366" s="284"/>
      <c r="JPG366" s="656"/>
      <c r="JPH366" s="286"/>
      <c r="JPI366" s="287"/>
      <c r="JPJ366" s="296"/>
      <c r="JPK366" s="266"/>
      <c r="JPL366" s="649"/>
      <c r="JPM366" s="326"/>
      <c r="JPN366" s="655"/>
      <c r="JPO366" s="284"/>
      <c r="JPP366" s="656"/>
      <c r="JPQ366" s="286"/>
      <c r="JPR366" s="287"/>
      <c r="JPS366" s="296"/>
      <c r="JPT366" s="266"/>
      <c r="JPU366" s="649"/>
      <c r="JPV366" s="326"/>
      <c r="JPW366" s="655"/>
      <c r="JPX366" s="284"/>
      <c r="JPY366" s="656"/>
      <c r="JPZ366" s="286"/>
      <c r="JQA366" s="287"/>
      <c r="JQB366" s="296"/>
      <c r="JQC366" s="266"/>
      <c r="JQD366" s="649"/>
      <c r="JQE366" s="326"/>
      <c r="JQF366" s="655"/>
      <c r="JQG366" s="284"/>
      <c r="JQH366" s="656"/>
      <c r="JQI366" s="286"/>
      <c r="JQJ366" s="287"/>
      <c r="JQK366" s="296"/>
      <c r="JQL366" s="266"/>
      <c r="JQM366" s="649"/>
      <c r="JQN366" s="326"/>
      <c r="JQO366" s="655"/>
      <c r="JQP366" s="284"/>
      <c r="JQQ366" s="656"/>
      <c r="JQR366" s="286"/>
      <c r="JQS366" s="287"/>
      <c r="JQT366" s="296"/>
      <c r="JQU366" s="266"/>
      <c r="JQV366" s="649"/>
      <c r="JQW366" s="326"/>
      <c r="JQX366" s="655"/>
      <c r="JQY366" s="284"/>
      <c r="JQZ366" s="656"/>
      <c r="JRA366" s="286"/>
      <c r="JRB366" s="287"/>
      <c r="JRC366" s="296"/>
      <c r="JRD366" s="266"/>
      <c r="JRE366" s="649"/>
      <c r="JRF366" s="326"/>
      <c r="JRG366" s="655"/>
      <c r="JRH366" s="284"/>
      <c r="JRI366" s="656"/>
      <c r="JRJ366" s="286"/>
      <c r="JRK366" s="287"/>
      <c r="JRL366" s="296"/>
      <c r="JRM366" s="266"/>
      <c r="JRN366" s="649"/>
      <c r="JRO366" s="326"/>
      <c r="JRP366" s="655"/>
      <c r="JRQ366" s="284"/>
      <c r="JRR366" s="656"/>
      <c r="JRS366" s="286"/>
      <c r="JRT366" s="287"/>
      <c r="JRU366" s="296"/>
      <c r="JRV366" s="266"/>
      <c r="JRW366" s="649"/>
      <c r="JRX366" s="326"/>
      <c r="JRY366" s="655"/>
      <c r="JRZ366" s="284"/>
      <c r="JSA366" s="656"/>
      <c r="JSB366" s="286"/>
      <c r="JSC366" s="287"/>
      <c r="JSD366" s="296"/>
      <c r="JSE366" s="266"/>
      <c r="JSF366" s="649"/>
      <c r="JSG366" s="326"/>
      <c r="JSH366" s="655"/>
      <c r="JSI366" s="284"/>
      <c r="JSJ366" s="656"/>
      <c r="JSK366" s="286"/>
      <c r="JSL366" s="287"/>
      <c r="JSM366" s="296"/>
      <c r="JSN366" s="266"/>
      <c r="JSO366" s="649"/>
      <c r="JSP366" s="326"/>
      <c r="JSQ366" s="655"/>
      <c r="JSR366" s="284"/>
      <c r="JSS366" s="656"/>
      <c r="JST366" s="286"/>
      <c r="JSU366" s="287"/>
      <c r="JSV366" s="296"/>
      <c r="JSW366" s="266"/>
      <c r="JSX366" s="649"/>
      <c r="JSY366" s="326"/>
      <c r="JSZ366" s="655"/>
      <c r="JTA366" s="284"/>
      <c r="JTB366" s="656"/>
      <c r="JTC366" s="286"/>
      <c r="JTD366" s="287"/>
      <c r="JTE366" s="296"/>
      <c r="JTF366" s="266"/>
      <c r="JTG366" s="649"/>
      <c r="JTH366" s="326"/>
      <c r="JTI366" s="655"/>
      <c r="JTJ366" s="284"/>
      <c r="JTK366" s="656"/>
      <c r="JTL366" s="286"/>
      <c r="JTM366" s="287"/>
      <c r="JTN366" s="296"/>
      <c r="JTO366" s="266"/>
      <c r="JTP366" s="649"/>
      <c r="JTQ366" s="326"/>
      <c r="JTR366" s="655"/>
      <c r="JTS366" s="284"/>
      <c r="JTT366" s="656"/>
      <c r="JTU366" s="286"/>
      <c r="JTV366" s="287"/>
      <c r="JTW366" s="296"/>
      <c r="JTX366" s="266"/>
      <c r="JTY366" s="649"/>
      <c r="JTZ366" s="326"/>
      <c r="JUA366" s="655"/>
      <c r="JUB366" s="284"/>
      <c r="JUC366" s="656"/>
      <c r="JUD366" s="286"/>
      <c r="JUE366" s="287"/>
      <c r="JUF366" s="296"/>
      <c r="JUG366" s="266"/>
      <c r="JUH366" s="649"/>
      <c r="JUI366" s="326"/>
      <c r="JUJ366" s="655"/>
      <c r="JUK366" s="284"/>
      <c r="JUL366" s="656"/>
      <c r="JUM366" s="286"/>
      <c r="JUN366" s="287"/>
      <c r="JUO366" s="296"/>
      <c r="JUP366" s="266"/>
      <c r="JUQ366" s="649"/>
      <c r="JUR366" s="326"/>
      <c r="JUS366" s="655"/>
      <c r="JUT366" s="284"/>
      <c r="JUU366" s="656"/>
      <c r="JUV366" s="286"/>
      <c r="JUW366" s="287"/>
      <c r="JUX366" s="296"/>
      <c r="JUY366" s="266"/>
      <c r="JUZ366" s="649"/>
      <c r="JVA366" s="326"/>
      <c r="JVB366" s="655"/>
      <c r="JVC366" s="284"/>
      <c r="JVD366" s="656"/>
      <c r="JVE366" s="286"/>
      <c r="JVF366" s="287"/>
      <c r="JVG366" s="296"/>
      <c r="JVH366" s="266"/>
      <c r="JVI366" s="649"/>
      <c r="JVJ366" s="326"/>
      <c r="JVK366" s="655"/>
      <c r="JVL366" s="284"/>
      <c r="JVM366" s="656"/>
      <c r="JVN366" s="286"/>
      <c r="JVO366" s="287"/>
      <c r="JVP366" s="296"/>
      <c r="JVQ366" s="266"/>
      <c r="JVR366" s="649"/>
      <c r="JVS366" s="326"/>
      <c r="JVT366" s="655"/>
      <c r="JVU366" s="284"/>
      <c r="JVV366" s="656"/>
      <c r="JVW366" s="286"/>
      <c r="JVX366" s="287"/>
      <c r="JVY366" s="296"/>
      <c r="JVZ366" s="266"/>
      <c r="JWA366" s="649"/>
      <c r="JWB366" s="326"/>
      <c r="JWC366" s="655"/>
      <c r="JWD366" s="284"/>
      <c r="JWE366" s="656"/>
      <c r="JWF366" s="286"/>
      <c r="JWG366" s="287"/>
      <c r="JWH366" s="296"/>
      <c r="JWI366" s="266"/>
      <c r="JWJ366" s="649"/>
      <c r="JWK366" s="326"/>
      <c r="JWL366" s="655"/>
      <c r="JWM366" s="284"/>
      <c r="JWN366" s="656"/>
      <c r="JWO366" s="286"/>
      <c r="JWP366" s="287"/>
      <c r="JWQ366" s="296"/>
      <c r="JWR366" s="266"/>
      <c r="JWS366" s="649"/>
      <c r="JWT366" s="326"/>
      <c r="JWU366" s="655"/>
      <c r="JWV366" s="284"/>
      <c r="JWW366" s="656"/>
      <c r="JWX366" s="286"/>
      <c r="JWY366" s="287"/>
      <c r="JWZ366" s="296"/>
      <c r="JXA366" s="266"/>
      <c r="JXB366" s="649"/>
      <c r="JXC366" s="326"/>
      <c r="JXD366" s="655"/>
      <c r="JXE366" s="284"/>
      <c r="JXF366" s="656"/>
      <c r="JXG366" s="286"/>
      <c r="JXH366" s="287"/>
      <c r="JXI366" s="296"/>
      <c r="JXJ366" s="266"/>
      <c r="JXK366" s="649"/>
      <c r="JXL366" s="326"/>
      <c r="JXM366" s="655"/>
      <c r="JXN366" s="284"/>
      <c r="JXO366" s="656"/>
      <c r="JXP366" s="286"/>
      <c r="JXQ366" s="287"/>
      <c r="JXR366" s="296"/>
      <c r="JXS366" s="266"/>
      <c r="JXT366" s="649"/>
      <c r="JXU366" s="326"/>
      <c r="JXV366" s="655"/>
      <c r="JXW366" s="284"/>
      <c r="JXX366" s="656"/>
      <c r="JXY366" s="286"/>
      <c r="JXZ366" s="287"/>
      <c r="JYA366" s="296"/>
      <c r="JYB366" s="266"/>
      <c r="JYC366" s="649"/>
      <c r="JYD366" s="326"/>
      <c r="JYE366" s="655"/>
      <c r="JYF366" s="284"/>
      <c r="JYG366" s="656"/>
      <c r="JYH366" s="286"/>
      <c r="JYI366" s="287"/>
      <c r="JYJ366" s="296"/>
      <c r="JYK366" s="266"/>
      <c r="JYL366" s="649"/>
      <c r="JYM366" s="326"/>
      <c r="JYN366" s="655"/>
      <c r="JYO366" s="284"/>
      <c r="JYP366" s="656"/>
      <c r="JYQ366" s="286"/>
      <c r="JYR366" s="287"/>
      <c r="JYS366" s="296"/>
      <c r="JYT366" s="266"/>
      <c r="JYU366" s="649"/>
      <c r="JYV366" s="326"/>
      <c r="JYW366" s="655"/>
      <c r="JYX366" s="284"/>
      <c r="JYY366" s="656"/>
      <c r="JYZ366" s="286"/>
      <c r="JZA366" s="287"/>
      <c r="JZB366" s="296"/>
      <c r="JZC366" s="266"/>
      <c r="JZD366" s="649"/>
      <c r="JZE366" s="326"/>
      <c r="JZF366" s="655"/>
      <c r="JZG366" s="284"/>
      <c r="JZH366" s="656"/>
      <c r="JZI366" s="286"/>
      <c r="JZJ366" s="287"/>
      <c r="JZK366" s="296"/>
      <c r="JZL366" s="266"/>
      <c r="JZM366" s="649"/>
      <c r="JZN366" s="326"/>
      <c r="JZO366" s="655"/>
      <c r="JZP366" s="284"/>
      <c r="JZQ366" s="656"/>
      <c r="JZR366" s="286"/>
      <c r="JZS366" s="287"/>
      <c r="JZT366" s="296"/>
      <c r="JZU366" s="266"/>
      <c r="JZV366" s="649"/>
      <c r="JZW366" s="326"/>
      <c r="JZX366" s="655"/>
      <c r="JZY366" s="284"/>
      <c r="JZZ366" s="656"/>
      <c r="KAA366" s="286"/>
      <c r="KAB366" s="287"/>
      <c r="KAC366" s="296"/>
      <c r="KAD366" s="266"/>
      <c r="KAE366" s="649"/>
      <c r="KAF366" s="326"/>
      <c r="KAG366" s="655"/>
      <c r="KAH366" s="284"/>
      <c r="KAI366" s="656"/>
      <c r="KAJ366" s="286"/>
      <c r="KAK366" s="287"/>
      <c r="KAL366" s="296"/>
      <c r="KAM366" s="266"/>
      <c r="KAN366" s="649"/>
      <c r="KAO366" s="326"/>
      <c r="KAP366" s="655"/>
      <c r="KAQ366" s="284"/>
      <c r="KAR366" s="656"/>
      <c r="KAS366" s="286"/>
      <c r="KAT366" s="287"/>
      <c r="KAU366" s="296"/>
      <c r="KAV366" s="266"/>
      <c r="KAW366" s="649"/>
      <c r="KAX366" s="326"/>
      <c r="KAY366" s="655"/>
      <c r="KAZ366" s="284"/>
      <c r="KBA366" s="656"/>
      <c r="KBB366" s="286"/>
      <c r="KBC366" s="287"/>
      <c r="KBD366" s="296"/>
      <c r="KBE366" s="266"/>
      <c r="KBF366" s="649"/>
      <c r="KBG366" s="326"/>
      <c r="KBH366" s="655"/>
      <c r="KBI366" s="284"/>
      <c r="KBJ366" s="656"/>
      <c r="KBK366" s="286"/>
      <c r="KBL366" s="287"/>
      <c r="KBM366" s="296"/>
      <c r="KBN366" s="266"/>
      <c r="KBO366" s="649"/>
      <c r="KBP366" s="326"/>
      <c r="KBQ366" s="655"/>
      <c r="KBR366" s="284"/>
      <c r="KBS366" s="656"/>
      <c r="KBT366" s="286"/>
      <c r="KBU366" s="287"/>
      <c r="KBV366" s="296"/>
      <c r="KBW366" s="266"/>
      <c r="KBX366" s="649"/>
      <c r="KBY366" s="326"/>
      <c r="KBZ366" s="655"/>
      <c r="KCA366" s="284"/>
      <c r="KCB366" s="656"/>
      <c r="KCC366" s="286"/>
      <c r="KCD366" s="287"/>
      <c r="KCE366" s="296"/>
      <c r="KCF366" s="266"/>
      <c r="KCG366" s="649"/>
      <c r="KCH366" s="326"/>
      <c r="KCI366" s="655"/>
      <c r="KCJ366" s="284"/>
      <c r="KCK366" s="656"/>
      <c r="KCL366" s="286"/>
      <c r="KCM366" s="287"/>
      <c r="KCN366" s="296"/>
      <c r="KCO366" s="266"/>
      <c r="KCP366" s="649"/>
      <c r="KCQ366" s="326"/>
      <c r="KCR366" s="655"/>
      <c r="KCS366" s="284"/>
      <c r="KCT366" s="656"/>
      <c r="KCU366" s="286"/>
      <c r="KCV366" s="287"/>
      <c r="KCW366" s="296"/>
      <c r="KCX366" s="266"/>
      <c r="KCY366" s="649"/>
      <c r="KCZ366" s="326"/>
      <c r="KDA366" s="655"/>
      <c r="KDB366" s="284"/>
      <c r="KDC366" s="656"/>
      <c r="KDD366" s="286"/>
      <c r="KDE366" s="287"/>
      <c r="KDF366" s="296"/>
      <c r="KDG366" s="266"/>
      <c r="KDH366" s="649"/>
      <c r="KDI366" s="326"/>
      <c r="KDJ366" s="655"/>
      <c r="KDK366" s="284"/>
      <c r="KDL366" s="656"/>
      <c r="KDM366" s="286"/>
      <c r="KDN366" s="287"/>
      <c r="KDO366" s="296"/>
      <c r="KDP366" s="266"/>
      <c r="KDQ366" s="649"/>
      <c r="KDR366" s="326"/>
      <c r="KDS366" s="655"/>
      <c r="KDT366" s="284"/>
      <c r="KDU366" s="656"/>
      <c r="KDV366" s="286"/>
      <c r="KDW366" s="287"/>
      <c r="KDX366" s="296"/>
      <c r="KDY366" s="266"/>
      <c r="KDZ366" s="649"/>
      <c r="KEA366" s="326"/>
      <c r="KEB366" s="655"/>
      <c r="KEC366" s="284"/>
      <c r="KED366" s="656"/>
      <c r="KEE366" s="286"/>
      <c r="KEF366" s="287"/>
      <c r="KEG366" s="296"/>
      <c r="KEH366" s="266"/>
      <c r="KEI366" s="649"/>
      <c r="KEJ366" s="326"/>
      <c r="KEK366" s="655"/>
      <c r="KEL366" s="284"/>
      <c r="KEM366" s="656"/>
      <c r="KEN366" s="286"/>
      <c r="KEO366" s="287"/>
      <c r="KEP366" s="296"/>
      <c r="KEQ366" s="266"/>
      <c r="KER366" s="649"/>
      <c r="KES366" s="326"/>
      <c r="KET366" s="655"/>
      <c r="KEU366" s="284"/>
      <c r="KEV366" s="656"/>
      <c r="KEW366" s="286"/>
      <c r="KEX366" s="287"/>
      <c r="KEY366" s="296"/>
      <c r="KEZ366" s="266"/>
      <c r="KFA366" s="649"/>
      <c r="KFB366" s="326"/>
      <c r="KFC366" s="655"/>
      <c r="KFD366" s="284"/>
      <c r="KFE366" s="656"/>
      <c r="KFF366" s="286"/>
      <c r="KFG366" s="287"/>
      <c r="KFH366" s="296"/>
      <c r="KFI366" s="266"/>
      <c r="KFJ366" s="649"/>
      <c r="KFK366" s="326"/>
      <c r="KFL366" s="655"/>
      <c r="KFM366" s="284"/>
      <c r="KFN366" s="656"/>
      <c r="KFO366" s="286"/>
      <c r="KFP366" s="287"/>
      <c r="KFQ366" s="296"/>
      <c r="KFR366" s="266"/>
      <c r="KFS366" s="649"/>
      <c r="KFT366" s="326"/>
      <c r="KFU366" s="655"/>
      <c r="KFV366" s="284"/>
      <c r="KFW366" s="656"/>
      <c r="KFX366" s="286"/>
      <c r="KFY366" s="287"/>
      <c r="KFZ366" s="296"/>
      <c r="KGA366" s="266"/>
      <c r="KGB366" s="649"/>
      <c r="KGC366" s="326"/>
      <c r="KGD366" s="655"/>
      <c r="KGE366" s="284"/>
      <c r="KGF366" s="656"/>
      <c r="KGG366" s="286"/>
      <c r="KGH366" s="287"/>
      <c r="KGI366" s="296"/>
      <c r="KGJ366" s="266"/>
      <c r="KGK366" s="649"/>
      <c r="KGL366" s="326"/>
      <c r="KGM366" s="655"/>
      <c r="KGN366" s="284"/>
      <c r="KGO366" s="656"/>
      <c r="KGP366" s="286"/>
      <c r="KGQ366" s="287"/>
      <c r="KGR366" s="296"/>
      <c r="KGS366" s="266"/>
      <c r="KGT366" s="649"/>
      <c r="KGU366" s="326"/>
      <c r="KGV366" s="655"/>
      <c r="KGW366" s="284"/>
      <c r="KGX366" s="656"/>
      <c r="KGY366" s="286"/>
      <c r="KGZ366" s="287"/>
      <c r="KHA366" s="296"/>
      <c r="KHB366" s="266"/>
      <c r="KHC366" s="649"/>
      <c r="KHD366" s="326"/>
      <c r="KHE366" s="655"/>
      <c r="KHF366" s="284"/>
      <c r="KHG366" s="656"/>
      <c r="KHH366" s="286"/>
      <c r="KHI366" s="287"/>
      <c r="KHJ366" s="296"/>
      <c r="KHK366" s="266"/>
      <c r="KHL366" s="649"/>
      <c r="KHM366" s="326"/>
      <c r="KHN366" s="655"/>
      <c r="KHO366" s="284"/>
      <c r="KHP366" s="656"/>
      <c r="KHQ366" s="286"/>
      <c r="KHR366" s="287"/>
      <c r="KHS366" s="296"/>
      <c r="KHT366" s="266"/>
      <c r="KHU366" s="649"/>
      <c r="KHV366" s="326"/>
      <c r="KHW366" s="655"/>
      <c r="KHX366" s="284"/>
      <c r="KHY366" s="656"/>
      <c r="KHZ366" s="286"/>
      <c r="KIA366" s="287"/>
      <c r="KIB366" s="296"/>
      <c r="KIC366" s="266"/>
      <c r="KID366" s="649"/>
      <c r="KIE366" s="326"/>
      <c r="KIF366" s="655"/>
      <c r="KIG366" s="284"/>
      <c r="KIH366" s="656"/>
      <c r="KII366" s="286"/>
      <c r="KIJ366" s="287"/>
      <c r="KIK366" s="296"/>
      <c r="KIL366" s="266"/>
      <c r="KIM366" s="649"/>
      <c r="KIN366" s="326"/>
      <c r="KIO366" s="655"/>
      <c r="KIP366" s="284"/>
      <c r="KIQ366" s="656"/>
      <c r="KIR366" s="286"/>
      <c r="KIS366" s="287"/>
      <c r="KIT366" s="296"/>
      <c r="KIU366" s="266"/>
      <c r="KIV366" s="649"/>
      <c r="KIW366" s="326"/>
      <c r="KIX366" s="655"/>
      <c r="KIY366" s="284"/>
      <c r="KIZ366" s="656"/>
      <c r="KJA366" s="286"/>
      <c r="KJB366" s="287"/>
      <c r="KJC366" s="296"/>
      <c r="KJD366" s="266"/>
      <c r="KJE366" s="649"/>
      <c r="KJF366" s="326"/>
      <c r="KJG366" s="655"/>
      <c r="KJH366" s="284"/>
      <c r="KJI366" s="656"/>
      <c r="KJJ366" s="286"/>
      <c r="KJK366" s="287"/>
      <c r="KJL366" s="296"/>
      <c r="KJM366" s="266"/>
      <c r="KJN366" s="649"/>
      <c r="KJO366" s="326"/>
      <c r="KJP366" s="655"/>
      <c r="KJQ366" s="284"/>
      <c r="KJR366" s="656"/>
      <c r="KJS366" s="286"/>
      <c r="KJT366" s="287"/>
      <c r="KJU366" s="296"/>
      <c r="KJV366" s="266"/>
      <c r="KJW366" s="649"/>
      <c r="KJX366" s="326"/>
      <c r="KJY366" s="655"/>
      <c r="KJZ366" s="284"/>
      <c r="KKA366" s="656"/>
      <c r="KKB366" s="286"/>
      <c r="KKC366" s="287"/>
      <c r="KKD366" s="296"/>
      <c r="KKE366" s="266"/>
      <c r="KKF366" s="649"/>
      <c r="KKG366" s="326"/>
      <c r="KKH366" s="655"/>
      <c r="KKI366" s="284"/>
      <c r="KKJ366" s="656"/>
      <c r="KKK366" s="286"/>
      <c r="KKL366" s="287"/>
      <c r="KKM366" s="296"/>
      <c r="KKN366" s="266"/>
      <c r="KKO366" s="649"/>
      <c r="KKP366" s="326"/>
      <c r="KKQ366" s="655"/>
      <c r="KKR366" s="284"/>
      <c r="KKS366" s="656"/>
      <c r="KKT366" s="286"/>
      <c r="KKU366" s="287"/>
      <c r="KKV366" s="296"/>
      <c r="KKW366" s="266"/>
      <c r="KKX366" s="649"/>
      <c r="KKY366" s="326"/>
      <c r="KKZ366" s="655"/>
      <c r="KLA366" s="284"/>
      <c r="KLB366" s="656"/>
      <c r="KLC366" s="286"/>
      <c r="KLD366" s="287"/>
      <c r="KLE366" s="296"/>
      <c r="KLF366" s="266"/>
      <c r="KLG366" s="649"/>
      <c r="KLH366" s="326"/>
      <c r="KLI366" s="655"/>
      <c r="KLJ366" s="284"/>
      <c r="KLK366" s="656"/>
      <c r="KLL366" s="286"/>
      <c r="KLM366" s="287"/>
      <c r="KLN366" s="296"/>
      <c r="KLO366" s="266"/>
      <c r="KLP366" s="649"/>
      <c r="KLQ366" s="326"/>
      <c r="KLR366" s="655"/>
      <c r="KLS366" s="284"/>
      <c r="KLT366" s="656"/>
      <c r="KLU366" s="286"/>
      <c r="KLV366" s="287"/>
      <c r="KLW366" s="296"/>
      <c r="KLX366" s="266"/>
      <c r="KLY366" s="649"/>
      <c r="KLZ366" s="326"/>
      <c r="KMA366" s="655"/>
      <c r="KMB366" s="284"/>
      <c r="KMC366" s="656"/>
      <c r="KMD366" s="286"/>
      <c r="KME366" s="287"/>
      <c r="KMF366" s="296"/>
      <c r="KMG366" s="266"/>
      <c r="KMH366" s="649"/>
      <c r="KMI366" s="326"/>
      <c r="KMJ366" s="655"/>
      <c r="KMK366" s="284"/>
      <c r="KML366" s="656"/>
      <c r="KMM366" s="286"/>
      <c r="KMN366" s="287"/>
      <c r="KMO366" s="296"/>
      <c r="KMP366" s="266"/>
      <c r="KMQ366" s="649"/>
      <c r="KMR366" s="326"/>
      <c r="KMS366" s="655"/>
      <c r="KMT366" s="284"/>
      <c r="KMU366" s="656"/>
      <c r="KMV366" s="286"/>
      <c r="KMW366" s="287"/>
      <c r="KMX366" s="296"/>
      <c r="KMY366" s="266"/>
      <c r="KMZ366" s="649"/>
      <c r="KNA366" s="326"/>
      <c r="KNB366" s="655"/>
      <c r="KNC366" s="284"/>
      <c r="KND366" s="656"/>
      <c r="KNE366" s="286"/>
      <c r="KNF366" s="287"/>
      <c r="KNG366" s="296"/>
      <c r="KNH366" s="266"/>
      <c r="KNI366" s="649"/>
      <c r="KNJ366" s="326"/>
      <c r="KNK366" s="655"/>
      <c r="KNL366" s="284"/>
      <c r="KNM366" s="656"/>
      <c r="KNN366" s="286"/>
      <c r="KNO366" s="287"/>
      <c r="KNP366" s="296"/>
      <c r="KNQ366" s="266"/>
      <c r="KNR366" s="649"/>
      <c r="KNS366" s="326"/>
      <c r="KNT366" s="655"/>
      <c r="KNU366" s="284"/>
      <c r="KNV366" s="656"/>
      <c r="KNW366" s="286"/>
      <c r="KNX366" s="287"/>
      <c r="KNY366" s="296"/>
      <c r="KNZ366" s="266"/>
      <c r="KOA366" s="649"/>
      <c r="KOB366" s="326"/>
      <c r="KOC366" s="655"/>
      <c r="KOD366" s="284"/>
      <c r="KOE366" s="656"/>
      <c r="KOF366" s="286"/>
      <c r="KOG366" s="287"/>
      <c r="KOH366" s="296"/>
      <c r="KOI366" s="266"/>
      <c r="KOJ366" s="649"/>
      <c r="KOK366" s="326"/>
      <c r="KOL366" s="655"/>
      <c r="KOM366" s="284"/>
      <c r="KON366" s="656"/>
      <c r="KOO366" s="286"/>
      <c r="KOP366" s="287"/>
      <c r="KOQ366" s="296"/>
      <c r="KOR366" s="266"/>
      <c r="KOS366" s="649"/>
      <c r="KOT366" s="326"/>
      <c r="KOU366" s="655"/>
      <c r="KOV366" s="284"/>
      <c r="KOW366" s="656"/>
      <c r="KOX366" s="286"/>
      <c r="KOY366" s="287"/>
      <c r="KOZ366" s="296"/>
      <c r="KPA366" s="266"/>
      <c r="KPB366" s="649"/>
      <c r="KPC366" s="326"/>
      <c r="KPD366" s="655"/>
      <c r="KPE366" s="284"/>
      <c r="KPF366" s="656"/>
      <c r="KPG366" s="286"/>
      <c r="KPH366" s="287"/>
      <c r="KPI366" s="296"/>
      <c r="KPJ366" s="266"/>
      <c r="KPK366" s="649"/>
      <c r="KPL366" s="326"/>
      <c r="KPM366" s="655"/>
      <c r="KPN366" s="284"/>
      <c r="KPO366" s="656"/>
      <c r="KPP366" s="286"/>
      <c r="KPQ366" s="287"/>
      <c r="KPR366" s="296"/>
      <c r="KPS366" s="266"/>
      <c r="KPT366" s="649"/>
      <c r="KPU366" s="326"/>
      <c r="KPV366" s="655"/>
      <c r="KPW366" s="284"/>
      <c r="KPX366" s="656"/>
      <c r="KPY366" s="286"/>
      <c r="KPZ366" s="287"/>
      <c r="KQA366" s="296"/>
      <c r="KQB366" s="266"/>
      <c r="KQC366" s="649"/>
      <c r="KQD366" s="326"/>
      <c r="KQE366" s="655"/>
      <c r="KQF366" s="284"/>
      <c r="KQG366" s="656"/>
      <c r="KQH366" s="286"/>
      <c r="KQI366" s="287"/>
      <c r="KQJ366" s="296"/>
      <c r="KQK366" s="266"/>
      <c r="KQL366" s="649"/>
      <c r="KQM366" s="326"/>
      <c r="KQN366" s="655"/>
      <c r="KQO366" s="284"/>
      <c r="KQP366" s="656"/>
      <c r="KQQ366" s="286"/>
      <c r="KQR366" s="287"/>
      <c r="KQS366" s="296"/>
      <c r="KQT366" s="266"/>
      <c r="KQU366" s="649"/>
      <c r="KQV366" s="326"/>
      <c r="KQW366" s="655"/>
      <c r="KQX366" s="284"/>
      <c r="KQY366" s="656"/>
      <c r="KQZ366" s="286"/>
      <c r="KRA366" s="287"/>
      <c r="KRB366" s="296"/>
      <c r="KRC366" s="266"/>
      <c r="KRD366" s="649"/>
      <c r="KRE366" s="326"/>
      <c r="KRF366" s="655"/>
      <c r="KRG366" s="284"/>
      <c r="KRH366" s="656"/>
      <c r="KRI366" s="286"/>
      <c r="KRJ366" s="287"/>
      <c r="KRK366" s="296"/>
      <c r="KRL366" s="266"/>
      <c r="KRM366" s="649"/>
      <c r="KRN366" s="326"/>
      <c r="KRO366" s="655"/>
      <c r="KRP366" s="284"/>
      <c r="KRQ366" s="656"/>
      <c r="KRR366" s="286"/>
      <c r="KRS366" s="287"/>
      <c r="KRT366" s="296"/>
      <c r="KRU366" s="266"/>
      <c r="KRV366" s="649"/>
      <c r="KRW366" s="326"/>
      <c r="KRX366" s="655"/>
      <c r="KRY366" s="284"/>
      <c r="KRZ366" s="656"/>
      <c r="KSA366" s="286"/>
      <c r="KSB366" s="287"/>
      <c r="KSC366" s="296"/>
      <c r="KSD366" s="266"/>
      <c r="KSE366" s="649"/>
      <c r="KSF366" s="326"/>
      <c r="KSG366" s="655"/>
      <c r="KSH366" s="284"/>
      <c r="KSI366" s="656"/>
      <c r="KSJ366" s="286"/>
      <c r="KSK366" s="287"/>
      <c r="KSL366" s="296"/>
      <c r="KSM366" s="266"/>
      <c r="KSN366" s="649"/>
      <c r="KSO366" s="326"/>
      <c r="KSP366" s="655"/>
      <c r="KSQ366" s="284"/>
      <c r="KSR366" s="656"/>
      <c r="KSS366" s="286"/>
      <c r="KST366" s="287"/>
      <c r="KSU366" s="296"/>
      <c r="KSV366" s="266"/>
      <c r="KSW366" s="649"/>
      <c r="KSX366" s="326"/>
      <c r="KSY366" s="655"/>
      <c r="KSZ366" s="284"/>
      <c r="KTA366" s="656"/>
      <c r="KTB366" s="286"/>
      <c r="KTC366" s="287"/>
      <c r="KTD366" s="296"/>
      <c r="KTE366" s="266"/>
      <c r="KTF366" s="649"/>
      <c r="KTG366" s="326"/>
      <c r="KTH366" s="655"/>
      <c r="KTI366" s="284"/>
      <c r="KTJ366" s="656"/>
      <c r="KTK366" s="286"/>
      <c r="KTL366" s="287"/>
      <c r="KTM366" s="296"/>
      <c r="KTN366" s="266"/>
      <c r="KTO366" s="649"/>
      <c r="KTP366" s="326"/>
      <c r="KTQ366" s="655"/>
      <c r="KTR366" s="284"/>
      <c r="KTS366" s="656"/>
      <c r="KTT366" s="286"/>
      <c r="KTU366" s="287"/>
      <c r="KTV366" s="296"/>
      <c r="KTW366" s="266"/>
      <c r="KTX366" s="649"/>
      <c r="KTY366" s="326"/>
      <c r="KTZ366" s="655"/>
      <c r="KUA366" s="284"/>
      <c r="KUB366" s="656"/>
      <c r="KUC366" s="286"/>
      <c r="KUD366" s="287"/>
      <c r="KUE366" s="296"/>
      <c r="KUF366" s="266"/>
      <c r="KUG366" s="649"/>
      <c r="KUH366" s="326"/>
      <c r="KUI366" s="655"/>
      <c r="KUJ366" s="284"/>
      <c r="KUK366" s="656"/>
      <c r="KUL366" s="286"/>
      <c r="KUM366" s="287"/>
      <c r="KUN366" s="296"/>
      <c r="KUO366" s="266"/>
      <c r="KUP366" s="649"/>
      <c r="KUQ366" s="326"/>
      <c r="KUR366" s="655"/>
      <c r="KUS366" s="284"/>
      <c r="KUT366" s="656"/>
      <c r="KUU366" s="286"/>
      <c r="KUV366" s="287"/>
      <c r="KUW366" s="296"/>
      <c r="KUX366" s="266"/>
      <c r="KUY366" s="649"/>
      <c r="KUZ366" s="326"/>
      <c r="KVA366" s="655"/>
      <c r="KVB366" s="284"/>
      <c r="KVC366" s="656"/>
      <c r="KVD366" s="286"/>
      <c r="KVE366" s="287"/>
      <c r="KVF366" s="296"/>
      <c r="KVG366" s="266"/>
      <c r="KVH366" s="649"/>
      <c r="KVI366" s="326"/>
      <c r="KVJ366" s="655"/>
      <c r="KVK366" s="284"/>
      <c r="KVL366" s="656"/>
      <c r="KVM366" s="286"/>
      <c r="KVN366" s="287"/>
      <c r="KVO366" s="296"/>
      <c r="KVP366" s="266"/>
      <c r="KVQ366" s="649"/>
      <c r="KVR366" s="326"/>
      <c r="KVS366" s="655"/>
      <c r="KVT366" s="284"/>
      <c r="KVU366" s="656"/>
      <c r="KVV366" s="286"/>
      <c r="KVW366" s="287"/>
      <c r="KVX366" s="296"/>
      <c r="KVY366" s="266"/>
      <c r="KVZ366" s="649"/>
      <c r="KWA366" s="326"/>
      <c r="KWB366" s="655"/>
      <c r="KWC366" s="284"/>
      <c r="KWD366" s="656"/>
      <c r="KWE366" s="286"/>
      <c r="KWF366" s="287"/>
      <c r="KWG366" s="296"/>
      <c r="KWH366" s="266"/>
      <c r="KWI366" s="649"/>
      <c r="KWJ366" s="326"/>
      <c r="KWK366" s="655"/>
      <c r="KWL366" s="284"/>
      <c r="KWM366" s="656"/>
      <c r="KWN366" s="286"/>
      <c r="KWO366" s="287"/>
      <c r="KWP366" s="296"/>
      <c r="KWQ366" s="266"/>
      <c r="KWR366" s="649"/>
      <c r="KWS366" s="326"/>
      <c r="KWT366" s="655"/>
      <c r="KWU366" s="284"/>
      <c r="KWV366" s="656"/>
      <c r="KWW366" s="286"/>
      <c r="KWX366" s="287"/>
      <c r="KWY366" s="296"/>
      <c r="KWZ366" s="266"/>
      <c r="KXA366" s="649"/>
      <c r="KXB366" s="326"/>
      <c r="KXC366" s="655"/>
      <c r="KXD366" s="284"/>
      <c r="KXE366" s="656"/>
      <c r="KXF366" s="286"/>
      <c r="KXG366" s="287"/>
      <c r="KXH366" s="296"/>
      <c r="KXI366" s="266"/>
      <c r="KXJ366" s="649"/>
      <c r="KXK366" s="326"/>
      <c r="KXL366" s="655"/>
      <c r="KXM366" s="284"/>
      <c r="KXN366" s="656"/>
      <c r="KXO366" s="286"/>
      <c r="KXP366" s="287"/>
      <c r="KXQ366" s="296"/>
      <c r="KXR366" s="266"/>
      <c r="KXS366" s="649"/>
      <c r="KXT366" s="326"/>
      <c r="KXU366" s="655"/>
      <c r="KXV366" s="284"/>
      <c r="KXW366" s="656"/>
      <c r="KXX366" s="286"/>
      <c r="KXY366" s="287"/>
      <c r="KXZ366" s="296"/>
      <c r="KYA366" s="266"/>
      <c r="KYB366" s="649"/>
      <c r="KYC366" s="326"/>
      <c r="KYD366" s="655"/>
      <c r="KYE366" s="284"/>
      <c r="KYF366" s="656"/>
      <c r="KYG366" s="286"/>
      <c r="KYH366" s="287"/>
      <c r="KYI366" s="296"/>
      <c r="KYJ366" s="266"/>
      <c r="KYK366" s="649"/>
      <c r="KYL366" s="326"/>
      <c r="KYM366" s="655"/>
      <c r="KYN366" s="284"/>
      <c r="KYO366" s="656"/>
      <c r="KYP366" s="286"/>
      <c r="KYQ366" s="287"/>
      <c r="KYR366" s="296"/>
      <c r="KYS366" s="266"/>
      <c r="KYT366" s="649"/>
      <c r="KYU366" s="326"/>
      <c r="KYV366" s="655"/>
      <c r="KYW366" s="284"/>
      <c r="KYX366" s="656"/>
      <c r="KYY366" s="286"/>
      <c r="KYZ366" s="287"/>
      <c r="KZA366" s="296"/>
      <c r="KZB366" s="266"/>
      <c r="KZC366" s="649"/>
      <c r="KZD366" s="326"/>
      <c r="KZE366" s="655"/>
      <c r="KZF366" s="284"/>
      <c r="KZG366" s="656"/>
      <c r="KZH366" s="286"/>
      <c r="KZI366" s="287"/>
      <c r="KZJ366" s="296"/>
      <c r="KZK366" s="266"/>
      <c r="KZL366" s="649"/>
      <c r="KZM366" s="326"/>
      <c r="KZN366" s="655"/>
      <c r="KZO366" s="284"/>
      <c r="KZP366" s="656"/>
      <c r="KZQ366" s="286"/>
      <c r="KZR366" s="287"/>
      <c r="KZS366" s="296"/>
      <c r="KZT366" s="266"/>
      <c r="KZU366" s="649"/>
      <c r="KZV366" s="326"/>
      <c r="KZW366" s="655"/>
      <c r="KZX366" s="284"/>
      <c r="KZY366" s="656"/>
      <c r="KZZ366" s="286"/>
      <c r="LAA366" s="287"/>
      <c r="LAB366" s="296"/>
      <c r="LAC366" s="266"/>
      <c r="LAD366" s="649"/>
      <c r="LAE366" s="326"/>
      <c r="LAF366" s="655"/>
      <c r="LAG366" s="284"/>
      <c r="LAH366" s="656"/>
      <c r="LAI366" s="286"/>
      <c r="LAJ366" s="287"/>
      <c r="LAK366" s="296"/>
      <c r="LAL366" s="266"/>
      <c r="LAM366" s="649"/>
      <c r="LAN366" s="326"/>
      <c r="LAO366" s="655"/>
      <c r="LAP366" s="284"/>
      <c r="LAQ366" s="656"/>
      <c r="LAR366" s="286"/>
      <c r="LAS366" s="287"/>
      <c r="LAT366" s="296"/>
      <c r="LAU366" s="266"/>
      <c r="LAV366" s="649"/>
      <c r="LAW366" s="326"/>
      <c r="LAX366" s="655"/>
      <c r="LAY366" s="284"/>
      <c r="LAZ366" s="656"/>
      <c r="LBA366" s="286"/>
      <c r="LBB366" s="287"/>
      <c r="LBC366" s="296"/>
      <c r="LBD366" s="266"/>
      <c r="LBE366" s="649"/>
      <c r="LBF366" s="326"/>
      <c r="LBG366" s="655"/>
      <c r="LBH366" s="284"/>
      <c r="LBI366" s="656"/>
      <c r="LBJ366" s="286"/>
      <c r="LBK366" s="287"/>
      <c r="LBL366" s="296"/>
      <c r="LBM366" s="266"/>
      <c r="LBN366" s="649"/>
      <c r="LBO366" s="326"/>
      <c r="LBP366" s="655"/>
      <c r="LBQ366" s="284"/>
      <c r="LBR366" s="656"/>
      <c r="LBS366" s="286"/>
      <c r="LBT366" s="287"/>
      <c r="LBU366" s="296"/>
      <c r="LBV366" s="266"/>
      <c r="LBW366" s="649"/>
      <c r="LBX366" s="326"/>
      <c r="LBY366" s="655"/>
      <c r="LBZ366" s="284"/>
      <c r="LCA366" s="656"/>
      <c r="LCB366" s="286"/>
      <c r="LCC366" s="287"/>
      <c r="LCD366" s="296"/>
      <c r="LCE366" s="266"/>
      <c r="LCF366" s="649"/>
      <c r="LCG366" s="326"/>
      <c r="LCH366" s="655"/>
      <c r="LCI366" s="284"/>
      <c r="LCJ366" s="656"/>
      <c r="LCK366" s="286"/>
      <c r="LCL366" s="287"/>
      <c r="LCM366" s="296"/>
      <c r="LCN366" s="266"/>
      <c r="LCO366" s="649"/>
      <c r="LCP366" s="326"/>
      <c r="LCQ366" s="655"/>
      <c r="LCR366" s="284"/>
      <c r="LCS366" s="656"/>
      <c r="LCT366" s="286"/>
      <c r="LCU366" s="287"/>
      <c r="LCV366" s="296"/>
      <c r="LCW366" s="266"/>
      <c r="LCX366" s="649"/>
      <c r="LCY366" s="326"/>
      <c r="LCZ366" s="655"/>
      <c r="LDA366" s="284"/>
      <c r="LDB366" s="656"/>
      <c r="LDC366" s="286"/>
      <c r="LDD366" s="287"/>
      <c r="LDE366" s="296"/>
      <c r="LDF366" s="266"/>
      <c r="LDG366" s="649"/>
      <c r="LDH366" s="326"/>
      <c r="LDI366" s="655"/>
      <c r="LDJ366" s="284"/>
      <c r="LDK366" s="656"/>
      <c r="LDL366" s="286"/>
      <c r="LDM366" s="287"/>
      <c r="LDN366" s="296"/>
      <c r="LDO366" s="266"/>
      <c r="LDP366" s="649"/>
      <c r="LDQ366" s="326"/>
      <c r="LDR366" s="655"/>
      <c r="LDS366" s="284"/>
      <c r="LDT366" s="656"/>
      <c r="LDU366" s="286"/>
      <c r="LDV366" s="287"/>
      <c r="LDW366" s="296"/>
      <c r="LDX366" s="266"/>
      <c r="LDY366" s="649"/>
      <c r="LDZ366" s="326"/>
      <c r="LEA366" s="655"/>
      <c r="LEB366" s="284"/>
      <c r="LEC366" s="656"/>
      <c r="LED366" s="286"/>
      <c r="LEE366" s="287"/>
      <c r="LEF366" s="296"/>
      <c r="LEG366" s="266"/>
      <c r="LEH366" s="649"/>
      <c r="LEI366" s="326"/>
      <c r="LEJ366" s="655"/>
      <c r="LEK366" s="284"/>
      <c r="LEL366" s="656"/>
      <c r="LEM366" s="286"/>
      <c r="LEN366" s="287"/>
      <c r="LEO366" s="296"/>
      <c r="LEP366" s="266"/>
      <c r="LEQ366" s="649"/>
      <c r="LER366" s="326"/>
      <c r="LES366" s="655"/>
      <c r="LET366" s="284"/>
      <c r="LEU366" s="656"/>
      <c r="LEV366" s="286"/>
      <c r="LEW366" s="287"/>
      <c r="LEX366" s="296"/>
      <c r="LEY366" s="266"/>
      <c r="LEZ366" s="649"/>
      <c r="LFA366" s="326"/>
      <c r="LFB366" s="655"/>
      <c r="LFC366" s="284"/>
      <c r="LFD366" s="656"/>
      <c r="LFE366" s="286"/>
      <c r="LFF366" s="287"/>
      <c r="LFG366" s="296"/>
      <c r="LFH366" s="266"/>
      <c r="LFI366" s="649"/>
      <c r="LFJ366" s="326"/>
      <c r="LFK366" s="655"/>
      <c r="LFL366" s="284"/>
      <c r="LFM366" s="656"/>
      <c r="LFN366" s="286"/>
      <c r="LFO366" s="287"/>
      <c r="LFP366" s="296"/>
      <c r="LFQ366" s="266"/>
      <c r="LFR366" s="649"/>
      <c r="LFS366" s="326"/>
      <c r="LFT366" s="655"/>
      <c r="LFU366" s="284"/>
      <c r="LFV366" s="656"/>
      <c r="LFW366" s="286"/>
      <c r="LFX366" s="287"/>
      <c r="LFY366" s="296"/>
      <c r="LFZ366" s="266"/>
      <c r="LGA366" s="649"/>
      <c r="LGB366" s="326"/>
      <c r="LGC366" s="655"/>
      <c r="LGD366" s="284"/>
      <c r="LGE366" s="656"/>
      <c r="LGF366" s="286"/>
      <c r="LGG366" s="287"/>
      <c r="LGH366" s="296"/>
      <c r="LGI366" s="266"/>
      <c r="LGJ366" s="649"/>
      <c r="LGK366" s="326"/>
      <c r="LGL366" s="655"/>
      <c r="LGM366" s="284"/>
      <c r="LGN366" s="656"/>
      <c r="LGO366" s="286"/>
      <c r="LGP366" s="287"/>
      <c r="LGQ366" s="296"/>
      <c r="LGR366" s="266"/>
      <c r="LGS366" s="649"/>
      <c r="LGT366" s="326"/>
      <c r="LGU366" s="655"/>
      <c r="LGV366" s="284"/>
      <c r="LGW366" s="656"/>
      <c r="LGX366" s="286"/>
      <c r="LGY366" s="287"/>
      <c r="LGZ366" s="296"/>
      <c r="LHA366" s="266"/>
      <c r="LHB366" s="649"/>
      <c r="LHC366" s="326"/>
      <c r="LHD366" s="655"/>
      <c r="LHE366" s="284"/>
      <c r="LHF366" s="656"/>
      <c r="LHG366" s="286"/>
      <c r="LHH366" s="287"/>
      <c r="LHI366" s="296"/>
      <c r="LHJ366" s="266"/>
      <c r="LHK366" s="649"/>
      <c r="LHL366" s="326"/>
      <c r="LHM366" s="655"/>
      <c r="LHN366" s="284"/>
      <c r="LHO366" s="656"/>
      <c r="LHP366" s="286"/>
      <c r="LHQ366" s="287"/>
      <c r="LHR366" s="296"/>
      <c r="LHS366" s="266"/>
      <c r="LHT366" s="649"/>
      <c r="LHU366" s="326"/>
      <c r="LHV366" s="655"/>
      <c r="LHW366" s="284"/>
      <c r="LHX366" s="656"/>
      <c r="LHY366" s="286"/>
      <c r="LHZ366" s="287"/>
      <c r="LIA366" s="296"/>
      <c r="LIB366" s="266"/>
      <c r="LIC366" s="649"/>
      <c r="LID366" s="326"/>
      <c r="LIE366" s="655"/>
      <c r="LIF366" s="284"/>
      <c r="LIG366" s="656"/>
      <c r="LIH366" s="286"/>
      <c r="LII366" s="287"/>
      <c r="LIJ366" s="296"/>
      <c r="LIK366" s="266"/>
      <c r="LIL366" s="649"/>
      <c r="LIM366" s="326"/>
      <c r="LIN366" s="655"/>
      <c r="LIO366" s="284"/>
      <c r="LIP366" s="656"/>
      <c r="LIQ366" s="286"/>
      <c r="LIR366" s="287"/>
      <c r="LIS366" s="296"/>
      <c r="LIT366" s="266"/>
      <c r="LIU366" s="649"/>
      <c r="LIV366" s="326"/>
      <c r="LIW366" s="655"/>
      <c r="LIX366" s="284"/>
      <c r="LIY366" s="656"/>
      <c r="LIZ366" s="286"/>
      <c r="LJA366" s="287"/>
      <c r="LJB366" s="296"/>
      <c r="LJC366" s="266"/>
      <c r="LJD366" s="649"/>
      <c r="LJE366" s="326"/>
      <c r="LJF366" s="655"/>
      <c r="LJG366" s="284"/>
      <c r="LJH366" s="656"/>
      <c r="LJI366" s="286"/>
      <c r="LJJ366" s="287"/>
      <c r="LJK366" s="296"/>
      <c r="LJL366" s="266"/>
      <c r="LJM366" s="649"/>
      <c r="LJN366" s="326"/>
      <c r="LJO366" s="655"/>
      <c r="LJP366" s="284"/>
      <c r="LJQ366" s="656"/>
      <c r="LJR366" s="286"/>
      <c r="LJS366" s="287"/>
      <c r="LJT366" s="296"/>
      <c r="LJU366" s="266"/>
      <c r="LJV366" s="649"/>
      <c r="LJW366" s="326"/>
      <c r="LJX366" s="655"/>
      <c r="LJY366" s="284"/>
      <c r="LJZ366" s="656"/>
      <c r="LKA366" s="286"/>
      <c r="LKB366" s="287"/>
      <c r="LKC366" s="296"/>
      <c r="LKD366" s="266"/>
      <c r="LKE366" s="649"/>
      <c r="LKF366" s="326"/>
      <c r="LKG366" s="655"/>
      <c r="LKH366" s="284"/>
      <c r="LKI366" s="656"/>
      <c r="LKJ366" s="286"/>
      <c r="LKK366" s="287"/>
      <c r="LKL366" s="296"/>
      <c r="LKM366" s="266"/>
      <c r="LKN366" s="649"/>
      <c r="LKO366" s="326"/>
      <c r="LKP366" s="655"/>
      <c r="LKQ366" s="284"/>
      <c r="LKR366" s="656"/>
      <c r="LKS366" s="286"/>
      <c r="LKT366" s="287"/>
      <c r="LKU366" s="296"/>
      <c r="LKV366" s="266"/>
      <c r="LKW366" s="649"/>
      <c r="LKX366" s="326"/>
      <c r="LKY366" s="655"/>
      <c r="LKZ366" s="284"/>
      <c r="LLA366" s="656"/>
      <c r="LLB366" s="286"/>
      <c r="LLC366" s="287"/>
      <c r="LLD366" s="296"/>
      <c r="LLE366" s="266"/>
      <c r="LLF366" s="649"/>
      <c r="LLG366" s="326"/>
      <c r="LLH366" s="655"/>
      <c r="LLI366" s="284"/>
      <c r="LLJ366" s="656"/>
      <c r="LLK366" s="286"/>
      <c r="LLL366" s="287"/>
      <c r="LLM366" s="296"/>
      <c r="LLN366" s="266"/>
      <c r="LLO366" s="649"/>
      <c r="LLP366" s="326"/>
      <c r="LLQ366" s="655"/>
      <c r="LLR366" s="284"/>
      <c r="LLS366" s="656"/>
      <c r="LLT366" s="286"/>
      <c r="LLU366" s="287"/>
      <c r="LLV366" s="296"/>
      <c r="LLW366" s="266"/>
      <c r="LLX366" s="649"/>
      <c r="LLY366" s="326"/>
      <c r="LLZ366" s="655"/>
      <c r="LMA366" s="284"/>
      <c r="LMB366" s="656"/>
      <c r="LMC366" s="286"/>
      <c r="LMD366" s="287"/>
      <c r="LME366" s="296"/>
      <c r="LMF366" s="266"/>
      <c r="LMG366" s="649"/>
      <c r="LMH366" s="326"/>
      <c r="LMI366" s="655"/>
      <c r="LMJ366" s="284"/>
      <c r="LMK366" s="656"/>
      <c r="LML366" s="286"/>
      <c r="LMM366" s="287"/>
      <c r="LMN366" s="296"/>
      <c r="LMO366" s="266"/>
      <c r="LMP366" s="649"/>
      <c r="LMQ366" s="326"/>
      <c r="LMR366" s="655"/>
      <c r="LMS366" s="284"/>
      <c r="LMT366" s="656"/>
      <c r="LMU366" s="286"/>
      <c r="LMV366" s="287"/>
      <c r="LMW366" s="296"/>
      <c r="LMX366" s="266"/>
      <c r="LMY366" s="649"/>
      <c r="LMZ366" s="326"/>
      <c r="LNA366" s="655"/>
      <c r="LNB366" s="284"/>
      <c r="LNC366" s="656"/>
      <c r="LND366" s="286"/>
      <c r="LNE366" s="287"/>
      <c r="LNF366" s="296"/>
      <c r="LNG366" s="266"/>
      <c r="LNH366" s="649"/>
      <c r="LNI366" s="326"/>
      <c r="LNJ366" s="655"/>
      <c r="LNK366" s="284"/>
      <c r="LNL366" s="656"/>
      <c r="LNM366" s="286"/>
      <c r="LNN366" s="287"/>
      <c r="LNO366" s="296"/>
      <c r="LNP366" s="266"/>
      <c r="LNQ366" s="649"/>
      <c r="LNR366" s="326"/>
      <c r="LNS366" s="655"/>
      <c r="LNT366" s="284"/>
      <c r="LNU366" s="656"/>
      <c r="LNV366" s="286"/>
      <c r="LNW366" s="287"/>
      <c r="LNX366" s="296"/>
      <c r="LNY366" s="266"/>
      <c r="LNZ366" s="649"/>
      <c r="LOA366" s="326"/>
      <c r="LOB366" s="655"/>
      <c r="LOC366" s="284"/>
      <c r="LOD366" s="656"/>
      <c r="LOE366" s="286"/>
      <c r="LOF366" s="287"/>
      <c r="LOG366" s="296"/>
      <c r="LOH366" s="266"/>
      <c r="LOI366" s="649"/>
      <c r="LOJ366" s="326"/>
      <c r="LOK366" s="655"/>
      <c r="LOL366" s="284"/>
      <c r="LOM366" s="656"/>
      <c r="LON366" s="286"/>
      <c r="LOO366" s="287"/>
      <c r="LOP366" s="296"/>
      <c r="LOQ366" s="266"/>
      <c r="LOR366" s="649"/>
      <c r="LOS366" s="326"/>
      <c r="LOT366" s="655"/>
      <c r="LOU366" s="284"/>
      <c r="LOV366" s="656"/>
      <c r="LOW366" s="286"/>
      <c r="LOX366" s="287"/>
      <c r="LOY366" s="296"/>
      <c r="LOZ366" s="266"/>
      <c r="LPA366" s="649"/>
      <c r="LPB366" s="326"/>
      <c r="LPC366" s="655"/>
      <c r="LPD366" s="284"/>
      <c r="LPE366" s="656"/>
      <c r="LPF366" s="286"/>
      <c r="LPG366" s="287"/>
      <c r="LPH366" s="296"/>
      <c r="LPI366" s="266"/>
      <c r="LPJ366" s="649"/>
      <c r="LPK366" s="326"/>
      <c r="LPL366" s="655"/>
      <c r="LPM366" s="284"/>
      <c r="LPN366" s="656"/>
      <c r="LPO366" s="286"/>
      <c r="LPP366" s="287"/>
      <c r="LPQ366" s="296"/>
      <c r="LPR366" s="266"/>
      <c r="LPS366" s="649"/>
      <c r="LPT366" s="326"/>
      <c r="LPU366" s="655"/>
      <c r="LPV366" s="284"/>
      <c r="LPW366" s="656"/>
      <c r="LPX366" s="286"/>
      <c r="LPY366" s="287"/>
      <c r="LPZ366" s="296"/>
      <c r="LQA366" s="266"/>
      <c r="LQB366" s="649"/>
      <c r="LQC366" s="326"/>
      <c r="LQD366" s="655"/>
      <c r="LQE366" s="284"/>
      <c r="LQF366" s="656"/>
      <c r="LQG366" s="286"/>
      <c r="LQH366" s="287"/>
      <c r="LQI366" s="296"/>
      <c r="LQJ366" s="266"/>
      <c r="LQK366" s="649"/>
      <c r="LQL366" s="326"/>
      <c r="LQM366" s="655"/>
      <c r="LQN366" s="284"/>
      <c r="LQO366" s="656"/>
      <c r="LQP366" s="286"/>
      <c r="LQQ366" s="287"/>
      <c r="LQR366" s="296"/>
      <c r="LQS366" s="266"/>
      <c r="LQT366" s="649"/>
      <c r="LQU366" s="326"/>
      <c r="LQV366" s="655"/>
      <c r="LQW366" s="284"/>
      <c r="LQX366" s="656"/>
      <c r="LQY366" s="286"/>
      <c r="LQZ366" s="287"/>
      <c r="LRA366" s="296"/>
      <c r="LRB366" s="266"/>
      <c r="LRC366" s="649"/>
      <c r="LRD366" s="326"/>
      <c r="LRE366" s="655"/>
      <c r="LRF366" s="284"/>
      <c r="LRG366" s="656"/>
      <c r="LRH366" s="286"/>
      <c r="LRI366" s="287"/>
      <c r="LRJ366" s="296"/>
      <c r="LRK366" s="266"/>
      <c r="LRL366" s="649"/>
      <c r="LRM366" s="326"/>
      <c r="LRN366" s="655"/>
      <c r="LRO366" s="284"/>
      <c r="LRP366" s="656"/>
      <c r="LRQ366" s="286"/>
      <c r="LRR366" s="287"/>
      <c r="LRS366" s="296"/>
      <c r="LRT366" s="266"/>
      <c r="LRU366" s="649"/>
      <c r="LRV366" s="326"/>
      <c r="LRW366" s="655"/>
      <c r="LRX366" s="284"/>
      <c r="LRY366" s="656"/>
      <c r="LRZ366" s="286"/>
      <c r="LSA366" s="287"/>
      <c r="LSB366" s="296"/>
      <c r="LSC366" s="266"/>
      <c r="LSD366" s="649"/>
      <c r="LSE366" s="326"/>
      <c r="LSF366" s="655"/>
      <c r="LSG366" s="284"/>
      <c r="LSH366" s="656"/>
      <c r="LSI366" s="286"/>
      <c r="LSJ366" s="287"/>
      <c r="LSK366" s="296"/>
      <c r="LSL366" s="266"/>
      <c r="LSM366" s="649"/>
      <c r="LSN366" s="326"/>
      <c r="LSO366" s="655"/>
      <c r="LSP366" s="284"/>
      <c r="LSQ366" s="656"/>
      <c r="LSR366" s="286"/>
      <c r="LSS366" s="287"/>
      <c r="LST366" s="296"/>
      <c r="LSU366" s="266"/>
      <c r="LSV366" s="649"/>
      <c r="LSW366" s="326"/>
      <c r="LSX366" s="655"/>
      <c r="LSY366" s="284"/>
      <c r="LSZ366" s="656"/>
      <c r="LTA366" s="286"/>
      <c r="LTB366" s="287"/>
      <c r="LTC366" s="296"/>
      <c r="LTD366" s="266"/>
      <c r="LTE366" s="649"/>
      <c r="LTF366" s="326"/>
      <c r="LTG366" s="655"/>
      <c r="LTH366" s="284"/>
      <c r="LTI366" s="656"/>
      <c r="LTJ366" s="286"/>
      <c r="LTK366" s="287"/>
      <c r="LTL366" s="296"/>
      <c r="LTM366" s="266"/>
      <c r="LTN366" s="649"/>
      <c r="LTO366" s="326"/>
      <c r="LTP366" s="655"/>
      <c r="LTQ366" s="284"/>
      <c r="LTR366" s="656"/>
      <c r="LTS366" s="286"/>
      <c r="LTT366" s="287"/>
      <c r="LTU366" s="296"/>
      <c r="LTV366" s="266"/>
      <c r="LTW366" s="649"/>
      <c r="LTX366" s="326"/>
      <c r="LTY366" s="655"/>
      <c r="LTZ366" s="284"/>
      <c r="LUA366" s="656"/>
      <c r="LUB366" s="286"/>
      <c r="LUC366" s="287"/>
      <c r="LUD366" s="296"/>
      <c r="LUE366" s="266"/>
      <c r="LUF366" s="649"/>
      <c r="LUG366" s="326"/>
      <c r="LUH366" s="655"/>
      <c r="LUI366" s="284"/>
      <c r="LUJ366" s="656"/>
      <c r="LUK366" s="286"/>
      <c r="LUL366" s="287"/>
      <c r="LUM366" s="296"/>
      <c r="LUN366" s="266"/>
      <c r="LUO366" s="649"/>
      <c r="LUP366" s="326"/>
      <c r="LUQ366" s="655"/>
      <c r="LUR366" s="284"/>
      <c r="LUS366" s="656"/>
      <c r="LUT366" s="286"/>
      <c r="LUU366" s="287"/>
      <c r="LUV366" s="296"/>
      <c r="LUW366" s="266"/>
      <c r="LUX366" s="649"/>
      <c r="LUY366" s="326"/>
      <c r="LUZ366" s="655"/>
      <c r="LVA366" s="284"/>
      <c r="LVB366" s="656"/>
      <c r="LVC366" s="286"/>
      <c r="LVD366" s="287"/>
      <c r="LVE366" s="296"/>
      <c r="LVF366" s="266"/>
      <c r="LVG366" s="649"/>
      <c r="LVH366" s="326"/>
      <c r="LVI366" s="655"/>
      <c r="LVJ366" s="284"/>
      <c r="LVK366" s="656"/>
      <c r="LVL366" s="286"/>
      <c r="LVM366" s="287"/>
      <c r="LVN366" s="296"/>
      <c r="LVO366" s="266"/>
      <c r="LVP366" s="649"/>
      <c r="LVQ366" s="326"/>
      <c r="LVR366" s="655"/>
      <c r="LVS366" s="284"/>
      <c r="LVT366" s="656"/>
      <c r="LVU366" s="286"/>
      <c r="LVV366" s="287"/>
      <c r="LVW366" s="296"/>
      <c r="LVX366" s="266"/>
      <c r="LVY366" s="649"/>
      <c r="LVZ366" s="326"/>
      <c r="LWA366" s="655"/>
      <c r="LWB366" s="284"/>
      <c r="LWC366" s="656"/>
      <c r="LWD366" s="286"/>
      <c r="LWE366" s="287"/>
      <c r="LWF366" s="296"/>
      <c r="LWG366" s="266"/>
      <c r="LWH366" s="649"/>
      <c r="LWI366" s="326"/>
      <c r="LWJ366" s="655"/>
      <c r="LWK366" s="284"/>
      <c r="LWL366" s="656"/>
      <c r="LWM366" s="286"/>
      <c r="LWN366" s="287"/>
      <c r="LWO366" s="296"/>
      <c r="LWP366" s="266"/>
      <c r="LWQ366" s="649"/>
      <c r="LWR366" s="326"/>
      <c r="LWS366" s="655"/>
      <c r="LWT366" s="284"/>
      <c r="LWU366" s="656"/>
      <c r="LWV366" s="286"/>
      <c r="LWW366" s="287"/>
      <c r="LWX366" s="296"/>
      <c r="LWY366" s="266"/>
      <c r="LWZ366" s="649"/>
      <c r="LXA366" s="326"/>
      <c r="LXB366" s="655"/>
      <c r="LXC366" s="284"/>
      <c r="LXD366" s="656"/>
      <c r="LXE366" s="286"/>
      <c r="LXF366" s="287"/>
      <c r="LXG366" s="296"/>
      <c r="LXH366" s="266"/>
      <c r="LXI366" s="649"/>
      <c r="LXJ366" s="326"/>
      <c r="LXK366" s="655"/>
      <c r="LXL366" s="284"/>
      <c r="LXM366" s="656"/>
      <c r="LXN366" s="286"/>
      <c r="LXO366" s="287"/>
      <c r="LXP366" s="296"/>
      <c r="LXQ366" s="266"/>
      <c r="LXR366" s="649"/>
      <c r="LXS366" s="326"/>
      <c r="LXT366" s="655"/>
      <c r="LXU366" s="284"/>
      <c r="LXV366" s="656"/>
      <c r="LXW366" s="286"/>
      <c r="LXX366" s="287"/>
      <c r="LXY366" s="296"/>
      <c r="LXZ366" s="266"/>
      <c r="LYA366" s="649"/>
      <c r="LYB366" s="326"/>
      <c r="LYC366" s="655"/>
      <c r="LYD366" s="284"/>
      <c r="LYE366" s="656"/>
      <c r="LYF366" s="286"/>
      <c r="LYG366" s="287"/>
      <c r="LYH366" s="296"/>
      <c r="LYI366" s="266"/>
      <c r="LYJ366" s="649"/>
      <c r="LYK366" s="326"/>
      <c r="LYL366" s="655"/>
      <c r="LYM366" s="284"/>
      <c r="LYN366" s="656"/>
      <c r="LYO366" s="286"/>
      <c r="LYP366" s="287"/>
      <c r="LYQ366" s="296"/>
      <c r="LYR366" s="266"/>
      <c r="LYS366" s="649"/>
      <c r="LYT366" s="326"/>
      <c r="LYU366" s="655"/>
      <c r="LYV366" s="284"/>
      <c r="LYW366" s="656"/>
      <c r="LYX366" s="286"/>
      <c r="LYY366" s="287"/>
      <c r="LYZ366" s="296"/>
      <c r="LZA366" s="266"/>
      <c r="LZB366" s="649"/>
      <c r="LZC366" s="326"/>
      <c r="LZD366" s="655"/>
      <c r="LZE366" s="284"/>
      <c r="LZF366" s="656"/>
      <c r="LZG366" s="286"/>
      <c r="LZH366" s="287"/>
      <c r="LZI366" s="296"/>
      <c r="LZJ366" s="266"/>
      <c r="LZK366" s="649"/>
      <c r="LZL366" s="326"/>
      <c r="LZM366" s="655"/>
      <c r="LZN366" s="284"/>
      <c r="LZO366" s="656"/>
      <c r="LZP366" s="286"/>
      <c r="LZQ366" s="287"/>
      <c r="LZR366" s="296"/>
      <c r="LZS366" s="266"/>
      <c r="LZT366" s="649"/>
      <c r="LZU366" s="326"/>
      <c r="LZV366" s="655"/>
      <c r="LZW366" s="284"/>
      <c r="LZX366" s="656"/>
      <c r="LZY366" s="286"/>
      <c r="LZZ366" s="287"/>
      <c r="MAA366" s="296"/>
      <c r="MAB366" s="266"/>
      <c r="MAC366" s="649"/>
      <c r="MAD366" s="326"/>
      <c r="MAE366" s="655"/>
      <c r="MAF366" s="284"/>
      <c r="MAG366" s="656"/>
      <c r="MAH366" s="286"/>
      <c r="MAI366" s="287"/>
      <c r="MAJ366" s="296"/>
      <c r="MAK366" s="266"/>
      <c r="MAL366" s="649"/>
      <c r="MAM366" s="326"/>
      <c r="MAN366" s="655"/>
      <c r="MAO366" s="284"/>
      <c r="MAP366" s="656"/>
      <c r="MAQ366" s="286"/>
      <c r="MAR366" s="287"/>
      <c r="MAS366" s="296"/>
      <c r="MAT366" s="266"/>
      <c r="MAU366" s="649"/>
      <c r="MAV366" s="326"/>
      <c r="MAW366" s="655"/>
      <c r="MAX366" s="284"/>
      <c r="MAY366" s="656"/>
      <c r="MAZ366" s="286"/>
      <c r="MBA366" s="287"/>
      <c r="MBB366" s="296"/>
      <c r="MBC366" s="266"/>
      <c r="MBD366" s="649"/>
      <c r="MBE366" s="326"/>
      <c r="MBF366" s="655"/>
      <c r="MBG366" s="284"/>
      <c r="MBH366" s="656"/>
      <c r="MBI366" s="286"/>
      <c r="MBJ366" s="287"/>
      <c r="MBK366" s="296"/>
      <c r="MBL366" s="266"/>
      <c r="MBM366" s="649"/>
      <c r="MBN366" s="326"/>
      <c r="MBO366" s="655"/>
      <c r="MBP366" s="284"/>
      <c r="MBQ366" s="656"/>
      <c r="MBR366" s="286"/>
      <c r="MBS366" s="287"/>
      <c r="MBT366" s="296"/>
      <c r="MBU366" s="266"/>
      <c r="MBV366" s="649"/>
      <c r="MBW366" s="326"/>
      <c r="MBX366" s="655"/>
      <c r="MBY366" s="284"/>
      <c r="MBZ366" s="656"/>
      <c r="MCA366" s="286"/>
      <c r="MCB366" s="287"/>
      <c r="MCC366" s="296"/>
      <c r="MCD366" s="266"/>
      <c r="MCE366" s="649"/>
      <c r="MCF366" s="326"/>
      <c r="MCG366" s="655"/>
      <c r="MCH366" s="284"/>
      <c r="MCI366" s="656"/>
      <c r="MCJ366" s="286"/>
      <c r="MCK366" s="287"/>
      <c r="MCL366" s="296"/>
      <c r="MCM366" s="266"/>
      <c r="MCN366" s="649"/>
      <c r="MCO366" s="326"/>
      <c r="MCP366" s="655"/>
      <c r="MCQ366" s="284"/>
      <c r="MCR366" s="656"/>
      <c r="MCS366" s="286"/>
      <c r="MCT366" s="287"/>
      <c r="MCU366" s="296"/>
      <c r="MCV366" s="266"/>
      <c r="MCW366" s="649"/>
      <c r="MCX366" s="326"/>
      <c r="MCY366" s="655"/>
      <c r="MCZ366" s="284"/>
      <c r="MDA366" s="656"/>
      <c r="MDB366" s="286"/>
      <c r="MDC366" s="287"/>
      <c r="MDD366" s="296"/>
      <c r="MDE366" s="266"/>
      <c r="MDF366" s="649"/>
      <c r="MDG366" s="326"/>
      <c r="MDH366" s="655"/>
      <c r="MDI366" s="284"/>
      <c r="MDJ366" s="656"/>
      <c r="MDK366" s="286"/>
      <c r="MDL366" s="287"/>
      <c r="MDM366" s="296"/>
      <c r="MDN366" s="266"/>
      <c r="MDO366" s="649"/>
      <c r="MDP366" s="326"/>
      <c r="MDQ366" s="655"/>
      <c r="MDR366" s="284"/>
      <c r="MDS366" s="656"/>
      <c r="MDT366" s="286"/>
      <c r="MDU366" s="287"/>
      <c r="MDV366" s="296"/>
      <c r="MDW366" s="266"/>
      <c r="MDX366" s="649"/>
      <c r="MDY366" s="326"/>
      <c r="MDZ366" s="655"/>
      <c r="MEA366" s="284"/>
      <c r="MEB366" s="656"/>
      <c r="MEC366" s="286"/>
      <c r="MED366" s="287"/>
      <c r="MEE366" s="296"/>
      <c r="MEF366" s="266"/>
      <c r="MEG366" s="649"/>
      <c r="MEH366" s="326"/>
      <c r="MEI366" s="655"/>
      <c r="MEJ366" s="284"/>
      <c r="MEK366" s="656"/>
      <c r="MEL366" s="286"/>
      <c r="MEM366" s="287"/>
      <c r="MEN366" s="296"/>
      <c r="MEO366" s="266"/>
      <c r="MEP366" s="649"/>
      <c r="MEQ366" s="326"/>
      <c r="MER366" s="655"/>
      <c r="MES366" s="284"/>
      <c r="MET366" s="656"/>
      <c r="MEU366" s="286"/>
      <c r="MEV366" s="287"/>
      <c r="MEW366" s="296"/>
      <c r="MEX366" s="266"/>
      <c r="MEY366" s="649"/>
      <c r="MEZ366" s="326"/>
      <c r="MFA366" s="655"/>
      <c r="MFB366" s="284"/>
      <c r="MFC366" s="656"/>
      <c r="MFD366" s="286"/>
      <c r="MFE366" s="287"/>
      <c r="MFF366" s="296"/>
      <c r="MFG366" s="266"/>
      <c r="MFH366" s="649"/>
      <c r="MFI366" s="326"/>
      <c r="MFJ366" s="655"/>
      <c r="MFK366" s="284"/>
      <c r="MFL366" s="656"/>
      <c r="MFM366" s="286"/>
      <c r="MFN366" s="287"/>
      <c r="MFO366" s="296"/>
      <c r="MFP366" s="266"/>
      <c r="MFQ366" s="649"/>
      <c r="MFR366" s="326"/>
      <c r="MFS366" s="655"/>
      <c r="MFT366" s="284"/>
      <c r="MFU366" s="656"/>
      <c r="MFV366" s="286"/>
      <c r="MFW366" s="287"/>
      <c r="MFX366" s="296"/>
      <c r="MFY366" s="266"/>
      <c r="MFZ366" s="649"/>
      <c r="MGA366" s="326"/>
      <c r="MGB366" s="655"/>
      <c r="MGC366" s="284"/>
      <c r="MGD366" s="656"/>
      <c r="MGE366" s="286"/>
      <c r="MGF366" s="287"/>
      <c r="MGG366" s="296"/>
      <c r="MGH366" s="266"/>
      <c r="MGI366" s="649"/>
      <c r="MGJ366" s="326"/>
      <c r="MGK366" s="655"/>
      <c r="MGL366" s="284"/>
      <c r="MGM366" s="656"/>
      <c r="MGN366" s="286"/>
      <c r="MGO366" s="287"/>
      <c r="MGP366" s="296"/>
      <c r="MGQ366" s="266"/>
      <c r="MGR366" s="649"/>
      <c r="MGS366" s="326"/>
      <c r="MGT366" s="655"/>
      <c r="MGU366" s="284"/>
      <c r="MGV366" s="656"/>
      <c r="MGW366" s="286"/>
      <c r="MGX366" s="287"/>
      <c r="MGY366" s="296"/>
      <c r="MGZ366" s="266"/>
      <c r="MHA366" s="649"/>
      <c r="MHB366" s="326"/>
      <c r="MHC366" s="655"/>
      <c r="MHD366" s="284"/>
      <c r="MHE366" s="656"/>
      <c r="MHF366" s="286"/>
      <c r="MHG366" s="287"/>
      <c r="MHH366" s="296"/>
      <c r="MHI366" s="266"/>
      <c r="MHJ366" s="649"/>
      <c r="MHK366" s="326"/>
      <c r="MHL366" s="655"/>
      <c r="MHM366" s="284"/>
      <c r="MHN366" s="656"/>
      <c r="MHO366" s="286"/>
      <c r="MHP366" s="287"/>
      <c r="MHQ366" s="296"/>
      <c r="MHR366" s="266"/>
      <c r="MHS366" s="649"/>
      <c r="MHT366" s="326"/>
      <c r="MHU366" s="655"/>
      <c r="MHV366" s="284"/>
      <c r="MHW366" s="656"/>
      <c r="MHX366" s="286"/>
      <c r="MHY366" s="287"/>
      <c r="MHZ366" s="296"/>
      <c r="MIA366" s="266"/>
      <c r="MIB366" s="649"/>
      <c r="MIC366" s="326"/>
      <c r="MID366" s="655"/>
      <c r="MIE366" s="284"/>
      <c r="MIF366" s="656"/>
      <c r="MIG366" s="286"/>
      <c r="MIH366" s="287"/>
      <c r="MII366" s="296"/>
      <c r="MIJ366" s="266"/>
      <c r="MIK366" s="649"/>
      <c r="MIL366" s="326"/>
      <c r="MIM366" s="655"/>
      <c r="MIN366" s="284"/>
      <c r="MIO366" s="656"/>
      <c r="MIP366" s="286"/>
      <c r="MIQ366" s="287"/>
      <c r="MIR366" s="296"/>
      <c r="MIS366" s="266"/>
      <c r="MIT366" s="649"/>
      <c r="MIU366" s="326"/>
      <c r="MIV366" s="655"/>
      <c r="MIW366" s="284"/>
      <c r="MIX366" s="656"/>
      <c r="MIY366" s="286"/>
      <c r="MIZ366" s="287"/>
      <c r="MJA366" s="296"/>
      <c r="MJB366" s="266"/>
      <c r="MJC366" s="649"/>
      <c r="MJD366" s="326"/>
      <c r="MJE366" s="655"/>
      <c r="MJF366" s="284"/>
      <c r="MJG366" s="656"/>
      <c r="MJH366" s="286"/>
      <c r="MJI366" s="287"/>
      <c r="MJJ366" s="296"/>
      <c r="MJK366" s="266"/>
      <c r="MJL366" s="649"/>
      <c r="MJM366" s="326"/>
      <c r="MJN366" s="655"/>
      <c r="MJO366" s="284"/>
      <c r="MJP366" s="656"/>
      <c r="MJQ366" s="286"/>
      <c r="MJR366" s="287"/>
      <c r="MJS366" s="296"/>
      <c r="MJT366" s="266"/>
      <c r="MJU366" s="649"/>
      <c r="MJV366" s="326"/>
      <c r="MJW366" s="655"/>
      <c r="MJX366" s="284"/>
      <c r="MJY366" s="656"/>
      <c r="MJZ366" s="286"/>
      <c r="MKA366" s="287"/>
      <c r="MKB366" s="296"/>
      <c r="MKC366" s="266"/>
      <c r="MKD366" s="649"/>
      <c r="MKE366" s="326"/>
      <c r="MKF366" s="655"/>
      <c r="MKG366" s="284"/>
      <c r="MKH366" s="656"/>
      <c r="MKI366" s="286"/>
      <c r="MKJ366" s="287"/>
      <c r="MKK366" s="296"/>
      <c r="MKL366" s="266"/>
      <c r="MKM366" s="649"/>
      <c r="MKN366" s="326"/>
      <c r="MKO366" s="655"/>
      <c r="MKP366" s="284"/>
      <c r="MKQ366" s="656"/>
      <c r="MKR366" s="286"/>
      <c r="MKS366" s="287"/>
      <c r="MKT366" s="296"/>
      <c r="MKU366" s="266"/>
      <c r="MKV366" s="649"/>
      <c r="MKW366" s="326"/>
      <c r="MKX366" s="655"/>
      <c r="MKY366" s="284"/>
      <c r="MKZ366" s="656"/>
      <c r="MLA366" s="286"/>
      <c r="MLB366" s="287"/>
      <c r="MLC366" s="296"/>
      <c r="MLD366" s="266"/>
      <c r="MLE366" s="649"/>
      <c r="MLF366" s="326"/>
      <c r="MLG366" s="655"/>
      <c r="MLH366" s="284"/>
      <c r="MLI366" s="656"/>
      <c r="MLJ366" s="286"/>
      <c r="MLK366" s="287"/>
      <c r="MLL366" s="296"/>
      <c r="MLM366" s="266"/>
      <c r="MLN366" s="649"/>
      <c r="MLO366" s="326"/>
      <c r="MLP366" s="655"/>
      <c r="MLQ366" s="284"/>
      <c r="MLR366" s="656"/>
      <c r="MLS366" s="286"/>
      <c r="MLT366" s="287"/>
      <c r="MLU366" s="296"/>
      <c r="MLV366" s="266"/>
      <c r="MLW366" s="649"/>
      <c r="MLX366" s="326"/>
      <c r="MLY366" s="655"/>
      <c r="MLZ366" s="284"/>
      <c r="MMA366" s="656"/>
      <c r="MMB366" s="286"/>
      <c r="MMC366" s="287"/>
      <c r="MMD366" s="296"/>
      <c r="MME366" s="266"/>
      <c r="MMF366" s="649"/>
      <c r="MMG366" s="326"/>
      <c r="MMH366" s="655"/>
      <c r="MMI366" s="284"/>
      <c r="MMJ366" s="656"/>
      <c r="MMK366" s="286"/>
      <c r="MML366" s="287"/>
      <c r="MMM366" s="296"/>
      <c r="MMN366" s="266"/>
      <c r="MMO366" s="649"/>
      <c r="MMP366" s="326"/>
      <c r="MMQ366" s="655"/>
      <c r="MMR366" s="284"/>
      <c r="MMS366" s="656"/>
      <c r="MMT366" s="286"/>
      <c r="MMU366" s="287"/>
      <c r="MMV366" s="296"/>
      <c r="MMW366" s="266"/>
      <c r="MMX366" s="649"/>
      <c r="MMY366" s="326"/>
      <c r="MMZ366" s="655"/>
      <c r="MNA366" s="284"/>
      <c r="MNB366" s="656"/>
      <c r="MNC366" s="286"/>
      <c r="MND366" s="287"/>
      <c r="MNE366" s="296"/>
      <c r="MNF366" s="266"/>
      <c r="MNG366" s="649"/>
      <c r="MNH366" s="326"/>
      <c r="MNI366" s="655"/>
      <c r="MNJ366" s="284"/>
      <c r="MNK366" s="656"/>
      <c r="MNL366" s="286"/>
      <c r="MNM366" s="287"/>
      <c r="MNN366" s="296"/>
      <c r="MNO366" s="266"/>
      <c r="MNP366" s="649"/>
      <c r="MNQ366" s="326"/>
      <c r="MNR366" s="655"/>
      <c r="MNS366" s="284"/>
      <c r="MNT366" s="656"/>
      <c r="MNU366" s="286"/>
      <c r="MNV366" s="287"/>
      <c r="MNW366" s="296"/>
      <c r="MNX366" s="266"/>
      <c r="MNY366" s="649"/>
      <c r="MNZ366" s="326"/>
      <c r="MOA366" s="655"/>
      <c r="MOB366" s="284"/>
      <c r="MOC366" s="656"/>
      <c r="MOD366" s="286"/>
      <c r="MOE366" s="287"/>
      <c r="MOF366" s="296"/>
      <c r="MOG366" s="266"/>
      <c r="MOH366" s="649"/>
      <c r="MOI366" s="326"/>
      <c r="MOJ366" s="655"/>
      <c r="MOK366" s="284"/>
      <c r="MOL366" s="656"/>
      <c r="MOM366" s="286"/>
      <c r="MON366" s="287"/>
      <c r="MOO366" s="296"/>
      <c r="MOP366" s="266"/>
      <c r="MOQ366" s="649"/>
      <c r="MOR366" s="326"/>
      <c r="MOS366" s="655"/>
      <c r="MOT366" s="284"/>
      <c r="MOU366" s="656"/>
      <c r="MOV366" s="286"/>
      <c r="MOW366" s="287"/>
      <c r="MOX366" s="296"/>
      <c r="MOY366" s="266"/>
      <c r="MOZ366" s="649"/>
      <c r="MPA366" s="326"/>
      <c r="MPB366" s="655"/>
      <c r="MPC366" s="284"/>
      <c r="MPD366" s="656"/>
      <c r="MPE366" s="286"/>
      <c r="MPF366" s="287"/>
      <c r="MPG366" s="296"/>
      <c r="MPH366" s="266"/>
      <c r="MPI366" s="649"/>
      <c r="MPJ366" s="326"/>
      <c r="MPK366" s="655"/>
      <c r="MPL366" s="284"/>
      <c r="MPM366" s="656"/>
      <c r="MPN366" s="286"/>
      <c r="MPO366" s="287"/>
      <c r="MPP366" s="296"/>
      <c r="MPQ366" s="266"/>
      <c r="MPR366" s="649"/>
      <c r="MPS366" s="326"/>
      <c r="MPT366" s="655"/>
      <c r="MPU366" s="284"/>
      <c r="MPV366" s="656"/>
      <c r="MPW366" s="286"/>
      <c r="MPX366" s="287"/>
      <c r="MPY366" s="296"/>
      <c r="MPZ366" s="266"/>
      <c r="MQA366" s="649"/>
      <c r="MQB366" s="326"/>
      <c r="MQC366" s="655"/>
      <c r="MQD366" s="284"/>
      <c r="MQE366" s="656"/>
      <c r="MQF366" s="286"/>
      <c r="MQG366" s="287"/>
      <c r="MQH366" s="296"/>
      <c r="MQI366" s="266"/>
      <c r="MQJ366" s="649"/>
      <c r="MQK366" s="326"/>
      <c r="MQL366" s="655"/>
      <c r="MQM366" s="284"/>
      <c r="MQN366" s="656"/>
      <c r="MQO366" s="286"/>
      <c r="MQP366" s="287"/>
      <c r="MQQ366" s="296"/>
      <c r="MQR366" s="266"/>
      <c r="MQS366" s="649"/>
      <c r="MQT366" s="326"/>
      <c r="MQU366" s="655"/>
      <c r="MQV366" s="284"/>
      <c r="MQW366" s="656"/>
      <c r="MQX366" s="286"/>
      <c r="MQY366" s="287"/>
      <c r="MQZ366" s="296"/>
      <c r="MRA366" s="266"/>
      <c r="MRB366" s="649"/>
      <c r="MRC366" s="326"/>
      <c r="MRD366" s="655"/>
      <c r="MRE366" s="284"/>
      <c r="MRF366" s="656"/>
      <c r="MRG366" s="286"/>
      <c r="MRH366" s="287"/>
      <c r="MRI366" s="296"/>
      <c r="MRJ366" s="266"/>
      <c r="MRK366" s="649"/>
      <c r="MRL366" s="326"/>
      <c r="MRM366" s="655"/>
      <c r="MRN366" s="284"/>
      <c r="MRO366" s="656"/>
      <c r="MRP366" s="286"/>
      <c r="MRQ366" s="287"/>
      <c r="MRR366" s="296"/>
      <c r="MRS366" s="266"/>
      <c r="MRT366" s="649"/>
      <c r="MRU366" s="326"/>
      <c r="MRV366" s="655"/>
      <c r="MRW366" s="284"/>
      <c r="MRX366" s="656"/>
      <c r="MRY366" s="286"/>
      <c r="MRZ366" s="287"/>
      <c r="MSA366" s="296"/>
      <c r="MSB366" s="266"/>
      <c r="MSC366" s="649"/>
      <c r="MSD366" s="326"/>
      <c r="MSE366" s="655"/>
      <c r="MSF366" s="284"/>
      <c r="MSG366" s="656"/>
      <c r="MSH366" s="286"/>
      <c r="MSI366" s="287"/>
      <c r="MSJ366" s="296"/>
      <c r="MSK366" s="266"/>
      <c r="MSL366" s="649"/>
      <c r="MSM366" s="326"/>
      <c r="MSN366" s="655"/>
      <c r="MSO366" s="284"/>
      <c r="MSP366" s="656"/>
      <c r="MSQ366" s="286"/>
      <c r="MSR366" s="287"/>
      <c r="MSS366" s="296"/>
      <c r="MST366" s="266"/>
      <c r="MSU366" s="649"/>
      <c r="MSV366" s="326"/>
      <c r="MSW366" s="655"/>
      <c r="MSX366" s="284"/>
      <c r="MSY366" s="656"/>
      <c r="MSZ366" s="286"/>
      <c r="MTA366" s="287"/>
      <c r="MTB366" s="296"/>
      <c r="MTC366" s="266"/>
      <c r="MTD366" s="649"/>
      <c r="MTE366" s="326"/>
      <c r="MTF366" s="655"/>
      <c r="MTG366" s="284"/>
      <c r="MTH366" s="656"/>
      <c r="MTI366" s="286"/>
      <c r="MTJ366" s="287"/>
      <c r="MTK366" s="296"/>
      <c r="MTL366" s="266"/>
      <c r="MTM366" s="649"/>
      <c r="MTN366" s="326"/>
      <c r="MTO366" s="655"/>
      <c r="MTP366" s="284"/>
      <c r="MTQ366" s="656"/>
      <c r="MTR366" s="286"/>
      <c r="MTS366" s="287"/>
      <c r="MTT366" s="296"/>
      <c r="MTU366" s="266"/>
      <c r="MTV366" s="649"/>
      <c r="MTW366" s="326"/>
      <c r="MTX366" s="655"/>
      <c r="MTY366" s="284"/>
      <c r="MTZ366" s="656"/>
      <c r="MUA366" s="286"/>
      <c r="MUB366" s="287"/>
      <c r="MUC366" s="296"/>
      <c r="MUD366" s="266"/>
      <c r="MUE366" s="649"/>
      <c r="MUF366" s="326"/>
      <c r="MUG366" s="655"/>
      <c r="MUH366" s="284"/>
      <c r="MUI366" s="656"/>
      <c r="MUJ366" s="286"/>
      <c r="MUK366" s="287"/>
      <c r="MUL366" s="296"/>
      <c r="MUM366" s="266"/>
      <c r="MUN366" s="649"/>
      <c r="MUO366" s="326"/>
      <c r="MUP366" s="655"/>
      <c r="MUQ366" s="284"/>
      <c r="MUR366" s="656"/>
      <c r="MUS366" s="286"/>
      <c r="MUT366" s="287"/>
      <c r="MUU366" s="296"/>
      <c r="MUV366" s="266"/>
      <c r="MUW366" s="649"/>
      <c r="MUX366" s="326"/>
      <c r="MUY366" s="655"/>
      <c r="MUZ366" s="284"/>
      <c r="MVA366" s="656"/>
      <c r="MVB366" s="286"/>
      <c r="MVC366" s="287"/>
      <c r="MVD366" s="296"/>
      <c r="MVE366" s="266"/>
      <c r="MVF366" s="649"/>
      <c r="MVG366" s="326"/>
      <c r="MVH366" s="655"/>
      <c r="MVI366" s="284"/>
      <c r="MVJ366" s="656"/>
      <c r="MVK366" s="286"/>
      <c r="MVL366" s="287"/>
      <c r="MVM366" s="296"/>
      <c r="MVN366" s="266"/>
      <c r="MVO366" s="649"/>
      <c r="MVP366" s="326"/>
      <c r="MVQ366" s="655"/>
      <c r="MVR366" s="284"/>
      <c r="MVS366" s="656"/>
      <c r="MVT366" s="286"/>
      <c r="MVU366" s="287"/>
      <c r="MVV366" s="296"/>
      <c r="MVW366" s="266"/>
      <c r="MVX366" s="649"/>
      <c r="MVY366" s="326"/>
      <c r="MVZ366" s="655"/>
      <c r="MWA366" s="284"/>
      <c r="MWB366" s="656"/>
      <c r="MWC366" s="286"/>
      <c r="MWD366" s="287"/>
      <c r="MWE366" s="296"/>
      <c r="MWF366" s="266"/>
      <c r="MWG366" s="649"/>
      <c r="MWH366" s="326"/>
      <c r="MWI366" s="655"/>
      <c r="MWJ366" s="284"/>
      <c r="MWK366" s="656"/>
      <c r="MWL366" s="286"/>
      <c r="MWM366" s="287"/>
      <c r="MWN366" s="296"/>
      <c r="MWO366" s="266"/>
      <c r="MWP366" s="649"/>
      <c r="MWQ366" s="326"/>
      <c r="MWR366" s="655"/>
      <c r="MWS366" s="284"/>
      <c r="MWT366" s="656"/>
      <c r="MWU366" s="286"/>
      <c r="MWV366" s="287"/>
      <c r="MWW366" s="296"/>
      <c r="MWX366" s="266"/>
      <c r="MWY366" s="649"/>
      <c r="MWZ366" s="326"/>
      <c r="MXA366" s="655"/>
      <c r="MXB366" s="284"/>
      <c r="MXC366" s="656"/>
      <c r="MXD366" s="286"/>
      <c r="MXE366" s="287"/>
      <c r="MXF366" s="296"/>
      <c r="MXG366" s="266"/>
      <c r="MXH366" s="649"/>
      <c r="MXI366" s="326"/>
      <c r="MXJ366" s="655"/>
      <c r="MXK366" s="284"/>
      <c r="MXL366" s="656"/>
      <c r="MXM366" s="286"/>
      <c r="MXN366" s="287"/>
      <c r="MXO366" s="296"/>
      <c r="MXP366" s="266"/>
      <c r="MXQ366" s="649"/>
      <c r="MXR366" s="326"/>
      <c r="MXS366" s="655"/>
      <c r="MXT366" s="284"/>
      <c r="MXU366" s="656"/>
      <c r="MXV366" s="286"/>
      <c r="MXW366" s="287"/>
      <c r="MXX366" s="296"/>
      <c r="MXY366" s="266"/>
      <c r="MXZ366" s="649"/>
      <c r="MYA366" s="326"/>
      <c r="MYB366" s="655"/>
      <c r="MYC366" s="284"/>
      <c r="MYD366" s="656"/>
      <c r="MYE366" s="286"/>
      <c r="MYF366" s="287"/>
      <c r="MYG366" s="296"/>
      <c r="MYH366" s="266"/>
      <c r="MYI366" s="649"/>
      <c r="MYJ366" s="326"/>
      <c r="MYK366" s="655"/>
      <c r="MYL366" s="284"/>
      <c r="MYM366" s="656"/>
      <c r="MYN366" s="286"/>
      <c r="MYO366" s="287"/>
      <c r="MYP366" s="296"/>
      <c r="MYQ366" s="266"/>
      <c r="MYR366" s="649"/>
      <c r="MYS366" s="326"/>
      <c r="MYT366" s="655"/>
      <c r="MYU366" s="284"/>
      <c r="MYV366" s="656"/>
      <c r="MYW366" s="286"/>
      <c r="MYX366" s="287"/>
      <c r="MYY366" s="296"/>
      <c r="MYZ366" s="266"/>
      <c r="MZA366" s="649"/>
      <c r="MZB366" s="326"/>
      <c r="MZC366" s="655"/>
      <c r="MZD366" s="284"/>
      <c r="MZE366" s="656"/>
      <c r="MZF366" s="286"/>
      <c r="MZG366" s="287"/>
      <c r="MZH366" s="296"/>
      <c r="MZI366" s="266"/>
      <c r="MZJ366" s="649"/>
      <c r="MZK366" s="326"/>
      <c r="MZL366" s="655"/>
      <c r="MZM366" s="284"/>
      <c r="MZN366" s="656"/>
      <c r="MZO366" s="286"/>
      <c r="MZP366" s="287"/>
      <c r="MZQ366" s="296"/>
      <c r="MZR366" s="266"/>
      <c r="MZS366" s="649"/>
      <c r="MZT366" s="326"/>
      <c r="MZU366" s="655"/>
      <c r="MZV366" s="284"/>
      <c r="MZW366" s="656"/>
      <c r="MZX366" s="286"/>
      <c r="MZY366" s="287"/>
      <c r="MZZ366" s="296"/>
      <c r="NAA366" s="266"/>
      <c r="NAB366" s="649"/>
      <c r="NAC366" s="326"/>
      <c r="NAD366" s="655"/>
      <c r="NAE366" s="284"/>
      <c r="NAF366" s="656"/>
      <c r="NAG366" s="286"/>
      <c r="NAH366" s="287"/>
      <c r="NAI366" s="296"/>
      <c r="NAJ366" s="266"/>
      <c r="NAK366" s="649"/>
      <c r="NAL366" s="326"/>
      <c r="NAM366" s="655"/>
      <c r="NAN366" s="284"/>
      <c r="NAO366" s="656"/>
      <c r="NAP366" s="286"/>
      <c r="NAQ366" s="287"/>
      <c r="NAR366" s="296"/>
      <c r="NAS366" s="266"/>
      <c r="NAT366" s="649"/>
      <c r="NAU366" s="326"/>
      <c r="NAV366" s="655"/>
      <c r="NAW366" s="284"/>
      <c r="NAX366" s="656"/>
      <c r="NAY366" s="286"/>
      <c r="NAZ366" s="287"/>
      <c r="NBA366" s="296"/>
      <c r="NBB366" s="266"/>
      <c r="NBC366" s="649"/>
      <c r="NBD366" s="326"/>
      <c r="NBE366" s="655"/>
      <c r="NBF366" s="284"/>
      <c r="NBG366" s="656"/>
      <c r="NBH366" s="286"/>
      <c r="NBI366" s="287"/>
      <c r="NBJ366" s="296"/>
      <c r="NBK366" s="266"/>
      <c r="NBL366" s="649"/>
      <c r="NBM366" s="326"/>
      <c r="NBN366" s="655"/>
      <c r="NBO366" s="284"/>
      <c r="NBP366" s="656"/>
      <c r="NBQ366" s="286"/>
      <c r="NBR366" s="287"/>
      <c r="NBS366" s="296"/>
      <c r="NBT366" s="266"/>
      <c r="NBU366" s="649"/>
      <c r="NBV366" s="326"/>
      <c r="NBW366" s="655"/>
      <c r="NBX366" s="284"/>
      <c r="NBY366" s="656"/>
      <c r="NBZ366" s="286"/>
      <c r="NCA366" s="287"/>
      <c r="NCB366" s="296"/>
      <c r="NCC366" s="266"/>
      <c r="NCD366" s="649"/>
      <c r="NCE366" s="326"/>
      <c r="NCF366" s="655"/>
      <c r="NCG366" s="284"/>
      <c r="NCH366" s="656"/>
      <c r="NCI366" s="286"/>
      <c r="NCJ366" s="287"/>
      <c r="NCK366" s="296"/>
      <c r="NCL366" s="266"/>
      <c r="NCM366" s="649"/>
      <c r="NCN366" s="326"/>
      <c r="NCO366" s="655"/>
      <c r="NCP366" s="284"/>
      <c r="NCQ366" s="656"/>
      <c r="NCR366" s="286"/>
      <c r="NCS366" s="287"/>
      <c r="NCT366" s="296"/>
      <c r="NCU366" s="266"/>
      <c r="NCV366" s="649"/>
      <c r="NCW366" s="326"/>
      <c r="NCX366" s="655"/>
      <c r="NCY366" s="284"/>
      <c r="NCZ366" s="656"/>
      <c r="NDA366" s="286"/>
      <c r="NDB366" s="287"/>
      <c r="NDC366" s="296"/>
      <c r="NDD366" s="266"/>
      <c r="NDE366" s="649"/>
      <c r="NDF366" s="326"/>
      <c r="NDG366" s="655"/>
      <c r="NDH366" s="284"/>
      <c r="NDI366" s="656"/>
      <c r="NDJ366" s="286"/>
      <c r="NDK366" s="287"/>
      <c r="NDL366" s="296"/>
      <c r="NDM366" s="266"/>
      <c r="NDN366" s="649"/>
      <c r="NDO366" s="326"/>
      <c r="NDP366" s="655"/>
      <c r="NDQ366" s="284"/>
      <c r="NDR366" s="656"/>
      <c r="NDS366" s="286"/>
      <c r="NDT366" s="287"/>
      <c r="NDU366" s="296"/>
      <c r="NDV366" s="266"/>
      <c r="NDW366" s="649"/>
      <c r="NDX366" s="326"/>
      <c r="NDY366" s="655"/>
      <c r="NDZ366" s="284"/>
      <c r="NEA366" s="656"/>
      <c r="NEB366" s="286"/>
      <c r="NEC366" s="287"/>
      <c r="NED366" s="296"/>
      <c r="NEE366" s="266"/>
      <c r="NEF366" s="649"/>
      <c r="NEG366" s="326"/>
      <c r="NEH366" s="655"/>
      <c r="NEI366" s="284"/>
      <c r="NEJ366" s="656"/>
      <c r="NEK366" s="286"/>
      <c r="NEL366" s="287"/>
      <c r="NEM366" s="296"/>
      <c r="NEN366" s="266"/>
      <c r="NEO366" s="649"/>
      <c r="NEP366" s="326"/>
      <c r="NEQ366" s="655"/>
      <c r="NER366" s="284"/>
      <c r="NES366" s="656"/>
      <c r="NET366" s="286"/>
      <c r="NEU366" s="287"/>
      <c r="NEV366" s="296"/>
      <c r="NEW366" s="266"/>
      <c r="NEX366" s="649"/>
      <c r="NEY366" s="326"/>
      <c r="NEZ366" s="655"/>
      <c r="NFA366" s="284"/>
      <c r="NFB366" s="656"/>
      <c r="NFC366" s="286"/>
      <c r="NFD366" s="287"/>
      <c r="NFE366" s="296"/>
      <c r="NFF366" s="266"/>
      <c r="NFG366" s="649"/>
      <c r="NFH366" s="326"/>
      <c r="NFI366" s="655"/>
      <c r="NFJ366" s="284"/>
      <c r="NFK366" s="656"/>
      <c r="NFL366" s="286"/>
      <c r="NFM366" s="287"/>
      <c r="NFN366" s="296"/>
      <c r="NFO366" s="266"/>
      <c r="NFP366" s="649"/>
      <c r="NFQ366" s="326"/>
      <c r="NFR366" s="655"/>
      <c r="NFS366" s="284"/>
      <c r="NFT366" s="656"/>
      <c r="NFU366" s="286"/>
      <c r="NFV366" s="287"/>
      <c r="NFW366" s="296"/>
      <c r="NFX366" s="266"/>
      <c r="NFY366" s="649"/>
      <c r="NFZ366" s="326"/>
      <c r="NGA366" s="655"/>
      <c r="NGB366" s="284"/>
      <c r="NGC366" s="656"/>
      <c r="NGD366" s="286"/>
      <c r="NGE366" s="287"/>
      <c r="NGF366" s="296"/>
      <c r="NGG366" s="266"/>
      <c r="NGH366" s="649"/>
      <c r="NGI366" s="326"/>
      <c r="NGJ366" s="655"/>
      <c r="NGK366" s="284"/>
      <c r="NGL366" s="656"/>
      <c r="NGM366" s="286"/>
      <c r="NGN366" s="287"/>
      <c r="NGO366" s="296"/>
      <c r="NGP366" s="266"/>
      <c r="NGQ366" s="649"/>
      <c r="NGR366" s="326"/>
      <c r="NGS366" s="655"/>
      <c r="NGT366" s="284"/>
      <c r="NGU366" s="656"/>
      <c r="NGV366" s="286"/>
      <c r="NGW366" s="287"/>
      <c r="NGX366" s="296"/>
      <c r="NGY366" s="266"/>
      <c r="NGZ366" s="649"/>
      <c r="NHA366" s="326"/>
      <c r="NHB366" s="655"/>
      <c r="NHC366" s="284"/>
      <c r="NHD366" s="656"/>
      <c r="NHE366" s="286"/>
      <c r="NHF366" s="287"/>
      <c r="NHG366" s="296"/>
      <c r="NHH366" s="266"/>
      <c r="NHI366" s="649"/>
      <c r="NHJ366" s="326"/>
      <c r="NHK366" s="655"/>
      <c r="NHL366" s="284"/>
      <c r="NHM366" s="656"/>
      <c r="NHN366" s="286"/>
      <c r="NHO366" s="287"/>
      <c r="NHP366" s="296"/>
      <c r="NHQ366" s="266"/>
      <c r="NHR366" s="649"/>
      <c r="NHS366" s="326"/>
      <c r="NHT366" s="655"/>
      <c r="NHU366" s="284"/>
      <c r="NHV366" s="656"/>
      <c r="NHW366" s="286"/>
      <c r="NHX366" s="287"/>
      <c r="NHY366" s="296"/>
      <c r="NHZ366" s="266"/>
      <c r="NIA366" s="649"/>
      <c r="NIB366" s="326"/>
      <c r="NIC366" s="655"/>
      <c r="NID366" s="284"/>
      <c r="NIE366" s="656"/>
      <c r="NIF366" s="286"/>
      <c r="NIG366" s="287"/>
      <c r="NIH366" s="296"/>
      <c r="NII366" s="266"/>
      <c r="NIJ366" s="649"/>
      <c r="NIK366" s="326"/>
      <c r="NIL366" s="655"/>
      <c r="NIM366" s="284"/>
      <c r="NIN366" s="656"/>
      <c r="NIO366" s="286"/>
      <c r="NIP366" s="287"/>
      <c r="NIQ366" s="296"/>
      <c r="NIR366" s="266"/>
      <c r="NIS366" s="649"/>
      <c r="NIT366" s="326"/>
      <c r="NIU366" s="655"/>
      <c r="NIV366" s="284"/>
      <c r="NIW366" s="656"/>
      <c r="NIX366" s="286"/>
      <c r="NIY366" s="287"/>
      <c r="NIZ366" s="296"/>
      <c r="NJA366" s="266"/>
      <c r="NJB366" s="649"/>
      <c r="NJC366" s="326"/>
      <c r="NJD366" s="655"/>
      <c r="NJE366" s="284"/>
      <c r="NJF366" s="656"/>
      <c r="NJG366" s="286"/>
      <c r="NJH366" s="287"/>
      <c r="NJI366" s="296"/>
      <c r="NJJ366" s="266"/>
      <c r="NJK366" s="649"/>
      <c r="NJL366" s="326"/>
      <c r="NJM366" s="655"/>
      <c r="NJN366" s="284"/>
      <c r="NJO366" s="656"/>
      <c r="NJP366" s="286"/>
      <c r="NJQ366" s="287"/>
      <c r="NJR366" s="296"/>
      <c r="NJS366" s="266"/>
      <c r="NJT366" s="649"/>
      <c r="NJU366" s="326"/>
      <c r="NJV366" s="655"/>
      <c r="NJW366" s="284"/>
      <c r="NJX366" s="656"/>
      <c r="NJY366" s="286"/>
      <c r="NJZ366" s="287"/>
      <c r="NKA366" s="296"/>
      <c r="NKB366" s="266"/>
      <c r="NKC366" s="649"/>
      <c r="NKD366" s="326"/>
      <c r="NKE366" s="655"/>
      <c r="NKF366" s="284"/>
      <c r="NKG366" s="656"/>
      <c r="NKH366" s="286"/>
      <c r="NKI366" s="287"/>
      <c r="NKJ366" s="296"/>
      <c r="NKK366" s="266"/>
      <c r="NKL366" s="649"/>
      <c r="NKM366" s="326"/>
      <c r="NKN366" s="655"/>
      <c r="NKO366" s="284"/>
      <c r="NKP366" s="656"/>
      <c r="NKQ366" s="286"/>
      <c r="NKR366" s="287"/>
      <c r="NKS366" s="296"/>
      <c r="NKT366" s="266"/>
      <c r="NKU366" s="649"/>
      <c r="NKV366" s="326"/>
      <c r="NKW366" s="655"/>
      <c r="NKX366" s="284"/>
      <c r="NKY366" s="656"/>
      <c r="NKZ366" s="286"/>
      <c r="NLA366" s="287"/>
      <c r="NLB366" s="296"/>
      <c r="NLC366" s="266"/>
      <c r="NLD366" s="649"/>
      <c r="NLE366" s="326"/>
      <c r="NLF366" s="655"/>
      <c r="NLG366" s="284"/>
      <c r="NLH366" s="656"/>
      <c r="NLI366" s="286"/>
      <c r="NLJ366" s="287"/>
      <c r="NLK366" s="296"/>
      <c r="NLL366" s="266"/>
      <c r="NLM366" s="649"/>
      <c r="NLN366" s="326"/>
      <c r="NLO366" s="655"/>
      <c r="NLP366" s="284"/>
      <c r="NLQ366" s="656"/>
      <c r="NLR366" s="286"/>
      <c r="NLS366" s="287"/>
      <c r="NLT366" s="296"/>
      <c r="NLU366" s="266"/>
      <c r="NLV366" s="649"/>
      <c r="NLW366" s="326"/>
      <c r="NLX366" s="655"/>
      <c r="NLY366" s="284"/>
      <c r="NLZ366" s="656"/>
      <c r="NMA366" s="286"/>
      <c r="NMB366" s="287"/>
      <c r="NMC366" s="296"/>
      <c r="NMD366" s="266"/>
      <c r="NME366" s="649"/>
      <c r="NMF366" s="326"/>
      <c r="NMG366" s="655"/>
      <c r="NMH366" s="284"/>
      <c r="NMI366" s="656"/>
      <c r="NMJ366" s="286"/>
      <c r="NMK366" s="287"/>
      <c r="NML366" s="296"/>
      <c r="NMM366" s="266"/>
      <c r="NMN366" s="649"/>
      <c r="NMO366" s="326"/>
      <c r="NMP366" s="655"/>
      <c r="NMQ366" s="284"/>
      <c r="NMR366" s="656"/>
      <c r="NMS366" s="286"/>
      <c r="NMT366" s="287"/>
      <c r="NMU366" s="296"/>
      <c r="NMV366" s="266"/>
      <c r="NMW366" s="649"/>
      <c r="NMX366" s="326"/>
      <c r="NMY366" s="655"/>
      <c r="NMZ366" s="284"/>
      <c r="NNA366" s="656"/>
      <c r="NNB366" s="286"/>
      <c r="NNC366" s="287"/>
      <c r="NND366" s="296"/>
      <c r="NNE366" s="266"/>
      <c r="NNF366" s="649"/>
      <c r="NNG366" s="326"/>
      <c r="NNH366" s="655"/>
      <c r="NNI366" s="284"/>
      <c r="NNJ366" s="656"/>
      <c r="NNK366" s="286"/>
      <c r="NNL366" s="287"/>
      <c r="NNM366" s="296"/>
      <c r="NNN366" s="266"/>
      <c r="NNO366" s="649"/>
      <c r="NNP366" s="326"/>
      <c r="NNQ366" s="655"/>
      <c r="NNR366" s="284"/>
      <c r="NNS366" s="656"/>
      <c r="NNT366" s="286"/>
      <c r="NNU366" s="287"/>
      <c r="NNV366" s="296"/>
      <c r="NNW366" s="266"/>
      <c r="NNX366" s="649"/>
      <c r="NNY366" s="326"/>
      <c r="NNZ366" s="655"/>
      <c r="NOA366" s="284"/>
      <c r="NOB366" s="656"/>
      <c r="NOC366" s="286"/>
      <c r="NOD366" s="287"/>
      <c r="NOE366" s="296"/>
      <c r="NOF366" s="266"/>
      <c r="NOG366" s="649"/>
      <c r="NOH366" s="326"/>
      <c r="NOI366" s="655"/>
      <c r="NOJ366" s="284"/>
      <c r="NOK366" s="656"/>
      <c r="NOL366" s="286"/>
      <c r="NOM366" s="287"/>
      <c r="NON366" s="296"/>
      <c r="NOO366" s="266"/>
      <c r="NOP366" s="649"/>
      <c r="NOQ366" s="326"/>
      <c r="NOR366" s="655"/>
      <c r="NOS366" s="284"/>
      <c r="NOT366" s="656"/>
      <c r="NOU366" s="286"/>
      <c r="NOV366" s="287"/>
      <c r="NOW366" s="296"/>
      <c r="NOX366" s="266"/>
      <c r="NOY366" s="649"/>
      <c r="NOZ366" s="326"/>
      <c r="NPA366" s="655"/>
      <c r="NPB366" s="284"/>
      <c r="NPC366" s="656"/>
      <c r="NPD366" s="286"/>
      <c r="NPE366" s="287"/>
      <c r="NPF366" s="296"/>
      <c r="NPG366" s="266"/>
      <c r="NPH366" s="649"/>
      <c r="NPI366" s="326"/>
      <c r="NPJ366" s="655"/>
      <c r="NPK366" s="284"/>
      <c r="NPL366" s="656"/>
      <c r="NPM366" s="286"/>
      <c r="NPN366" s="287"/>
      <c r="NPO366" s="296"/>
      <c r="NPP366" s="266"/>
      <c r="NPQ366" s="649"/>
      <c r="NPR366" s="326"/>
      <c r="NPS366" s="655"/>
      <c r="NPT366" s="284"/>
      <c r="NPU366" s="656"/>
      <c r="NPV366" s="286"/>
      <c r="NPW366" s="287"/>
      <c r="NPX366" s="296"/>
      <c r="NPY366" s="266"/>
      <c r="NPZ366" s="649"/>
      <c r="NQA366" s="326"/>
      <c r="NQB366" s="655"/>
      <c r="NQC366" s="284"/>
      <c r="NQD366" s="656"/>
      <c r="NQE366" s="286"/>
      <c r="NQF366" s="287"/>
      <c r="NQG366" s="296"/>
      <c r="NQH366" s="266"/>
      <c r="NQI366" s="649"/>
      <c r="NQJ366" s="326"/>
      <c r="NQK366" s="655"/>
      <c r="NQL366" s="284"/>
      <c r="NQM366" s="656"/>
      <c r="NQN366" s="286"/>
      <c r="NQO366" s="287"/>
      <c r="NQP366" s="296"/>
      <c r="NQQ366" s="266"/>
      <c r="NQR366" s="649"/>
      <c r="NQS366" s="326"/>
      <c r="NQT366" s="655"/>
      <c r="NQU366" s="284"/>
      <c r="NQV366" s="656"/>
      <c r="NQW366" s="286"/>
      <c r="NQX366" s="287"/>
      <c r="NQY366" s="296"/>
      <c r="NQZ366" s="266"/>
      <c r="NRA366" s="649"/>
      <c r="NRB366" s="326"/>
      <c r="NRC366" s="655"/>
      <c r="NRD366" s="284"/>
      <c r="NRE366" s="656"/>
      <c r="NRF366" s="286"/>
      <c r="NRG366" s="287"/>
      <c r="NRH366" s="296"/>
      <c r="NRI366" s="266"/>
      <c r="NRJ366" s="649"/>
      <c r="NRK366" s="326"/>
      <c r="NRL366" s="655"/>
      <c r="NRM366" s="284"/>
      <c r="NRN366" s="656"/>
      <c r="NRO366" s="286"/>
      <c r="NRP366" s="287"/>
      <c r="NRQ366" s="296"/>
      <c r="NRR366" s="266"/>
      <c r="NRS366" s="649"/>
      <c r="NRT366" s="326"/>
      <c r="NRU366" s="655"/>
      <c r="NRV366" s="284"/>
      <c r="NRW366" s="656"/>
      <c r="NRX366" s="286"/>
      <c r="NRY366" s="287"/>
      <c r="NRZ366" s="296"/>
      <c r="NSA366" s="266"/>
      <c r="NSB366" s="649"/>
      <c r="NSC366" s="326"/>
      <c r="NSD366" s="655"/>
      <c r="NSE366" s="284"/>
      <c r="NSF366" s="656"/>
      <c r="NSG366" s="286"/>
      <c r="NSH366" s="287"/>
      <c r="NSI366" s="296"/>
      <c r="NSJ366" s="266"/>
      <c r="NSK366" s="649"/>
      <c r="NSL366" s="326"/>
      <c r="NSM366" s="655"/>
      <c r="NSN366" s="284"/>
      <c r="NSO366" s="656"/>
      <c r="NSP366" s="286"/>
      <c r="NSQ366" s="287"/>
      <c r="NSR366" s="296"/>
      <c r="NSS366" s="266"/>
      <c r="NST366" s="649"/>
      <c r="NSU366" s="326"/>
      <c r="NSV366" s="655"/>
      <c r="NSW366" s="284"/>
      <c r="NSX366" s="656"/>
      <c r="NSY366" s="286"/>
      <c r="NSZ366" s="287"/>
      <c r="NTA366" s="296"/>
      <c r="NTB366" s="266"/>
      <c r="NTC366" s="649"/>
      <c r="NTD366" s="326"/>
      <c r="NTE366" s="655"/>
      <c r="NTF366" s="284"/>
      <c r="NTG366" s="656"/>
      <c r="NTH366" s="286"/>
      <c r="NTI366" s="287"/>
      <c r="NTJ366" s="296"/>
      <c r="NTK366" s="266"/>
      <c r="NTL366" s="649"/>
      <c r="NTM366" s="326"/>
      <c r="NTN366" s="655"/>
      <c r="NTO366" s="284"/>
      <c r="NTP366" s="656"/>
      <c r="NTQ366" s="286"/>
      <c r="NTR366" s="287"/>
      <c r="NTS366" s="296"/>
      <c r="NTT366" s="266"/>
      <c r="NTU366" s="649"/>
      <c r="NTV366" s="326"/>
      <c r="NTW366" s="655"/>
      <c r="NTX366" s="284"/>
      <c r="NTY366" s="656"/>
      <c r="NTZ366" s="286"/>
      <c r="NUA366" s="287"/>
      <c r="NUB366" s="296"/>
      <c r="NUC366" s="266"/>
      <c r="NUD366" s="649"/>
      <c r="NUE366" s="326"/>
      <c r="NUF366" s="655"/>
      <c r="NUG366" s="284"/>
      <c r="NUH366" s="656"/>
      <c r="NUI366" s="286"/>
      <c r="NUJ366" s="287"/>
      <c r="NUK366" s="296"/>
      <c r="NUL366" s="266"/>
      <c r="NUM366" s="649"/>
      <c r="NUN366" s="326"/>
      <c r="NUO366" s="655"/>
      <c r="NUP366" s="284"/>
      <c r="NUQ366" s="656"/>
      <c r="NUR366" s="286"/>
      <c r="NUS366" s="287"/>
      <c r="NUT366" s="296"/>
      <c r="NUU366" s="266"/>
      <c r="NUV366" s="649"/>
      <c r="NUW366" s="326"/>
      <c r="NUX366" s="655"/>
      <c r="NUY366" s="284"/>
      <c r="NUZ366" s="656"/>
      <c r="NVA366" s="286"/>
      <c r="NVB366" s="287"/>
      <c r="NVC366" s="296"/>
      <c r="NVD366" s="266"/>
      <c r="NVE366" s="649"/>
      <c r="NVF366" s="326"/>
      <c r="NVG366" s="655"/>
      <c r="NVH366" s="284"/>
      <c r="NVI366" s="656"/>
      <c r="NVJ366" s="286"/>
      <c r="NVK366" s="287"/>
      <c r="NVL366" s="296"/>
      <c r="NVM366" s="266"/>
      <c r="NVN366" s="649"/>
      <c r="NVO366" s="326"/>
      <c r="NVP366" s="655"/>
      <c r="NVQ366" s="284"/>
      <c r="NVR366" s="656"/>
      <c r="NVS366" s="286"/>
      <c r="NVT366" s="287"/>
      <c r="NVU366" s="296"/>
      <c r="NVV366" s="266"/>
      <c r="NVW366" s="649"/>
      <c r="NVX366" s="326"/>
      <c r="NVY366" s="655"/>
      <c r="NVZ366" s="284"/>
      <c r="NWA366" s="656"/>
      <c r="NWB366" s="286"/>
      <c r="NWC366" s="287"/>
      <c r="NWD366" s="296"/>
      <c r="NWE366" s="266"/>
      <c r="NWF366" s="649"/>
      <c r="NWG366" s="326"/>
      <c r="NWH366" s="655"/>
      <c r="NWI366" s="284"/>
      <c r="NWJ366" s="656"/>
      <c r="NWK366" s="286"/>
      <c r="NWL366" s="287"/>
      <c r="NWM366" s="296"/>
      <c r="NWN366" s="266"/>
      <c r="NWO366" s="649"/>
      <c r="NWP366" s="326"/>
      <c r="NWQ366" s="655"/>
      <c r="NWR366" s="284"/>
      <c r="NWS366" s="656"/>
      <c r="NWT366" s="286"/>
      <c r="NWU366" s="287"/>
      <c r="NWV366" s="296"/>
      <c r="NWW366" s="266"/>
      <c r="NWX366" s="649"/>
      <c r="NWY366" s="326"/>
      <c r="NWZ366" s="655"/>
      <c r="NXA366" s="284"/>
      <c r="NXB366" s="656"/>
      <c r="NXC366" s="286"/>
      <c r="NXD366" s="287"/>
      <c r="NXE366" s="296"/>
      <c r="NXF366" s="266"/>
      <c r="NXG366" s="649"/>
      <c r="NXH366" s="326"/>
      <c r="NXI366" s="655"/>
      <c r="NXJ366" s="284"/>
      <c r="NXK366" s="656"/>
      <c r="NXL366" s="286"/>
      <c r="NXM366" s="287"/>
      <c r="NXN366" s="296"/>
      <c r="NXO366" s="266"/>
      <c r="NXP366" s="649"/>
      <c r="NXQ366" s="326"/>
      <c r="NXR366" s="655"/>
      <c r="NXS366" s="284"/>
      <c r="NXT366" s="656"/>
      <c r="NXU366" s="286"/>
      <c r="NXV366" s="287"/>
      <c r="NXW366" s="296"/>
      <c r="NXX366" s="266"/>
      <c r="NXY366" s="649"/>
      <c r="NXZ366" s="326"/>
      <c r="NYA366" s="655"/>
      <c r="NYB366" s="284"/>
      <c r="NYC366" s="656"/>
      <c r="NYD366" s="286"/>
      <c r="NYE366" s="287"/>
      <c r="NYF366" s="296"/>
      <c r="NYG366" s="266"/>
      <c r="NYH366" s="649"/>
      <c r="NYI366" s="326"/>
      <c r="NYJ366" s="655"/>
      <c r="NYK366" s="284"/>
      <c r="NYL366" s="656"/>
      <c r="NYM366" s="286"/>
      <c r="NYN366" s="287"/>
      <c r="NYO366" s="296"/>
      <c r="NYP366" s="266"/>
      <c r="NYQ366" s="649"/>
      <c r="NYR366" s="326"/>
      <c r="NYS366" s="655"/>
      <c r="NYT366" s="284"/>
      <c r="NYU366" s="656"/>
      <c r="NYV366" s="286"/>
      <c r="NYW366" s="287"/>
      <c r="NYX366" s="296"/>
      <c r="NYY366" s="266"/>
      <c r="NYZ366" s="649"/>
      <c r="NZA366" s="326"/>
      <c r="NZB366" s="655"/>
      <c r="NZC366" s="284"/>
      <c r="NZD366" s="656"/>
      <c r="NZE366" s="286"/>
      <c r="NZF366" s="287"/>
      <c r="NZG366" s="296"/>
      <c r="NZH366" s="266"/>
      <c r="NZI366" s="649"/>
      <c r="NZJ366" s="326"/>
      <c r="NZK366" s="655"/>
      <c r="NZL366" s="284"/>
      <c r="NZM366" s="656"/>
      <c r="NZN366" s="286"/>
      <c r="NZO366" s="287"/>
      <c r="NZP366" s="296"/>
      <c r="NZQ366" s="266"/>
      <c r="NZR366" s="649"/>
      <c r="NZS366" s="326"/>
      <c r="NZT366" s="655"/>
      <c r="NZU366" s="284"/>
      <c r="NZV366" s="656"/>
      <c r="NZW366" s="286"/>
      <c r="NZX366" s="287"/>
      <c r="NZY366" s="296"/>
      <c r="NZZ366" s="266"/>
      <c r="OAA366" s="649"/>
      <c r="OAB366" s="326"/>
      <c r="OAC366" s="655"/>
      <c r="OAD366" s="284"/>
      <c r="OAE366" s="656"/>
      <c r="OAF366" s="286"/>
      <c r="OAG366" s="287"/>
      <c r="OAH366" s="296"/>
      <c r="OAI366" s="266"/>
      <c r="OAJ366" s="649"/>
      <c r="OAK366" s="326"/>
      <c r="OAL366" s="655"/>
      <c r="OAM366" s="284"/>
      <c r="OAN366" s="656"/>
      <c r="OAO366" s="286"/>
      <c r="OAP366" s="287"/>
      <c r="OAQ366" s="296"/>
      <c r="OAR366" s="266"/>
      <c r="OAS366" s="649"/>
      <c r="OAT366" s="326"/>
      <c r="OAU366" s="655"/>
      <c r="OAV366" s="284"/>
      <c r="OAW366" s="656"/>
      <c r="OAX366" s="286"/>
      <c r="OAY366" s="287"/>
      <c r="OAZ366" s="296"/>
      <c r="OBA366" s="266"/>
      <c r="OBB366" s="649"/>
      <c r="OBC366" s="326"/>
      <c r="OBD366" s="655"/>
      <c r="OBE366" s="284"/>
      <c r="OBF366" s="656"/>
      <c r="OBG366" s="286"/>
      <c r="OBH366" s="287"/>
      <c r="OBI366" s="296"/>
      <c r="OBJ366" s="266"/>
      <c r="OBK366" s="649"/>
      <c r="OBL366" s="326"/>
      <c r="OBM366" s="655"/>
      <c r="OBN366" s="284"/>
      <c r="OBO366" s="656"/>
      <c r="OBP366" s="286"/>
      <c r="OBQ366" s="287"/>
      <c r="OBR366" s="296"/>
      <c r="OBS366" s="266"/>
      <c r="OBT366" s="649"/>
      <c r="OBU366" s="326"/>
      <c r="OBV366" s="655"/>
      <c r="OBW366" s="284"/>
      <c r="OBX366" s="656"/>
      <c r="OBY366" s="286"/>
      <c r="OBZ366" s="287"/>
      <c r="OCA366" s="296"/>
      <c r="OCB366" s="266"/>
      <c r="OCC366" s="649"/>
      <c r="OCD366" s="326"/>
      <c r="OCE366" s="655"/>
      <c r="OCF366" s="284"/>
      <c r="OCG366" s="656"/>
      <c r="OCH366" s="286"/>
      <c r="OCI366" s="287"/>
      <c r="OCJ366" s="296"/>
      <c r="OCK366" s="266"/>
      <c r="OCL366" s="649"/>
      <c r="OCM366" s="326"/>
      <c r="OCN366" s="655"/>
      <c r="OCO366" s="284"/>
      <c r="OCP366" s="656"/>
      <c r="OCQ366" s="286"/>
      <c r="OCR366" s="287"/>
      <c r="OCS366" s="296"/>
      <c r="OCT366" s="266"/>
      <c r="OCU366" s="649"/>
      <c r="OCV366" s="326"/>
      <c r="OCW366" s="655"/>
      <c r="OCX366" s="284"/>
      <c r="OCY366" s="656"/>
      <c r="OCZ366" s="286"/>
      <c r="ODA366" s="287"/>
      <c r="ODB366" s="296"/>
      <c r="ODC366" s="266"/>
      <c r="ODD366" s="649"/>
      <c r="ODE366" s="326"/>
      <c r="ODF366" s="655"/>
      <c r="ODG366" s="284"/>
      <c r="ODH366" s="656"/>
      <c r="ODI366" s="286"/>
      <c r="ODJ366" s="287"/>
      <c r="ODK366" s="296"/>
      <c r="ODL366" s="266"/>
      <c r="ODM366" s="649"/>
      <c r="ODN366" s="326"/>
      <c r="ODO366" s="655"/>
      <c r="ODP366" s="284"/>
      <c r="ODQ366" s="656"/>
      <c r="ODR366" s="286"/>
      <c r="ODS366" s="287"/>
      <c r="ODT366" s="296"/>
      <c r="ODU366" s="266"/>
      <c r="ODV366" s="649"/>
      <c r="ODW366" s="326"/>
      <c r="ODX366" s="655"/>
      <c r="ODY366" s="284"/>
      <c r="ODZ366" s="656"/>
      <c r="OEA366" s="286"/>
      <c r="OEB366" s="287"/>
      <c r="OEC366" s="296"/>
      <c r="OED366" s="266"/>
      <c r="OEE366" s="649"/>
      <c r="OEF366" s="326"/>
      <c r="OEG366" s="655"/>
      <c r="OEH366" s="284"/>
      <c r="OEI366" s="656"/>
      <c r="OEJ366" s="286"/>
      <c r="OEK366" s="287"/>
      <c r="OEL366" s="296"/>
      <c r="OEM366" s="266"/>
      <c r="OEN366" s="649"/>
      <c r="OEO366" s="326"/>
      <c r="OEP366" s="655"/>
      <c r="OEQ366" s="284"/>
      <c r="OER366" s="656"/>
      <c r="OES366" s="286"/>
      <c r="OET366" s="287"/>
      <c r="OEU366" s="296"/>
      <c r="OEV366" s="266"/>
      <c r="OEW366" s="649"/>
      <c r="OEX366" s="326"/>
      <c r="OEY366" s="655"/>
      <c r="OEZ366" s="284"/>
      <c r="OFA366" s="656"/>
      <c r="OFB366" s="286"/>
      <c r="OFC366" s="287"/>
      <c r="OFD366" s="296"/>
      <c r="OFE366" s="266"/>
      <c r="OFF366" s="649"/>
      <c r="OFG366" s="326"/>
      <c r="OFH366" s="655"/>
      <c r="OFI366" s="284"/>
      <c r="OFJ366" s="656"/>
      <c r="OFK366" s="286"/>
      <c r="OFL366" s="287"/>
      <c r="OFM366" s="296"/>
      <c r="OFN366" s="266"/>
      <c r="OFO366" s="649"/>
      <c r="OFP366" s="326"/>
      <c r="OFQ366" s="655"/>
      <c r="OFR366" s="284"/>
      <c r="OFS366" s="656"/>
      <c r="OFT366" s="286"/>
      <c r="OFU366" s="287"/>
      <c r="OFV366" s="296"/>
      <c r="OFW366" s="266"/>
      <c r="OFX366" s="649"/>
      <c r="OFY366" s="326"/>
      <c r="OFZ366" s="655"/>
      <c r="OGA366" s="284"/>
      <c r="OGB366" s="656"/>
      <c r="OGC366" s="286"/>
      <c r="OGD366" s="287"/>
      <c r="OGE366" s="296"/>
      <c r="OGF366" s="266"/>
      <c r="OGG366" s="649"/>
      <c r="OGH366" s="326"/>
      <c r="OGI366" s="655"/>
      <c r="OGJ366" s="284"/>
      <c r="OGK366" s="656"/>
      <c r="OGL366" s="286"/>
      <c r="OGM366" s="287"/>
      <c r="OGN366" s="296"/>
      <c r="OGO366" s="266"/>
      <c r="OGP366" s="649"/>
      <c r="OGQ366" s="326"/>
      <c r="OGR366" s="655"/>
      <c r="OGS366" s="284"/>
      <c r="OGT366" s="656"/>
      <c r="OGU366" s="286"/>
      <c r="OGV366" s="287"/>
      <c r="OGW366" s="296"/>
      <c r="OGX366" s="266"/>
      <c r="OGY366" s="649"/>
      <c r="OGZ366" s="326"/>
      <c r="OHA366" s="655"/>
      <c r="OHB366" s="284"/>
      <c r="OHC366" s="656"/>
      <c r="OHD366" s="286"/>
      <c r="OHE366" s="287"/>
      <c r="OHF366" s="296"/>
      <c r="OHG366" s="266"/>
      <c r="OHH366" s="649"/>
      <c r="OHI366" s="326"/>
      <c r="OHJ366" s="655"/>
      <c r="OHK366" s="284"/>
      <c r="OHL366" s="656"/>
      <c r="OHM366" s="286"/>
      <c r="OHN366" s="287"/>
      <c r="OHO366" s="296"/>
      <c r="OHP366" s="266"/>
      <c r="OHQ366" s="649"/>
      <c r="OHR366" s="326"/>
      <c r="OHS366" s="655"/>
      <c r="OHT366" s="284"/>
      <c r="OHU366" s="656"/>
      <c r="OHV366" s="286"/>
      <c r="OHW366" s="287"/>
      <c r="OHX366" s="296"/>
      <c r="OHY366" s="266"/>
      <c r="OHZ366" s="649"/>
      <c r="OIA366" s="326"/>
      <c r="OIB366" s="655"/>
      <c r="OIC366" s="284"/>
      <c r="OID366" s="656"/>
      <c r="OIE366" s="286"/>
      <c r="OIF366" s="287"/>
      <c r="OIG366" s="296"/>
      <c r="OIH366" s="266"/>
      <c r="OII366" s="649"/>
      <c r="OIJ366" s="326"/>
      <c r="OIK366" s="655"/>
      <c r="OIL366" s="284"/>
      <c r="OIM366" s="656"/>
      <c r="OIN366" s="286"/>
      <c r="OIO366" s="287"/>
      <c r="OIP366" s="296"/>
      <c r="OIQ366" s="266"/>
      <c r="OIR366" s="649"/>
      <c r="OIS366" s="326"/>
      <c r="OIT366" s="655"/>
      <c r="OIU366" s="284"/>
      <c r="OIV366" s="656"/>
      <c r="OIW366" s="286"/>
      <c r="OIX366" s="287"/>
      <c r="OIY366" s="296"/>
      <c r="OIZ366" s="266"/>
      <c r="OJA366" s="649"/>
      <c r="OJB366" s="326"/>
      <c r="OJC366" s="655"/>
      <c r="OJD366" s="284"/>
      <c r="OJE366" s="656"/>
      <c r="OJF366" s="286"/>
      <c r="OJG366" s="287"/>
      <c r="OJH366" s="296"/>
      <c r="OJI366" s="266"/>
      <c r="OJJ366" s="649"/>
      <c r="OJK366" s="326"/>
      <c r="OJL366" s="655"/>
      <c r="OJM366" s="284"/>
      <c r="OJN366" s="656"/>
      <c r="OJO366" s="286"/>
      <c r="OJP366" s="287"/>
      <c r="OJQ366" s="296"/>
      <c r="OJR366" s="266"/>
      <c r="OJS366" s="649"/>
      <c r="OJT366" s="326"/>
      <c r="OJU366" s="655"/>
      <c r="OJV366" s="284"/>
      <c r="OJW366" s="656"/>
      <c r="OJX366" s="286"/>
      <c r="OJY366" s="287"/>
      <c r="OJZ366" s="296"/>
      <c r="OKA366" s="266"/>
      <c r="OKB366" s="649"/>
      <c r="OKC366" s="326"/>
      <c r="OKD366" s="655"/>
      <c r="OKE366" s="284"/>
      <c r="OKF366" s="656"/>
      <c r="OKG366" s="286"/>
      <c r="OKH366" s="287"/>
      <c r="OKI366" s="296"/>
      <c r="OKJ366" s="266"/>
      <c r="OKK366" s="649"/>
      <c r="OKL366" s="326"/>
      <c r="OKM366" s="655"/>
      <c r="OKN366" s="284"/>
      <c r="OKO366" s="656"/>
      <c r="OKP366" s="286"/>
      <c r="OKQ366" s="287"/>
      <c r="OKR366" s="296"/>
      <c r="OKS366" s="266"/>
      <c r="OKT366" s="649"/>
      <c r="OKU366" s="326"/>
      <c r="OKV366" s="655"/>
      <c r="OKW366" s="284"/>
      <c r="OKX366" s="656"/>
      <c r="OKY366" s="286"/>
      <c r="OKZ366" s="287"/>
      <c r="OLA366" s="296"/>
      <c r="OLB366" s="266"/>
      <c r="OLC366" s="649"/>
      <c r="OLD366" s="326"/>
      <c r="OLE366" s="655"/>
      <c r="OLF366" s="284"/>
      <c r="OLG366" s="656"/>
      <c r="OLH366" s="286"/>
      <c r="OLI366" s="287"/>
      <c r="OLJ366" s="296"/>
      <c r="OLK366" s="266"/>
      <c r="OLL366" s="649"/>
      <c r="OLM366" s="326"/>
      <c r="OLN366" s="655"/>
      <c r="OLO366" s="284"/>
      <c r="OLP366" s="656"/>
      <c r="OLQ366" s="286"/>
      <c r="OLR366" s="287"/>
      <c r="OLS366" s="296"/>
      <c r="OLT366" s="266"/>
      <c r="OLU366" s="649"/>
      <c r="OLV366" s="326"/>
      <c r="OLW366" s="655"/>
      <c r="OLX366" s="284"/>
      <c r="OLY366" s="656"/>
      <c r="OLZ366" s="286"/>
      <c r="OMA366" s="287"/>
      <c r="OMB366" s="296"/>
      <c r="OMC366" s="266"/>
      <c r="OMD366" s="649"/>
      <c r="OME366" s="326"/>
      <c r="OMF366" s="655"/>
      <c r="OMG366" s="284"/>
      <c r="OMH366" s="656"/>
      <c r="OMI366" s="286"/>
      <c r="OMJ366" s="287"/>
      <c r="OMK366" s="296"/>
      <c r="OML366" s="266"/>
      <c r="OMM366" s="649"/>
      <c r="OMN366" s="326"/>
      <c r="OMO366" s="655"/>
      <c r="OMP366" s="284"/>
      <c r="OMQ366" s="656"/>
      <c r="OMR366" s="286"/>
      <c r="OMS366" s="287"/>
      <c r="OMT366" s="296"/>
      <c r="OMU366" s="266"/>
      <c r="OMV366" s="649"/>
      <c r="OMW366" s="326"/>
      <c r="OMX366" s="655"/>
      <c r="OMY366" s="284"/>
      <c r="OMZ366" s="656"/>
      <c r="ONA366" s="286"/>
      <c r="ONB366" s="287"/>
      <c r="ONC366" s="296"/>
      <c r="OND366" s="266"/>
      <c r="ONE366" s="649"/>
      <c r="ONF366" s="326"/>
      <c r="ONG366" s="655"/>
      <c r="ONH366" s="284"/>
      <c r="ONI366" s="656"/>
      <c r="ONJ366" s="286"/>
      <c r="ONK366" s="287"/>
      <c r="ONL366" s="296"/>
      <c r="ONM366" s="266"/>
      <c r="ONN366" s="649"/>
      <c r="ONO366" s="326"/>
      <c r="ONP366" s="655"/>
      <c r="ONQ366" s="284"/>
      <c r="ONR366" s="656"/>
      <c r="ONS366" s="286"/>
      <c r="ONT366" s="287"/>
      <c r="ONU366" s="296"/>
      <c r="ONV366" s="266"/>
      <c r="ONW366" s="649"/>
      <c r="ONX366" s="326"/>
      <c r="ONY366" s="655"/>
      <c r="ONZ366" s="284"/>
      <c r="OOA366" s="656"/>
      <c r="OOB366" s="286"/>
      <c r="OOC366" s="287"/>
      <c r="OOD366" s="296"/>
      <c r="OOE366" s="266"/>
      <c r="OOF366" s="649"/>
      <c r="OOG366" s="326"/>
      <c r="OOH366" s="655"/>
      <c r="OOI366" s="284"/>
      <c r="OOJ366" s="656"/>
      <c r="OOK366" s="286"/>
      <c r="OOL366" s="287"/>
      <c r="OOM366" s="296"/>
      <c r="OON366" s="266"/>
      <c r="OOO366" s="649"/>
      <c r="OOP366" s="326"/>
      <c r="OOQ366" s="655"/>
      <c r="OOR366" s="284"/>
      <c r="OOS366" s="656"/>
      <c r="OOT366" s="286"/>
      <c r="OOU366" s="287"/>
      <c r="OOV366" s="296"/>
      <c r="OOW366" s="266"/>
      <c r="OOX366" s="649"/>
      <c r="OOY366" s="326"/>
      <c r="OOZ366" s="655"/>
      <c r="OPA366" s="284"/>
      <c r="OPB366" s="656"/>
      <c r="OPC366" s="286"/>
      <c r="OPD366" s="287"/>
      <c r="OPE366" s="296"/>
      <c r="OPF366" s="266"/>
      <c r="OPG366" s="649"/>
      <c r="OPH366" s="326"/>
      <c r="OPI366" s="655"/>
      <c r="OPJ366" s="284"/>
      <c r="OPK366" s="656"/>
      <c r="OPL366" s="286"/>
      <c r="OPM366" s="287"/>
      <c r="OPN366" s="296"/>
      <c r="OPO366" s="266"/>
      <c r="OPP366" s="649"/>
      <c r="OPQ366" s="326"/>
      <c r="OPR366" s="655"/>
      <c r="OPS366" s="284"/>
      <c r="OPT366" s="656"/>
      <c r="OPU366" s="286"/>
      <c r="OPV366" s="287"/>
      <c r="OPW366" s="296"/>
      <c r="OPX366" s="266"/>
      <c r="OPY366" s="649"/>
      <c r="OPZ366" s="326"/>
      <c r="OQA366" s="655"/>
      <c r="OQB366" s="284"/>
      <c r="OQC366" s="656"/>
      <c r="OQD366" s="286"/>
      <c r="OQE366" s="287"/>
      <c r="OQF366" s="296"/>
      <c r="OQG366" s="266"/>
      <c r="OQH366" s="649"/>
      <c r="OQI366" s="326"/>
      <c r="OQJ366" s="655"/>
      <c r="OQK366" s="284"/>
      <c r="OQL366" s="656"/>
      <c r="OQM366" s="286"/>
      <c r="OQN366" s="287"/>
      <c r="OQO366" s="296"/>
      <c r="OQP366" s="266"/>
      <c r="OQQ366" s="649"/>
      <c r="OQR366" s="326"/>
      <c r="OQS366" s="655"/>
      <c r="OQT366" s="284"/>
      <c r="OQU366" s="656"/>
      <c r="OQV366" s="286"/>
      <c r="OQW366" s="287"/>
      <c r="OQX366" s="296"/>
      <c r="OQY366" s="266"/>
      <c r="OQZ366" s="649"/>
      <c r="ORA366" s="326"/>
      <c r="ORB366" s="655"/>
      <c r="ORC366" s="284"/>
      <c r="ORD366" s="656"/>
      <c r="ORE366" s="286"/>
      <c r="ORF366" s="287"/>
      <c r="ORG366" s="296"/>
      <c r="ORH366" s="266"/>
      <c r="ORI366" s="649"/>
      <c r="ORJ366" s="326"/>
      <c r="ORK366" s="655"/>
      <c r="ORL366" s="284"/>
      <c r="ORM366" s="656"/>
      <c r="ORN366" s="286"/>
      <c r="ORO366" s="287"/>
      <c r="ORP366" s="296"/>
      <c r="ORQ366" s="266"/>
      <c r="ORR366" s="649"/>
      <c r="ORS366" s="326"/>
      <c r="ORT366" s="655"/>
      <c r="ORU366" s="284"/>
      <c r="ORV366" s="656"/>
      <c r="ORW366" s="286"/>
      <c r="ORX366" s="287"/>
      <c r="ORY366" s="296"/>
      <c r="ORZ366" s="266"/>
      <c r="OSA366" s="649"/>
      <c r="OSB366" s="326"/>
      <c r="OSC366" s="655"/>
      <c r="OSD366" s="284"/>
      <c r="OSE366" s="656"/>
      <c r="OSF366" s="286"/>
      <c r="OSG366" s="287"/>
      <c r="OSH366" s="296"/>
      <c r="OSI366" s="266"/>
      <c r="OSJ366" s="649"/>
      <c r="OSK366" s="326"/>
      <c r="OSL366" s="655"/>
      <c r="OSM366" s="284"/>
      <c r="OSN366" s="656"/>
      <c r="OSO366" s="286"/>
      <c r="OSP366" s="287"/>
      <c r="OSQ366" s="296"/>
      <c r="OSR366" s="266"/>
      <c r="OSS366" s="649"/>
      <c r="OST366" s="326"/>
      <c r="OSU366" s="655"/>
      <c r="OSV366" s="284"/>
      <c r="OSW366" s="656"/>
      <c r="OSX366" s="286"/>
      <c r="OSY366" s="287"/>
      <c r="OSZ366" s="296"/>
      <c r="OTA366" s="266"/>
      <c r="OTB366" s="649"/>
      <c r="OTC366" s="326"/>
      <c r="OTD366" s="655"/>
      <c r="OTE366" s="284"/>
      <c r="OTF366" s="656"/>
      <c r="OTG366" s="286"/>
      <c r="OTH366" s="287"/>
      <c r="OTI366" s="296"/>
      <c r="OTJ366" s="266"/>
      <c r="OTK366" s="649"/>
      <c r="OTL366" s="326"/>
      <c r="OTM366" s="655"/>
      <c r="OTN366" s="284"/>
      <c r="OTO366" s="656"/>
      <c r="OTP366" s="286"/>
      <c r="OTQ366" s="287"/>
      <c r="OTR366" s="296"/>
      <c r="OTS366" s="266"/>
      <c r="OTT366" s="649"/>
      <c r="OTU366" s="326"/>
      <c r="OTV366" s="655"/>
      <c r="OTW366" s="284"/>
      <c r="OTX366" s="656"/>
      <c r="OTY366" s="286"/>
      <c r="OTZ366" s="287"/>
      <c r="OUA366" s="296"/>
      <c r="OUB366" s="266"/>
      <c r="OUC366" s="649"/>
      <c r="OUD366" s="326"/>
      <c r="OUE366" s="655"/>
      <c r="OUF366" s="284"/>
      <c r="OUG366" s="656"/>
      <c r="OUH366" s="286"/>
      <c r="OUI366" s="287"/>
      <c r="OUJ366" s="296"/>
      <c r="OUK366" s="266"/>
      <c r="OUL366" s="649"/>
      <c r="OUM366" s="326"/>
      <c r="OUN366" s="655"/>
      <c r="OUO366" s="284"/>
      <c r="OUP366" s="656"/>
      <c r="OUQ366" s="286"/>
      <c r="OUR366" s="287"/>
      <c r="OUS366" s="296"/>
      <c r="OUT366" s="266"/>
      <c r="OUU366" s="649"/>
      <c r="OUV366" s="326"/>
      <c r="OUW366" s="655"/>
      <c r="OUX366" s="284"/>
      <c r="OUY366" s="656"/>
      <c r="OUZ366" s="286"/>
      <c r="OVA366" s="287"/>
      <c r="OVB366" s="296"/>
      <c r="OVC366" s="266"/>
      <c r="OVD366" s="649"/>
      <c r="OVE366" s="326"/>
      <c r="OVF366" s="655"/>
      <c r="OVG366" s="284"/>
      <c r="OVH366" s="656"/>
      <c r="OVI366" s="286"/>
      <c r="OVJ366" s="287"/>
      <c r="OVK366" s="296"/>
      <c r="OVL366" s="266"/>
      <c r="OVM366" s="649"/>
      <c r="OVN366" s="326"/>
      <c r="OVO366" s="655"/>
      <c r="OVP366" s="284"/>
      <c r="OVQ366" s="656"/>
      <c r="OVR366" s="286"/>
      <c r="OVS366" s="287"/>
      <c r="OVT366" s="296"/>
      <c r="OVU366" s="266"/>
      <c r="OVV366" s="649"/>
      <c r="OVW366" s="326"/>
      <c r="OVX366" s="655"/>
      <c r="OVY366" s="284"/>
      <c r="OVZ366" s="656"/>
      <c r="OWA366" s="286"/>
      <c r="OWB366" s="287"/>
      <c r="OWC366" s="296"/>
      <c r="OWD366" s="266"/>
      <c r="OWE366" s="649"/>
      <c r="OWF366" s="326"/>
      <c r="OWG366" s="655"/>
      <c r="OWH366" s="284"/>
      <c r="OWI366" s="656"/>
      <c r="OWJ366" s="286"/>
      <c r="OWK366" s="287"/>
      <c r="OWL366" s="296"/>
      <c r="OWM366" s="266"/>
      <c r="OWN366" s="649"/>
      <c r="OWO366" s="326"/>
      <c r="OWP366" s="655"/>
      <c r="OWQ366" s="284"/>
      <c r="OWR366" s="656"/>
      <c r="OWS366" s="286"/>
      <c r="OWT366" s="287"/>
      <c r="OWU366" s="296"/>
      <c r="OWV366" s="266"/>
      <c r="OWW366" s="649"/>
      <c r="OWX366" s="326"/>
      <c r="OWY366" s="655"/>
      <c r="OWZ366" s="284"/>
      <c r="OXA366" s="656"/>
      <c r="OXB366" s="286"/>
      <c r="OXC366" s="287"/>
      <c r="OXD366" s="296"/>
      <c r="OXE366" s="266"/>
      <c r="OXF366" s="649"/>
      <c r="OXG366" s="326"/>
      <c r="OXH366" s="655"/>
      <c r="OXI366" s="284"/>
      <c r="OXJ366" s="656"/>
      <c r="OXK366" s="286"/>
      <c r="OXL366" s="287"/>
      <c r="OXM366" s="296"/>
      <c r="OXN366" s="266"/>
      <c r="OXO366" s="649"/>
      <c r="OXP366" s="326"/>
      <c r="OXQ366" s="655"/>
      <c r="OXR366" s="284"/>
      <c r="OXS366" s="656"/>
      <c r="OXT366" s="286"/>
      <c r="OXU366" s="287"/>
      <c r="OXV366" s="296"/>
      <c r="OXW366" s="266"/>
      <c r="OXX366" s="649"/>
      <c r="OXY366" s="326"/>
      <c r="OXZ366" s="655"/>
      <c r="OYA366" s="284"/>
      <c r="OYB366" s="656"/>
      <c r="OYC366" s="286"/>
      <c r="OYD366" s="287"/>
      <c r="OYE366" s="296"/>
      <c r="OYF366" s="266"/>
      <c r="OYG366" s="649"/>
      <c r="OYH366" s="326"/>
      <c r="OYI366" s="655"/>
      <c r="OYJ366" s="284"/>
      <c r="OYK366" s="656"/>
      <c r="OYL366" s="286"/>
      <c r="OYM366" s="287"/>
      <c r="OYN366" s="296"/>
      <c r="OYO366" s="266"/>
      <c r="OYP366" s="649"/>
      <c r="OYQ366" s="326"/>
      <c r="OYR366" s="655"/>
      <c r="OYS366" s="284"/>
      <c r="OYT366" s="656"/>
      <c r="OYU366" s="286"/>
      <c r="OYV366" s="287"/>
      <c r="OYW366" s="296"/>
      <c r="OYX366" s="266"/>
      <c r="OYY366" s="649"/>
      <c r="OYZ366" s="326"/>
      <c r="OZA366" s="655"/>
      <c r="OZB366" s="284"/>
      <c r="OZC366" s="656"/>
      <c r="OZD366" s="286"/>
      <c r="OZE366" s="287"/>
      <c r="OZF366" s="296"/>
      <c r="OZG366" s="266"/>
      <c r="OZH366" s="649"/>
      <c r="OZI366" s="326"/>
      <c r="OZJ366" s="655"/>
      <c r="OZK366" s="284"/>
      <c r="OZL366" s="656"/>
      <c r="OZM366" s="286"/>
      <c r="OZN366" s="287"/>
      <c r="OZO366" s="296"/>
      <c r="OZP366" s="266"/>
      <c r="OZQ366" s="649"/>
      <c r="OZR366" s="326"/>
      <c r="OZS366" s="655"/>
      <c r="OZT366" s="284"/>
      <c r="OZU366" s="656"/>
      <c r="OZV366" s="286"/>
      <c r="OZW366" s="287"/>
      <c r="OZX366" s="296"/>
      <c r="OZY366" s="266"/>
      <c r="OZZ366" s="649"/>
      <c r="PAA366" s="326"/>
      <c r="PAB366" s="655"/>
      <c r="PAC366" s="284"/>
      <c r="PAD366" s="656"/>
      <c r="PAE366" s="286"/>
      <c r="PAF366" s="287"/>
      <c r="PAG366" s="296"/>
      <c r="PAH366" s="266"/>
      <c r="PAI366" s="649"/>
      <c r="PAJ366" s="326"/>
      <c r="PAK366" s="655"/>
      <c r="PAL366" s="284"/>
      <c r="PAM366" s="656"/>
      <c r="PAN366" s="286"/>
      <c r="PAO366" s="287"/>
      <c r="PAP366" s="296"/>
      <c r="PAQ366" s="266"/>
      <c r="PAR366" s="649"/>
      <c r="PAS366" s="326"/>
      <c r="PAT366" s="655"/>
      <c r="PAU366" s="284"/>
      <c r="PAV366" s="656"/>
      <c r="PAW366" s="286"/>
      <c r="PAX366" s="287"/>
      <c r="PAY366" s="296"/>
      <c r="PAZ366" s="266"/>
      <c r="PBA366" s="649"/>
      <c r="PBB366" s="326"/>
      <c r="PBC366" s="655"/>
      <c r="PBD366" s="284"/>
      <c r="PBE366" s="656"/>
      <c r="PBF366" s="286"/>
      <c r="PBG366" s="287"/>
      <c r="PBH366" s="296"/>
      <c r="PBI366" s="266"/>
      <c r="PBJ366" s="649"/>
      <c r="PBK366" s="326"/>
      <c r="PBL366" s="655"/>
      <c r="PBM366" s="284"/>
      <c r="PBN366" s="656"/>
      <c r="PBO366" s="286"/>
      <c r="PBP366" s="287"/>
      <c r="PBQ366" s="296"/>
      <c r="PBR366" s="266"/>
      <c r="PBS366" s="649"/>
      <c r="PBT366" s="326"/>
      <c r="PBU366" s="655"/>
      <c r="PBV366" s="284"/>
      <c r="PBW366" s="656"/>
      <c r="PBX366" s="286"/>
      <c r="PBY366" s="287"/>
      <c r="PBZ366" s="296"/>
      <c r="PCA366" s="266"/>
      <c r="PCB366" s="649"/>
      <c r="PCC366" s="326"/>
      <c r="PCD366" s="655"/>
      <c r="PCE366" s="284"/>
      <c r="PCF366" s="656"/>
      <c r="PCG366" s="286"/>
      <c r="PCH366" s="287"/>
      <c r="PCI366" s="296"/>
      <c r="PCJ366" s="266"/>
      <c r="PCK366" s="649"/>
      <c r="PCL366" s="326"/>
      <c r="PCM366" s="655"/>
      <c r="PCN366" s="284"/>
      <c r="PCO366" s="656"/>
      <c r="PCP366" s="286"/>
      <c r="PCQ366" s="287"/>
      <c r="PCR366" s="296"/>
      <c r="PCS366" s="266"/>
      <c r="PCT366" s="649"/>
      <c r="PCU366" s="326"/>
      <c r="PCV366" s="655"/>
      <c r="PCW366" s="284"/>
      <c r="PCX366" s="656"/>
      <c r="PCY366" s="286"/>
      <c r="PCZ366" s="287"/>
      <c r="PDA366" s="296"/>
      <c r="PDB366" s="266"/>
      <c r="PDC366" s="649"/>
      <c r="PDD366" s="326"/>
      <c r="PDE366" s="655"/>
      <c r="PDF366" s="284"/>
      <c r="PDG366" s="656"/>
      <c r="PDH366" s="286"/>
      <c r="PDI366" s="287"/>
      <c r="PDJ366" s="296"/>
      <c r="PDK366" s="266"/>
      <c r="PDL366" s="649"/>
      <c r="PDM366" s="326"/>
      <c r="PDN366" s="655"/>
      <c r="PDO366" s="284"/>
      <c r="PDP366" s="656"/>
      <c r="PDQ366" s="286"/>
      <c r="PDR366" s="287"/>
      <c r="PDS366" s="296"/>
      <c r="PDT366" s="266"/>
      <c r="PDU366" s="649"/>
      <c r="PDV366" s="326"/>
      <c r="PDW366" s="655"/>
      <c r="PDX366" s="284"/>
      <c r="PDY366" s="656"/>
      <c r="PDZ366" s="286"/>
      <c r="PEA366" s="287"/>
      <c r="PEB366" s="296"/>
      <c r="PEC366" s="266"/>
      <c r="PED366" s="649"/>
      <c r="PEE366" s="326"/>
      <c r="PEF366" s="655"/>
      <c r="PEG366" s="284"/>
      <c r="PEH366" s="656"/>
      <c r="PEI366" s="286"/>
      <c r="PEJ366" s="287"/>
      <c r="PEK366" s="296"/>
      <c r="PEL366" s="266"/>
      <c r="PEM366" s="649"/>
      <c r="PEN366" s="326"/>
      <c r="PEO366" s="655"/>
      <c r="PEP366" s="284"/>
      <c r="PEQ366" s="656"/>
      <c r="PER366" s="286"/>
      <c r="PES366" s="287"/>
      <c r="PET366" s="296"/>
      <c r="PEU366" s="266"/>
      <c r="PEV366" s="649"/>
      <c r="PEW366" s="326"/>
      <c r="PEX366" s="655"/>
      <c r="PEY366" s="284"/>
      <c r="PEZ366" s="656"/>
      <c r="PFA366" s="286"/>
      <c r="PFB366" s="287"/>
      <c r="PFC366" s="296"/>
      <c r="PFD366" s="266"/>
      <c r="PFE366" s="649"/>
      <c r="PFF366" s="326"/>
      <c r="PFG366" s="655"/>
      <c r="PFH366" s="284"/>
      <c r="PFI366" s="656"/>
      <c r="PFJ366" s="286"/>
      <c r="PFK366" s="287"/>
      <c r="PFL366" s="296"/>
      <c r="PFM366" s="266"/>
      <c r="PFN366" s="649"/>
      <c r="PFO366" s="326"/>
      <c r="PFP366" s="655"/>
      <c r="PFQ366" s="284"/>
      <c r="PFR366" s="656"/>
      <c r="PFS366" s="286"/>
      <c r="PFT366" s="287"/>
      <c r="PFU366" s="296"/>
      <c r="PFV366" s="266"/>
      <c r="PFW366" s="649"/>
      <c r="PFX366" s="326"/>
      <c r="PFY366" s="655"/>
      <c r="PFZ366" s="284"/>
      <c r="PGA366" s="656"/>
      <c r="PGB366" s="286"/>
      <c r="PGC366" s="287"/>
      <c r="PGD366" s="296"/>
      <c r="PGE366" s="266"/>
      <c r="PGF366" s="649"/>
      <c r="PGG366" s="326"/>
      <c r="PGH366" s="655"/>
      <c r="PGI366" s="284"/>
      <c r="PGJ366" s="656"/>
      <c r="PGK366" s="286"/>
      <c r="PGL366" s="287"/>
      <c r="PGM366" s="296"/>
      <c r="PGN366" s="266"/>
      <c r="PGO366" s="649"/>
      <c r="PGP366" s="326"/>
      <c r="PGQ366" s="655"/>
      <c r="PGR366" s="284"/>
      <c r="PGS366" s="656"/>
      <c r="PGT366" s="286"/>
      <c r="PGU366" s="287"/>
      <c r="PGV366" s="296"/>
      <c r="PGW366" s="266"/>
      <c r="PGX366" s="649"/>
      <c r="PGY366" s="326"/>
      <c r="PGZ366" s="655"/>
      <c r="PHA366" s="284"/>
      <c r="PHB366" s="656"/>
      <c r="PHC366" s="286"/>
      <c r="PHD366" s="287"/>
      <c r="PHE366" s="296"/>
      <c r="PHF366" s="266"/>
      <c r="PHG366" s="649"/>
      <c r="PHH366" s="326"/>
      <c r="PHI366" s="655"/>
      <c r="PHJ366" s="284"/>
      <c r="PHK366" s="656"/>
      <c r="PHL366" s="286"/>
      <c r="PHM366" s="287"/>
      <c r="PHN366" s="296"/>
      <c r="PHO366" s="266"/>
      <c r="PHP366" s="649"/>
      <c r="PHQ366" s="326"/>
      <c r="PHR366" s="655"/>
      <c r="PHS366" s="284"/>
      <c r="PHT366" s="656"/>
      <c r="PHU366" s="286"/>
      <c r="PHV366" s="287"/>
      <c r="PHW366" s="296"/>
      <c r="PHX366" s="266"/>
      <c r="PHY366" s="649"/>
      <c r="PHZ366" s="326"/>
      <c r="PIA366" s="655"/>
      <c r="PIB366" s="284"/>
      <c r="PIC366" s="656"/>
      <c r="PID366" s="286"/>
      <c r="PIE366" s="287"/>
      <c r="PIF366" s="296"/>
      <c r="PIG366" s="266"/>
      <c r="PIH366" s="649"/>
      <c r="PII366" s="326"/>
      <c r="PIJ366" s="655"/>
      <c r="PIK366" s="284"/>
      <c r="PIL366" s="656"/>
      <c r="PIM366" s="286"/>
      <c r="PIN366" s="287"/>
      <c r="PIO366" s="296"/>
      <c r="PIP366" s="266"/>
      <c r="PIQ366" s="649"/>
      <c r="PIR366" s="326"/>
      <c r="PIS366" s="655"/>
      <c r="PIT366" s="284"/>
      <c r="PIU366" s="656"/>
      <c r="PIV366" s="286"/>
      <c r="PIW366" s="287"/>
      <c r="PIX366" s="296"/>
      <c r="PIY366" s="266"/>
      <c r="PIZ366" s="649"/>
      <c r="PJA366" s="326"/>
      <c r="PJB366" s="655"/>
      <c r="PJC366" s="284"/>
      <c r="PJD366" s="656"/>
      <c r="PJE366" s="286"/>
      <c r="PJF366" s="287"/>
      <c r="PJG366" s="296"/>
      <c r="PJH366" s="266"/>
      <c r="PJI366" s="649"/>
      <c r="PJJ366" s="326"/>
      <c r="PJK366" s="655"/>
      <c r="PJL366" s="284"/>
      <c r="PJM366" s="656"/>
      <c r="PJN366" s="286"/>
      <c r="PJO366" s="287"/>
      <c r="PJP366" s="296"/>
      <c r="PJQ366" s="266"/>
      <c r="PJR366" s="649"/>
      <c r="PJS366" s="326"/>
      <c r="PJT366" s="655"/>
      <c r="PJU366" s="284"/>
      <c r="PJV366" s="656"/>
      <c r="PJW366" s="286"/>
      <c r="PJX366" s="287"/>
      <c r="PJY366" s="296"/>
      <c r="PJZ366" s="266"/>
      <c r="PKA366" s="649"/>
      <c r="PKB366" s="326"/>
      <c r="PKC366" s="655"/>
      <c r="PKD366" s="284"/>
      <c r="PKE366" s="656"/>
      <c r="PKF366" s="286"/>
      <c r="PKG366" s="287"/>
      <c r="PKH366" s="296"/>
      <c r="PKI366" s="266"/>
      <c r="PKJ366" s="649"/>
      <c r="PKK366" s="326"/>
      <c r="PKL366" s="655"/>
      <c r="PKM366" s="284"/>
      <c r="PKN366" s="656"/>
      <c r="PKO366" s="286"/>
      <c r="PKP366" s="287"/>
      <c r="PKQ366" s="296"/>
      <c r="PKR366" s="266"/>
      <c r="PKS366" s="649"/>
      <c r="PKT366" s="326"/>
      <c r="PKU366" s="655"/>
      <c r="PKV366" s="284"/>
      <c r="PKW366" s="656"/>
      <c r="PKX366" s="286"/>
      <c r="PKY366" s="287"/>
      <c r="PKZ366" s="296"/>
      <c r="PLA366" s="266"/>
      <c r="PLB366" s="649"/>
      <c r="PLC366" s="326"/>
      <c r="PLD366" s="655"/>
      <c r="PLE366" s="284"/>
      <c r="PLF366" s="656"/>
      <c r="PLG366" s="286"/>
      <c r="PLH366" s="287"/>
      <c r="PLI366" s="296"/>
      <c r="PLJ366" s="266"/>
      <c r="PLK366" s="649"/>
      <c r="PLL366" s="326"/>
      <c r="PLM366" s="655"/>
      <c r="PLN366" s="284"/>
      <c r="PLO366" s="656"/>
      <c r="PLP366" s="286"/>
      <c r="PLQ366" s="287"/>
      <c r="PLR366" s="296"/>
      <c r="PLS366" s="266"/>
      <c r="PLT366" s="649"/>
      <c r="PLU366" s="326"/>
      <c r="PLV366" s="655"/>
      <c r="PLW366" s="284"/>
      <c r="PLX366" s="656"/>
      <c r="PLY366" s="286"/>
      <c r="PLZ366" s="287"/>
      <c r="PMA366" s="296"/>
      <c r="PMB366" s="266"/>
      <c r="PMC366" s="649"/>
      <c r="PMD366" s="326"/>
      <c r="PME366" s="655"/>
      <c r="PMF366" s="284"/>
      <c r="PMG366" s="656"/>
      <c r="PMH366" s="286"/>
      <c r="PMI366" s="287"/>
      <c r="PMJ366" s="296"/>
      <c r="PMK366" s="266"/>
      <c r="PML366" s="649"/>
      <c r="PMM366" s="326"/>
      <c r="PMN366" s="655"/>
      <c r="PMO366" s="284"/>
      <c r="PMP366" s="656"/>
      <c r="PMQ366" s="286"/>
      <c r="PMR366" s="287"/>
      <c r="PMS366" s="296"/>
      <c r="PMT366" s="266"/>
      <c r="PMU366" s="649"/>
      <c r="PMV366" s="326"/>
      <c r="PMW366" s="655"/>
      <c r="PMX366" s="284"/>
      <c r="PMY366" s="656"/>
      <c r="PMZ366" s="286"/>
      <c r="PNA366" s="287"/>
      <c r="PNB366" s="296"/>
      <c r="PNC366" s="266"/>
      <c r="PND366" s="649"/>
      <c r="PNE366" s="326"/>
      <c r="PNF366" s="655"/>
      <c r="PNG366" s="284"/>
      <c r="PNH366" s="656"/>
      <c r="PNI366" s="286"/>
      <c r="PNJ366" s="287"/>
      <c r="PNK366" s="296"/>
      <c r="PNL366" s="266"/>
      <c r="PNM366" s="649"/>
      <c r="PNN366" s="326"/>
      <c r="PNO366" s="655"/>
      <c r="PNP366" s="284"/>
      <c r="PNQ366" s="656"/>
      <c r="PNR366" s="286"/>
      <c r="PNS366" s="287"/>
      <c r="PNT366" s="296"/>
      <c r="PNU366" s="266"/>
      <c r="PNV366" s="649"/>
      <c r="PNW366" s="326"/>
      <c r="PNX366" s="655"/>
      <c r="PNY366" s="284"/>
      <c r="PNZ366" s="656"/>
      <c r="POA366" s="286"/>
      <c r="POB366" s="287"/>
      <c r="POC366" s="296"/>
      <c r="POD366" s="266"/>
      <c r="POE366" s="649"/>
      <c r="POF366" s="326"/>
      <c r="POG366" s="655"/>
      <c r="POH366" s="284"/>
      <c r="POI366" s="656"/>
      <c r="POJ366" s="286"/>
      <c r="POK366" s="287"/>
      <c r="POL366" s="296"/>
      <c r="POM366" s="266"/>
      <c r="PON366" s="649"/>
      <c r="POO366" s="326"/>
      <c r="POP366" s="655"/>
      <c r="POQ366" s="284"/>
      <c r="POR366" s="656"/>
      <c r="POS366" s="286"/>
      <c r="POT366" s="287"/>
      <c r="POU366" s="296"/>
      <c r="POV366" s="266"/>
      <c r="POW366" s="649"/>
      <c r="POX366" s="326"/>
      <c r="POY366" s="655"/>
      <c r="POZ366" s="284"/>
      <c r="PPA366" s="656"/>
      <c r="PPB366" s="286"/>
      <c r="PPC366" s="287"/>
      <c r="PPD366" s="296"/>
      <c r="PPE366" s="266"/>
      <c r="PPF366" s="649"/>
      <c r="PPG366" s="326"/>
      <c r="PPH366" s="655"/>
      <c r="PPI366" s="284"/>
      <c r="PPJ366" s="656"/>
      <c r="PPK366" s="286"/>
      <c r="PPL366" s="287"/>
      <c r="PPM366" s="296"/>
      <c r="PPN366" s="266"/>
      <c r="PPO366" s="649"/>
      <c r="PPP366" s="326"/>
      <c r="PPQ366" s="655"/>
      <c r="PPR366" s="284"/>
      <c r="PPS366" s="656"/>
      <c r="PPT366" s="286"/>
      <c r="PPU366" s="287"/>
      <c r="PPV366" s="296"/>
      <c r="PPW366" s="266"/>
      <c r="PPX366" s="649"/>
      <c r="PPY366" s="326"/>
      <c r="PPZ366" s="655"/>
      <c r="PQA366" s="284"/>
      <c r="PQB366" s="656"/>
      <c r="PQC366" s="286"/>
      <c r="PQD366" s="287"/>
      <c r="PQE366" s="296"/>
      <c r="PQF366" s="266"/>
      <c r="PQG366" s="649"/>
      <c r="PQH366" s="326"/>
      <c r="PQI366" s="655"/>
      <c r="PQJ366" s="284"/>
      <c r="PQK366" s="656"/>
      <c r="PQL366" s="286"/>
      <c r="PQM366" s="287"/>
      <c r="PQN366" s="296"/>
      <c r="PQO366" s="266"/>
      <c r="PQP366" s="649"/>
      <c r="PQQ366" s="326"/>
      <c r="PQR366" s="655"/>
      <c r="PQS366" s="284"/>
      <c r="PQT366" s="656"/>
      <c r="PQU366" s="286"/>
      <c r="PQV366" s="287"/>
      <c r="PQW366" s="296"/>
      <c r="PQX366" s="266"/>
      <c r="PQY366" s="649"/>
      <c r="PQZ366" s="326"/>
      <c r="PRA366" s="655"/>
      <c r="PRB366" s="284"/>
      <c r="PRC366" s="656"/>
      <c r="PRD366" s="286"/>
      <c r="PRE366" s="287"/>
      <c r="PRF366" s="296"/>
      <c r="PRG366" s="266"/>
      <c r="PRH366" s="649"/>
      <c r="PRI366" s="326"/>
      <c r="PRJ366" s="655"/>
      <c r="PRK366" s="284"/>
      <c r="PRL366" s="656"/>
      <c r="PRM366" s="286"/>
      <c r="PRN366" s="287"/>
      <c r="PRO366" s="296"/>
      <c r="PRP366" s="266"/>
      <c r="PRQ366" s="649"/>
      <c r="PRR366" s="326"/>
      <c r="PRS366" s="655"/>
      <c r="PRT366" s="284"/>
      <c r="PRU366" s="656"/>
      <c r="PRV366" s="286"/>
      <c r="PRW366" s="287"/>
      <c r="PRX366" s="296"/>
      <c r="PRY366" s="266"/>
      <c r="PRZ366" s="649"/>
      <c r="PSA366" s="326"/>
      <c r="PSB366" s="655"/>
      <c r="PSC366" s="284"/>
      <c r="PSD366" s="656"/>
      <c r="PSE366" s="286"/>
      <c r="PSF366" s="287"/>
      <c r="PSG366" s="296"/>
      <c r="PSH366" s="266"/>
      <c r="PSI366" s="649"/>
      <c r="PSJ366" s="326"/>
      <c r="PSK366" s="655"/>
      <c r="PSL366" s="284"/>
      <c r="PSM366" s="656"/>
      <c r="PSN366" s="286"/>
      <c r="PSO366" s="287"/>
      <c r="PSP366" s="296"/>
      <c r="PSQ366" s="266"/>
      <c r="PSR366" s="649"/>
      <c r="PSS366" s="326"/>
      <c r="PST366" s="655"/>
      <c r="PSU366" s="284"/>
      <c r="PSV366" s="656"/>
      <c r="PSW366" s="286"/>
      <c r="PSX366" s="287"/>
      <c r="PSY366" s="296"/>
      <c r="PSZ366" s="266"/>
      <c r="PTA366" s="649"/>
      <c r="PTB366" s="326"/>
      <c r="PTC366" s="655"/>
      <c r="PTD366" s="284"/>
      <c r="PTE366" s="656"/>
      <c r="PTF366" s="286"/>
      <c r="PTG366" s="287"/>
      <c r="PTH366" s="296"/>
      <c r="PTI366" s="266"/>
      <c r="PTJ366" s="649"/>
      <c r="PTK366" s="326"/>
      <c r="PTL366" s="655"/>
      <c r="PTM366" s="284"/>
      <c r="PTN366" s="656"/>
      <c r="PTO366" s="286"/>
      <c r="PTP366" s="287"/>
      <c r="PTQ366" s="296"/>
      <c r="PTR366" s="266"/>
      <c r="PTS366" s="649"/>
      <c r="PTT366" s="326"/>
      <c r="PTU366" s="655"/>
      <c r="PTV366" s="284"/>
      <c r="PTW366" s="656"/>
      <c r="PTX366" s="286"/>
      <c r="PTY366" s="287"/>
      <c r="PTZ366" s="296"/>
      <c r="PUA366" s="266"/>
      <c r="PUB366" s="649"/>
      <c r="PUC366" s="326"/>
      <c r="PUD366" s="655"/>
      <c r="PUE366" s="284"/>
      <c r="PUF366" s="656"/>
      <c r="PUG366" s="286"/>
      <c r="PUH366" s="287"/>
      <c r="PUI366" s="296"/>
      <c r="PUJ366" s="266"/>
      <c r="PUK366" s="649"/>
      <c r="PUL366" s="326"/>
      <c r="PUM366" s="655"/>
      <c r="PUN366" s="284"/>
      <c r="PUO366" s="656"/>
      <c r="PUP366" s="286"/>
      <c r="PUQ366" s="287"/>
      <c r="PUR366" s="296"/>
      <c r="PUS366" s="266"/>
      <c r="PUT366" s="649"/>
      <c r="PUU366" s="326"/>
      <c r="PUV366" s="655"/>
      <c r="PUW366" s="284"/>
      <c r="PUX366" s="656"/>
      <c r="PUY366" s="286"/>
      <c r="PUZ366" s="287"/>
      <c r="PVA366" s="296"/>
      <c r="PVB366" s="266"/>
      <c r="PVC366" s="649"/>
      <c r="PVD366" s="326"/>
      <c r="PVE366" s="655"/>
      <c r="PVF366" s="284"/>
      <c r="PVG366" s="656"/>
      <c r="PVH366" s="286"/>
      <c r="PVI366" s="287"/>
      <c r="PVJ366" s="296"/>
      <c r="PVK366" s="266"/>
      <c r="PVL366" s="649"/>
      <c r="PVM366" s="326"/>
      <c r="PVN366" s="655"/>
      <c r="PVO366" s="284"/>
      <c r="PVP366" s="656"/>
      <c r="PVQ366" s="286"/>
      <c r="PVR366" s="287"/>
      <c r="PVS366" s="296"/>
      <c r="PVT366" s="266"/>
      <c r="PVU366" s="649"/>
      <c r="PVV366" s="326"/>
      <c r="PVW366" s="655"/>
      <c r="PVX366" s="284"/>
      <c r="PVY366" s="656"/>
      <c r="PVZ366" s="286"/>
      <c r="PWA366" s="287"/>
      <c r="PWB366" s="296"/>
      <c r="PWC366" s="266"/>
      <c r="PWD366" s="649"/>
      <c r="PWE366" s="326"/>
      <c r="PWF366" s="655"/>
      <c r="PWG366" s="284"/>
      <c r="PWH366" s="656"/>
      <c r="PWI366" s="286"/>
      <c r="PWJ366" s="287"/>
      <c r="PWK366" s="296"/>
      <c r="PWL366" s="266"/>
      <c r="PWM366" s="649"/>
      <c r="PWN366" s="326"/>
      <c r="PWO366" s="655"/>
      <c r="PWP366" s="284"/>
      <c r="PWQ366" s="656"/>
      <c r="PWR366" s="286"/>
      <c r="PWS366" s="287"/>
      <c r="PWT366" s="296"/>
      <c r="PWU366" s="266"/>
      <c r="PWV366" s="649"/>
      <c r="PWW366" s="326"/>
      <c r="PWX366" s="655"/>
      <c r="PWY366" s="284"/>
      <c r="PWZ366" s="656"/>
      <c r="PXA366" s="286"/>
      <c r="PXB366" s="287"/>
      <c r="PXC366" s="296"/>
      <c r="PXD366" s="266"/>
      <c r="PXE366" s="649"/>
      <c r="PXF366" s="326"/>
      <c r="PXG366" s="655"/>
      <c r="PXH366" s="284"/>
      <c r="PXI366" s="656"/>
      <c r="PXJ366" s="286"/>
      <c r="PXK366" s="287"/>
      <c r="PXL366" s="296"/>
      <c r="PXM366" s="266"/>
      <c r="PXN366" s="649"/>
      <c r="PXO366" s="326"/>
      <c r="PXP366" s="655"/>
      <c r="PXQ366" s="284"/>
      <c r="PXR366" s="656"/>
      <c r="PXS366" s="286"/>
      <c r="PXT366" s="287"/>
      <c r="PXU366" s="296"/>
      <c r="PXV366" s="266"/>
      <c r="PXW366" s="649"/>
      <c r="PXX366" s="326"/>
      <c r="PXY366" s="655"/>
      <c r="PXZ366" s="284"/>
      <c r="PYA366" s="656"/>
      <c r="PYB366" s="286"/>
      <c r="PYC366" s="287"/>
      <c r="PYD366" s="296"/>
      <c r="PYE366" s="266"/>
      <c r="PYF366" s="649"/>
      <c r="PYG366" s="326"/>
      <c r="PYH366" s="655"/>
      <c r="PYI366" s="284"/>
      <c r="PYJ366" s="656"/>
      <c r="PYK366" s="286"/>
      <c r="PYL366" s="287"/>
      <c r="PYM366" s="296"/>
      <c r="PYN366" s="266"/>
      <c r="PYO366" s="649"/>
      <c r="PYP366" s="326"/>
      <c r="PYQ366" s="655"/>
      <c r="PYR366" s="284"/>
      <c r="PYS366" s="656"/>
      <c r="PYT366" s="286"/>
      <c r="PYU366" s="287"/>
      <c r="PYV366" s="296"/>
      <c r="PYW366" s="266"/>
      <c r="PYX366" s="649"/>
      <c r="PYY366" s="326"/>
      <c r="PYZ366" s="655"/>
      <c r="PZA366" s="284"/>
      <c r="PZB366" s="656"/>
      <c r="PZC366" s="286"/>
      <c r="PZD366" s="287"/>
      <c r="PZE366" s="296"/>
      <c r="PZF366" s="266"/>
      <c r="PZG366" s="649"/>
      <c r="PZH366" s="326"/>
      <c r="PZI366" s="655"/>
      <c r="PZJ366" s="284"/>
      <c r="PZK366" s="656"/>
      <c r="PZL366" s="286"/>
      <c r="PZM366" s="287"/>
      <c r="PZN366" s="296"/>
      <c r="PZO366" s="266"/>
      <c r="PZP366" s="649"/>
      <c r="PZQ366" s="326"/>
      <c r="PZR366" s="655"/>
      <c r="PZS366" s="284"/>
      <c r="PZT366" s="656"/>
      <c r="PZU366" s="286"/>
      <c r="PZV366" s="287"/>
      <c r="PZW366" s="296"/>
      <c r="PZX366" s="266"/>
      <c r="PZY366" s="649"/>
      <c r="PZZ366" s="326"/>
      <c r="QAA366" s="655"/>
      <c r="QAB366" s="284"/>
      <c r="QAC366" s="656"/>
      <c r="QAD366" s="286"/>
      <c r="QAE366" s="287"/>
      <c r="QAF366" s="296"/>
      <c r="QAG366" s="266"/>
      <c r="QAH366" s="649"/>
      <c r="QAI366" s="326"/>
      <c r="QAJ366" s="655"/>
      <c r="QAK366" s="284"/>
      <c r="QAL366" s="656"/>
      <c r="QAM366" s="286"/>
      <c r="QAN366" s="287"/>
      <c r="QAO366" s="296"/>
      <c r="QAP366" s="266"/>
      <c r="QAQ366" s="649"/>
      <c r="QAR366" s="326"/>
      <c r="QAS366" s="655"/>
      <c r="QAT366" s="284"/>
      <c r="QAU366" s="656"/>
      <c r="QAV366" s="286"/>
      <c r="QAW366" s="287"/>
      <c r="QAX366" s="296"/>
      <c r="QAY366" s="266"/>
      <c r="QAZ366" s="649"/>
      <c r="QBA366" s="326"/>
      <c r="QBB366" s="655"/>
      <c r="QBC366" s="284"/>
      <c r="QBD366" s="656"/>
      <c r="QBE366" s="286"/>
      <c r="QBF366" s="287"/>
      <c r="QBG366" s="296"/>
      <c r="QBH366" s="266"/>
      <c r="QBI366" s="649"/>
      <c r="QBJ366" s="326"/>
      <c r="QBK366" s="655"/>
      <c r="QBL366" s="284"/>
      <c r="QBM366" s="656"/>
      <c r="QBN366" s="286"/>
      <c r="QBO366" s="287"/>
      <c r="QBP366" s="296"/>
      <c r="QBQ366" s="266"/>
      <c r="QBR366" s="649"/>
      <c r="QBS366" s="326"/>
      <c r="QBT366" s="655"/>
      <c r="QBU366" s="284"/>
      <c r="QBV366" s="656"/>
      <c r="QBW366" s="286"/>
      <c r="QBX366" s="287"/>
      <c r="QBY366" s="296"/>
      <c r="QBZ366" s="266"/>
      <c r="QCA366" s="649"/>
      <c r="QCB366" s="326"/>
      <c r="QCC366" s="655"/>
      <c r="QCD366" s="284"/>
      <c r="QCE366" s="656"/>
      <c r="QCF366" s="286"/>
      <c r="QCG366" s="287"/>
      <c r="QCH366" s="296"/>
      <c r="QCI366" s="266"/>
      <c r="QCJ366" s="649"/>
      <c r="QCK366" s="326"/>
      <c r="QCL366" s="655"/>
      <c r="QCM366" s="284"/>
      <c r="QCN366" s="656"/>
      <c r="QCO366" s="286"/>
      <c r="QCP366" s="287"/>
      <c r="QCQ366" s="296"/>
      <c r="QCR366" s="266"/>
      <c r="QCS366" s="649"/>
      <c r="QCT366" s="326"/>
      <c r="QCU366" s="655"/>
      <c r="QCV366" s="284"/>
      <c r="QCW366" s="656"/>
      <c r="QCX366" s="286"/>
      <c r="QCY366" s="287"/>
      <c r="QCZ366" s="296"/>
      <c r="QDA366" s="266"/>
      <c r="QDB366" s="649"/>
      <c r="QDC366" s="326"/>
      <c r="QDD366" s="655"/>
      <c r="QDE366" s="284"/>
      <c r="QDF366" s="656"/>
      <c r="QDG366" s="286"/>
      <c r="QDH366" s="287"/>
      <c r="QDI366" s="296"/>
      <c r="QDJ366" s="266"/>
      <c r="QDK366" s="649"/>
      <c r="QDL366" s="326"/>
      <c r="QDM366" s="655"/>
      <c r="QDN366" s="284"/>
      <c r="QDO366" s="656"/>
      <c r="QDP366" s="286"/>
      <c r="QDQ366" s="287"/>
      <c r="QDR366" s="296"/>
      <c r="QDS366" s="266"/>
      <c r="QDT366" s="649"/>
      <c r="QDU366" s="326"/>
      <c r="QDV366" s="655"/>
      <c r="QDW366" s="284"/>
      <c r="QDX366" s="656"/>
      <c r="QDY366" s="286"/>
      <c r="QDZ366" s="287"/>
      <c r="QEA366" s="296"/>
      <c r="QEB366" s="266"/>
      <c r="QEC366" s="649"/>
      <c r="QED366" s="326"/>
      <c r="QEE366" s="655"/>
      <c r="QEF366" s="284"/>
      <c r="QEG366" s="656"/>
      <c r="QEH366" s="286"/>
      <c r="QEI366" s="287"/>
      <c r="QEJ366" s="296"/>
      <c r="QEK366" s="266"/>
      <c r="QEL366" s="649"/>
      <c r="QEM366" s="326"/>
      <c r="QEN366" s="655"/>
      <c r="QEO366" s="284"/>
      <c r="QEP366" s="656"/>
      <c r="QEQ366" s="286"/>
      <c r="QER366" s="287"/>
      <c r="QES366" s="296"/>
      <c r="QET366" s="266"/>
      <c r="QEU366" s="649"/>
      <c r="QEV366" s="326"/>
      <c r="QEW366" s="655"/>
      <c r="QEX366" s="284"/>
      <c r="QEY366" s="656"/>
      <c r="QEZ366" s="286"/>
      <c r="QFA366" s="287"/>
      <c r="QFB366" s="296"/>
      <c r="QFC366" s="266"/>
      <c r="QFD366" s="649"/>
      <c r="QFE366" s="326"/>
      <c r="QFF366" s="655"/>
      <c r="QFG366" s="284"/>
      <c r="QFH366" s="656"/>
      <c r="QFI366" s="286"/>
      <c r="QFJ366" s="287"/>
      <c r="QFK366" s="296"/>
      <c r="QFL366" s="266"/>
      <c r="QFM366" s="649"/>
      <c r="QFN366" s="326"/>
      <c r="QFO366" s="655"/>
      <c r="QFP366" s="284"/>
      <c r="QFQ366" s="656"/>
      <c r="QFR366" s="286"/>
      <c r="QFS366" s="287"/>
      <c r="QFT366" s="296"/>
      <c r="QFU366" s="266"/>
      <c r="QFV366" s="649"/>
      <c r="QFW366" s="326"/>
      <c r="QFX366" s="655"/>
      <c r="QFY366" s="284"/>
      <c r="QFZ366" s="656"/>
      <c r="QGA366" s="286"/>
      <c r="QGB366" s="287"/>
      <c r="QGC366" s="296"/>
      <c r="QGD366" s="266"/>
      <c r="QGE366" s="649"/>
      <c r="QGF366" s="326"/>
      <c r="QGG366" s="655"/>
      <c r="QGH366" s="284"/>
      <c r="QGI366" s="656"/>
      <c r="QGJ366" s="286"/>
      <c r="QGK366" s="287"/>
      <c r="QGL366" s="296"/>
      <c r="QGM366" s="266"/>
      <c r="QGN366" s="649"/>
      <c r="QGO366" s="326"/>
      <c r="QGP366" s="655"/>
      <c r="QGQ366" s="284"/>
      <c r="QGR366" s="656"/>
      <c r="QGS366" s="286"/>
      <c r="QGT366" s="287"/>
      <c r="QGU366" s="296"/>
      <c r="QGV366" s="266"/>
      <c r="QGW366" s="649"/>
      <c r="QGX366" s="326"/>
      <c r="QGY366" s="655"/>
      <c r="QGZ366" s="284"/>
      <c r="QHA366" s="656"/>
      <c r="QHB366" s="286"/>
      <c r="QHC366" s="287"/>
      <c r="QHD366" s="296"/>
      <c r="QHE366" s="266"/>
      <c r="QHF366" s="649"/>
      <c r="QHG366" s="326"/>
      <c r="QHH366" s="655"/>
      <c r="QHI366" s="284"/>
      <c r="QHJ366" s="656"/>
      <c r="QHK366" s="286"/>
      <c r="QHL366" s="287"/>
      <c r="QHM366" s="296"/>
      <c r="QHN366" s="266"/>
      <c r="QHO366" s="649"/>
      <c r="QHP366" s="326"/>
      <c r="QHQ366" s="655"/>
      <c r="QHR366" s="284"/>
      <c r="QHS366" s="656"/>
      <c r="QHT366" s="286"/>
      <c r="QHU366" s="287"/>
      <c r="QHV366" s="296"/>
      <c r="QHW366" s="266"/>
      <c r="QHX366" s="649"/>
      <c r="QHY366" s="326"/>
      <c r="QHZ366" s="655"/>
      <c r="QIA366" s="284"/>
      <c r="QIB366" s="656"/>
      <c r="QIC366" s="286"/>
      <c r="QID366" s="287"/>
      <c r="QIE366" s="296"/>
      <c r="QIF366" s="266"/>
      <c r="QIG366" s="649"/>
      <c r="QIH366" s="326"/>
      <c r="QII366" s="655"/>
      <c r="QIJ366" s="284"/>
      <c r="QIK366" s="656"/>
      <c r="QIL366" s="286"/>
      <c r="QIM366" s="287"/>
      <c r="QIN366" s="296"/>
      <c r="QIO366" s="266"/>
      <c r="QIP366" s="649"/>
      <c r="QIQ366" s="326"/>
      <c r="QIR366" s="655"/>
      <c r="QIS366" s="284"/>
      <c r="QIT366" s="656"/>
      <c r="QIU366" s="286"/>
      <c r="QIV366" s="287"/>
      <c r="QIW366" s="296"/>
      <c r="QIX366" s="266"/>
      <c r="QIY366" s="649"/>
      <c r="QIZ366" s="326"/>
      <c r="QJA366" s="655"/>
      <c r="QJB366" s="284"/>
      <c r="QJC366" s="656"/>
      <c r="QJD366" s="286"/>
      <c r="QJE366" s="287"/>
      <c r="QJF366" s="296"/>
      <c r="QJG366" s="266"/>
      <c r="QJH366" s="649"/>
      <c r="QJI366" s="326"/>
      <c r="QJJ366" s="655"/>
      <c r="QJK366" s="284"/>
      <c r="QJL366" s="656"/>
      <c r="QJM366" s="286"/>
      <c r="QJN366" s="287"/>
      <c r="QJO366" s="296"/>
      <c r="QJP366" s="266"/>
      <c r="QJQ366" s="649"/>
      <c r="QJR366" s="326"/>
      <c r="QJS366" s="655"/>
      <c r="QJT366" s="284"/>
      <c r="QJU366" s="656"/>
      <c r="QJV366" s="286"/>
      <c r="QJW366" s="287"/>
      <c r="QJX366" s="296"/>
      <c r="QJY366" s="266"/>
      <c r="QJZ366" s="649"/>
      <c r="QKA366" s="326"/>
      <c r="QKB366" s="655"/>
      <c r="QKC366" s="284"/>
      <c r="QKD366" s="656"/>
      <c r="QKE366" s="286"/>
      <c r="QKF366" s="287"/>
      <c r="QKG366" s="296"/>
      <c r="QKH366" s="266"/>
      <c r="QKI366" s="649"/>
      <c r="QKJ366" s="326"/>
      <c r="QKK366" s="655"/>
      <c r="QKL366" s="284"/>
      <c r="QKM366" s="656"/>
      <c r="QKN366" s="286"/>
      <c r="QKO366" s="287"/>
      <c r="QKP366" s="296"/>
      <c r="QKQ366" s="266"/>
      <c r="QKR366" s="649"/>
      <c r="QKS366" s="326"/>
      <c r="QKT366" s="655"/>
      <c r="QKU366" s="284"/>
      <c r="QKV366" s="656"/>
      <c r="QKW366" s="286"/>
      <c r="QKX366" s="287"/>
      <c r="QKY366" s="296"/>
      <c r="QKZ366" s="266"/>
      <c r="QLA366" s="649"/>
      <c r="QLB366" s="326"/>
      <c r="QLC366" s="655"/>
      <c r="QLD366" s="284"/>
      <c r="QLE366" s="656"/>
      <c r="QLF366" s="286"/>
      <c r="QLG366" s="287"/>
      <c r="QLH366" s="296"/>
      <c r="QLI366" s="266"/>
      <c r="QLJ366" s="649"/>
      <c r="QLK366" s="326"/>
      <c r="QLL366" s="655"/>
      <c r="QLM366" s="284"/>
      <c r="QLN366" s="656"/>
      <c r="QLO366" s="286"/>
      <c r="QLP366" s="287"/>
      <c r="QLQ366" s="296"/>
      <c r="QLR366" s="266"/>
      <c r="QLS366" s="649"/>
      <c r="QLT366" s="326"/>
      <c r="QLU366" s="655"/>
      <c r="QLV366" s="284"/>
      <c r="QLW366" s="656"/>
      <c r="QLX366" s="286"/>
      <c r="QLY366" s="287"/>
      <c r="QLZ366" s="296"/>
      <c r="QMA366" s="266"/>
      <c r="QMB366" s="649"/>
      <c r="QMC366" s="326"/>
      <c r="QMD366" s="655"/>
      <c r="QME366" s="284"/>
      <c r="QMF366" s="656"/>
      <c r="QMG366" s="286"/>
      <c r="QMH366" s="287"/>
      <c r="QMI366" s="296"/>
      <c r="QMJ366" s="266"/>
      <c r="QMK366" s="649"/>
      <c r="QML366" s="326"/>
      <c r="QMM366" s="655"/>
      <c r="QMN366" s="284"/>
      <c r="QMO366" s="656"/>
      <c r="QMP366" s="286"/>
      <c r="QMQ366" s="287"/>
      <c r="QMR366" s="296"/>
      <c r="QMS366" s="266"/>
      <c r="QMT366" s="649"/>
      <c r="QMU366" s="326"/>
      <c r="QMV366" s="655"/>
      <c r="QMW366" s="284"/>
      <c r="QMX366" s="656"/>
      <c r="QMY366" s="286"/>
      <c r="QMZ366" s="287"/>
      <c r="QNA366" s="296"/>
      <c r="QNB366" s="266"/>
      <c r="QNC366" s="649"/>
      <c r="QND366" s="326"/>
      <c r="QNE366" s="655"/>
      <c r="QNF366" s="284"/>
      <c r="QNG366" s="656"/>
      <c r="QNH366" s="286"/>
      <c r="QNI366" s="287"/>
      <c r="QNJ366" s="296"/>
      <c r="QNK366" s="266"/>
      <c r="QNL366" s="649"/>
      <c r="QNM366" s="326"/>
      <c r="QNN366" s="655"/>
      <c r="QNO366" s="284"/>
      <c r="QNP366" s="656"/>
      <c r="QNQ366" s="286"/>
      <c r="QNR366" s="287"/>
      <c r="QNS366" s="296"/>
      <c r="QNT366" s="266"/>
      <c r="QNU366" s="649"/>
      <c r="QNV366" s="326"/>
      <c r="QNW366" s="655"/>
      <c r="QNX366" s="284"/>
      <c r="QNY366" s="656"/>
      <c r="QNZ366" s="286"/>
      <c r="QOA366" s="287"/>
      <c r="QOB366" s="296"/>
      <c r="QOC366" s="266"/>
      <c r="QOD366" s="649"/>
      <c r="QOE366" s="326"/>
      <c r="QOF366" s="655"/>
      <c r="QOG366" s="284"/>
      <c r="QOH366" s="656"/>
      <c r="QOI366" s="286"/>
      <c r="QOJ366" s="287"/>
      <c r="QOK366" s="296"/>
      <c r="QOL366" s="266"/>
      <c r="QOM366" s="649"/>
      <c r="QON366" s="326"/>
      <c r="QOO366" s="655"/>
      <c r="QOP366" s="284"/>
      <c r="QOQ366" s="656"/>
      <c r="QOR366" s="286"/>
      <c r="QOS366" s="287"/>
      <c r="QOT366" s="296"/>
      <c r="QOU366" s="266"/>
      <c r="QOV366" s="649"/>
      <c r="QOW366" s="326"/>
      <c r="QOX366" s="655"/>
      <c r="QOY366" s="284"/>
      <c r="QOZ366" s="656"/>
      <c r="QPA366" s="286"/>
      <c r="QPB366" s="287"/>
      <c r="QPC366" s="296"/>
      <c r="QPD366" s="266"/>
      <c r="QPE366" s="649"/>
      <c r="QPF366" s="326"/>
      <c r="QPG366" s="655"/>
      <c r="QPH366" s="284"/>
      <c r="QPI366" s="656"/>
      <c r="QPJ366" s="286"/>
      <c r="QPK366" s="287"/>
      <c r="QPL366" s="296"/>
      <c r="QPM366" s="266"/>
      <c r="QPN366" s="649"/>
      <c r="QPO366" s="326"/>
      <c r="QPP366" s="655"/>
      <c r="QPQ366" s="284"/>
      <c r="QPR366" s="656"/>
      <c r="QPS366" s="286"/>
      <c r="QPT366" s="287"/>
      <c r="QPU366" s="296"/>
      <c r="QPV366" s="266"/>
      <c r="QPW366" s="649"/>
      <c r="QPX366" s="326"/>
      <c r="QPY366" s="655"/>
      <c r="QPZ366" s="284"/>
      <c r="QQA366" s="656"/>
      <c r="QQB366" s="286"/>
      <c r="QQC366" s="287"/>
      <c r="QQD366" s="296"/>
      <c r="QQE366" s="266"/>
      <c r="QQF366" s="649"/>
      <c r="QQG366" s="326"/>
      <c r="QQH366" s="655"/>
      <c r="QQI366" s="284"/>
      <c r="QQJ366" s="656"/>
      <c r="QQK366" s="286"/>
      <c r="QQL366" s="287"/>
      <c r="QQM366" s="296"/>
      <c r="QQN366" s="266"/>
      <c r="QQO366" s="649"/>
      <c r="QQP366" s="326"/>
      <c r="QQQ366" s="655"/>
      <c r="QQR366" s="284"/>
      <c r="QQS366" s="656"/>
      <c r="QQT366" s="286"/>
      <c r="QQU366" s="287"/>
      <c r="QQV366" s="296"/>
      <c r="QQW366" s="266"/>
      <c r="QQX366" s="649"/>
      <c r="QQY366" s="326"/>
      <c r="QQZ366" s="655"/>
      <c r="QRA366" s="284"/>
      <c r="QRB366" s="656"/>
      <c r="QRC366" s="286"/>
      <c r="QRD366" s="287"/>
      <c r="QRE366" s="296"/>
      <c r="QRF366" s="266"/>
      <c r="QRG366" s="649"/>
      <c r="QRH366" s="326"/>
      <c r="QRI366" s="655"/>
      <c r="QRJ366" s="284"/>
      <c r="QRK366" s="656"/>
      <c r="QRL366" s="286"/>
      <c r="QRM366" s="287"/>
      <c r="QRN366" s="296"/>
      <c r="QRO366" s="266"/>
      <c r="QRP366" s="649"/>
      <c r="QRQ366" s="326"/>
      <c r="QRR366" s="655"/>
      <c r="QRS366" s="284"/>
      <c r="QRT366" s="656"/>
      <c r="QRU366" s="286"/>
      <c r="QRV366" s="287"/>
      <c r="QRW366" s="296"/>
      <c r="QRX366" s="266"/>
      <c r="QRY366" s="649"/>
      <c r="QRZ366" s="326"/>
      <c r="QSA366" s="655"/>
      <c r="QSB366" s="284"/>
      <c r="QSC366" s="656"/>
      <c r="QSD366" s="286"/>
      <c r="QSE366" s="287"/>
      <c r="QSF366" s="296"/>
      <c r="QSG366" s="266"/>
      <c r="QSH366" s="649"/>
      <c r="QSI366" s="326"/>
      <c r="QSJ366" s="655"/>
      <c r="QSK366" s="284"/>
      <c r="QSL366" s="656"/>
      <c r="QSM366" s="286"/>
      <c r="QSN366" s="287"/>
      <c r="QSO366" s="296"/>
      <c r="QSP366" s="266"/>
      <c r="QSQ366" s="649"/>
      <c r="QSR366" s="326"/>
      <c r="QSS366" s="655"/>
      <c r="QST366" s="284"/>
      <c r="QSU366" s="656"/>
      <c r="QSV366" s="286"/>
      <c r="QSW366" s="287"/>
      <c r="QSX366" s="296"/>
      <c r="QSY366" s="266"/>
      <c r="QSZ366" s="649"/>
      <c r="QTA366" s="326"/>
      <c r="QTB366" s="655"/>
      <c r="QTC366" s="284"/>
      <c r="QTD366" s="656"/>
      <c r="QTE366" s="286"/>
      <c r="QTF366" s="287"/>
      <c r="QTG366" s="296"/>
      <c r="QTH366" s="266"/>
      <c r="QTI366" s="649"/>
      <c r="QTJ366" s="326"/>
      <c r="QTK366" s="655"/>
      <c r="QTL366" s="284"/>
      <c r="QTM366" s="656"/>
      <c r="QTN366" s="286"/>
      <c r="QTO366" s="287"/>
      <c r="QTP366" s="296"/>
      <c r="QTQ366" s="266"/>
      <c r="QTR366" s="649"/>
      <c r="QTS366" s="326"/>
      <c r="QTT366" s="655"/>
      <c r="QTU366" s="284"/>
      <c r="QTV366" s="656"/>
      <c r="QTW366" s="286"/>
      <c r="QTX366" s="287"/>
      <c r="QTY366" s="296"/>
      <c r="QTZ366" s="266"/>
      <c r="QUA366" s="649"/>
      <c r="QUB366" s="326"/>
      <c r="QUC366" s="655"/>
      <c r="QUD366" s="284"/>
      <c r="QUE366" s="656"/>
      <c r="QUF366" s="286"/>
      <c r="QUG366" s="287"/>
      <c r="QUH366" s="296"/>
      <c r="QUI366" s="266"/>
      <c r="QUJ366" s="649"/>
      <c r="QUK366" s="326"/>
      <c r="QUL366" s="655"/>
      <c r="QUM366" s="284"/>
      <c r="QUN366" s="656"/>
      <c r="QUO366" s="286"/>
      <c r="QUP366" s="287"/>
      <c r="QUQ366" s="296"/>
      <c r="QUR366" s="266"/>
      <c r="QUS366" s="649"/>
      <c r="QUT366" s="326"/>
      <c r="QUU366" s="655"/>
      <c r="QUV366" s="284"/>
      <c r="QUW366" s="656"/>
      <c r="QUX366" s="286"/>
      <c r="QUY366" s="287"/>
      <c r="QUZ366" s="296"/>
      <c r="QVA366" s="266"/>
      <c r="QVB366" s="649"/>
      <c r="QVC366" s="326"/>
      <c r="QVD366" s="655"/>
      <c r="QVE366" s="284"/>
      <c r="QVF366" s="656"/>
      <c r="QVG366" s="286"/>
      <c r="QVH366" s="287"/>
      <c r="QVI366" s="296"/>
      <c r="QVJ366" s="266"/>
      <c r="QVK366" s="649"/>
      <c r="QVL366" s="326"/>
      <c r="QVM366" s="655"/>
      <c r="QVN366" s="284"/>
      <c r="QVO366" s="656"/>
      <c r="QVP366" s="286"/>
      <c r="QVQ366" s="287"/>
      <c r="QVR366" s="296"/>
      <c r="QVS366" s="266"/>
      <c r="QVT366" s="649"/>
      <c r="QVU366" s="326"/>
      <c r="QVV366" s="655"/>
      <c r="QVW366" s="284"/>
      <c r="QVX366" s="656"/>
      <c r="QVY366" s="286"/>
      <c r="QVZ366" s="287"/>
      <c r="QWA366" s="296"/>
      <c r="QWB366" s="266"/>
      <c r="QWC366" s="649"/>
      <c r="QWD366" s="326"/>
      <c r="QWE366" s="655"/>
      <c r="QWF366" s="284"/>
      <c r="QWG366" s="656"/>
      <c r="QWH366" s="286"/>
      <c r="QWI366" s="287"/>
      <c r="QWJ366" s="296"/>
      <c r="QWK366" s="266"/>
      <c r="QWL366" s="649"/>
      <c r="QWM366" s="326"/>
      <c r="QWN366" s="655"/>
      <c r="QWO366" s="284"/>
      <c r="QWP366" s="656"/>
      <c r="QWQ366" s="286"/>
      <c r="QWR366" s="287"/>
      <c r="QWS366" s="296"/>
      <c r="QWT366" s="266"/>
      <c r="QWU366" s="649"/>
      <c r="QWV366" s="326"/>
      <c r="QWW366" s="655"/>
      <c r="QWX366" s="284"/>
      <c r="QWY366" s="656"/>
      <c r="QWZ366" s="286"/>
      <c r="QXA366" s="287"/>
      <c r="QXB366" s="296"/>
      <c r="QXC366" s="266"/>
      <c r="QXD366" s="649"/>
      <c r="QXE366" s="326"/>
      <c r="QXF366" s="655"/>
      <c r="QXG366" s="284"/>
      <c r="QXH366" s="656"/>
      <c r="QXI366" s="286"/>
      <c r="QXJ366" s="287"/>
      <c r="QXK366" s="296"/>
      <c r="QXL366" s="266"/>
      <c r="QXM366" s="649"/>
      <c r="QXN366" s="326"/>
      <c r="QXO366" s="655"/>
      <c r="QXP366" s="284"/>
      <c r="QXQ366" s="656"/>
      <c r="QXR366" s="286"/>
      <c r="QXS366" s="287"/>
      <c r="QXT366" s="296"/>
      <c r="QXU366" s="266"/>
      <c r="QXV366" s="649"/>
      <c r="QXW366" s="326"/>
      <c r="QXX366" s="655"/>
      <c r="QXY366" s="284"/>
      <c r="QXZ366" s="656"/>
      <c r="QYA366" s="286"/>
      <c r="QYB366" s="287"/>
      <c r="QYC366" s="296"/>
      <c r="QYD366" s="266"/>
      <c r="QYE366" s="649"/>
      <c r="QYF366" s="326"/>
      <c r="QYG366" s="655"/>
      <c r="QYH366" s="284"/>
      <c r="QYI366" s="656"/>
      <c r="QYJ366" s="286"/>
      <c r="QYK366" s="287"/>
      <c r="QYL366" s="296"/>
      <c r="QYM366" s="266"/>
      <c r="QYN366" s="649"/>
      <c r="QYO366" s="326"/>
      <c r="QYP366" s="655"/>
      <c r="QYQ366" s="284"/>
      <c r="QYR366" s="656"/>
      <c r="QYS366" s="286"/>
      <c r="QYT366" s="287"/>
      <c r="QYU366" s="296"/>
      <c r="QYV366" s="266"/>
      <c r="QYW366" s="649"/>
      <c r="QYX366" s="326"/>
      <c r="QYY366" s="655"/>
      <c r="QYZ366" s="284"/>
      <c r="QZA366" s="656"/>
      <c r="QZB366" s="286"/>
      <c r="QZC366" s="287"/>
      <c r="QZD366" s="296"/>
      <c r="QZE366" s="266"/>
      <c r="QZF366" s="649"/>
      <c r="QZG366" s="326"/>
      <c r="QZH366" s="655"/>
      <c r="QZI366" s="284"/>
      <c r="QZJ366" s="656"/>
      <c r="QZK366" s="286"/>
      <c r="QZL366" s="287"/>
      <c r="QZM366" s="296"/>
      <c r="QZN366" s="266"/>
      <c r="QZO366" s="649"/>
      <c r="QZP366" s="326"/>
      <c r="QZQ366" s="655"/>
      <c r="QZR366" s="284"/>
      <c r="QZS366" s="656"/>
      <c r="QZT366" s="286"/>
      <c r="QZU366" s="287"/>
      <c r="QZV366" s="296"/>
      <c r="QZW366" s="266"/>
      <c r="QZX366" s="649"/>
      <c r="QZY366" s="326"/>
      <c r="QZZ366" s="655"/>
      <c r="RAA366" s="284"/>
      <c r="RAB366" s="656"/>
      <c r="RAC366" s="286"/>
      <c r="RAD366" s="287"/>
      <c r="RAE366" s="296"/>
      <c r="RAF366" s="266"/>
      <c r="RAG366" s="649"/>
      <c r="RAH366" s="326"/>
      <c r="RAI366" s="655"/>
      <c r="RAJ366" s="284"/>
      <c r="RAK366" s="656"/>
      <c r="RAL366" s="286"/>
      <c r="RAM366" s="287"/>
      <c r="RAN366" s="296"/>
      <c r="RAO366" s="266"/>
      <c r="RAP366" s="649"/>
      <c r="RAQ366" s="326"/>
      <c r="RAR366" s="655"/>
      <c r="RAS366" s="284"/>
      <c r="RAT366" s="656"/>
      <c r="RAU366" s="286"/>
      <c r="RAV366" s="287"/>
      <c r="RAW366" s="296"/>
      <c r="RAX366" s="266"/>
      <c r="RAY366" s="649"/>
      <c r="RAZ366" s="326"/>
      <c r="RBA366" s="655"/>
      <c r="RBB366" s="284"/>
      <c r="RBC366" s="656"/>
      <c r="RBD366" s="286"/>
      <c r="RBE366" s="287"/>
      <c r="RBF366" s="296"/>
      <c r="RBG366" s="266"/>
      <c r="RBH366" s="649"/>
      <c r="RBI366" s="326"/>
      <c r="RBJ366" s="655"/>
      <c r="RBK366" s="284"/>
      <c r="RBL366" s="656"/>
      <c r="RBM366" s="286"/>
      <c r="RBN366" s="287"/>
      <c r="RBO366" s="296"/>
      <c r="RBP366" s="266"/>
      <c r="RBQ366" s="649"/>
      <c r="RBR366" s="326"/>
      <c r="RBS366" s="655"/>
      <c r="RBT366" s="284"/>
      <c r="RBU366" s="656"/>
      <c r="RBV366" s="286"/>
      <c r="RBW366" s="287"/>
      <c r="RBX366" s="296"/>
      <c r="RBY366" s="266"/>
      <c r="RBZ366" s="649"/>
      <c r="RCA366" s="326"/>
      <c r="RCB366" s="655"/>
      <c r="RCC366" s="284"/>
      <c r="RCD366" s="656"/>
      <c r="RCE366" s="286"/>
      <c r="RCF366" s="287"/>
      <c r="RCG366" s="296"/>
      <c r="RCH366" s="266"/>
      <c r="RCI366" s="649"/>
      <c r="RCJ366" s="326"/>
      <c r="RCK366" s="655"/>
      <c r="RCL366" s="284"/>
      <c r="RCM366" s="656"/>
      <c r="RCN366" s="286"/>
      <c r="RCO366" s="287"/>
      <c r="RCP366" s="296"/>
      <c r="RCQ366" s="266"/>
      <c r="RCR366" s="649"/>
      <c r="RCS366" s="326"/>
      <c r="RCT366" s="655"/>
      <c r="RCU366" s="284"/>
      <c r="RCV366" s="656"/>
      <c r="RCW366" s="286"/>
      <c r="RCX366" s="287"/>
      <c r="RCY366" s="296"/>
      <c r="RCZ366" s="266"/>
      <c r="RDA366" s="649"/>
      <c r="RDB366" s="326"/>
      <c r="RDC366" s="655"/>
      <c r="RDD366" s="284"/>
      <c r="RDE366" s="656"/>
      <c r="RDF366" s="286"/>
      <c r="RDG366" s="287"/>
      <c r="RDH366" s="296"/>
      <c r="RDI366" s="266"/>
      <c r="RDJ366" s="649"/>
      <c r="RDK366" s="326"/>
      <c r="RDL366" s="655"/>
      <c r="RDM366" s="284"/>
      <c r="RDN366" s="656"/>
      <c r="RDO366" s="286"/>
      <c r="RDP366" s="287"/>
      <c r="RDQ366" s="296"/>
      <c r="RDR366" s="266"/>
      <c r="RDS366" s="649"/>
      <c r="RDT366" s="326"/>
      <c r="RDU366" s="655"/>
      <c r="RDV366" s="284"/>
      <c r="RDW366" s="656"/>
      <c r="RDX366" s="286"/>
      <c r="RDY366" s="287"/>
      <c r="RDZ366" s="296"/>
      <c r="REA366" s="266"/>
      <c r="REB366" s="649"/>
      <c r="REC366" s="326"/>
      <c r="RED366" s="655"/>
      <c r="REE366" s="284"/>
      <c r="REF366" s="656"/>
      <c r="REG366" s="286"/>
      <c r="REH366" s="287"/>
      <c r="REI366" s="296"/>
      <c r="REJ366" s="266"/>
      <c r="REK366" s="649"/>
      <c r="REL366" s="326"/>
      <c r="REM366" s="655"/>
      <c r="REN366" s="284"/>
      <c r="REO366" s="656"/>
      <c r="REP366" s="286"/>
      <c r="REQ366" s="287"/>
      <c r="RER366" s="296"/>
      <c r="RES366" s="266"/>
      <c r="RET366" s="649"/>
      <c r="REU366" s="326"/>
      <c r="REV366" s="655"/>
      <c r="REW366" s="284"/>
      <c r="REX366" s="656"/>
      <c r="REY366" s="286"/>
      <c r="REZ366" s="287"/>
      <c r="RFA366" s="296"/>
      <c r="RFB366" s="266"/>
      <c r="RFC366" s="649"/>
      <c r="RFD366" s="326"/>
      <c r="RFE366" s="655"/>
      <c r="RFF366" s="284"/>
      <c r="RFG366" s="656"/>
      <c r="RFH366" s="286"/>
      <c r="RFI366" s="287"/>
      <c r="RFJ366" s="296"/>
      <c r="RFK366" s="266"/>
      <c r="RFL366" s="649"/>
      <c r="RFM366" s="326"/>
      <c r="RFN366" s="655"/>
      <c r="RFO366" s="284"/>
      <c r="RFP366" s="656"/>
      <c r="RFQ366" s="286"/>
      <c r="RFR366" s="287"/>
      <c r="RFS366" s="296"/>
      <c r="RFT366" s="266"/>
      <c r="RFU366" s="649"/>
      <c r="RFV366" s="326"/>
      <c r="RFW366" s="655"/>
      <c r="RFX366" s="284"/>
      <c r="RFY366" s="656"/>
      <c r="RFZ366" s="286"/>
      <c r="RGA366" s="287"/>
      <c r="RGB366" s="296"/>
      <c r="RGC366" s="266"/>
      <c r="RGD366" s="649"/>
      <c r="RGE366" s="326"/>
      <c r="RGF366" s="655"/>
      <c r="RGG366" s="284"/>
      <c r="RGH366" s="656"/>
      <c r="RGI366" s="286"/>
      <c r="RGJ366" s="287"/>
      <c r="RGK366" s="296"/>
      <c r="RGL366" s="266"/>
      <c r="RGM366" s="649"/>
      <c r="RGN366" s="326"/>
      <c r="RGO366" s="655"/>
      <c r="RGP366" s="284"/>
      <c r="RGQ366" s="656"/>
      <c r="RGR366" s="286"/>
      <c r="RGS366" s="287"/>
      <c r="RGT366" s="296"/>
      <c r="RGU366" s="266"/>
      <c r="RGV366" s="649"/>
      <c r="RGW366" s="326"/>
      <c r="RGX366" s="655"/>
      <c r="RGY366" s="284"/>
      <c r="RGZ366" s="656"/>
      <c r="RHA366" s="286"/>
      <c r="RHB366" s="287"/>
      <c r="RHC366" s="296"/>
      <c r="RHD366" s="266"/>
      <c r="RHE366" s="649"/>
      <c r="RHF366" s="326"/>
      <c r="RHG366" s="655"/>
      <c r="RHH366" s="284"/>
      <c r="RHI366" s="656"/>
      <c r="RHJ366" s="286"/>
      <c r="RHK366" s="287"/>
      <c r="RHL366" s="296"/>
      <c r="RHM366" s="266"/>
      <c r="RHN366" s="649"/>
      <c r="RHO366" s="326"/>
      <c r="RHP366" s="655"/>
      <c r="RHQ366" s="284"/>
      <c r="RHR366" s="656"/>
      <c r="RHS366" s="286"/>
      <c r="RHT366" s="287"/>
      <c r="RHU366" s="296"/>
      <c r="RHV366" s="266"/>
      <c r="RHW366" s="649"/>
      <c r="RHX366" s="326"/>
      <c r="RHY366" s="655"/>
      <c r="RHZ366" s="284"/>
      <c r="RIA366" s="656"/>
      <c r="RIB366" s="286"/>
      <c r="RIC366" s="287"/>
      <c r="RID366" s="296"/>
      <c r="RIE366" s="266"/>
      <c r="RIF366" s="649"/>
      <c r="RIG366" s="326"/>
      <c r="RIH366" s="655"/>
      <c r="RII366" s="284"/>
      <c r="RIJ366" s="656"/>
      <c r="RIK366" s="286"/>
      <c r="RIL366" s="287"/>
      <c r="RIM366" s="296"/>
      <c r="RIN366" s="266"/>
      <c r="RIO366" s="649"/>
      <c r="RIP366" s="326"/>
      <c r="RIQ366" s="655"/>
      <c r="RIR366" s="284"/>
      <c r="RIS366" s="656"/>
      <c r="RIT366" s="286"/>
      <c r="RIU366" s="287"/>
      <c r="RIV366" s="296"/>
      <c r="RIW366" s="266"/>
      <c r="RIX366" s="649"/>
      <c r="RIY366" s="326"/>
      <c r="RIZ366" s="655"/>
      <c r="RJA366" s="284"/>
      <c r="RJB366" s="656"/>
      <c r="RJC366" s="286"/>
      <c r="RJD366" s="287"/>
      <c r="RJE366" s="296"/>
      <c r="RJF366" s="266"/>
      <c r="RJG366" s="649"/>
      <c r="RJH366" s="326"/>
      <c r="RJI366" s="655"/>
      <c r="RJJ366" s="284"/>
      <c r="RJK366" s="656"/>
      <c r="RJL366" s="286"/>
      <c r="RJM366" s="287"/>
      <c r="RJN366" s="296"/>
      <c r="RJO366" s="266"/>
      <c r="RJP366" s="649"/>
      <c r="RJQ366" s="326"/>
      <c r="RJR366" s="655"/>
      <c r="RJS366" s="284"/>
      <c r="RJT366" s="656"/>
      <c r="RJU366" s="286"/>
      <c r="RJV366" s="287"/>
      <c r="RJW366" s="296"/>
      <c r="RJX366" s="266"/>
      <c r="RJY366" s="649"/>
      <c r="RJZ366" s="326"/>
      <c r="RKA366" s="655"/>
      <c r="RKB366" s="284"/>
      <c r="RKC366" s="656"/>
      <c r="RKD366" s="286"/>
      <c r="RKE366" s="287"/>
      <c r="RKF366" s="296"/>
      <c r="RKG366" s="266"/>
      <c r="RKH366" s="649"/>
      <c r="RKI366" s="326"/>
      <c r="RKJ366" s="655"/>
      <c r="RKK366" s="284"/>
      <c r="RKL366" s="656"/>
      <c r="RKM366" s="286"/>
      <c r="RKN366" s="287"/>
      <c r="RKO366" s="296"/>
      <c r="RKP366" s="266"/>
      <c r="RKQ366" s="649"/>
      <c r="RKR366" s="326"/>
      <c r="RKS366" s="655"/>
      <c r="RKT366" s="284"/>
      <c r="RKU366" s="656"/>
      <c r="RKV366" s="286"/>
      <c r="RKW366" s="287"/>
      <c r="RKX366" s="296"/>
      <c r="RKY366" s="266"/>
      <c r="RKZ366" s="649"/>
      <c r="RLA366" s="326"/>
      <c r="RLB366" s="655"/>
      <c r="RLC366" s="284"/>
      <c r="RLD366" s="656"/>
      <c r="RLE366" s="286"/>
      <c r="RLF366" s="287"/>
      <c r="RLG366" s="296"/>
      <c r="RLH366" s="266"/>
      <c r="RLI366" s="649"/>
      <c r="RLJ366" s="326"/>
      <c r="RLK366" s="655"/>
      <c r="RLL366" s="284"/>
      <c r="RLM366" s="656"/>
      <c r="RLN366" s="286"/>
      <c r="RLO366" s="287"/>
      <c r="RLP366" s="296"/>
      <c r="RLQ366" s="266"/>
      <c r="RLR366" s="649"/>
      <c r="RLS366" s="326"/>
      <c r="RLT366" s="655"/>
      <c r="RLU366" s="284"/>
      <c r="RLV366" s="656"/>
      <c r="RLW366" s="286"/>
      <c r="RLX366" s="287"/>
      <c r="RLY366" s="296"/>
      <c r="RLZ366" s="266"/>
      <c r="RMA366" s="649"/>
      <c r="RMB366" s="326"/>
      <c r="RMC366" s="655"/>
      <c r="RMD366" s="284"/>
      <c r="RME366" s="656"/>
      <c r="RMF366" s="286"/>
      <c r="RMG366" s="287"/>
      <c r="RMH366" s="296"/>
      <c r="RMI366" s="266"/>
      <c r="RMJ366" s="649"/>
      <c r="RMK366" s="326"/>
      <c r="RML366" s="655"/>
      <c r="RMM366" s="284"/>
      <c r="RMN366" s="656"/>
      <c r="RMO366" s="286"/>
      <c r="RMP366" s="287"/>
      <c r="RMQ366" s="296"/>
      <c r="RMR366" s="266"/>
      <c r="RMS366" s="649"/>
      <c r="RMT366" s="326"/>
      <c r="RMU366" s="655"/>
      <c r="RMV366" s="284"/>
      <c r="RMW366" s="656"/>
      <c r="RMX366" s="286"/>
      <c r="RMY366" s="287"/>
      <c r="RMZ366" s="296"/>
      <c r="RNA366" s="266"/>
      <c r="RNB366" s="649"/>
      <c r="RNC366" s="326"/>
      <c r="RND366" s="655"/>
      <c r="RNE366" s="284"/>
      <c r="RNF366" s="656"/>
      <c r="RNG366" s="286"/>
      <c r="RNH366" s="287"/>
      <c r="RNI366" s="296"/>
      <c r="RNJ366" s="266"/>
      <c r="RNK366" s="649"/>
      <c r="RNL366" s="326"/>
      <c r="RNM366" s="655"/>
      <c r="RNN366" s="284"/>
      <c r="RNO366" s="656"/>
      <c r="RNP366" s="286"/>
      <c r="RNQ366" s="287"/>
      <c r="RNR366" s="296"/>
      <c r="RNS366" s="266"/>
      <c r="RNT366" s="649"/>
      <c r="RNU366" s="326"/>
      <c r="RNV366" s="655"/>
      <c r="RNW366" s="284"/>
      <c r="RNX366" s="656"/>
      <c r="RNY366" s="286"/>
      <c r="RNZ366" s="287"/>
      <c r="ROA366" s="296"/>
      <c r="ROB366" s="266"/>
      <c r="ROC366" s="649"/>
      <c r="ROD366" s="326"/>
      <c r="ROE366" s="655"/>
      <c r="ROF366" s="284"/>
      <c r="ROG366" s="656"/>
      <c r="ROH366" s="286"/>
      <c r="ROI366" s="287"/>
      <c r="ROJ366" s="296"/>
      <c r="ROK366" s="266"/>
      <c r="ROL366" s="649"/>
      <c r="ROM366" s="326"/>
      <c r="RON366" s="655"/>
      <c r="ROO366" s="284"/>
      <c r="ROP366" s="656"/>
      <c r="ROQ366" s="286"/>
      <c r="ROR366" s="287"/>
      <c r="ROS366" s="296"/>
      <c r="ROT366" s="266"/>
      <c r="ROU366" s="649"/>
      <c r="ROV366" s="326"/>
      <c r="ROW366" s="655"/>
      <c r="ROX366" s="284"/>
      <c r="ROY366" s="656"/>
      <c r="ROZ366" s="286"/>
      <c r="RPA366" s="287"/>
      <c r="RPB366" s="296"/>
      <c r="RPC366" s="266"/>
      <c r="RPD366" s="649"/>
      <c r="RPE366" s="326"/>
      <c r="RPF366" s="655"/>
      <c r="RPG366" s="284"/>
      <c r="RPH366" s="656"/>
      <c r="RPI366" s="286"/>
      <c r="RPJ366" s="287"/>
      <c r="RPK366" s="296"/>
      <c r="RPL366" s="266"/>
      <c r="RPM366" s="649"/>
      <c r="RPN366" s="326"/>
      <c r="RPO366" s="655"/>
      <c r="RPP366" s="284"/>
      <c r="RPQ366" s="656"/>
      <c r="RPR366" s="286"/>
      <c r="RPS366" s="287"/>
      <c r="RPT366" s="296"/>
      <c r="RPU366" s="266"/>
      <c r="RPV366" s="649"/>
      <c r="RPW366" s="326"/>
      <c r="RPX366" s="655"/>
      <c r="RPY366" s="284"/>
      <c r="RPZ366" s="656"/>
      <c r="RQA366" s="286"/>
      <c r="RQB366" s="287"/>
      <c r="RQC366" s="296"/>
      <c r="RQD366" s="266"/>
      <c r="RQE366" s="649"/>
      <c r="RQF366" s="326"/>
      <c r="RQG366" s="655"/>
      <c r="RQH366" s="284"/>
      <c r="RQI366" s="656"/>
      <c r="RQJ366" s="286"/>
      <c r="RQK366" s="287"/>
      <c r="RQL366" s="296"/>
      <c r="RQM366" s="266"/>
      <c r="RQN366" s="649"/>
      <c r="RQO366" s="326"/>
      <c r="RQP366" s="655"/>
      <c r="RQQ366" s="284"/>
      <c r="RQR366" s="656"/>
      <c r="RQS366" s="286"/>
      <c r="RQT366" s="287"/>
      <c r="RQU366" s="296"/>
      <c r="RQV366" s="266"/>
      <c r="RQW366" s="649"/>
      <c r="RQX366" s="326"/>
      <c r="RQY366" s="655"/>
      <c r="RQZ366" s="284"/>
      <c r="RRA366" s="656"/>
      <c r="RRB366" s="286"/>
      <c r="RRC366" s="287"/>
      <c r="RRD366" s="296"/>
      <c r="RRE366" s="266"/>
      <c r="RRF366" s="649"/>
      <c r="RRG366" s="326"/>
      <c r="RRH366" s="655"/>
      <c r="RRI366" s="284"/>
      <c r="RRJ366" s="656"/>
      <c r="RRK366" s="286"/>
      <c r="RRL366" s="287"/>
      <c r="RRM366" s="296"/>
      <c r="RRN366" s="266"/>
      <c r="RRO366" s="649"/>
      <c r="RRP366" s="326"/>
      <c r="RRQ366" s="655"/>
      <c r="RRR366" s="284"/>
      <c r="RRS366" s="656"/>
      <c r="RRT366" s="286"/>
      <c r="RRU366" s="287"/>
      <c r="RRV366" s="296"/>
      <c r="RRW366" s="266"/>
      <c r="RRX366" s="649"/>
      <c r="RRY366" s="326"/>
      <c r="RRZ366" s="655"/>
      <c r="RSA366" s="284"/>
      <c r="RSB366" s="656"/>
      <c r="RSC366" s="286"/>
      <c r="RSD366" s="287"/>
      <c r="RSE366" s="296"/>
      <c r="RSF366" s="266"/>
      <c r="RSG366" s="649"/>
      <c r="RSH366" s="326"/>
      <c r="RSI366" s="655"/>
      <c r="RSJ366" s="284"/>
      <c r="RSK366" s="656"/>
      <c r="RSL366" s="286"/>
      <c r="RSM366" s="287"/>
      <c r="RSN366" s="296"/>
      <c r="RSO366" s="266"/>
      <c r="RSP366" s="649"/>
      <c r="RSQ366" s="326"/>
      <c r="RSR366" s="655"/>
      <c r="RSS366" s="284"/>
      <c r="RST366" s="656"/>
      <c r="RSU366" s="286"/>
      <c r="RSV366" s="287"/>
      <c r="RSW366" s="296"/>
      <c r="RSX366" s="266"/>
      <c r="RSY366" s="649"/>
      <c r="RSZ366" s="326"/>
      <c r="RTA366" s="655"/>
      <c r="RTB366" s="284"/>
      <c r="RTC366" s="656"/>
      <c r="RTD366" s="286"/>
      <c r="RTE366" s="287"/>
      <c r="RTF366" s="296"/>
      <c r="RTG366" s="266"/>
      <c r="RTH366" s="649"/>
      <c r="RTI366" s="326"/>
      <c r="RTJ366" s="655"/>
      <c r="RTK366" s="284"/>
      <c r="RTL366" s="656"/>
      <c r="RTM366" s="286"/>
      <c r="RTN366" s="287"/>
      <c r="RTO366" s="296"/>
      <c r="RTP366" s="266"/>
      <c r="RTQ366" s="649"/>
      <c r="RTR366" s="326"/>
      <c r="RTS366" s="655"/>
      <c r="RTT366" s="284"/>
      <c r="RTU366" s="656"/>
      <c r="RTV366" s="286"/>
      <c r="RTW366" s="287"/>
      <c r="RTX366" s="296"/>
      <c r="RTY366" s="266"/>
      <c r="RTZ366" s="649"/>
      <c r="RUA366" s="326"/>
      <c r="RUB366" s="655"/>
      <c r="RUC366" s="284"/>
      <c r="RUD366" s="656"/>
      <c r="RUE366" s="286"/>
      <c r="RUF366" s="287"/>
      <c r="RUG366" s="296"/>
      <c r="RUH366" s="266"/>
      <c r="RUI366" s="649"/>
      <c r="RUJ366" s="326"/>
      <c r="RUK366" s="655"/>
      <c r="RUL366" s="284"/>
      <c r="RUM366" s="656"/>
      <c r="RUN366" s="286"/>
      <c r="RUO366" s="287"/>
      <c r="RUP366" s="296"/>
      <c r="RUQ366" s="266"/>
      <c r="RUR366" s="649"/>
      <c r="RUS366" s="326"/>
      <c r="RUT366" s="655"/>
      <c r="RUU366" s="284"/>
      <c r="RUV366" s="656"/>
      <c r="RUW366" s="286"/>
      <c r="RUX366" s="287"/>
      <c r="RUY366" s="296"/>
      <c r="RUZ366" s="266"/>
      <c r="RVA366" s="649"/>
      <c r="RVB366" s="326"/>
      <c r="RVC366" s="655"/>
      <c r="RVD366" s="284"/>
      <c r="RVE366" s="656"/>
      <c r="RVF366" s="286"/>
      <c r="RVG366" s="287"/>
      <c r="RVH366" s="296"/>
      <c r="RVI366" s="266"/>
      <c r="RVJ366" s="649"/>
      <c r="RVK366" s="326"/>
      <c r="RVL366" s="655"/>
      <c r="RVM366" s="284"/>
      <c r="RVN366" s="656"/>
      <c r="RVO366" s="286"/>
      <c r="RVP366" s="287"/>
      <c r="RVQ366" s="296"/>
      <c r="RVR366" s="266"/>
      <c r="RVS366" s="649"/>
      <c r="RVT366" s="326"/>
      <c r="RVU366" s="655"/>
      <c r="RVV366" s="284"/>
      <c r="RVW366" s="656"/>
      <c r="RVX366" s="286"/>
      <c r="RVY366" s="287"/>
      <c r="RVZ366" s="296"/>
      <c r="RWA366" s="266"/>
      <c r="RWB366" s="649"/>
      <c r="RWC366" s="326"/>
      <c r="RWD366" s="655"/>
      <c r="RWE366" s="284"/>
      <c r="RWF366" s="656"/>
      <c r="RWG366" s="286"/>
      <c r="RWH366" s="287"/>
      <c r="RWI366" s="296"/>
      <c r="RWJ366" s="266"/>
      <c r="RWK366" s="649"/>
      <c r="RWL366" s="326"/>
      <c r="RWM366" s="655"/>
      <c r="RWN366" s="284"/>
      <c r="RWO366" s="656"/>
      <c r="RWP366" s="286"/>
      <c r="RWQ366" s="287"/>
      <c r="RWR366" s="296"/>
      <c r="RWS366" s="266"/>
      <c r="RWT366" s="649"/>
      <c r="RWU366" s="326"/>
      <c r="RWV366" s="655"/>
      <c r="RWW366" s="284"/>
      <c r="RWX366" s="656"/>
      <c r="RWY366" s="286"/>
      <c r="RWZ366" s="287"/>
      <c r="RXA366" s="296"/>
      <c r="RXB366" s="266"/>
      <c r="RXC366" s="649"/>
      <c r="RXD366" s="326"/>
      <c r="RXE366" s="655"/>
      <c r="RXF366" s="284"/>
      <c r="RXG366" s="656"/>
      <c r="RXH366" s="286"/>
      <c r="RXI366" s="287"/>
      <c r="RXJ366" s="296"/>
      <c r="RXK366" s="266"/>
      <c r="RXL366" s="649"/>
      <c r="RXM366" s="326"/>
      <c r="RXN366" s="655"/>
      <c r="RXO366" s="284"/>
      <c r="RXP366" s="656"/>
      <c r="RXQ366" s="286"/>
      <c r="RXR366" s="287"/>
      <c r="RXS366" s="296"/>
      <c r="RXT366" s="266"/>
      <c r="RXU366" s="649"/>
      <c r="RXV366" s="326"/>
      <c r="RXW366" s="655"/>
      <c r="RXX366" s="284"/>
      <c r="RXY366" s="656"/>
      <c r="RXZ366" s="286"/>
      <c r="RYA366" s="287"/>
      <c r="RYB366" s="296"/>
      <c r="RYC366" s="266"/>
      <c r="RYD366" s="649"/>
      <c r="RYE366" s="326"/>
      <c r="RYF366" s="655"/>
      <c r="RYG366" s="284"/>
      <c r="RYH366" s="656"/>
      <c r="RYI366" s="286"/>
      <c r="RYJ366" s="287"/>
      <c r="RYK366" s="296"/>
      <c r="RYL366" s="266"/>
      <c r="RYM366" s="649"/>
      <c r="RYN366" s="326"/>
      <c r="RYO366" s="655"/>
      <c r="RYP366" s="284"/>
      <c r="RYQ366" s="656"/>
      <c r="RYR366" s="286"/>
      <c r="RYS366" s="287"/>
      <c r="RYT366" s="296"/>
      <c r="RYU366" s="266"/>
      <c r="RYV366" s="649"/>
      <c r="RYW366" s="326"/>
      <c r="RYX366" s="655"/>
      <c r="RYY366" s="284"/>
      <c r="RYZ366" s="656"/>
      <c r="RZA366" s="286"/>
      <c r="RZB366" s="287"/>
      <c r="RZC366" s="296"/>
      <c r="RZD366" s="266"/>
      <c r="RZE366" s="649"/>
      <c r="RZF366" s="326"/>
      <c r="RZG366" s="655"/>
      <c r="RZH366" s="284"/>
      <c r="RZI366" s="656"/>
      <c r="RZJ366" s="286"/>
      <c r="RZK366" s="287"/>
      <c r="RZL366" s="296"/>
      <c r="RZM366" s="266"/>
      <c r="RZN366" s="649"/>
      <c r="RZO366" s="326"/>
      <c r="RZP366" s="655"/>
      <c r="RZQ366" s="284"/>
      <c r="RZR366" s="656"/>
      <c r="RZS366" s="286"/>
      <c r="RZT366" s="287"/>
      <c r="RZU366" s="296"/>
      <c r="RZV366" s="266"/>
      <c r="RZW366" s="649"/>
      <c r="RZX366" s="326"/>
      <c r="RZY366" s="655"/>
      <c r="RZZ366" s="284"/>
      <c r="SAA366" s="656"/>
      <c r="SAB366" s="286"/>
      <c r="SAC366" s="287"/>
      <c r="SAD366" s="296"/>
      <c r="SAE366" s="266"/>
      <c r="SAF366" s="649"/>
      <c r="SAG366" s="326"/>
      <c r="SAH366" s="655"/>
      <c r="SAI366" s="284"/>
      <c r="SAJ366" s="656"/>
      <c r="SAK366" s="286"/>
      <c r="SAL366" s="287"/>
      <c r="SAM366" s="296"/>
      <c r="SAN366" s="266"/>
      <c r="SAO366" s="649"/>
      <c r="SAP366" s="326"/>
      <c r="SAQ366" s="655"/>
      <c r="SAR366" s="284"/>
      <c r="SAS366" s="656"/>
      <c r="SAT366" s="286"/>
      <c r="SAU366" s="287"/>
      <c r="SAV366" s="296"/>
      <c r="SAW366" s="266"/>
      <c r="SAX366" s="649"/>
      <c r="SAY366" s="326"/>
      <c r="SAZ366" s="655"/>
      <c r="SBA366" s="284"/>
      <c r="SBB366" s="656"/>
      <c r="SBC366" s="286"/>
      <c r="SBD366" s="287"/>
      <c r="SBE366" s="296"/>
      <c r="SBF366" s="266"/>
      <c r="SBG366" s="649"/>
      <c r="SBH366" s="326"/>
      <c r="SBI366" s="655"/>
      <c r="SBJ366" s="284"/>
      <c r="SBK366" s="656"/>
      <c r="SBL366" s="286"/>
      <c r="SBM366" s="287"/>
      <c r="SBN366" s="296"/>
      <c r="SBO366" s="266"/>
      <c r="SBP366" s="649"/>
      <c r="SBQ366" s="326"/>
      <c r="SBR366" s="655"/>
      <c r="SBS366" s="284"/>
      <c r="SBT366" s="656"/>
      <c r="SBU366" s="286"/>
      <c r="SBV366" s="287"/>
      <c r="SBW366" s="296"/>
      <c r="SBX366" s="266"/>
      <c r="SBY366" s="649"/>
      <c r="SBZ366" s="326"/>
      <c r="SCA366" s="655"/>
      <c r="SCB366" s="284"/>
      <c r="SCC366" s="656"/>
      <c r="SCD366" s="286"/>
      <c r="SCE366" s="287"/>
      <c r="SCF366" s="296"/>
      <c r="SCG366" s="266"/>
      <c r="SCH366" s="649"/>
      <c r="SCI366" s="326"/>
      <c r="SCJ366" s="655"/>
      <c r="SCK366" s="284"/>
      <c r="SCL366" s="656"/>
      <c r="SCM366" s="286"/>
      <c r="SCN366" s="287"/>
      <c r="SCO366" s="296"/>
      <c r="SCP366" s="266"/>
      <c r="SCQ366" s="649"/>
      <c r="SCR366" s="326"/>
      <c r="SCS366" s="655"/>
      <c r="SCT366" s="284"/>
      <c r="SCU366" s="656"/>
      <c r="SCV366" s="286"/>
      <c r="SCW366" s="287"/>
      <c r="SCX366" s="296"/>
      <c r="SCY366" s="266"/>
      <c r="SCZ366" s="649"/>
      <c r="SDA366" s="326"/>
      <c r="SDB366" s="655"/>
      <c r="SDC366" s="284"/>
      <c r="SDD366" s="656"/>
      <c r="SDE366" s="286"/>
      <c r="SDF366" s="287"/>
      <c r="SDG366" s="296"/>
      <c r="SDH366" s="266"/>
      <c r="SDI366" s="649"/>
      <c r="SDJ366" s="326"/>
      <c r="SDK366" s="655"/>
      <c r="SDL366" s="284"/>
      <c r="SDM366" s="656"/>
      <c r="SDN366" s="286"/>
      <c r="SDO366" s="287"/>
      <c r="SDP366" s="296"/>
      <c r="SDQ366" s="266"/>
      <c r="SDR366" s="649"/>
      <c r="SDS366" s="326"/>
      <c r="SDT366" s="655"/>
      <c r="SDU366" s="284"/>
      <c r="SDV366" s="656"/>
      <c r="SDW366" s="286"/>
      <c r="SDX366" s="287"/>
      <c r="SDY366" s="296"/>
      <c r="SDZ366" s="266"/>
      <c r="SEA366" s="649"/>
      <c r="SEB366" s="326"/>
      <c r="SEC366" s="655"/>
      <c r="SED366" s="284"/>
      <c r="SEE366" s="656"/>
      <c r="SEF366" s="286"/>
      <c r="SEG366" s="287"/>
      <c r="SEH366" s="296"/>
      <c r="SEI366" s="266"/>
      <c r="SEJ366" s="649"/>
      <c r="SEK366" s="326"/>
      <c r="SEL366" s="655"/>
      <c r="SEM366" s="284"/>
      <c r="SEN366" s="656"/>
      <c r="SEO366" s="286"/>
      <c r="SEP366" s="287"/>
      <c r="SEQ366" s="296"/>
      <c r="SER366" s="266"/>
      <c r="SES366" s="649"/>
      <c r="SET366" s="326"/>
      <c r="SEU366" s="655"/>
      <c r="SEV366" s="284"/>
      <c r="SEW366" s="656"/>
      <c r="SEX366" s="286"/>
      <c r="SEY366" s="287"/>
      <c r="SEZ366" s="296"/>
      <c r="SFA366" s="266"/>
      <c r="SFB366" s="649"/>
      <c r="SFC366" s="326"/>
      <c r="SFD366" s="655"/>
      <c r="SFE366" s="284"/>
      <c r="SFF366" s="656"/>
      <c r="SFG366" s="286"/>
      <c r="SFH366" s="287"/>
      <c r="SFI366" s="296"/>
      <c r="SFJ366" s="266"/>
      <c r="SFK366" s="649"/>
      <c r="SFL366" s="326"/>
      <c r="SFM366" s="655"/>
      <c r="SFN366" s="284"/>
      <c r="SFO366" s="656"/>
      <c r="SFP366" s="286"/>
      <c r="SFQ366" s="287"/>
      <c r="SFR366" s="296"/>
      <c r="SFS366" s="266"/>
      <c r="SFT366" s="649"/>
      <c r="SFU366" s="326"/>
      <c r="SFV366" s="655"/>
      <c r="SFW366" s="284"/>
      <c r="SFX366" s="656"/>
      <c r="SFY366" s="286"/>
      <c r="SFZ366" s="287"/>
      <c r="SGA366" s="296"/>
      <c r="SGB366" s="266"/>
      <c r="SGC366" s="649"/>
      <c r="SGD366" s="326"/>
      <c r="SGE366" s="655"/>
      <c r="SGF366" s="284"/>
      <c r="SGG366" s="656"/>
      <c r="SGH366" s="286"/>
      <c r="SGI366" s="287"/>
      <c r="SGJ366" s="296"/>
      <c r="SGK366" s="266"/>
      <c r="SGL366" s="649"/>
      <c r="SGM366" s="326"/>
      <c r="SGN366" s="655"/>
      <c r="SGO366" s="284"/>
      <c r="SGP366" s="656"/>
      <c r="SGQ366" s="286"/>
      <c r="SGR366" s="287"/>
      <c r="SGS366" s="296"/>
      <c r="SGT366" s="266"/>
      <c r="SGU366" s="649"/>
      <c r="SGV366" s="326"/>
      <c r="SGW366" s="655"/>
      <c r="SGX366" s="284"/>
      <c r="SGY366" s="656"/>
      <c r="SGZ366" s="286"/>
      <c r="SHA366" s="287"/>
      <c r="SHB366" s="296"/>
      <c r="SHC366" s="266"/>
      <c r="SHD366" s="649"/>
      <c r="SHE366" s="326"/>
      <c r="SHF366" s="655"/>
      <c r="SHG366" s="284"/>
      <c r="SHH366" s="656"/>
      <c r="SHI366" s="286"/>
      <c r="SHJ366" s="287"/>
      <c r="SHK366" s="296"/>
      <c r="SHL366" s="266"/>
      <c r="SHM366" s="649"/>
      <c r="SHN366" s="326"/>
      <c r="SHO366" s="655"/>
      <c r="SHP366" s="284"/>
      <c r="SHQ366" s="656"/>
      <c r="SHR366" s="286"/>
      <c r="SHS366" s="287"/>
      <c r="SHT366" s="296"/>
      <c r="SHU366" s="266"/>
      <c r="SHV366" s="649"/>
      <c r="SHW366" s="326"/>
      <c r="SHX366" s="655"/>
      <c r="SHY366" s="284"/>
      <c r="SHZ366" s="656"/>
      <c r="SIA366" s="286"/>
      <c r="SIB366" s="287"/>
      <c r="SIC366" s="296"/>
      <c r="SID366" s="266"/>
      <c r="SIE366" s="649"/>
      <c r="SIF366" s="326"/>
      <c r="SIG366" s="655"/>
      <c r="SIH366" s="284"/>
      <c r="SII366" s="656"/>
      <c r="SIJ366" s="286"/>
      <c r="SIK366" s="287"/>
      <c r="SIL366" s="296"/>
      <c r="SIM366" s="266"/>
      <c r="SIN366" s="649"/>
      <c r="SIO366" s="326"/>
      <c r="SIP366" s="655"/>
      <c r="SIQ366" s="284"/>
      <c r="SIR366" s="656"/>
      <c r="SIS366" s="286"/>
      <c r="SIT366" s="287"/>
      <c r="SIU366" s="296"/>
      <c r="SIV366" s="266"/>
      <c r="SIW366" s="649"/>
      <c r="SIX366" s="326"/>
      <c r="SIY366" s="655"/>
      <c r="SIZ366" s="284"/>
      <c r="SJA366" s="656"/>
      <c r="SJB366" s="286"/>
      <c r="SJC366" s="287"/>
      <c r="SJD366" s="296"/>
      <c r="SJE366" s="266"/>
      <c r="SJF366" s="649"/>
      <c r="SJG366" s="326"/>
      <c r="SJH366" s="655"/>
      <c r="SJI366" s="284"/>
      <c r="SJJ366" s="656"/>
      <c r="SJK366" s="286"/>
      <c r="SJL366" s="287"/>
      <c r="SJM366" s="296"/>
      <c r="SJN366" s="266"/>
      <c r="SJO366" s="649"/>
      <c r="SJP366" s="326"/>
      <c r="SJQ366" s="655"/>
      <c r="SJR366" s="284"/>
      <c r="SJS366" s="656"/>
      <c r="SJT366" s="286"/>
      <c r="SJU366" s="287"/>
      <c r="SJV366" s="296"/>
      <c r="SJW366" s="266"/>
      <c r="SJX366" s="649"/>
      <c r="SJY366" s="326"/>
      <c r="SJZ366" s="655"/>
      <c r="SKA366" s="284"/>
      <c r="SKB366" s="656"/>
      <c r="SKC366" s="286"/>
      <c r="SKD366" s="287"/>
      <c r="SKE366" s="296"/>
      <c r="SKF366" s="266"/>
      <c r="SKG366" s="649"/>
      <c r="SKH366" s="326"/>
      <c r="SKI366" s="655"/>
      <c r="SKJ366" s="284"/>
      <c r="SKK366" s="656"/>
      <c r="SKL366" s="286"/>
      <c r="SKM366" s="287"/>
      <c r="SKN366" s="296"/>
      <c r="SKO366" s="266"/>
      <c r="SKP366" s="649"/>
      <c r="SKQ366" s="326"/>
      <c r="SKR366" s="655"/>
      <c r="SKS366" s="284"/>
      <c r="SKT366" s="656"/>
      <c r="SKU366" s="286"/>
      <c r="SKV366" s="287"/>
      <c r="SKW366" s="296"/>
      <c r="SKX366" s="266"/>
      <c r="SKY366" s="649"/>
      <c r="SKZ366" s="326"/>
      <c r="SLA366" s="655"/>
      <c r="SLB366" s="284"/>
      <c r="SLC366" s="656"/>
      <c r="SLD366" s="286"/>
      <c r="SLE366" s="287"/>
      <c r="SLF366" s="296"/>
      <c r="SLG366" s="266"/>
      <c r="SLH366" s="649"/>
      <c r="SLI366" s="326"/>
      <c r="SLJ366" s="655"/>
      <c r="SLK366" s="284"/>
      <c r="SLL366" s="656"/>
      <c r="SLM366" s="286"/>
      <c r="SLN366" s="287"/>
      <c r="SLO366" s="296"/>
      <c r="SLP366" s="266"/>
      <c r="SLQ366" s="649"/>
      <c r="SLR366" s="326"/>
      <c r="SLS366" s="655"/>
      <c r="SLT366" s="284"/>
      <c r="SLU366" s="656"/>
      <c r="SLV366" s="286"/>
      <c r="SLW366" s="287"/>
      <c r="SLX366" s="296"/>
      <c r="SLY366" s="266"/>
      <c r="SLZ366" s="649"/>
      <c r="SMA366" s="326"/>
      <c r="SMB366" s="655"/>
      <c r="SMC366" s="284"/>
      <c r="SMD366" s="656"/>
      <c r="SME366" s="286"/>
      <c r="SMF366" s="287"/>
      <c r="SMG366" s="296"/>
      <c r="SMH366" s="266"/>
      <c r="SMI366" s="649"/>
      <c r="SMJ366" s="326"/>
      <c r="SMK366" s="655"/>
      <c r="SML366" s="284"/>
      <c r="SMM366" s="656"/>
      <c r="SMN366" s="286"/>
      <c r="SMO366" s="287"/>
      <c r="SMP366" s="296"/>
      <c r="SMQ366" s="266"/>
      <c r="SMR366" s="649"/>
      <c r="SMS366" s="326"/>
      <c r="SMT366" s="655"/>
      <c r="SMU366" s="284"/>
      <c r="SMV366" s="656"/>
      <c r="SMW366" s="286"/>
      <c r="SMX366" s="287"/>
      <c r="SMY366" s="296"/>
      <c r="SMZ366" s="266"/>
      <c r="SNA366" s="649"/>
      <c r="SNB366" s="326"/>
      <c r="SNC366" s="655"/>
      <c r="SND366" s="284"/>
      <c r="SNE366" s="656"/>
      <c r="SNF366" s="286"/>
      <c r="SNG366" s="287"/>
      <c r="SNH366" s="296"/>
      <c r="SNI366" s="266"/>
      <c r="SNJ366" s="649"/>
      <c r="SNK366" s="326"/>
      <c r="SNL366" s="655"/>
      <c r="SNM366" s="284"/>
      <c r="SNN366" s="656"/>
      <c r="SNO366" s="286"/>
      <c r="SNP366" s="287"/>
      <c r="SNQ366" s="296"/>
      <c r="SNR366" s="266"/>
      <c r="SNS366" s="649"/>
      <c r="SNT366" s="326"/>
      <c r="SNU366" s="655"/>
      <c r="SNV366" s="284"/>
      <c r="SNW366" s="656"/>
      <c r="SNX366" s="286"/>
      <c r="SNY366" s="287"/>
      <c r="SNZ366" s="296"/>
      <c r="SOA366" s="266"/>
      <c r="SOB366" s="649"/>
      <c r="SOC366" s="326"/>
      <c r="SOD366" s="655"/>
      <c r="SOE366" s="284"/>
      <c r="SOF366" s="656"/>
      <c r="SOG366" s="286"/>
      <c r="SOH366" s="287"/>
      <c r="SOI366" s="296"/>
      <c r="SOJ366" s="266"/>
      <c r="SOK366" s="649"/>
      <c r="SOL366" s="326"/>
      <c r="SOM366" s="655"/>
      <c r="SON366" s="284"/>
      <c r="SOO366" s="656"/>
      <c r="SOP366" s="286"/>
      <c r="SOQ366" s="287"/>
      <c r="SOR366" s="296"/>
      <c r="SOS366" s="266"/>
      <c r="SOT366" s="649"/>
      <c r="SOU366" s="326"/>
      <c r="SOV366" s="655"/>
      <c r="SOW366" s="284"/>
      <c r="SOX366" s="656"/>
      <c r="SOY366" s="286"/>
      <c r="SOZ366" s="287"/>
      <c r="SPA366" s="296"/>
      <c r="SPB366" s="266"/>
      <c r="SPC366" s="649"/>
      <c r="SPD366" s="326"/>
      <c r="SPE366" s="655"/>
      <c r="SPF366" s="284"/>
      <c r="SPG366" s="656"/>
      <c r="SPH366" s="286"/>
      <c r="SPI366" s="287"/>
      <c r="SPJ366" s="296"/>
      <c r="SPK366" s="266"/>
      <c r="SPL366" s="649"/>
      <c r="SPM366" s="326"/>
      <c r="SPN366" s="655"/>
      <c r="SPO366" s="284"/>
      <c r="SPP366" s="656"/>
      <c r="SPQ366" s="286"/>
      <c r="SPR366" s="287"/>
      <c r="SPS366" s="296"/>
      <c r="SPT366" s="266"/>
      <c r="SPU366" s="649"/>
      <c r="SPV366" s="326"/>
      <c r="SPW366" s="655"/>
      <c r="SPX366" s="284"/>
      <c r="SPY366" s="656"/>
      <c r="SPZ366" s="286"/>
      <c r="SQA366" s="287"/>
      <c r="SQB366" s="296"/>
      <c r="SQC366" s="266"/>
      <c r="SQD366" s="649"/>
      <c r="SQE366" s="326"/>
      <c r="SQF366" s="655"/>
      <c r="SQG366" s="284"/>
      <c r="SQH366" s="656"/>
      <c r="SQI366" s="286"/>
      <c r="SQJ366" s="287"/>
      <c r="SQK366" s="296"/>
      <c r="SQL366" s="266"/>
      <c r="SQM366" s="649"/>
      <c r="SQN366" s="326"/>
      <c r="SQO366" s="655"/>
      <c r="SQP366" s="284"/>
      <c r="SQQ366" s="656"/>
      <c r="SQR366" s="286"/>
      <c r="SQS366" s="287"/>
      <c r="SQT366" s="296"/>
      <c r="SQU366" s="266"/>
      <c r="SQV366" s="649"/>
      <c r="SQW366" s="326"/>
      <c r="SQX366" s="655"/>
      <c r="SQY366" s="284"/>
      <c r="SQZ366" s="656"/>
      <c r="SRA366" s="286"/>
      <c r="SRB366" s="287"/>
      <c r="SRC366" s="296"/>
      <c r="SRD366" s="266"/>
      <c r="SRE366" s="649"/>
      <c r="SRF366" s="326"/>
      <c r="SRG366" s="655"/>
      <c r="SRH366" s="284"/>
      <c r="SRI366" s="656"/>
      <c r="SRJ366" s="286"/>
      <c r="SRK366" s="287"/>
      <c r="SRL366" s="296"/>
      <c r="SRM366" s="266"/>
      <c r="SRN366" s="649"/>
      <c r="SRO366" s="326"/>
      <c r="SRP366" s="655"/>
      <c r="SRQ366" s="284"/>
      <c r="SRR366" s="656"/>
      <c r="SRS366" s="286"/>
      <c r="SRT366" s="287"/>
      <c r="SRU366" s="296"/>
      <c r="SRV366" s="266"/>
      <c r="SRW366" s="649"/>
      <c r="SRX366" s="326"/>
      <c r="SRY366" s="655"/>
      <c r="SRZ366" s="284"/>
      <c r="SSA366" s="656"/>
      <c r="SSB366" s="286"/>
      <c r="SSC366" s="287"/>
      <c r="SSD366" s="296"/>
      <c r="SSE366" s="266"/>
      <c r="SSF366" s="649"/>
      <c r="SSG366" s="326"/>
      <c r="SSH366" s="655"/>
      <c r="SSI366" s="284"/>
      <c r="SSJ366" s="656"/>
      <c r="SSK366" s="286"/>
      <c r="SSL366" s="287"/>
      <c r="SSM366" s="296"/>
      <c r="SSN366" s="266"/>
      <c r="SSO366" s="649"/>
      <c r="SSP366" s="326"/>
      <c r="SSQ366" s="655"/>
      <c r="SSR366" s="284"/>
      <c r="SSS366" s="656"/>
      <c r="SST366" s="286"/>
      <c r="SSU366" s="287"/>
      <c r="SSV366" s="296"/>
      <c r="SSW366" s="266"/>
      <c r="SSX366" s="649"/>
      <c r="SSY366" s="326"/>
      <c r="SSZ366" s="655"/>
      <c r="STA366" s="284"/>
      <c r="STB366" s="656"/>
      <c r="STC366" s="286"/>
      <c r="STD366" s="287"/>
      <c r="STE366" s="296"/>
      <c r="STF366" s="266"/>
      <c r="STG366" s="649"/>
      <c r="STH366" s="326"/>
      <c r="STI366" s="655"/>
      <c r="STJ366" s="284"/>
      <c r="STK366" s="656"/>
      <c r="STL366" s="286"/>
      <c r="STM366" s="287"/>
      <c r="STN366" s="296"/>
      <c r="STO366" s="266"/>
      <c r="STP366" s="649"/>
      <c r="STQ366" s="326"/>
      <c r="STR366" s="655"/>
      <c r="STS366" s="284"/>
      <c r="STT366" s="656"/>
      <c r="STU366" s="286"/>
      <c r="STV366" s="287"/>
      <c r="STW366" s="296"/>
      <c r="STX366" s="266"/>
      <c r="STY366" s="649"/>
      <c r="STZ366" s="326"/>
      <c r="SUA366" s="655"/>
      <c r="SUB366" s="284"/>
      <c r="SUC366" s="656"/>
      <c r="SUD366" s="286"/>
      <c r="SUE366" s="287"/>
      <c r="SUF366" s="296"/>
      <c r="SUG366" s="266"/>
      <c r="SUH366" s="649"/>
      <c r="SUI366" s="326"/>
      <c r="SUJ366" s="655"/>
      <c r="SUK366" s="284"/>
      <c r="SUL366" s="656"/>
      <c r="SUM366" s="286"/>
      <c r="SUN366" s="287"/>
      <c r="SUO366" s="296"/>
      <c r="SUP366" s="266"/>
      <c r="SUQ366" s="649"/>
      <c r="SUR366" s="326"/>
      <c r="SUS366" s="655"/>
      <c r="SUT366" s="284"/>
      <c r="SUU366" s="656"/>
      <c r="SUV366" s="286"/>
      <c r="SUW366" s="287"/>
      <c r="SUX366" s="296"/>
      <c r="SUY366" s="266"/>
      <c r="SUZ366" s="649"/>
      <c r="SVA366" s="326"/>
      <c r="SVB366" s="655"/>
      <c r="SVC366" s="284"/>
      <c r="SVD366" s="656"/>
      <c r="SVE366" s="286"/>
      <c r="SVF366" s="287"/>
      <c r="SVG366" s="296"/>
      <c r="SVH366" s="266"/>
      <c r="SVI366" s="649"/>
      <c r="SVJ366" s="326"/>
      <c r="SVK366" s="655"/>
      <c r="SVL366" s="284"/>
      <c r="SVM366" s="656"/>
      <c r="SVN366" s="286"/>
      <c r="SVO366" s="287"/>
      <c r="SVP366" s="296"/>
      <c r="SVQ366" s="266"/>
      <c r="SVR366" s="649"/>
      <c r="SVS366" s="326"/>
      <c r="SVT366" s="655"/>
      <c r="SVU366" s="284"/>
      <c r="SVV366" s="656"/>
      <c r="SVW366" s="286"/>
      <c r="SVX366" s="287"/>
      <c r="SVY366" s="296"/>
      <c r="SVZ366" s="266"/>
      <c r="SWA366" s="649"/>
      <c r="SWB366" s="326"/>
      <c r="SWC366" s="655"/>
      <c r="SWD366" s="284"/>
      <c r="SWE366" s="656"/>
      <c r="SWF366" s="286"/>
      <c r="SWG366" s="287"/>
      <c r="SWH366" s="296"/>
      <c r="SWI366" s="266"/>
      <c r="SWJ366" s="649"/>
      <c r="SWK366" s="326"/>
      <c r="SWL366" s="655"/>
      <c r="SWM366" s="284"/>
      <c r="SWN366" s="656"/>
      <c r="SWO366" s="286"/>
      <c r="SWP366" s="287"/>
      <c r="SWQ366" s="296"/>
      <c r="SWR366" s="266"/>
      <c r="SWS366" s="649"/>
      <c r="SWT366" s="326"/>
      <c r="SWU366" s="655"/>
      <c r="SWV366" s="284"/>
      <c r="SWW366" s="656"/>
      <c r="SWX366" s="286"/>
      <c r="SWY366" s="287"/>
      <c r="SWZ366" s="296"/>
      <c r="SXA366" s="266"/>
      <c r="SXB366" s="649"/>
      <c r="SXC366" s="326"/>
      <c r="SXD366" s="655"/>
      <c r="SXE366" s="284"/>
      <c r="SXF366" s="656"/>
      <c r="SXG366" s="286"/>
      <c r="SXH366" s="287"/>
      <c r="SXI366" s="296"/>
      <c r="SXJ366" s="266"/>
      <c r="SXK366" s="649"/>
      <c r="SXL366" s="326"/>
      <c r="SXM366" s="655"/>
      <c r="SXN366" s="284"/>
      <c r="SXO366" s="656"/>
      <c r="SXP366" s="286"/>
      <c r="SXQ366" s="287"/>
      <c r="SXR366" s="296"/>
      <c r="SXS366" s="266"/>
      <c r="SXT366" s="649"/>
      <c r="SXU366" s="326"/>
      <c r="SXV366" s="655"/>
      <c r="SXW366" s="284"/>
      <c r="SXX366" s="656"/>
      <c r="SXY366" s="286"/>
      <c r="SXZ366" s="287"/>
      <c r="SYA366" s="296"/>
      <c r="SYB366" s="266"/>
      <c r="SYC366" s="649"/>
      <c r="SYD366" s="326"/>
      <c r="SYE366" s="655"/>
      <c r="SYF366" s="284"/>
      <c r="SYG366" s="656"/>
      <c r="SYH366" s="286"/>
      <c r="SYI366" s="287"/>
      <c r="SYJ366" s="296"/>
      <c r="SYK366" s="266"/>
      <c r="SYL366" s="649"/>
      <c r="SYM366" s="326"/>
      <c r="SYN366" s="655"/>
      <c r="SYO366" s="284"/>
      <c r="SYP366" s="656"/>
      <c r="SYQ366" s="286"/>
      <c r="SYR366" s="287"/>
      <c r="SYS366" s="296"/>
      <c r="SYT366" s="266"/>
      <c r="SYU366" s="649"/>
      <c r="SYV366" s="326"/>
      <c r="SYW366" s="655"/>
      <c r="SYX366" s="284"/>
      <c r="SYY366" s="656"/>
      <c r="SYZ366" s="286"/>
      <c r="SZA366" s="287"/>
      <c r="SZB366" s="296"/>
      <c r="SZC366" s="266"/>
      <c r="SZD366" s="649"/>
      <c r="SZE366" s="326"/>
      <c r="SZF366" s="655"/>
      <c r="SZG366" s="284"/>
      <c r="SZH366" s="656"/>
      <c r="SZI366" s="286"/>
      <c r="SZJ366" s="287"/>
      <c r="SZK366" s="296"/>
      <c r="SZL366" s="266"/>
      <c r="SZM366" s="649"/>
      <c r="SZN366" s="326"/>
      <c r="SZO366" s="655"/>
      <c r="SZP366" s="284"/>
      <c r="SZQ366" s="656"/>
      <c r="SZR366" s="286"/>
      <c r="SZS366" s="287"/>
      <c r="SZT366" s="296"/>
      <c r="SZU366" s="266"/>
      <c r="SZV366" s="649"/>
      <c r="SZW366" s="326"/>
      <c r="SZX366" s="655"/>
      <c r="SZY366" s="284"/>
      <c r="SZZ366" s="656"/>
      <c r="TAA366" s="286"/>
      <c r="TAB366" s="287"/>
      <c r="TAC366" s="296"/>
      <c r="TAD366" s="266"/>
      <c r="TAE366" s="649"/>
      <c r="TAF366" s="326"/>
      <c r="TAG366" s="655"/>
      <c r="TAH366" s="284"/>
      <c r="TAI366" s="656"/>
      <c r="TAJ366" s="286"/>
      <c r="TAK366" s="287"/>
      <c r="TAL366" s="296"/>
      <c r="TAM366" s="266"/>
      <c r="TAN366" s="649"/>
      <c r="TAO366" s="326"/>
      <c r="TAP366" s="655"/>
      <c r="TAQ366" s="284"/>
      <c r="TAR366" s="656"/>
      <c r="TAS366" s="286"/>
      <c r="TAT366" s="287"/>
      <c r="TAU366" s="296"/>
      <c r="TAV366" s="266"/>
      <c r="TAW366" s="649"/>
      <c r="TAX366" s="326"/>
      <c r="TAY366" s="655"/>
      <c r="TAZ366" s="284"/>
      <c r="TBA366" s="656"/>
      <c r="TBB366" s="286"/>
      <c r="TBC366" s="287"/>
      <c r="TBD366" s="296"/>
      <c r="TBE366" s="266"/>
      <c r="TBF366" s="649"/>
      <c r="TBG366" s="326"/>
      <c r="TBH366" s="655"/>
      <c r="TBI366" s="284"/>
      <c r="TBJ366" s="656"/>
      <c r="TBK366" s="286"/>
      <c r="TBL366" s="287"/>
      <c r="TBM366" s="296"/>
      <c r="TBN366" s="266"/>
      <c r="TBO366" s="649"/>
      <c r="TBP366" s="326"/>
      <c r="TBQ366" s="655"/>
      <c r="TBR366" s="284"/>
      <c r="TBS366" s="656"/>
      <c r="TBT366" s="286"/>
      <c r="TBU366" s="287"/>
      <c r="TBV366" s="296"/>
      <c r="TBW366" s="266"/>
      <c r="TBX366" s="649"/>
      <c r="TBY366" s="326"/>
      <c r="TBZ366" s="655"/>
      <c r="TCA366" s="284"/>
      <c r="TCB366" s="656"/>
      <c r="TCC366" s="286"/>
      <c r="TCD366" s="287"/>
      <c r="TCE366" s="296"/>
      <c r="TCF366" s="266"/>
      <c r="TCG366" s="649"/>
      <c r="TCH366" s="326"/>
      <c r="TCI366" s="655"/>
      <c r="TCJ366" s="284"/>
      <c r="TCK366" s="656"/>
      <c r="TCL366" s="286"/>
      <c r="TCM366" s="287"/>
      <c r="TCN366" s="296"/>
      <c r="TCO366" s="266"/>
      <c r="TCP366" s="649"/>
      <c r="TCQ366" s="326"/>
      <c r="TCR366" s="655"/>
      <c r="TCS366" s="284"/>
      <c r="TCT366" s="656"/>
      <c r="TCU366" s="286"/>
      <c r="TCV366" s="287"/>
      <c r="TCW366" s="296"/>
      <c r="TCX366" s="266"/>
      <c r="TCY366" s="649"/>
      <c r="TCZ366" s="326"/>
      <c r="TDA366" s="655"/>
      <c r="TDB366" s="284"/>
      <c r="TDC366" s="656"/>
      <c r="TDD366" s="286"/>
      <c r="TDE366" s="287"/>
      <c r="TDF366" s="296"/>
      <c r="TDG366" s="266"/>
      <c r="TDH366" s="649"/>
      <c r="TDI366" s="326"/>
      <c r="TDJ366" s="655"/>
      <c r="TDK366" s="284"/>
      <c r="TDL366" s="656"/>
      <c r="TDM366" s="286"/>
      <c r="TDN366" s="287"/>
      <c r="TDO366" s="296"/>
      <c r="TDP366" s="266"/>
      <c r="TDQ366" s="649"/>
      <c r="TDR366" s="326"/>
      <c r="TDS366" s="655"/>
      <c r="TDT366" s="284"/>
      <c r="TDU366" s="656"/>
      <c r="TDV366" s="286"/>
      <c r="TDW366" s="287"/>
      <c r="TDX366" s="296"/>
      <c r="TDY366" s="266"/>
      <c r="TDZ366" s="649"/>
      <c r="TEA366" s="326"/>
      <c r="TEB366" s="655"/>
      <c r="TEC366" s="284"/>
      <c r="TED366" s="656"/>
      <c r="TEE366" s="286"/>
      <c r="TEF366" s="287"/>
      <c r="TEG366" s="296"/>
      <c r="TEH366" s="266"/>
      <c r="TEI366" s="649"/>
      <c r="TEJ366" s="326"/>
      <c r="TEK366" s="655"/>
      <c r="TEL366" s="284"/>
      <c r="TEM366" s="656"/>
      <c r="TEN366" s="286"/>
      <c r="TEO366" s="287"/>
      <c r="TEP366" s="296"/>
      <c r="TEQ366" s="266"/>
      <c r="TER366" s="649"/>
      <c r="TES366" s="326"/>
      <c r="TET366" s="655"/>
      <c r="TEU366" s="284"/>
      <c r="TEV366" s="656"/>
      <c r="TEW366" s="286"/>
      <c r="TEX366" s="287"/>
      <c r="TEY366" s="296"/>
      <c r="TEZ366" s="266"/>
      <c r="TFA366" s="649"/>
      <c r="TFB366" s="326"/>
      <c r="TFC366" s="655"/>
      <c r="TFD366" s="284"/>
      <c r="TFE366" s="656"/>
      <c r="TFF366" s="286"/>
      <c r="TFG366" s="287"/>
      <c r="TFH366" s="296"/>
      <c r="TFI366" s="266"/>
      <c r="TFJ366" s="649"/>
      <c r="TFK366" s="326"/>
      <c r="TFL366" s="655"/>
      <c r="TFM366" s="284"/>
      <c r="TFN366" s="656"/>
      <c r="TFO366" s="286"/>
      <c r="TFP366" s="287"/>
      <c r="TFQ366" s="296"/>
      <c r="TFR366" s="266"/>
      <c r="TFS366" s="649"/>
      <c r="TFT366" s="326"/>
      <c r="TFU366" s="655"/>
      <c r="TFV366" s="284"/>
      <c r="TFW366" s="656"/>
      <c r="TFX366" s="286"/>
      <c r="TFY366" s="287"/>
      <c r="TFZ366" s="296"/>
      <c r="TGA366" s="266"/>
      <c r="TGB366" s="649"/>
      <c r="TGC366" s="326"/>
      <c r="TGD366" s="655"/>
      <c r="TGE366" s="284"/>
      <c r="TGF366" s="656"/>
      <c r="TGG366" s="286"/>
      <c r="TGH366" s="287"/>
      <c r="TGI366" s="296"/>
      <c r="TGJ366" s="266"/>
      <c r="TGK366" s="649"/>
      <c r="TGL366" s="326"/>
      <c r="TGM366" s="655"/>
      <c r="TGN366" s="284"/>
      <c r="TGO366" s="656"/>
      <c r="TGP366" s="286"/>
      <c r="TGQ366" s="287"/>
      <c r="TGR366" s="296"/>
      <c r="TGS366" s="266"/>
      <c r="TGT366" s="649"/>
      <c r="TGU366" s="326"/>
      <c r="TGV366" s="655"/>
      <c r="TGW366" s="284"/>
      <c r="TGX366" s="656"/>
      <c r="TGY366" s="286"/>
      <c r="TGZ366" s="287"/>
      <c r="THA366" s="296"/>
      <c r="THB366" s="266"/>
      <c r="THC366" s="649"/>
      <c r="THD366" s="326"/>
      <c r="THE366" s="655"/>
      <c r="THF366" s="284"/>
      <c r="THG366" s="656"/>
      <c r="THH366" s="286"/>
      <c r="THI366" s="287"/>
      <c r="THJ366" s="296"/>
      <c r="THK366" s="266"/>
      <c r="THL366" s="649"/>
      <c r="THM366" s="326"/>
      <c r="THN366" s="655"/>
      <c r="THO366" s="284"/>
      <c r="THP366" s="656"/>
      <c r="THQ366" s="286"/>
      <c r="THR366" s="287"/>
      <c r="THS366" s="296"/>
      <c r="THT366" s="266"/>
      <c r="THU366" s="649"/>
      <c r="THV366" s="326"/>
      <c r="THW366" s="655"/>
      <c r="THX366" s="284"/>
      <c r="THY366" s="656"/>
      <c r="THZ366" s="286"/>
      <c r="TIA366" s="287"/>
      <c r="TIB366" s="296"/>
      <c r="TIC366" s="266"/>
      <c r="TID366" s="649"/>
      <c r="TIE366" s="326"/>
      <c r="TIF366" s="655"/>
      <c r="TIG366" s="284"/>
      <c r="TIH366" s="656"/>
      <c r="TII366" s="286"/>
      <c r="TIJ366" s="287"/>
      <c r="TIK366" s="296"/>
      <c r="TIL366" s="266"/>
      <c r="TIM366" s="649"/>
      <c r="TIN366" s="326"/>
      <c r="TIO366" s="655"/>
      <c r="TIP366" s="284"/>
      <c r="TIQ366" s="656"/>
      <c r="TIR366" s="286"/>
      <c r="TIS366" s="287"/>
      <c r="TIT366" s="296"/>
      <c r="TIU366" s="266"/>
      <c r="TIV366" s="649"/>
      <c r="TIW366" s="326"/>
      <c r="TIX366" s="655"/>
      <c r="TIY366" s="284"/>
      <c r="TIZ366" s="656"/>
      <c r="TJA366" s="286"/>
      <c r="TJB366" s="287"/>
      <c r="TJC366" s="296"/>
      <c r="TJD366" s="266"/>
      <c r="TJE366" s="649"/>
      <c r="TJF366" s="326"/>
      <c r="TJG366" s="655"/>
      <c r="TJH366" s="284"/>
      <c r="TJI366" s="656"/>
      <c r="TJJ366" s="286"/>
      <c r="TJK366" s="287"/>
      <c r="TJL366" s="296"/>
      <c r="TJM366" s="266"/>
      <c r="TJN366" s="649"/>
      <c r="TJO366" s="326"/>
      <c r="TJP366" s="655"/>
      <c r="TJQ366" s="284"/>
      <c r="TJR366" s="656"/>
      <c r="TJS366" s="286"/>
      <c r="TJT366" s="287"/>
      <c r="TJU366" s="296"/>
      <c r="TJV366" s="266"/>
      <c r="TJW366" s="649"/>
      <c r="TJX366" s="326"/>
      <c r="TJY366" s="655"/>
      <c r="TJZ366" s="284"/>
      <c r="TKA366" s="656"/>
      <c r="TKB366" s="286"/>
      <c r="TKC366" s="287"/>
      <c r="TKD366" s="296"/>
      <c r="TKE366" s="266"/>
      <c r="TKF366" s="649"/>
      <c r="TKG366" s="326"/>
      <c r="TKH366" s="655"/>
      <c r="TKI366" s="284"/>
      <c r="TKJ366" s="656"/>
      <c r="TKK366" s="286"/>
      <c r="TKL366" s="287"/>
      <c r="TKM366" s="296"/>
      <c r="TKN366" s="266"/>
      <c r="TKO366" s="649"/>
      <c r="TKP366" s="326"/>
      <c r="TKQ366" s="655"/>
      <c r="TKR366" s="284"/>
      <c r="TKS366" s="656"/>
      <c r="TKT366" s="286"/>
      <c r="TKU366" s="287"/>
      <c r="TKV366" s="296"/>
      <c r="TKW366" s="266"/>
      <c r="TKX366" s="649"/>
      <c r="TKY366" s="326"/>
      <c r="TKZ366" s="655"/>
      <c r="TLA366" s="284"/>
      <c r="TLB366" s="656"/>
      <c r="TLC366" s="286"/>
      <c r="TLD366" s="287"/>
      <c r="TLE366" s="296"/>
      <c r="TLF366" s="266"/>
      <c r="TLG366" s="649"/>
      <c r="TLH366" s="326"/>
      <c r="TLI366" s="655"/>
      <c r="TLJ366" s="284"/>
      <c r="TLK366" s="656"/>
      <c r="TLL366" s="286"/>
      <c r="TLM366" s="287"/>
      <c r="TLN366" s="296"/>
      <c r="TLO366" s="266"/>
      <c r="TLP366" s="649"/>
      <c r="TLQ366" s="326"/>
      <c r="TLR366" s="655"/>
      <c r="TLS366" s="284"/>
      <c r="TLT366" s="656"/>
      <c r="TLU366" s="286"/>
      <c r="TLV366" s="287"/>
      <c r="TLW366" s="296"/>
      <c r="TLX366" s="266"/>
      <c r="TLY366" s="649"/>
      <c r="TLZ366" s="326"/>
      <c r="TMA366" s="655"/>
      <c r="TMB366" s="284"/>
      <c r="TMC366" s="656"/>
      <c r="TMD366" s="286"/>
      <c r="TME366" s="287"/>
      <c r="TMF366" s="296"/>
      <c r="TMG366" s="266"/>
      <c r="TMH366" s="649"/>
      <c r="TMI366" s="326"/>
      <c r="TMJ366" s="655"/>
      <c r="TMK366" s="284"/>
      <c r="TML366" s="656"/>
      <c r="TMM366" s="286"/>
      <c r="TMN366" s="287"/>
      <c r="TMO366" s="296"/>
      <c r="TMP366" s="266"/>
      <c r="TMQ366" s="649"/>
      <c r="TMR366" s="326"/>
      <c r="TMS366" s="655"/>
      <c r="TMT366" s="284"/>
      <c r="TMU366" s="656"/>
      <c r="TMV366" s="286"/>
      <c r="TMW366" s="287"/>
      <c r="TMX366" s="296"/>
      <c r="TMY366" s="266"/>
      <c r="TMZ366" s="649"/>
      <c r="TNA366" s="326"/>
      <c r="TNB366" s="655"/>
      <c r="TNC366" s="284"/>
      <c r="TND366" s="656"/>
      <c r="TNE366" s="286"/>
      <c r="TNF366" s="287"/>
      <c r="TNG366" s="296"/>
      <c r="TNH366" s="266"/>
      <c r="TNI366" s="649"/>
      <c r="TNJ366" s="326"/>
      <c r="TNK366" s="655"/>
      <c r="TNL366" s="284"/>
      <c r="TNM366" s="656"/>
      <c r="TNN366" s="286"/>
      <c r="TNO366" s="287"/>
      <c r="TNP366" s="296"/>
      <c r="TNQ366" s="266"/>
      <c r="TNR366" s="649"/>
      <c r="TNS366" s="326"/>
      <c r="TNT366" s="655"/>
      <c r="TNU366" s="284"/>
      <c r="TNV366" s="656"/>
      <c r="TNW366" s="286"/>
      <c r="TNX366" s="287"/>
      <c r="TNY366" s="296"/>
      <c r="TNZ366" s="266"/>
      <c r="TOA366" s="649"/>
      <c r="TOB366" s="326"/>
      <c r="TOC366" s="655"/>
      <c r="TOD366" s="284"/>
      <c r="TOE366" s="656"/>
      <c r="TOF366" s="286"/>
      <c r="TOG366" s="287"/>
      <c r="TOH366" s="296"/>
      <c r="TOI366" s="266"/>
      <c r="TOJ366" s="649"/>
      <c r="TOK366" s="326"/>
      <c r="TOL366" s="655"/>
      <c r="TOM366" s="284"/>
      <c r="TON366" s="656"/>
      <c r="TOO366" s="286"/>
      <c r="TOP366" s="287"/>
      <c r="TOQ366" s="296"/>
      <c r="TOR366" s="266"/>
      <c r="TOS366" s="649"/>
      <c r="TOT366" s="326"/>
      <c r="TOU366" s="655"/>
      <c r="TOV366" s="284"/>
      <c r="TOW366" s="656"/>
      <c r="TOX366" s="286"/>
      <c r="TOY366" s="287"/>
      <c r="TOZ366" s="296"/>
      <c r="TPA366" s="266"/>
      <c r="TPB366" s="649"/>
      <c r="TPC366" s="326"/>
      <c r="TPD366" s="655"/>
      <c r="TPE366" s="284"/>
      <c r="TPF366" s="656"/>
      <c r="TPG366" s="286"/>
      <c r="TPH366" s="287"/>
      <c r="TPI366" s="296"/>
      <c r="TPJ366" s="266"/>
      <c r="TPK366" s="649"/>
      <c r="TPL366" s="326"/>
      <c r="TPM366" s="655"/>
      <c r="TPN366" s="284"/>
      <c r="TPO366" s="656"/>
      <c r="TPP366" s="286"/>
      <c r="TPQ366" s="287"/>
      <c r="TPR366" s="296"/>
      <c r="TPS366" s="266"/>
      <c r="TPT366" s="649"/>
      <c r="TPU366" s="326"/>
      <c r="TPV366" s="655"/>
      <c r="TPW366" s="284"/>
      <c r="TPX366" s="656"/>
      <c r="TPY366" s="286"/>
      <c r="TPZ366" s="287"/>
      <c r="TQA366" s="296"/>
      <c r="TQB366" s="266"/>
      <c r="TQC366" s="649"/>
      <c r="TQD366" s="326"/>
      <c r="TQE366" s="655"/>
      <c r="TQF366" s="284"/>
      <c r="TQG366" s="656"/>
      <c r="TQH366" s="286"/>
      <c r="TQI366" s="287"/>
      <c r="TQJ366" s="296"/>
      <c r="TQK366" s="266"/>
      <c r="TQL366" s="649"/>
      <c r="TQM366" s="326"/>
      <c r="TQN366" s="655"/>
      <c r="TQO366" s="284"/>
      <c r="TQP366" s="656"/>
      <c r="TQQ366" s="286"/>
      <c r="TQR366" s="287"/>
      <c r="TQS366" s="296"/>
      <c r="TQT366" s="266"/>
      <c r="TQU366" s="649"/>
      <c r="TQV366" s="326"/>
      <c r="TQW366" s="655"/>
      <c r="TQX366" s="284"/>
      <c r="TQY366" s="656"/>
      <c r="TQZ366" s="286"/>
      <c r="TRA366" s="287"/>
      <c r="TRB366" s="296"/>
      <c r="TRC366" s="266"/>
      <c r="TRD366" s="649"/>
      <c r="TRE366" s="326"/>
      <c r="TRF366" s="655"/>
      <c r="TRG366" s="284"/>
      <c r="TRH366" s="656"/>
      <c r="TRI366" s="286"/>
      <c r="TRJ366" s="287"/>
      <c r="TRK366" s="296"/>
      <c r="TRL366" s="266"/>
      <c r="TRM366" s="649"/>
      <c r="TRN366" s="326"/>
      <c r="TRO366" s="655"/>
      <c r="TRP366" s="284"/>
      <c r="TRQ366" s="656"/>
      <c r="TRR366" s="286"/>
      <c r="TRS366" s="287"/>
      <c r="TRT366" s="296"/>
      <c r="TRU366" s="266"/>
      <c r="TRV366" s="649"/>
      <c r="TRW366" s="326"/>
      <c r="TRX366" s="655"/>
      <c r="TRY366" s="284"/>
      <c r="TRZ366" s="656"/>
      <c r="TSA366" s="286"/>
      <c r="TSB366" s="287"/>
      <c r="TSC366" s="296"/>
      <c r="TSD366" s="266"/>
      <c r="TSE366" s="649"/>
      <c r="TSF366" s="326"/>
      <c r="TSG366" s="655"/>
      <c r="TSH366" s="284"/>
      <c r="TSI366" s="656"/>
      <c r="TSJ366" s="286"/>
      <c r="TSK366" s="287"/>
      <c r="TSL366" s="296"/>
      <c r="TSM366" s="266"/>
      <c r="TSN366" s="649"/>
      <c r="TSO366" s="326"/>
      <c r="TSP366" s="655"/>
      <c r="TSQ366" s="284"/>
      <c r="TSR366" s="656"/>
      <c r="TSS366" s="286"/>
      <c r="TST366" s="287"/>
      <c r="TSU366" s="296"/>
      <c r="TSV366" s="266"/>
      <c r="TSW366" s="649"/>
      <c r="TSX366" s="326"/>
      <c r="TSY366" s="655"/>
      <c r="TSZ366" s="284"/>
      <c r="TTA366" s="656"/>
      <c r="TTB366" s="286"/>
      <c r="TTC366" s="287"/>
      <c r="TTD366" s="296"/>
      <c r="TTE366" s="266"/>
      <c r="TTF366" s="649"/>
      <c r="TTG366" s="326"/>
      <c r="TTH366" s="655"/>
      <c r="TTI366" s="284"/>
      <c r="TTJ366" s="656"/>
      <c r="TTK366" s="286"/>
      <c r="TTL366" s="287"/>
      <c r="TTM366" s="296"/>
      <c r="TTN366" s="266"/>
      <c r="TTO366" s="649"/>
      <c r="TTP366" s="326"/>
      <c r="TTQ366" s="655"/>
      <c r="TTR366" s="284"/>
      <c r="TTS366" s="656"/>
      <c r="TTT366" s="286"/>
      <c r="TTU366" s="287"/>
      <c r="TTV366" s="296"/>
      <c r="TTW366" s="266"/>
      <c r="TTX366" s="649"/>
      <c r="TTY366" s="326"/>
      <c r="TTZ366" s="655"/>
      <c r="TUA366" s="284"/>
      <c r="TUB366" s="656"/>
      <c r="TUC366" s="286"/>
      <c r="TUD366" s="287"/>
      <c r="TUE366" s="296"/>
      <c r="TUF366" s="266"/>
      <c r="TUG366" s="649"/>
      <c r="TUH366" s="326"/>
      <c r="TUI366" s="655"/>
      <c r="TUJ366" s="284"/>
      <c r="TUK366" s="656"/>
      <c r="TUL366" s="286"/>
      <c r="TUM366" s="287"/>
      <c r="TUN366" s="296"/>
      <c r="TUO366" s="266"/>
      <c r="TUP366" s="649"/>
      <c r="TUQ366" s="326"/>
      <c r="TUR366" s="655"/>
      <c r="TUS366" s="284"/>
      <c r="TUT366" s="656"/>
      <c r="TUU366" s="286"/>
      <c r="TUV366" s="287"/>
      <c r="TUW366" s="296"/>
      <c r="TUX366" s="266"/>
      <c r="TUY366" s="649"/>
      <c r="TUZ366" s="326"/>
      <c r="TVA366" s="655"/>
      <c r="TVB366" s="284"/>
      <c r="TVC366" s="656"/>
      <c r="TVD366" s="286"/>
      <c r="TVE366" s="287"/>
      <c r="TVF366" s="296"/>
      <c r="TVG366" s="266"/>
      <c r="TVH366" s="649"/>
      <c r="TVI366" s="326"/>
      <c r="TVJ366" s="655"/>
      <c r="TVK366" s="284"/>
      <c r="TVL366" s="656"/>
      <c r="TVM366" s="286"/>
      <c r="TVN366" s="287"/>
      <c r="TVO366" s="296"/>
      <c r="TVP366" s="266"/>
      <c r="TVQ366" s="649"/>
      <c r="TVR366" s="326"/>
      <c r="TVS366" s="655"/>
      <c r="TVT366" s="284"/>
      <c r="TVU366" s="656"/>
      <c r="TVV366" s="286"/>
      <c r="TVW366" s="287"/>
      <c r="TVX366" s="296"/>
      <c r="TVY366" s="266"/>
      <c r="TVZ366" s="649"/>
      <c r="TWA366" s="326"/>
      <c r="TWB366" s="655"/>
      <c r="TWC366" s="284"/>
      <c r="TWD366" s="656"/>
      <c r="TWE366" s="286"/>
      <c r="TWF366" s="287"/>
      <c r="TWG366" s="296"/>
      <c r="TWH366" s="266"/>
      <c r="TWI366" s="649"/>
      <c r="TWJ366" s="326"/>
      <c r="TWK366" s="655"/>
      <c r="TWL366" s="284"/>
      <c r="TWM366" s="656"/>
      <c r="TWN366" s="286"/>
      <c r="TWO366" s="287"/>
      <c r="TWP366" s="296"/>
      <c r="TWQ366" s="266"/>
      <c r="TWR366" s="649"/>
      <c r="TWS366" s="326"/>
      <c r="TWT366" s="655"/>
      <c r="TWU366" s="284"/>
      <c r="TWV366" s="656"/>
      <c r="TWW366" s="286"/>
      <c r="TWX366" s="287"/>
      <c r="TWY366" s="296"/>
      <c r="TWZ366" s="266"/>
      <c r="TXA366" s="649"/>
      <c r="TXB366" s="326"/>
      <c r="TXC366" s="655"/>
      <c r="TXD366" s="284"/>
      <c r="TXE366" s="656"/>
      <c r="TXF366" s="286"/>
      <c r="TXG366" s="287"/>
      <c r="TXH366" s="296"/>
      <c r="TXI366" s="266"/>
      <c r="TXJ366" s="649"/>
      <c r="TXK366" s="326"/>
      <c r="TXL366" s="655"/>
      <c r="TXM366" s="284"/>
      <c r="TXN366" s="656"/>
      <c r="TXO366" s="286"/>
      <c r="TXP366" s="287"/>
      <c r="TXQ366" s="296"/>
      <c r="TXR366" s="266"/>
      <c r="TXS366" s="649"/>
      <c r="TXT366" s="326"/>
      <c r="TXU366" s="655"/>
      <c r="TXV366" s="284"/>
      <c r="TXW366" s="656"/>
      <c r="TXX366" s="286"/>
      <c r="TXY366" s="287"/>
      <c r="TXZ366" s="296"/>
      <c r="TYA366" s="266"/>
      <c r="TYB366" s="649"/>
      <c r="TYC366" s="326"/>
      <c r="TYD366" s="655"/>
      <c r="TYE366" s="284"/>
      <c r="TYF366" s="656"/>
      <c r="TYG366" s="286"/>
      <c r="TYH366" s="287"/>
      <c r="TYI366" s="296"/>
      <c r="TYJ366" s="266"/>
      <c r="TYK366" s="649"/>
      <c r="TYL366" s="326"/>
      <c r="TYM366" s="655"/>
      <c r="TYN366" s="284"/>
      <c r="TYO366" s="656"/>
      <c r="TYP366" s="286"/>
      <c r="TYQ366" s="287"/>
      <c r="TYR366" s="296"/>
      <c r="TYS366" s="266"/>
      <c r="TYT366" s="649"/>
      <c r="TYU366" s="326"/>
      <c r="TYV366" s="655"/>
      <c r="TYW366" s="284"/>
      <c r="TYX366" s="656"/>
      <c r="TYY366" s="286"/>
      <c r="TYZ366" s="287"/>
      <c r="TZA366" s="296"/>
      <c r="TZB366" s="266"/>
      <c r="TZC366" s="649"/>
      <c r="TZD366" s="326"/>
      <c r="TZE366" s="655"/>
      <c r="TZF366" s="284"/>
      <c r="TZG366" s="656"/>
      <c r="TZH366" s="286"/>
      <c r="TZI366" s="287"/>
      <c r="TZJ366" s="296"/>
      <c r="TZK366" s="266"/>
      <c r="TZL366" s="649"/>
      <c r="TZM366" s="326"/>
      <c r="TZN366" s="655"/>
      <c r="TZO366" s="284"/>
      <c r="TZP366" s="656"/>
      <c r="TZQ366" s="286"/>
      <c r="TZR366" s="287"/>
      <c r="TZS366" s="296"/>
      <c r="TZT366" s="266"/>
      <c r="TZU366" s="649"/>
      <c r="TZV366" s="326"/>
      <c r="TZW366" s="655"/>
      <c r="TZX366" s="284"/>
      <c r="TZY366" s="656"/>
      <c r="TZZ366" s="286"/>
      <c r="UAA366" s="287"/>
      <c r="UAB366" s="296"/>
      <c r="UAC366" s="266"/>
      <c r="UAD366" s="649"/>
      <c r="UAE366" s="326"/>
      <c r="UAF366" s="655"/>
      <c r="UAG366" s="284"/>
      <c r="UAH366" s="656"/>
      <c r="UAI366" s="286"/>
      <c r="UAJ366" s="287"/>
      <c r="UAK366" s="296"/>
      <c r="UAL366" s="266"/>
      <c r="UAM366" s="649"/>
      <c r="UAN366" s="326"/>
      <c r="UAO366" s="655"/>
      <c r="UAP366" s="284"/>
      <c r="UAQ366" s="656"/>
      <c r="UAR366" s="286"/>
      <c r="UAS366" s="287"/>
      <c r="UAT366" s="296"/>
      <c r="UAU366" s="266"/>
      <c r="UAV366" s="649"/>
      <c r="UAW366" s="326"/>
      <c r="UAX366" s="655"/>
      <c r="UAY366" s="284"/>
      <c r="UAZ366" s="656"/>
      <c r="UBA366" s="286"/>
      <c r="UBB366" s="287"/>
      <c r="UBC366" s="296"/>
      <c r="UBD366" s="266"/>
      <c r="UBE366" s="649"/>
      <c r="UBF366" s="326"/>
      <c r="UBG366" s="655"/>
      <c r="UBH366" s="284"/>
      <c r="UBI366" s="656"/>
      <c r="UBJ366" s="286"/>
      <c r="UBK366" s="287"/>
      <c r="UBL366" s="296"/>
      <c r="UBM366" s="266"/>
      <c r="UBN366" s="649"/>
      <c r="UBO366" s="326"/>
      <c r="UBP366" s="655"/>
      <c r="UBQ366" s="284"/>
      <c r="UBR366" s="656"/>
      <c r="UBS366" s="286"/>
      <c r="UBT366" s="287"/>
      <c r="UBU366" s="296"/>
      <c r="UBV366" s="266"/>
      <c r="UBW366" s="649"/>
      <c r="UBX366" s="326"/>
      <c r="UBY366" s="655"/>
      <c r="UBZ366" s="284"/>
      <c r="UCA366" s="656"/>
      <c r="UCB366" s="286"/>
      <c r="UCC366" s="287"/>
      <c r="UCD366" s="296"/>
      <c r="UCE366" s="266"/>
      <c r="UCF366" s="649"/>
      <c r="UCG366" s="326"/>
      <c r="UCH366" s="655"/>
      <c r="UCI366" s="284"/>
      <c r="UCJ366" s="656"/>
      <c r="UCK366" s="286"/>
      <c r="UCL366" s="287"/>
      <c r="UCM366" s="296"/>
      <c r="UCN366" s="266"/>
      <c r="UCO366" s="649"/>
      <c r="UCP366" s="326"/>
      <c r="UCQ366" s="655"/>
      <c r="UCR366" s="284"/>
      <c r="UCS366" s="656"/>
      <c r="UCT366" s="286"/>
      <c r="UCU366" s="287"/>
      <c r="UCV366" s="296"/>
      <c r="UCW366" s="266"/>
      <c r="UCX366" s="649"/>
      <c r="UCY366" s="326"/>
      <c r="UCZ366" s="655"/>
      <c r="UDA366" s="284"/>
      <c r="UDB366" s="656"/>
      <c r="UDC366" s="286"/>
      <c r="UDD366" s="287"/>
      <c r="UDE366" s="296"/>
      <c r="UDF366" s="266"/>
      <c r="UDG366" s="649"/>
      <c r="UDH366" s="326"/>
      <c r="UDI366" s="655"/>
      <c r="UDJ366" s="284"/>
      <c r="UDK366" s="656"/>
      <c r="UDL366" s="286"/>
      <c r="UDM366" s="287"/>
      <c r="UDN366" s="296"/>
      <c r="UDO366" s="266"/>
      <c r="UDP366" s="649"/>
      <c r="UDQ366" s="326"/>
      <c r="UDR366" s="655"/>
      <c r="UDS366" s="284"/>
      <c r="UDT366" s="656"/>
      <c r="UDU366" s="286"/>
      <c r="UDV366" s="287"/>
      <c r="UDW366" s="296"/>
      <c r="UDX366" s="266"/>
      <c r="UDY366" s="649"/>
      <c r="UDZ366" s="326"/>
      <c r="UEA366" s="655"/>
      <c r="UEB366" s="284"/>
      <c r="UEC366" s="656"/>
      <c r="UED366" s="286"/>
      <c r="UEE366" s="287"/>
      <c r="UEF366" s="296"/>
      <c r="UEG366" s="266"/>
      <c r="UEH366" s="649"/>
      <c r="UEI366" s="326"/>
      <c r="UEJ366" s="655"/>
      <c r="UEK366" s="284"/>
      <c r="UEL366" s="656"/>
      <c r="UEM366" s="286"/>
      <c r="UEN366" s="287"/>
      <c r="UEO366" s="296"/>
      <c r="UEP366" s="266"/>
      <c r="UEQ366" s="649"/>
      <c r="UER366" s="326"/>
      <c r="UES366" s="655"/>
      <c r="UET366" s="284"/>
      <c r="UEU366" s="656"/>
      <c r="UEV366" s="286"/>
      <c r="UEW366" s="287"/>
      <c r="UEX366" s="296"/>
      <c r="UEY366" s="266"/>
      <c r="UEZ366" s="649"/>
      <c r="UFA366" s="326"/>
      <c r="UFB366" s="655"/>
      <c r="UFC366" s="284"/>
      <c r="UFD366" s="656"/>
      <c r="UFE366" s="286"/>
      <c r="UFF366" s="287"/>
      <c r="UFG366" s="296"/>
      <c r="UFH366" s="266"/>
      <c r="UFI366" s="649"/>
      <c r="UFJ366" s="326"/>
      <c r="UFK366" s="655"/>
      <c r="UFL366" s="284"/>
      <c r="UFM366" s="656"/>
      <c r="UFN366" s="286"/>
      <c r="UFO366" s="287"/>
      <c r="UFP366" s="296"/>
      <c r="UFQ366" s="266"/>
      <c r="UFR366" s="649"/>
      <c r="UFS366" s="326"/>
      <c r="UFT366" s="655"/>
      <c r="UFU366" s="284"/>
      <c r="UFV366" s="656"/>
      <c r="UFW366" s="286"/>
      <c r="UFX366" s="287"/>
      <c r="UFY366" s="296"/>
      <c r="UFZ366" s="266"/>
      <c r="UGA366" s="649"/>
      <c r="UGB366" s="326"/>
      <c r="UGC366" s="655"/>
      <c r="UGD366" s="284"/>
      <c r="UGE366" s="656"/>
      <c r="UGF366" s="286"/>
      <c r="UGG366" s="287"/>
      <c r="UGH366" s="296"/>
      <c r="UGI366" s="266"/>
      <c r="UGJ366" s="649"/>
      <c r="UGK366" s="326"/>
      <c r="UGL366" s="655"/>
      <c r="UGM366" s="284"/>
      <c r="UGN366" s="656"/>
      <c r="UGO366" s="286"/>
      <c r="UGP366" s="287"/>
      <c r="UGQ366" s="296"/>
      <c r="UGR366" s="266"/>
      <c r="UGS366" s="649"/>
      <c r="UGT366" s="326"/>
      <c r="UGU366" s="655"/>
      <c r="UGV366" s="284"/>
      <c r="UGW366" s="656"/>
      <c r="UGX366" s="286"/>
      <c r="UGY366" s="287"/>
      <c r="UGZ366" s="296"/>
      <c r="UHA366" s="266"/>
      <c r="UHB366" s="649"/>
      <c r="UHC366" s="326"/>
      <c r="UHD366" s="655"/>
      <c r="UHE366" s="284"/>
      <c r="UHF366" s="656"/>
      <c r="UHG366" s="286"/>
      <c r="UHH366" s="287"/>
      <c r="UHI366" s="296"/>
      <c r="UHJ366" s="266"/>
      <c r="UHK366" s="649"/>
      <c r="UHL366" s="326"/>
      <c r="UHM366" s="655"/>
      <c r="UHN366" s="284"/>
      <c r="UHO366" s="656"/>
      <c r="UHP366" s="286"/>
      <c r="UHQ366" s="287"/>
      <c r="UHR366" s="296"/>
      <c r="UHS366" s="266"/>
      <c r="UHT366" s="649"/>
      <c r="UHU366" s="326"/>
      <c r="UHV366" s="655"/>
      <c r="UHW366" s="284"/>
      <c r="UHX366" s="656"/>
      <c r="UHY366" s="286"/>
      <c r="UHZ366" s="287"/>
      <c r="UIA366" s="296"/>
      <c r="UIB366" s="266"/>
      <c r="UIC366" s="649"/>
      <c r="UID366" s="326"/>
      <c r="UIE366" s="655"/>
      <c r="UIF366" s="284"/>
      <c r="UIG366" s="656"/>
      <c r="UIH366" s="286"/>
      <c r="UII366" s="287"/>
      <c r="UIJ366" s="296"/>
      <c r="UIK366" s="266"/>
      <c r="UIL366" s="649"/>
      <c r="UIM366" s="326"/>
      <c r="UIN366" s="655"/>
      <c r="UIO366" s="284"/>
      <c r="UIP366" s="656"/>
      <c r="UIQ366" s="286"/>
      <c r="UIR366" s="287"/>
      <c r="UIS366" s="296"/>
      <c r="UIT366" s="266"/>
      <c r="UIU366" s="649"/>
      <c r="UIV366" s="326"/>
      <c r="UIW366" s="655"/>
      <c r="UIX366" s="284"/>
      <c r="UIY366" s="656"/>
      <c r="UIZ366" s="286"/>
      <c r="UJA366" s="287"/>
      <c r="UJB366" s="296"/>
      <c r="UJC366" s="266"/>
      <c r="UJD366" s="649"/>
      <c r="UJE366" s="326"/>
      <c r="UJF366" s="655"/>
      <c r="UJG366" s="284"/>
      <c r="UJH366" s="656"/>
      <c r="UJI366" s="286"/>
      <c r="UJJ366" s="287"/>
      <c r="UJK366" s="296"/>
      <c r="UJL366" s="266"/>
      <c r="UJM366" s="649"/>
      <c r="UJN366" s="326"/>
      <c r="UJO366" s="655"/>
      <c r="UJP366" s="284"/>
      <c r="UJQ366" s="656"/>
      <c r="UJR366" s="286"/>
      <c r="UJS366" s="287"/>
      <c r="UJT366" s="296"/>
      <c r="UJU366" s="266"/>
      <c r="UJV366" s="649"/>
      <c r="UJW366" s="326"/>
      <c r="UJX366" s="655"/>
      <c r="UJY366" s="284"/>
      <c r="UJZ366" s="656"/>
      <c r="UKA366" s="286"/>
      <c r="UKB366" s="287"/>
      <c r="UKC366" s="296"/>
      <c r="UKD366" s="266"/>
      <c r="UKE366" s="649"/>
      <c r="UKF366" s="326"/>
      <c r="UKG366" s="655"/>
      <c r="UKH366" s="284"/>
      <c r="UKI366" s="656"/>
      <c r="UKJ366" s="286"/>
      <c r="UKK366" s="287"/>
      <c r="UKL366" s="296"/>
      <c r="UKM366" s="266"/>
      <c r="UKN366" s="649"/>
      <c r="UKO366" s="326"/>
      <c r="UKP366" s="655"/>
      <c r="UKQ366" s="284"/>
      <c r="UKR366" s="656"/>
      <c r="UKS366" s="286"/>
      <c r="UKT366" s="287"/>
      <c r="UKU366" s="296"/>
      <c r="UKV366" s="266"/>
      <c r="UKW366" s="649"/>
      <c r="UKX366" s="326"/>
      <c r="UKY366" s="655"/>
      <c r="UKZ366" s="284"/>
      <c r="ULA366" s="656"/>
      <c r="ULB366" s="286"/>
      <c r="ULC366" s="287"/>
      <c r="ULD366" s="296"/>
      <c r="ULE366" s="266"/>
      <c r="ULF366" s="649"/>
      <c r="ULG366" s="326"/>
      <c r="ULH366" s="655"/>
      <c r="ULI366" s="284"/>
      <c r="ULJ366" s="656"/>
      <c r="ULK366" s="286"/>
      <c r="ULL366" s="287"/>
      <c r="ULM366" s="296"/>
      <c r="ULN366" s="266"/>
      <c r="ULO366" s="649"/>
      <c r="ULP366" s="326"/>
      <c r="ULQ366" s="655"/>
      <c r="ULR366" s="284"/>
      <c r="ULS366" s="656"/>
      <c r="ULT366" s="286"/>
      <c r="ULU366" s="287"/>
      <c r="ULV366" s="296"/>
      <c r="ULW366" s="266"/>
      <c r="ULX366" s="649"/>
      <c r="ULY366" s="326"/>
      <c r="ULZ366" s="655"/>
      <c r="UMA366" s="284"/>
      <c r="UMB366" s="656"/>
      <c r="UMC366" s="286"/>
      <c r="UMD366" s="287"/>
      <c r="UME366" s="296"/>
      <c r="UMF366" s="266"/>
      <c r="UMG366" s="649"/>
      <c r="UMH366" s="326"/>
      <c r="UMI366" s="655"/>
      <c r="UMJ366" s="284"/>
      <c r="UMK366" s="656"/>
      <c r="UML366" s="286"/>
      <c r="UMM366" s="287"/>
      <c r="UMN366" s="296"/>
      <c r="UMO366" s="266"/>
      <c r="UMP366" s="649"/>
      <c r="UMQ366" s="326"/>
      <c r="UMR366" s="655"/>
      <c r="UMS366" s="284"/>
      <c r="UMT366" s="656"/>
      <c r="UMU366" s="286"/>
      <c r="UMV366" s="287"/>
      <c r="UMW366" s="296"/>
      <c r="UMX366" s="266"/>
      <c r="UMY366" s="649"/>
      <c r="UMZ366" s="326"/>
      <c r="UNA366" s="655"/>
      <c r="UNB366" s="284"/>
      <c r="UNC366" s="656"/>
      <c r="UND366" s="286"/>
      <c r="UNE366" s="287"/>
      <c r="UNF366" s="296"/>
      <c r="UNG366" s="266"/>
      <c r="UNH366" s="649"/>
      <c r="UNI366" s="326"/>
      <c r="UNJ366" s="655"/>
      <c r="UNK366" s="284"/>
      <c r="UNL366" s="656"/>
      <c r="UNM366" s="286"/>
      <c r="UNN366" s="287"/>
      <c r="UNO366" s="296"/>
      <c r="UNP366" s="266"/>
      <c r="UNQ366" s="649"/>
      <c r="UNR366" s="326"/>
      <c r="UNS366" s="655"/>
      <c r="UNT366" s="284"/>
      <c r="UNU366" s="656"/>
      <c r="UNV366" s="286"/>
      <c r="UNW366" s="287"/>
      <c r="UNX366" s="296"/>
      <c r="UNY366" s="266"/>
      <c r="UNZ366" s="649"/>
      <c r="UOA366" s="326"/>
      <c r="UOB366" s="655"/>
      <c r="UOC366" s="284"/>
      <c r="UOD366" s="656"/>
      <c r="UOE366" s="286"/>
      <c r="UOF366" s="287"/>
      <c r="UOG366" s="296"/>
      <c r="UOH366" s="266"/>
      <c r="UOI366" s="649"/>
      <c r="UOJ366" s="326"/>
      <c r="UOK366" s="655"/>
      <c r="UOL366" s="284"/>
      <c r="UOM366" s="656"/>
      <c r="UON366" s="286"/>
      <c r="UOO366" s="287"/>
      <c r="UOP366" s="296"/>
      <c r="UOQ366" s="266"/>
      <c r="UOR366" s="649"/>
      <c r="UOS366" s="326"/>
      <c r="UOT366" s="655"/>
      <c r="UOU366" s="284"/>
      <c r="UOV366" s="656"/>
      <c r="UOW366" s="286"/>
      <c r="UOX366" s="287"/>
      <c r="UOY366" s="296"/>
      <c r="UOZ366" s="266"/>
      <c r="UPA366" s="649"/>
      <c r="UPB366" s="326"/>
      <c r="UPC366" s="655"/>
      <c r="UPD366" s="284"/>
      <c r="UPE366" s="656"/>
      <c r="UPF366" s="286"/>
      <c r="UPG366" s="287"/>
      <c r="UPH366" s="296"/>
      <c r="UPI366" s="266"/>
      <c r="UPJ366" s="649"/>
      <c r="UPK366" s="326"/>
      <c r="UPL366" s="655"/>
      <c r="UPM366" s="284"/>
      <c r="UPN366" s="656"/>
      <c r="UPO366" s="286"/>
      <c r="UPP366" s="287"/>
      <c r="UPQ366" s="296"/>
      <c r="UPR366" s="266"/>
      <c r="UPS366" s="649"/>
      <c r="UPT366" s="326"/>
      <c r="UPU366" s="655"/>
      <c r="UPV366" s="284"/>
      <c r="UPW366" s="656"/>
      <c r="UPX366" s="286"/>
      <c r="UPY366" s="287"/>
      <c r="UPZ366" s="296"/>
      <c r="UQA366" s="266"/>
      <c r="UQB366" s="649"/>
      <c r="UQC366" s="326"/>
      <c r="UQD366" s="655"/>
      <c r="UQE366" s="284"/>
      <c r="UQF366" s="656"/>
      <c r="UQG366" s="286"/>
      <c r="UQH366" s="287"/>
      <c r="UQI366" s="296"/>
      <c r="UQJ366" s="266"/>
      <c r="UQK366" s="649"/>
      <c r="UQL366" s="326"/>
      <c r="UQM366" s="655"/>
      <c r="UQN366" s="284"/>
      <c r="UQO366" s="656"/>
      <c r="UQP366" s="286"/>
      <c r="UQQ366" s="287"/>
      <c r="UQR366" s="296"/>
      <c r="UQS366" s="266"/>
      <c r="UQT366" s="649"/>
      <c r="UQU366" s="326"/>
      <c r="UQV366" s="655"/>
      <c r="UQW366" s="284"/>
      <c r="UQX366" s="656"/>
      <c r="UQY366" s="286"/>
      <c r="UQZ366" s="287"/>
      <c r="URA366" s="296"/>
      <c r="URB366" s="266"/>
      <c r="URC366" s="649"/>
      <c r="URD366" s="326"/>
      <c r="URE366" s="655"/>
      <c r="URF366" s="284"/>
      <c r="URG366" s="656"/>
      <c r="URH366" s="286"/>
      <c r="URI366" s="287"/>
      <c r="URJ366" s="296"/>
      <c r="URK366" s="266"/>
      <c r="URL366" s="649"/>
      <c r="URM366" s="326"/>
      <c r="URN366" s="655"/>
      <c r="URO366" s="284"/>
      <c r="URP366" s="656"/>
      <c r="URQ366" s="286"/>
      <c r="URR366" s="287"/>
      <c r="URS366" s="296"/>
      <c r="URT366" s="266"/>
      <c r="URU366" s="649"/>
      <c r="URV366" s="326"/>
      <c r="URW366" s="655"/>
      <c r="URX366" s="284"/>
      <c r="URY366" s="656"/>
      <c r="URZ366" s="286"/>
      <c r="USA366" s="287"/>
      <c r="USB366" s="296"/>
      <c r="USC366" s="266"/>
      <c r="USD366" s="649"/>
      <c r="USE366" s="326"/>
      <c r="USF366" s="655"/>
      <c r="USG366" s="284"/>
      <c r="USH366" s="656"/>
      <c r="USI366" s="286"/>
      <c r="USJ366" s="287"/>
      <c r="USK366" s="296"/>
      <c r="USL366" s="266"/>
      <c r="USM366" s="649"/>
      <c r="USN366" s="326"/>
      <c r="USO366" s="655"/>
      <c r="USP366" s="284"/>
      <c r="USQ366" s="656"/>
      <c r="USR366" s="286"/>
      <c r="USS366" s="287"/>
      <c r="UST366" s="296"/>
      <c r="USU366" s="266"/>
      <c r="USV366" s="649"/>
      <c r="USW366" s="326"/>
      <c r="USX366" s="655"/>
      <c r="USY366" s="284"/>
      <c r="USZ366" s="656"/>
      <c r="UTA366" s="286"/>
      <c r="UTB366" s="287"/>
      <c r="UTC366" s="296"/>
      <c r="UTD366" s="266"/>
      <c r="UTE366" s="649"/>
      <c r="UTF366" s="326"/>
      <c r="UTG366" s="655"/>
      <c r="UTH366" s="284"/>
      <c r="UTI366" s="656"/>
      <c r="UTJ366" s="286"/>
      <c r="UTK366" s="287"/>
      <c r="UTL366" s="296"/>
      <c r="UTM366" s="266"/>
      <c r="UTN366" s="649"/>
      <c r="UTO366" s="326"/>
      <c r="UTP366" s="655"/>
      <c r="UTQ366" s="284"/>
      <c r="UTR366" s="656"/>
      <c r="UTS366" s="286"/>
      <c r="UTT366" s="287"/>
      <c r="UTU366" s="296"/>
      <c r="UTV366" s="266"/>
      <c r="UTW366" s="649"/>
      <c r="UTX366" s="326"/>
      <c r="UTY366" s="655"/>
      <c r="UTZ366" s="284"/>
      <c r="UUA366" s="656"/>
      <c r="UUB366" s="286"/>
      <c r="UUC366" s="287"/>
      <c r="UUD366" s="296"/>
      <c r="UUE366" s="266"/>
      <c r="UUF366" s="649"/>
      <c r="UUG366" s="326"/>
      <c r="UUH366" s="655"/>
      <c r="UUI366" s="284"/>
      <c r="UUJ366" s="656"/>
      <c r="UUK366" s="286"/>
      <c r="UUL366" s="287"/>
      <c r="UUM366" s="296"/>
      <c r="UUN366" s="266"/>
      <c r="UUO366" s="649"/>
      <c r="UUP366" s="326"/>
      <c r="UUQ366" s="655"/>
      <c r="UUR366" s="284"/>
      <c r="UUS366" s="656"/>
      <c r="UUT366" s="286"/>
      <c r="UUU366" s="287"/>
      <c r="UUV366" s="296"/>
      <c r="UUW366" s="266"/>
      <c r="UUX366" s="649"/>
      <c r="UUY366" s="326"/>
      <c r="UUZ366" s="655"/>
      <c r="UVA366" s="284"/>
      <c r="UVB366" s="656"/>
      <c r="UVC366" s="286"/>
      <c r="UVD366" s="287"/>
      <c r="UVE366" s="296"/>
      <c r="UVF366" s="266"/>
      <c r="UVG366" s="649"/>
      <c r="UVH366" s="326"/>
      <c r="UVI366" s="655"/>
      <c r="UVJ366" s="284"/>
      <c r="UVK366" s="656"/>
      <c r="UVL366" s="286"/>
      <c r="UVM366" s="287"/>
      <c r="UVN366" s="296"/>
      <c r="UVO366" s="266"/>
      <c r="UVP366" s="649"/>
      <c r="UVQ366" s="326"/>
      <c r="UVR366" s="655"/>
      <c r="UVS366" s="284"/>
      <c r="UVT366" s="656"/>
      <c r="UVU366" s="286"/>
      <c r="UVV366" s="287"/>
      <c r="UVW366" s="296"/>
      <c r="UVX366" s="266"/>
      <c r="UVY366" s="649"/>
      <c r="UVZ366" s="326"/>
      <c r="UWA366" s="655"/>
      <c r="UWB366" s="284"/>
      <c r="UWC366" s="656"/>
      <c r="UWD366" s="286"/>
      <c r="UWE366" s="287"/>
      <c r="UWF366" s="296"/>
      <c r="UWG366" s="266"/>
      <c r="UWH366" s="649"/>
      <c r="UWI366" s="326"/>
      <c r="UWJ366" s="655"/>
      <c r="UWK366" s="284"/>
      <c r="UWL366" s="656"/>
      <c r="UWM366" s="286"/>
      <c r="UWN366" s="287"/>
      <c r="UWO366" s="296"/>
      <c r="UWP366" s="266"/>
      <c r="UWQ366" s="649"/>
      <c r="UWR366" s="326"/>
      <c r="UWS366" s="655"/>
      <c r="UWT366" s="284"/>
      <c r="UWU366" s="656"/>
      <c r="UWV366" s="286"/>
      <c r="UWW366" s="287"/>
      <c r="UWX366" s="296"/>
      <c r="UWY366" s="266"/>
      <c r="UWZ366" s="649"/>
      <c r="UXA366" s="326"/>
      <c r="UXB366" s="655"/>
      <c r="UXC366" s="284"/>
      <c r="UXD366" s="656"/>
      <c r="UXE366" s="286"/>
      <c r="UXF366" s="287"/>
      <c r="UXG366" s="296"/>
      <c r="UXH366" s="266"/>
      <c r="UXI366" s="649"/>
      <c r="UXJ366" s="326"/>
      <c r="UXK366" s="655"/>
      <c r="UXL366" s="284"/>
      <c r="UXM366" s="656"/>
      <c r="UXN366" s="286"/>
      <c r="UXO366" s="287"/>
      <c r="UXP366" s="296"/>
      <c r="UXQ366" s="266"/>
      <c r="UXR366" s="649"/>
      <c r="UXS366" s="326"/>
      <c r="UXT366" s="655"/>
      <c r="UXU366" s="284"/>
      <c r="UXV366" s="656"/>
      <c r="UXW366" s="286"/>
      <c r="UXX366" s="287"/>
      <c r="UXY366" s="296"/>
      <c r="UXZ366" s="266"/>
      <c r="UYA366" s="649"/>
      <c r="UYB366" s="326"/>
      <c r="UYC366" s="655"/>
      <c r="UYD366" s="284"/>
      <c r="UYE366" s="656"/>
      <c r="UYF366" s="286"/>
      <c r="UYG366" s="287"/>
      <c r="UYH366" s="296"/>
      <c r="UYI366" s="266"/>
      <c r="UYJ366" s="649"/>
      <c r="UYK366" s="326"/>
      <c r="UYL366" s="655"/>
      <c r="UYM366" s="284"/>
      <c r="UYN366" s="656"/>
      <c r="UYO366" s="286"/>
      <c r="UYP366" s="287"/>
      <c r="UYQ366" s="296"/>
      <c r="UYR366" s="266"/>
      <c r="UYS366" s="649"/>
      <c r="UYT366" s="326"/>
      <c r="UYU366" s="655"/>
      <c r="UYV366" s="284"/>
      <c r="UYW366" s="656"/>
      <c r="UYX366" s="286"/>
      <c r="UYY366" s="287"/>
      <c r="UYZ366" s="296"/>
      <c r="UZA366" s="266"/>
      <c r="UZB366" s="649"/>
      <c r="UZC366" s="326"/>
      <c r="UZD366" s="655"/>
      <c r="UZE366" s="284"/>
      <c r="UZF366" s="656"/>
      <c r="UZG366" s="286"/>
      <c r="UZH366" s="287"/>
      <c r="UZI366" s="296"/>
      <c r="UZJ366" s="266"/>
      <c r="UZK366" s="649"/>
      <c r="UZL366" s="326"/>
      <c r="UZM366" s="655"/>
      <c r="UZN366" s="284"/>
      <c r="UZO366" s="656"/>
      <c r="UZP366" s="286"/>
      <c r="UZQ366" s="287"/>
      <c r="UZR366" s="296"/>
      <c r="UZS366" s="266"/>
      <c r="UZT366" s="649"/>
      <c r="UZU366" s="326"/>
      <c r="UZV366" s="655"/>
      <c r="UZW366" s="284"/>
      <c r="UZX366" s="656"/>
      <c r="UZY366" s="286"/>
      <c r="UZZ366" s="287"/>
      <c r="VAA366" s="296"/>
      <c r="VAB366" s="266"/>
      <c r="VAC366" s="649"/>
      <c r="VAD366" s="326"/>
      <c r="VAE366" s="655"/>
      <c r="VAF366" s="284"/>
      <c r="VAG366" s="656"/>
      <c r="VAH366" s="286"/>
      <c r="VAI366" s="287"/>
      <c r="VAJ366" s="296"/>
      <c r="VAK366" s="266"/>
      <c r="VAL366" s="649"/>
      <c r="VAM366" s="326"/>
      <c r="VAN366" s="655"/>
      <c r="VAO366" s="284"/>
      <c r="VAP366" s="656"/>
      <c r="VAQ366" s="286"/>
      <c r="VAR366" s="287"/>
      <c r="VAS366" s="296"/>
      <c r="VAT366" s="266"/>
      <c r="VAU366" s="649"/>
      <c r="VAV366" s="326"/>
      <c r="VAW366" s="655"/>
      <c r="VAX366" s="284"/>
      <c r="VAY366" s="656"/>
      <c r="VAZ366" s="286"/>
      <c r="VBA366" s="287"/>
      <c r="VBB366" s="296"/>
      <c r="VBC366" s="266"/>
      <c r="VBD366" s="649"/>
      <c r="VBE366" s="326"/>
      <c r="VBF366" s="655"/>
      <c r="VBG366" s="284"/>
      <c r="VBH366" s="656"/>
      <c r="VBI366" s="286"/>
      <c r="VBJ366" s="287"/>
      <c r="VBK366" s="296"/>
      <c r="VBL366" s="266"/>
      <c r="VBM366" s="649"/>
      <c r="VBN366" s="326"/>
      <c r="VBO366" s="655"/>
      <c r="VBP366" s="284"/>
      <c r="VBQ366" s="656"/>
      <c r="VBR366" s="286"/>
      <c r="VBS366" s="287"/>
      <c r="VBT366" s="296"/>
      <c r="VBU366" s="266"/>
      <c r="VBV366" s="649"/>
      <c r="VBW366" s="326"/>
      <c r="VBX366" s="655"/>
      <c r="VBY366" s="284"/>
      <c r="VBZ366" s="656"/>
      <c r="VCA366" s="286"/>
      <c r="VCB366" s="287"/>
      <c r="VCC366" s="296"/>
      <c r="VCD366" s="266"/>
      <c r="VCE366" s="649"/>
      <c r="VCF366" s="326"/>
      <c r="VCG366" s="655"/>
      <c r="VCH366" s="284"/>
      <c r="VCI366" s="656"/>
      <c r="VCJ366" s="286"/>
      <c r="VCK366" s="287"/>
      <c r="VCL366" s="296"/>
      <c r="VCM366" s="266"/>
      <c r="VCN366" s="649"/>
      <c r="VCO366" s="326"/>
      <c r="VCP366" s="655"/>
      <c r="VCQ366" s="284"/>
      <c r="VCR366" s="656"/>
      <c r="VCS366" s="286"/>
      <c r="VCT366" s="287"/>
      <c r="VCU366" s="296"/>
      <c r="VCV366" s="266"/>
      <c r="VCW366" s="649"/>
      <c r="VCX366" s="326"/>
      <c r="VCY366" s="655"/>
      <c r="VCZ366" s="284"/>
      <c r="VDA366" s="656"/>
      <c r="VDB366" s="286"/>
      <c r="VDC366" s="287"/>
      <c r="VDD366" s="296"/>
      <c r="VDE366" s="266"/>
      <c r="VDF366" s="649"/>
      <c r="VDG366" s="326"/>
      <c r="VDH366" s="655"/>
      <c r="VDI366" s="284"/>
      <c r="VDJ366" s="656"/>
      <c r="VDK366" s="286"/>
      <c r="VDL366" s="287"/>
      <c r="VDM366" s="296"/>
      <c r="VDN366" s="266"/>
      <c r="VDO366" s="649"/>
      <c r="VDP366" s="326"/>
      <c r="VDQ366" s="655"/>
      <c r="VDR366" s="284"/>
      <c r="VDS366" s="656"/>
      <c r="VDT366" s="286"/>
      <c r="VDU366" s="287"/>
      <c r="VDV366" s="296"/>
      <c r="VDW366" s="266"/>
      <c r="VDX366" s="649"/>
      <c r="VDY366" s="326"/>
      <c r="VDZ366" s="655"/>
      <c r="VEA366" s="284"/>
      <c r="VEB366" s="656"/>
      <c r="VEC366" s="286"/>
      <c r="VED366" s="287"/>
      <c r="VEE366" s="296"/>
      <c r="VEF366" s="266"/>
      <c r="VEG366" s="649"/>
      <c r="VEH366" s="326"/>
      <c r="VEI366" s="655"/>
      <c r="VEJ366" s="284"/>
      <c r="VEK366" s="656"/>
      <c r="VEL366" s="286"/>
      <c r="VEM366" s="287"/>
      <c r="VEN366" s="296"/>
      <c r="VEO366" s="266"/>
      <c r="VEP366" s="649"/>
      <c r="VEQ366" s="326"/>
      <c r="VER366" s="655"/>
      <c r="VES366" s="284"/>
      <c r="VET366" s="656"/>
      <c r="VEU366" s="286"/>
      <c r="VEV366" s="287"/>
      <c r="VEW366" s="296"/>
      <c r="VEX366" s="266"/>
      <c r="VEY366" s="649"/>
      <c r="VEZ366" s="326"/>
      <c r="VFA366" s="655"/>
      <c r="VFB366" s="284"/>
      <c r="VFC366" s="656"/>
      <c r="VFD366" s="286"/>
      <c r="VFE366" s="287"/>
      <c r="VFF366" s="296"/>
      <c r="VFG366" s="266"/>
      <c r="VFH366" s="649"/>
      <c r="VFI366" s="326"/>
      <c r="VFJ366" s="655"/>
      <c r="VFK366" s="284"/>
      <c r="VFL366" s="656"/>
      <c r="VFM366" s="286"/>
      <c r="VFN366" s="287"/>
      <c r="VFO366" s="296"/>
      <c r="VFP366" s="266"/>
      <c r="VFQ366" s="649"/>
      <c r="VFR366" s="326"/>
      <c r="VFS366" s="655"/>
      <c r="VFT366" s="284"/>
      <c r="VFU366" s="656"/>
      <c r="VFV366" s="286"/>
      <c r="VFW366" s="287"/>
      <c r="VFX366" s="296"/>
      <c r="VFY366" s="266"/>
      <c r="VFZ366" s="649"/>
      <c r="VGA366" s="326"/>
      <c r="VGB366" s="655"/>
      <c r="VGC366" s="284"/>
      <c r="VGD366" s="656"/>
      <c r="VGE366" s="286"/>
      <c r="VGF366" s="287"/>
      <c r="VGG366" s="296"/>
      <c r="VGH366" s="266"/>
      <c r="VGI366" s="649"/>
      <c r="VGJ366" s="326"/>
      <c r="VGK366" s="655"/>
      <c r="VGL366" s="284"/>
      <c r="VGM366" s="656"/>
      <c r="VGN366" s="286"/>
      <c r="VGO366" s="287"/>
      <c r="VGP366" s="296"/>
      <c r="VGQ366" s="266"/>
      <c r="VGR366" s="649"/>
      <c r="VGS366" s="326"/>
      <c r="VGT366" s="655"/>
      <c r="VGU366" s="284"/>
      <c r="VGV366" s="656"/>
      <c r="VGW366" s="286"/>
      <c r="VGX366" s="287"/>
      <c r="VGY366" s="296"/>
      <c r="VGZ366" s="266"/>
      <c r="VHA366" s="649"/>
      <c r="VHB366" s="326"/>
      <c r="VHC366" s="655"/>
      <c r="VHD366" s="284"/>
      <c r="VHE366" s="656"/>
      <c r="VHF366" s="286"/>
      <c r="VHG366" s="287"/>
      <c r="VHH366" s="296"/>
      <c r="VHI366" s="266"/>
      <c r="VHJ366" s="649"/>
      <c r="VHK366" s="326"/>
      <c r="VHL366" s="655"/>
      <c r="VHM366" s="284"/>
      <c r="VHN366" s="656"/>
      <c r="VHO366" s="286"/>
      <c r="VHP366" s="287"/>
      <c r="VHQ366" s="296"/>
      <c r="VHR366" s="266"/>
      <c r="VHS366" s="649"/>
      <c r="VHT366" s="326"/>
      <c r="VHU366" s="655"/>
      <c r="VHV366" s="284"/>
      <c r="VHW366" s="656"/>
      <c r="VHX366" s="286"/>
      <c r="VHY366" s="287"/>
      <c r="VHZ366" s="296"/>
      <c r="VIA366" s="266"/>
      <c r="VIB366" s="649"/>
      <c r="VIC366" s="326"/>
      <c r="VID366" s="655"/>
      <c r="VIE366" s="284"/>
      <c r="VIF366" s="656"/>
      <c r="VIG366" s="286"/>
      <c r="VIH366" s="287"/>
      <c r="VII366" s="296"/>
      <c r="VIJ366" s="266"/>
      <c r="VIK366" s="649"/>
      <c r="VIL366" s="326"/>
      <c r="VIM366" s="655"/>
      <c r="VIN366" s="284"/>
      <c r="VIO366" s="656"/>
      <c r="VIP366" s="286"/>
      <c r="VIQ366" s="287"/>
      <c r="VIR366" s="296"/>
      <c r="VIS366" s="266"/>
      <c r="VIT366" s="649"/>
      <c r="VIU366" s="326"/>
      <c r="VIV366" s="655"/>
      <c r="VIW366" s="284"/>
      <c r="VIX366" s="656"/>
      <c r="VIY366" s="286"/>
      <c r="VIZ366" s="287"/>
      <c r="VJA366" s="296"/>
      <c r="VJB366" s="266"/>
      <c r="VJC366" s="649"/>
      <c r="VJD366" s="326"/>
      <c r="VJE366" s="655"/>
      <c r="VJF366" s="284"/>
      <c r="VJG366" s="656"/>
      <c r="VJH366" s="286"/>
      <c r="VJI366" s="287"/>
      <c r="VJJ366" s="296"/>
      <c r="VJK366" s="266"/>
      <c r="VJL366" s="649"/>
      <c r="VJM366" s="326"/>
      <c r="VJN366" s="655"/>
      <c r="VJO366" s="284"/>
      <c r="VJP366" s="656"/>
      <c r="VJQ366" s="286"/>
      <c r="VJR366" s="287"/>
      <c r="VJS366" s="296"/>
      <c r="VJT366" s="266"/>
      <c r="VJU366" s="649"/>
      <c r="VJV366" s="326"/>
      <c r="VJW366" s="655"/>
      <c r="VJX366" s="284"/>
      <c r="VJY366" s="656"/>
      <c r="VJZ366" s="286"/>
      <c r="VKA366" s="287"/>
      <c r="VKB366" s="296"/>
      <c r="VKC366" s="266"/>
      <c r="VKD366" s="649"/>
      <c r="VKE366" s="326"/>
      <c r="VKF366" s="655"/>
      <c r="VKG366" s="284"/>
      <c r="VKH366" s="656"/>
      <c r="VKI366" s="286"/>
      <c r="VKJ366" s="287"/>
      <c r="VKK366" s="296"/>
      <c r="VKL366" s="266"/>
      <c r="VKM366" s="649"/>
      <c r="VKN366" s="326"/>
      <c r="VKO366" s="655"/>
      <c r="VKP366" s="284"/>
      <c r="VKQ366" s="656"/>
      <c r="VKR366" s="286"/>
      <c r="VKS366" s="287"/>
      <c r="VKT366" s="296"/>
      <c r="VKU366" s="266"/>
      <c r="VKV366" s="649"/>
      <c r="VKW366" s="326"/>
      <c r="VKX366" s="655"/>
      <c r="VKY366" s="284"/>
      <c r="VKZ366" s="656"/>
      <c r="VLA366" s="286"/>
      <c r="VLB366" s="287"/>
      <c r="VLC366" s="296"/>
      <c r="VLD366" s="266"/>
      <c r="VLE366" s="649"/>
      <c r="VLF366" s="326"/>
      <c r="VLG366" s="655"/>
      <c r="VLH366" s="284"/>
      <c r="VLI366" s="656"/>
      <c r="VLJ366" s="286"/>
      <c r="VLK366" s="287"/>
      <c r="VLL366" s="296"/>
      <c r="VLM366" s="266"/>
      <c r="VLN366" s="649"/>
      <c r="VLO366" s="326"/>
      <c r="VLP366" s="655"/>
      <c r="VLQ366" s="284"/>
      <c r="VLR366" s="656"/>
      <c r="VLS366" s="286"/>
      <c r="VLT366" s="287"/>
      <c r="VLU366" s="296"/>
      <c r="VLV366" s="266"/>
      <c r="VLW366" s="649"/>
      <c r="VLX366" s="326"/>
      <c r="VLY366" s="655"/>
      <c r="VLZ366" s="284"/>
      <c r="VMA366" s="656"/>
      <c r="VMB366" s="286"/>
      <c r="VMC366" s="287"/>
      <c r="VMD366" s="296"/>
      <c r="VME366" s="266"/>
      <c r="VMF366" s="649"/>
      <c r="VMG366" s="326"/>
      <c r="VMH366" s="655"/>
      <c r="VMI366" s="284"/>
      <c r="VMJ366" s="656"/>
      <c r="VMK366" s="286"/>
      <c r="VML366" s="287"/>
      <c r="VMM366" s="296"/>
      <c r="VMN366" s="266"/>
      <c r="VMO366" s="649"/>
      <c r="VMP366" s="326"/>
      <c r="VMQ366" s="655"/>
      <c r="VMR366" s="284"/>
      <c r="VMS366" s="656"/>
      <c r="VMT366" s="286"/>
      <c r="VMU366" s="287"/>
      <c r="VMV366" s="296"/>
      <c r="VMW366" s="266"/>
      <c r="VMX366" s="649"/>
      <c r="VMY366" s="326"/>
      <c r="VMZ366" s="655"/>
      <c r="VNA366" s="284"/>
      <c r="VNB366" s="656"/>
      <c r="VNC366" s="286"/>
      <c r="VND366" s="287"/>
      <c r="VNE366" s="296"/>
      <c r="VNF366" s="266"/>
      <c r="VNG366" s="649"/>
      <c r="VNH366" s="326"/>
      <c r="VNI366" s="655"/>
      <c r="VNJ366" s="284"/>
      <c r="VNK366" s="656"/>
      <c r="VNL366" s="286"/>
      <c r="VNM366" s="287"/>
      <c r="VNN366" s="296"/>
      <c r="VNO366" s="266"/>
      <c r="VNP366" s="649"/>
      <c r="VNQ366" s="326"/>
      <c r="VNR366" s="655"/>
      <c r="VNS366" s="284"/>
      <c r="VNT366" s="656"/>
      <c r="VNU366" s="286"/>
      <c r="VNV366" s="287"/>
      <c r="VNW366" s="296"/>
      <c r="VNX366" s="266"/>
      <c r="VNY366" s="649"/>
      <c r="VNZ366" s="326"/>
      <c r="VOA366" s="655"/>
      <c r="VOB366" s="284"/>
      <c r="VOC366" s="656"/>
      <c r="VOD366" s="286"/>
      <c r="VOE366" s="287"/>
      <c r="VOF366" s="296"/>
      <c r="VOG366" s="266"/>
      <c r="VOH366" s="649"/>
      <c r="VOI366" s="326"/>
      <c r="VOJ366" s="655"/>
      <c r="VOK366" s="284"/>
      <c r="VOL366" s="656"/>
      <c r="VOM366" s="286"/>
      <c r="VON366" s="287"/>
      <c r="VOO366" s="296"/>
      <c r="VOP366" s="266"/>
      <c r="VOQ366" s="649"/>
      <c r="VOR366" s="326"/>
      <c r="VOS366" s="655"/>
      <c r="VOT366" s="284"/>
      <c r="VOU366" s="656"/>
      <c r="VOV366" s="286"/>
      <c r="VOW366" s="287"/>
      <c r="VOX366" s="296"/>
      <c r="VOY366" s="266"/>
      <c r="VOZ366" s="649"/>
      <c r="VPA366" s="326"/>
      <c r="VPB366" s="655"/>
      <c r="VPC366" s="284"/>
      <c r="VPD366" s="656"/>
      <c r="VPE366" s="286"/>
      <c r="VPF366" s="287"/>
      <c r="VPG366" s="296"/>
      <c r="VPH366" s="266"/>
      <c r="VPI366" s="649"/>
      <c r="VPJ366" s="326"/>
      <c r="VPK366" s="655"/>
      <c r="VPL366" s="284"/>
      <c r="VPM366" s="656"/>
      <c r="VPN366" s="286"/>
      <c r="VPO366" s="287"/>
      <c r="VPP366" s="296"/>
      <c r="VPQ366" s="266"/>
      <c r="VPR366" s="649"/>
      <c r="VPS366" s="326"/>
      <c r="VPT366" s="655"/>
      <c r="VPU366" s="284"/>
      <c r="VPV366" s="656"/>
      <c r="VPW366" s="286"/>
      <c r="VPX366" s="287"/>
      <c r="VPY366" s="296"/>
      <c r="VPZ366" s="266"/>
      <c r="VQA366" s="649"/>
      <c r="VQB366" s="326"/>
      <c r="VQC366" s="655"/>
      <c r="VQD366" s="284"/>
      <c r="VQE366" s="656"/>
      <c r="VQF366" s="286"/>
      <c r="VQG366" s="287"/>
      <c r="VQH366" s="296"/>
      <c r="VQI366" s="266"/>
      <c r="VQJ366" s="649"/>
      <c r="VQK366" s="326"/>
      <c r="VQL366" s="655"/>
      <c r="VQM366" s="284"/>
      <c r="VQN366" s="656"/>
      <c r="VQO366" s="286"/>
      <c r="VQP366" s="287"/>
      <c r="VQQ366" s="296"/>
      <c r="VQR366" s="266"/>
      <c r="VQS366" s="649"/>
      <c r="VQT366" s="326"/>
      <c r="VQU366" s="655"/>
      <c r="VQV366" s="284"/>
      <c r="VQW366" s="656"/>
      <c r="VQX366" s="286"/>
      <c r="VQY366" s="287"/>
      <c r="VQZ366" s="296"/>
      <c r="VRA366" s="266"/>
      <c r="VRB366" s="649"/>
      <c r="VRC366" s="326"/>
      <c r="VRD366" s="655"/>
      <c r="VRE366" s="284"/>
      <c r="VRF366" s="656"/>
      <c r="VRG366" s="286"/>
      <c r="VRH366" s="287"/>
      <c r="VRI366" s="296"/>
      <c r="VRJ366" s="266"/>
      <c r="VRK366" s="649"/>
      <c r="VRL366" s="326"/>
      <c r="VRM366" s="655"/>
      <c r="VRN366" s="284"/>
      <c r="VRO366" s="656"/>
      <c r="VRP366" s="286"/>
      <c r="VRQ366" s="287"/>
      <c r="VRR366" s="296"/>
      <c r="VRS366" s="266"/>
      <c r="VRT366" s="649"/>
      <c r="VRU366" s="326"/>
      <c r="VRV366" s="655"/>
      <c r="VRW366" s="284"/>
      <c r="VRX366" s="656"/>
      <c r="VRY366" s="286"/>
      <c r="VRZ366" s="287"/>
      <c r="VSA366" s="296"/>
      <c r="VSB366" s="266"/>
      <c r="VSC366" s="649"/>
      <c r="VSD366" s="326"/>
      <c r="VSE366" s="655"/>
      <c r="VSF366" s="284"/>
      <c r="VSG366" s="656"/>
      <c r="VSH366" s="286"/>
      <c r="VSI366" s="287"/>
      <c r="VSJ366" s="296"/>
      <c r="VSK366" s="266"/>
      <c r="VSL366" s="649"/>
      <c r="VSM366" s="326"/>
      <c r="VSN366" s="655"/>
      <c r="VSO366" s="284"/>
      <c r="VSP366" s="656"/>
      <c r="VSQ366" s="286"/>
      <c r="VSR366" s="287"/>
      <c r="VSS366" s="296"/>
      <c r="VST366" s="266"/>
      <c r="VSU366" s="649"/>
      <c r="VSV366" s="326"/>
      <c r="VSW366" s="655"/>
      <c r="VSX366" s="284"/>
      <c r="VSY366" s="656"/>
      <c r="VSZ366" s="286"/>
      <c r="VTA366" s="287"/>
      <c r="VTB366" s="296"/>
      <c r="VTC366" s="266"/>
      <c r="VTD366" s="649"/>
      <c r="VTE366" s="326"/>
      <c r="VTF366" s="655"/>
      <c r="VTG366" s="284"/>
      <c r="VTH366" s="656"/>
      <c r="VTI366" s="286"/>
      <c r="VTJ366" s="287"/>
      <c r="VTK366" s="296"/>
      <c r="VTL366" s="266"/>
      <c r="VTM366" s="649"/>
      <c r="VTN366" s="326"/>
      <c r="VTO366" s="655"/>
      <c r="VTP366" s="284"/>
      <c r="VTQ366" s="656"/>
      <c r="VTR366" s="286"/>
      <c r="VTS366" s="287"/>
      <c r="VTT366" s="296"/>
      <c r="VTU366" s="266"/>
      <c r="VTV366" s="649"/>
      <c r="VTW366" s="326"/>
      <c r="VTX366" s="655"/>
      <c r="VTY366" s="284"/>
      <c r="VTZ366" s="656"/>
      <c r="VUA366" s="286"/>
      <c r="VUB366" s="287"/>
      <c r="VUC366" s="296"/>
      <c r="VUD366" s="266"/>
      <c r="VUE366" s="649"/>
      <c r="VUF366" s="326"/>
      <c r="VUG366" s="655"/>
      <c r="VUH366" s="284"/>
      <c r="VUI366" s="656"/>
      <c r="VUJ366" s="286"/>
      <c r="VUK366" s="287"/>
      <c r="VUL366" s="296"/>
      <c r="VUM366" s="266"/>
      <c r="VUN366" s="649"/>
      <c r="VUO366" s="326"/>
      <c r="VUP366" s="655"/>
      <c r="VUQ366" s="284"/>
      <c r="VUR366" s="656"/>
      <c r="VUS366" s="286"/>
      <c r="VUT366" s="287"/>
      <c r="VUU366" s="296"/>
      <c r="VUV366" s="266"/>
      <c r="VUW366" s="649"/>
      <c r="VUX366" s="326"/>
      <c r="VUY366" s="655"/>
      <c r="VUZ366" s="284"/>
      <c r="VVA366" s="656"/>
      <c r="VVB366" s="286"/>
      <c r="VVC366" s="287"/>
      <c r="VVD366" s="296"/>
      <c r="VVE366" s="266"/>
      <c r="VVF366" s="649"/>
      <c r="VVG366" s="326"/>
      <c r="VVH366" s="655"/>
      <c r="VVI366" s="284"/>
      <c r="VVJ366" s="656"/>
      <c r="VVK366" s="286"/>
      <c r="VVL366" s="287"/>
      <c r="VVM366" s="296"/>
      <c r="VVN366" s="266"/>
      <c r="VVO366" s="649"/>
      <c r="VVP366" s="326"/>
      <c r="VVQ366" s="655"/>
      <c r="VVR366" s="284"/>
      <c r="VVS366" s="656"/>
      <c r="VVT366" s="286"/>
      <c r="VVU366" s="287"/>
      <c r="VVV366" s="296"/>
      <c r="VVW366" s="266"/>
      <c r="VVX366" s="649"/>
      <c r="VVY366" s="326"/>
      <c r="VVZ366" s="655"/>
      <c r="VWA366" s="284"/>
      <c r="VWB366" s="656"/>
      <c r="VWC366" s="286"/>
      <c r="VWD366" s="287"/>
      <c r="VWE366" s="296"/>
      <c r="VWF366" s="266"/>
      <c r="VWG366" s="649"/>
      <c r="VWH366" s="326"/>
      <c r="VWI366" s="655"/>
      <c r="VWJ366" s="284"/>
      <c r="VWK366" s="656"/>
      <c r="VWL366" s="286"/>
      <c r="VWM366" s="287"/>
      <c r="VWN366" s="296"/>
      <c r="VWO366" s="266"/>
      <c r="VWP366" s="649"/>
      <c r="VWQ366" s="326"/>
      <c r="VWR366" s="655"/>
      <c r="VWS366" s="284"/>
      <c r="VWT366" s="656"/>
      <c r="VWU366" s="286"/>
      <c r="VWV366" s="287"/>
      <c r="VWW366" s="296"/>
      <c r="VWX366" s="266"/>
      <c r="VWY366" s="649"/>
      <c r="VWZ366" s="326"/>
      <c r="VXA366" s="655"/>
      <c r="VXB366" s="284"/>
      <c r="VXC366" s="656"/>
      <c r="VXD366" s="286"/>
      <c r="VXE366" s="287"/>
      <c r="VXF366" s="296"/>
      <c r="VXG366" s="266"/>
      <c r="VXH366" s="649"/>
      <c r="VXI366" s="326"/>
      <c r="VXJ366" s="655"/>
      <c r="VXK366" s="284"/>
      <c r="VXL366" s="656"/>
      <c r="VXM366" s="286"/>
      <c r="VXN366" s="287"/>
      <c r="VXO366" s="296"/>
      <c r="VXP366" s="266"/>
      <c r="VXQ366" s="649"/>
      <c r="VXR366" s="326"/>
      <c r="VXS366" s="655"/>
      <c r="VXT366" s="284"/>
      <c r="VXU366" s="656"/>
      <c r="VXV366" s="286"/>
      <c r="VXW366" s="287"/>
      <c r="VXX366" s="296"/>
      <c r="VXY366" s="266"/>
      <c r="VXZ366" s="649"/>
      <c r="VYA366" s="326"/>
      <c r="VYB366" s="655"/>
      <c r="VYC366" s="284"/>
      <c r="VYD366" s="656"/>
      <c r="VYE366" s="286"/>
      <c r="VYF366" s="287"/>
      <c r="VYG366" s="296"/>
      <c r="VYH366" s="266"/>
      <c r="VYI366" s="649"/>
      <c r="VYJ366" s="326"/>
      <c r="VYK366" s="655"/>
      <c r="VYL366" s="284"/>
      <c r="VYM366" s="656"/>
      <c r="VYN366" s="286"/>
      <c r="VYO366" s="287"/>
      <c r="VYP366" s="296"/>
      <c r="VYQ366" s="266"/>
      <c r="VYR366" s="649"/>
      <c r="VYS366" s="326"/>
      <c r="VYT366" s="655"/>
      <c r="VYU366" s="284"/>
      <c r="VYV366" s="656"/>
      <c r="VYW366" s="286"/>
      <c r="VYX366" s="287"/>
      <c r="VYY366" s="296"/>
      <c r="VYZ366" s="266"/>
      <c r="VZA366" s="649"/>
      <c r="VZB366" s="326"/>
      <c r="VZC366" s="655"/>
      <c r="VZD366" s="284"/>
      <c r="VZE366" s="656"/>
      <c r="VZF366" s="286"/>
      <c r="VZG366" s="287"/>
      <c r="VZH366" s="296"/>
      <c r="VZI366" s="266"/>
      <c r="VZJ366" s="649"/>
      <c r="VZK366" s="326"/>
      <c r="VZL366" s="655"/>
      <c r="VZM366" s="284"/>
      <c r="VZN366" s="656"/>
      <c r="VZO366" s="286"/>
      <c r="VZP366" s="287"/>
      <c r="VZQ366" s="296"/>
      <c r="VZR366" s="266"/>
      <c r="VZS366" s="649"/>
      <c r="VZT366" s="326"/>
      <c r="VZU366" s="655"/>
      <c r="VZV366" s="284"/>
      <c r="VZW366" s="656"/>
      <c r="VZX366" s="286"/>
      <c r="VZY366" s="287"/>
      <c r="VZZ366" s="296"/>
      <c r="WAA366" s="266"/>
      <c r="WAB366" s="649"/>
      <c r="WAC366" s="326"/>
      <c r="WAD366" s="655"/>
      <c r="WAE366" s="284"/>
      <c r="WAF366" s="656"/>
      <c r="WAG366" s="286"/>
      <c r="WAH366" s="287"/>
      <c r="WAI366" s="296"/>
      <c r="WAJ366" s="266"/>
      <c r="WAK366" s="649"/>
      <c r="WAL366" s="326"/>
      <c r="WAM366" s="655"/>
      <c r="WAN366" s="284"/>
      <c r="WAO366" s="656"/>
      <c r="WAP366" s="286"/>
      <c r="WAQ366" s="287"/>
      <c r="WAR366" s="296"/>
      <c r="WAS366" s="266"/>
      <c r="WAT366" s="649"/>
      <c r="WAU366" s="326"/>
      <c r="WAV366" s="655"/>
      <c r="WAW366" s="284"/>
      <c r="WAX366" s="656"/>
      <c r="WAY366" s="286"/>
      <c r="WAZ366" s="287"/>
      <c r="WBA366" s="296"/>
      <c r="WBB366" s="266"/>
      <c r="WBC366" s="649"/>
      <c r="WBD366" s="326"/>
      <c r="WBE366" s="655"/>
      <c r="WBF366" s="284"/>
      <c r="WBG366" s="656"/>
      <c r="WBH366" s="286"/>
      <c r="WBI366" s="287"/>
      <c r="WBJ366" s="296"/>
      <c r="WBK366" s="266"/>
      <c r="WBL366" s="649"/>
      <c r="WBM366" s="326"/>
      <c r="WBN366" s="655"/>
      <c r="WBO366" s="284"/>
      <c r="WBP366" s="656"/>
      <c r="WBQ366" s="286"/>
      <c r="WBR366" s="287"/>
      <c r="WBS366" s="296"/>
      <c r="WBT366" s="266"/>
      <c r="WBU366" s="649"/>
      <c r="WBV366" s="326"/>
      <c r="WBW366" s="655"/>
      <c r="WBX366" s="284"/>
      <c r="WBY366" s="656"/>
      <c r="WBZ366" s="286"/>
      <c r="WCA366" s="287"/>
      <c r="WCB366" s="296"/>
      <c r="WCC366" s="266"/>
      <c r="WCD366" s="649"/>
      <c r="WCE366" s="326"/>
      <c r="WCF366" s="655"/>
      <c r="WCG366" s="284"/>
      <c r="WCH366" s="656"/>
      <c r="WCI366" s="286"/>
      <c r="WCJ366" s="287"/>
      <c r="WCK366" s="296"/>
      <c r="WCL366" s="266"/>
      <c r="WCM366" s="649"/>
      <c r="WCN366" s="326"/>
      <c r="WCO366" s="655"/>
      <c r="WCP366" s="284"/>
      <c r="WCQ366" s="656"/>
      <c r="WCR366" s="286"/>
      <c r="WCS366" s="287"/>
      <c r="WCT366" s="296"/>
      <c r="WCU366" s="266"/>
      <c r="WCV366" s="649"/>
      <c r="WCW366" s="326"/>
      <c r="WCX366" s="655"/>
      <c r="WCY366" s="284"/>
      <c r="WCZ366" s="656"/>
      <c r="WDA366" s="286"/>
      <c r="WDB366" s="287"/>
      <c r="WDC366" s="296"/>
      <c r="WDD366" s="266"/>
      <c r="WDE366" s="649"/>
      <c r="WDF366" s="326"/>
      <c r="WDG366" s="655"/>
      <c r="WDH366" s="284"/>
      <c r="WDI366" s="656"/>
      <c r="WDJ366" s="286"/>
      <c r="WDK366" s="287"/>
      <c r="WDL366" s="296"/>
      <c r="WDM366" s="266"/>
      <c r="WDN366" s="649"/>
      <c r="WDO366" s="326"/>
      <c r="WDP366" s="655"/>
      <c r="WDQ366" s="284"/>
      <c r="WDR366" s="656"/>
      <c r="WDS366" s="286"/>
      <c r="WDT366" s="287"/>
      <c r="WDU366" s="296"/>
      <c r="WDV366" s="266"/>
      <c r="WDW366" s="649"/>
      <c r="WDX366" s="326"/>
      <c r="WDY366" s="655"/>
      <c r="WDZ366" s="284"/>
      <c r="WEA366" s="656"/>
      <c r="WEB366" s="286"/>
      <c r="WEC366" s="287"/>
      <c r="WED366" s="296"/>
      <c r="WEE366" s="266"/>
      <c r="WEF366" s="649"/>
      <c r="WEG366" s="326"/>
      <c r="WEH366" s="655"/>
      <c r="WEI366" s="284"/>
      <c r="WEJ366" s="656"/>
      <c r="WEK366" s="286"/>
      <c r="WEL366" s="287"/>
      <c r="WEM366" s="296"/>
      <c r="WEN366" s="266"/>
      <c r="WEO366" s="649"/>
      <c r="WEP366" s="326"/>
      <c r="WEQ366" s="655"/>
      <c r="WER366" s="284"/>
      <c r="WES366" s="656"/>
      <c r="WET366" s="286"/>
      <c r="WEU366" s="287"/>
      <c r="WEV366" s="296"/>
      <c r="WEW366" s="266"/>
      <c r="WEX366" s="649"/>
      <c r="WEY366" s="326"/>
      <c r="WEZ366" s="655"/>
      <c r="WFA366" s="284"/>
      <c r="WFB366" s="656"/>
      <c r="WFC366" s="286"/>
      <c r="WFD366" s="287"/>
      <c r="WFE366" s="296"/>
      <c r="WFF366" s="266"/>
      <c r="WFG366" s="649"/>
      <c r="WFH366" s="326"/>
      <c r="WFI366" s="655"/>
      <c r="WFJ366" s="284"/>
      <c r="WFK366" s="656"/>
      <c r="WFL366" s="286"/>
      <c r="WFM366" s="287"/>
      <c r="WFN366" s="296"/>
      <c r="WFO366" s="266"/>
      <c r="WFP366" s="649"/>
      <c r="WFQ366" s="326"/>
      <c r="WFR366" s="655"/>
      <c r="WFS366" s="284"/>
      <c r="WFT366" s="656"/>
      <c r="WFU366" s="286"/>
      <c r="WFV366" s="287"/>
      <c r="WFW366" s="296"/>
      <c r="WFX366" s="266"/>
      <c r="WFY366" s="649"/>
      <c r="WFZ366" s="326"/>
      <c r="WGA366" s="655"/>
      <c r="WGB366" s="284"/>
      <c r="WGC366" s="656"/>
      <c r="WGD366" s="286"/>
      <c r="WGE366" s="287"/>
      <c r="WGF366" s="296"/>
      <c r="WGG366" s="266"/>
      <c r="WGH366" s="649"/>
      <c r="WGI366" s="326"/>
      <c r="WGJ366" s="655"/>
      <c r="WGK366" s="284"/>
      <c r="WGL366" s="656"/>
      <c r="WGM366" s="286"/>
      <c r="WGN366" s="287"/>
      <c r="WGO366" s="296"/>
      <c r="WGP366" s="266"/>
      <c r="WGQ366" s="649"/>
      <c r="WGR366" s="326"/>
      <c r="WGS366" s="655"/>
      <c r="WGT366" s="284"/>
      <c r="WGU366" s="656"/>
      <c r="WGV366" s="286"/>
      <c r="WGW366" s="287"/>
      <c r="WGX366" s="296"/>
      <c r="WGY366" s="266"/>
      <c r="WGZ366" s="649"/>
      <c r="WHA366" s="326"/>
      <c r="WHB366" s="655"/>
      <c r="WHC366" s="284"/>
      <c r="WHD366" s="656"/>
      <c r="WHE366" s="286"/>
      <c r="WHF366" s="287"/>
      <c r="WHG366" s="296"/>
      <c r="WHH366" s="266"/>
      <c r="WHI366" s="649"/>
      <c r="WHJ366" s="326"/>
      <c r="WHK366" s="655"/>
      <c r="WHL366" s="284"/>
      <c r="WHM366" s="656"/>
      <c r="WHN366" s="286"/>
      <c r="WHO366" s="287"/>
      <c r="WHP366" s="296"/>
      <c r="WHQ366" s="266"/>
      <c r="WHR366" s="649"/>
      <c r="WHS366" s="326"/>
      <c r="WHT366" s="655"/>
      <c r="WHU366" s="284"/>
      <c r="WHV366" s="656"/>
      <c r="WHW366" s="286"/>
      <c r="WHX366" s="287"/>
      <c r="WHY366" s="296"/>
      <c r="WHZ366" s="266"/>
      <c r="WIA366" s="649"/>
      <c r="WIB366" s="326"/>
      <c r="WIC366" s="655"/>
      <c r="WID366" s="284"/>
      <c r="WIE366" s="656"/>
      <c r="WIF366" s="286"/>
      <c r="WIG366" s="287"/>
      <c r="WIH366" s="296"/>
      <c r="WII366" s="266"/>
      <c r="WIJ366" s="649"/>
      <c r="WIK366" s="326"/>
      <c r="WIL366" s="655"/>
      <c r="WIM366" s="284"/>
      <c r="WIN366" s="656"/>
      <c r="WIO366" s="286"/>
      <c r="WIP366" s="287"/>
      <c r="WIQ366" s="296"/>
      <c r="WIR366" s="266"/>
      <c r="WIS366" s="649"/>
      <c r="WIT366" s="326"/>
      <c r="WIU366" s="655"/>
      <c r="WIV366" s="284"/>
      <c r="WIW366" s="656"/>
      <c r="WIX366" s="286"/>
      <c r="WIY366" s="287"/>
      <c r="WIZ366" s="296"/>
      <c r="WJA366" s="266"/>
      <c r="WJB366" s="649"/>
      <c r="WJC366" s="326"/>
      <c r="WJD366" s="655"/>
      <c r="WJE366" s="284"/>
      <c r="WJF366" s="656"/>
      <c r="WJG366" s="286"/>
      <c r="WJH366" s="287"/>
      <c r="WJI366" s="296"/>
      <c r="WJJ366" s="266"/>
      <c r="WJK366" s="649"/>
      <c r="WJL366" s="326"/>
      <c r="WJM366" s="655"/>
      <c r="WJN366" s="284"/>
      <c r="WJO366" s="656"/>
      <c r="WJP366" s="286"/>
      <c r="WJQ366" s="287"/>
      <c r="WJR366" s="296"/>
      <c r="WJS366" s="266"/>
      <c r="WJT366" s="649"/>
      <c r="WJU366" s="326"/>
      <c r="WJV366" s="655"/>
      <c r="WJW366" s="284"/>
      <c r="WJX366" s="656"/>
      <c r="WJY366" s="286"/>
      <c r="WJZ366" s="287"/>
      <c r="WKA366" s="296"/>
      <c r="WKB366" s="266"/>
      <c r="WKC366" s="649"/>
      <c r="WKD366" s="326"/>
      <c r="WKE366" s="655"/>
      <c r="WKF366" s="284"/>
      <c r="WKG366" s="656"/>
      <c r="WKH366" s="286"/>
      <c r="WKI366" s="287"/>
      <c r="WKJ366" s="296"/>
      <c r="WKK366" s="266"/>
      <c r="WKL366" s="649"/>
      <c r="WKM366" s="326"/>
      <c r="WKN366" s="655"/>
      <c r="WKO366" s="284"/>
      <c r="WKP366" s="656"/>
      <c r="WKQ366" s="286"/>
      <c r="WKR366" s="287"/>
      <c r="WKS366" s="296"/>
      <c r="WKT366" s="266"/>
      <c r="WKU366" s="649"/>
      <c r="WKV366" s="326"/>
      <c r="WKW366" s="655"/>
      <c r="WKX366" s="284"/>
      <c r="WKY366" s="656"/>
      <c r="WKZ366" s="286"/>
      <c r="WLA366" s="287"/>
      <c r="WLB366" s="296"/>
      <c r="WLC366" s="266"/>
      <c r="WLD366" s="649"/>
      <c r="WLE366" s="326"/>
      <c r="WLF366" s="655"/>
      <c r="WLG366" s="284"/>
      <c r="WLH366" s="656"/>
      <c r="WLI366" s="286"/>
      <c r="WLJ366" s="287"/>
      <c r="WLK366" s="296"/>
      <c r="WLL366" s="266"/>
      <c r="WLM366" s="649"/>
      <c r="WLN366" s="326"/>
      <c r="WLO366" s="655"/>
      <c r="WLP366" s="284"/>
      <c r="WLQ366" s="656"/>
      <c r="WLR366" s="286"/>
      <c r="WLS366" s="287"/>
      <c r="WLT366" s="296"/>
      <c r="WLU366" s="266"/>
      <c r="WLV366" s="649"/>
      <c r="WLW366" s="326"/>
      <c r="WLX366" s="655"/>
      <c r="WLY366" s="284"/>
      <c r="WLZ366" s="656"/>
      <c r="WMA366" s="286"/>
      <c r="WMB366" s="287"/>
      <c r="WMC366" s="296"/>
      <c r="WMD366" s="266"/>
      <c r="WME366" s="649"/>
      <c r="WMF366" s="326"/>
      <c r="WMG366" s="655"/>
      <c r="WMH366" s="284"/>
      <c r="WMI366" s="656"/>
      <c r="WMJ366" s="286"/>
      <c r="WMK366" s="287"/>
      <c r="WML366" s="296"/>
      <c r="WMM366" s="266"/>
      <c r="WMN366" s="649"/>
      <c r="WMO366" s="326"/>
      <c r="WMP366" s="655"/>
      <c r="WMQ366" s="284"/>
      <c r="WMR366" s="656"/>
      <c r="WMS366" s="286"/>
      <c r="WMT366" s="287"/>
      <c r="WMU366" s="296"/>
      <c r="WMV366" s="266"/>
      <c r="WMW366" s="649"/>
      <c r="WMX366" s="326"/>
      <c r="WMY366" s="655"/>
      <c r="WMZ366" s="284"/>
      <c r="WNA366" s="656"/>
      <c r="WNB366" s="286"/>
      <c r="WNC366" s="287"/>
      <c r="WND366" s="296"/>
      <c r="WNE366" s="266"/>
      <c r="WNF366" s="649"/>
      <c r="WNG366" s="326"/>
      <c r="WNH366" s="655"/>
      <c r="WNI366" s="284"/>
      <c r="WNJ366" s="656"/>
      <c r="WNK366" s="286"/>
      <c r="WNL366" s="287"/>
      <c r="WNM366" s="296"/>
      <c r="WNN366" s="266"/>
      <c r="WNO366" s="649"/>
      <c r="WNP366" s="326"/>
      <c r="WNQ366" s="655"/>
      <c r="WNR366" s="284"/>
      <c r="WNS366" s="656"/>
      <c r="WNT366" s="286"/>
      <c r="WNU366" s="287"/>
      <c r="WNV366" s="296"/>
      <c r="WNW366" s="266"/>
      <c r="WNX366" s="649"/>
      <c r="WNY366" s="326"/>
      <c r="WNZ366" s="655"/>
      <c r="WOA366" s="284"/>
      <c r="WOB366" s="656"/>
      <c r="WOC366" s="286"/>
      <c r="WOD366" s="287"/>
      <c r="WOE366" s="296"/>
      <c r="WOF366" s="266"/>
      <c r="WOG366" s="649"/>
      <c r="WOH366" s="326"/>
      <c r="WOI366" s="655"/>
      <c r="WOJ366" s="284"/>
      <c r="WOK366" s="656"/>
      <c r="WOL366" s="286"/>
      <c r="WOM366" s="287"/>
      <c r="WON366" s="296"/>
      <c r="WOO366" s="266"/>
      <c r="WOP366" s="649"/>
      <c r="WOQ366" s="326"/>
      <c r="WOR366" s="655"/>
      <c r="WOS366" s="284"/>
      <c r="WOT366" s="656"/>
      <c r="WOU366" s="286"/>
      <c r="WOV366" s="287"/>
      <c r="WOW366" s="296"/>
      <c r="WOX366" s="266"/>
      <c r="WOY366" s="649"/>
      <c r="WOZ366" s="326"/>
      <c r="WPA366" s="655"/>
      <c r="WPB366" s="284"/>
      <c r="WPC366" s="656"/>
      <c r="WPD366" s="286"/>
      <c r="WPE366" s="287"/>
      <c r="WPF366" s="296"/>
      <c r="WPG366" s="266"/>
      <c r="WPH366" s="649"/>
      <c r="WPI366" s="326"/>
      <c r="WPJ366" s="655"/>
      <c r="WPK366" s="284"/>
      <c r="WPL366" s="656"/>
      <c r="WPM366" s="286"/>
      <c r="WPN366" s="287"/>
      <c r="WPO366" s="296"/>
      <c r="WPP366" s="266"/>
      <c r="WPQ366" s="649"/>
      <c r="WPR366" s="326"/>
      <c r="WPS366" s="655"/>
      <c r="WPT366" s="284"/>
      <c r="WPU366" s="656"/>
      <c r="WPV366" s="286"/>
      <c r="WPW366" s="287"/>
      <c r="WPX366" s="296"/>
      <c r="WPY366" s="266"/>
      <c r="WPZ366" s="649"/>
      <c r="WQA366" s="326"/>
      <c r="WQB366" s="655"/>
      <c r="WQC366" s="284"/>
      <c r="WQD366" s="656"/>
      <c r="WQE366" s="286"/>
      <c r="WQF366" s="287"/>
      <c r="WQG366" s="296"/>
      <c r="WQH366" s="266"/>
      <c r="WQI366" s="649"/>
      <c r="WQJ366" s="326"/>
      <c r="WQK366" s="655"/>
      <c r="WQL366" s="284"/>
      <c r="WQM366" s="656"/>
      <c r="WQN366" s="286"/>
      <c r="WQO366" s="287"/>
      <c r="WQP366" s="296"/>
      <c r="WQQ366" s="266"/>
      <c r="WQR366" s="649"/>
      <c r="WQS366" s="326"/>
      <c r="WQT366" s="655"/>
      <c r="WQU366" s="284"/>
      <c r="WQV366" s="656"/>
      <c r="WQW366" s="286"/>
      <c r="WQX366" s="287"/>
      <c r="WQY366" s="296"/>
      <c r="WQZ366" s="266"/>
      <c r="WRA366" s="649"/>
      <c r="WRB366" s="326"/>
      <c r="WRC366" s="655"/>
      <c r="WRD366" s="284"/>
      <c r="WRE366" s="656"/>
      <c r="WRF366" s="286"/>
      <c r="WRG366" s="287"/>
      <c r="WRH366" s="296"/>
      <c r="WRI366" s="266"/>
      <c r="WRJ366" s="649"/>
      <c r="WRK366" s="326"/>
      <c r="WRL366" s="655"/>
      <c r="WRM366" s="284"/>
      <c r="WRN366" s="656"/>
      <c r="WRO366" s="286"/>
      <c r="WRP366" s="287"/>
      <c r="WRQ366" s="296"/>
      <c r="WRR366" s="266"/>
      <c r="WRS366" s="649"/>
      <c r="WRT366" s="326"/>
      <c r="WRU366" s="655"/>
      <c r="WRV366" s="284"/>
      <c r="WRW366" s="656"/>
      <c r="WRX366" s="286"/>
      <c r="WRY366" s="287"/>
      <c r="WRZ366" s="296"/>
      <c r="WSA366" s="266"/>
      <c r="WSB366" s="649"/>
      <c r="WSC366" s="326"/>
      <c r="WSD366" s="655"/>
      <c r="WSE366" s="284"/>
      <c r="WSF366" s="656"/>
      <c r="WSG366" s="286"/>
      <c r="WSH366" s="287"/>
      <c r="WSI366" s="296"/>
      <c r="WSJ366" s="266"/>
      <c r="WSK366" s="649"/>
      <c r="WSL366" s="326"/>
      <c r="WSM366" s="655"/>
      <c r="WSN366" s="284"/>
      <c r="WSO366" s="656"/>
      <c r="WSP366" s="286"/>
      <c r="WSQ366" s="287"/>
      <c r="WSR366" s="296"/>
      <c r="WSS366" s="266"/>
      <c r="WST366" s="649"/>
      <c r="WSU366" s="326"/>
      <c r="WSV366" s="655"/>
      <c r="WSW366" s="284"/>
      <c r="WSX366" s="656"/>
      <c r="WSY366" s="286"/>
      <c r="WSZ366" s="287"/>
      <c r="WTA366" s="296"/>
      <c r="WTB366" s="266"/>
      <c r="WTC366" s="649"/>
      <c r="WTD366" s="326"/>
      <c r="WTE366" s="655"/>
      <c r="WTF366" s="284"/>
      <c r="WTG366" s="656"/>
      <c r="WTH366" s="286"/>
      <c r="WTI366" s="287"/>
      <c r="WTJ366" s="296"/>
      <c r="WTK366" s="266"/>
      <c r="WTL366" s="649"/>
      <c r="WTM366" s="326"/>
      <c r="WTN366" s="655"/>
      <c r="WTO366" s="284"/>
      <c r="WTP366" s="656"/>
      <c r="WTQ366" s="286"/>
      <c r="WTR366" s="287"/>
      <c r="WTS366" s="296"/>
      <c r="WTT366" s="266"/>
      <c r="WTU366" s="649"/>
      <c r="WTV366" s="326"/>
      <c r="WTW366" s="655"/>
      <c r="WTX366" s="284"/>
      <c r="WTY366" s="656"/>
      <c r="WTZ366" s="286"/>
      <c r="WUA366" s="287"/>
      <c r="WUB366" s="296"/>
      <c r="WUC366" s="266"/>
      <c r="WUD366" s="649"/>
      <c r="WUE366" s="326"/>
      <c r="WUF366" s="655"/>
      <c r="WUG366" s="284"/>
      <c r="WUH366" s="656"/>
      <c r="WUI366" s="286"/>
      <c r="WUJ366" s="287"/>
      <c r="WUK366" s="296"/>
      <c r="WUL366" s="266"/>
      <c r="WUM366" s="649"/>
      <c r="WUN366" s="326"/>
      <c r="WUO366" s="655"/>
      <c r="WUP366" s="284"/>
      <c r="WUQ366" s="656"/>
      <c r="WUR366" s="286"/>
      <c r="WUS366" s="287"/>
      <c r="WUT366" s="296"/>
      <c r="WUU366" s="266"/>
      <c r="WUV366" s="649"/>
      <c r="WUW366" s="326"/>
      <c r="WUX366" s="655"/>
      <c r="WUY366" s="284"/>
      <c r="WUZ366" s="656"/>
      <c r="WVA366" s="286"/>
      <c r="WVB366" s="287"/>
      <c r="WVC366" s="296"/>
      <c r="WVD366" s="266"/>
      <c r="WVE366" s="649"/>
      <c r="WVF366" s="326"/>
      <c r="WVG366" s="655"/>
      <c r="WVH366" s="284"/>
      <c r="WVI366" s="656"/>
      <c r="WVJ366" s="286"/>
      <c r="WVK366" s="287"/>
      <c r="WVL366" s="296"/>
      <c r="WVM366" s="266"/>
      <c r="WVN366" s="649"/>
      <c r="WVO366" s="326"/>
      <c r="WVP366" s="655"/>
      <c r="WVQ366" s="284"/>
      <c r="WVR366" s="656"/>
      <c r="WVS366" s="286"/>
      <c r="WVT366" s="287"/>
      <c r="WVU366" s="296"/>
      <c r="WVV366" s="266"/>
      <c r="WVW366" s="649"/>
      <c r="WVX366" s="326"/>
      <c r="WVY366" s="655"/>
      <c r="WVZ366" s="284"/>
      <c r="WWA366" s="656"/>
      <c r="WWB366" s="286"/>
      <c r="WWC366" s="287"/>
      <c r="WWD366" s="296"/>
      <c r="WWE366" s="266"/>
      <c r="WWF366" s="649"/>
      <c r="WWG366" s="326"/>
      <c r="WWH366" s="655"/>
      <c r="WWI366" s="284"/>
      <c r="WWJ366" s="656"/>
      <c r="WWK366" s="286"/>
      <c r="WWL366" s="287"/>
      <c r="WWM366" s="296"/>
      <c r="WWN366" s="266"/>
      <c r="WWO366" s="649"/>
      <c r="WWP366" s="326"/>
      <c r="WWQ366" s="655"/>
      <c r="WWR366" s="284"/>
      <c r="WWS366" s="656"/>
      <c r="WWT366" s="286"/>
      <c r="WWU366" s="287"/>
      <c r="WWV366" s="296"/>
      <c r="WWW366" s="266"/>
      <c r="WWX366" s="649"/>
      <c r="WWY366" s="326"/>
      <c r="WWZ366" s="655"/>
      <c r="WXA366" s="284"/>
      <c r="WXB366" s="656"/>
      <c r="WXC366" s="286"/>
      <c r="WXD366" s="287"/>
      <c r="WXE366" s="296"/>
      <c r="WXF366" s="266"/>
      <c r="WXG366" s="649"/>
      <c r="WXH366" s="326"/>
      <c r="WXI366" s="655"/>
      <c r="WXJ366" s="284"/>
      <c r="WXK366" s="656"/>
      <c r="WXL366" s="286"/>
      <c r="WXM366" s="287"/>
      <c r="WXN366" s="296"/>
      <c r="WXO366" s="266"/>
      <c r="WXP366" s="649"/>
      <c r="WXQ366" s="326"/>
      <c r="WXR366" s="655"/>
      <c r="WXS366" s="284"/>
      <c r="WXT366" s="656"/>
      <c r="WXU366" s="286"/>
      <c r="WXV366" s="287"/>
      <c r="WXW366" s="296"/>
      <c r="WXX366" s="266"/>
      <c r="WXY366" s="649"/>
      <c r="WXZ366" s="326"/>
      <c r="WYA366" s="655"/>
      <c r="WYB366" s="284"/>
      <c r="WYC366" s="656"/>
      <c r="WYD366" s="286"/>
      <c r="WYE366" s="287"/>
      <c r="WYF366" s="296"/>
      <c r="WYG366" s="266"/>
      <c r="WYH366" s="649"/>
      <c r="WYI366" s="326"/>
      <c r="WYJ366" s="655"/>
      <c r="WYK366" s="284"/>
      <c r="WYL366" s="656"/>
      <c r="WYM366" s="286"/>
      <c r="WYN366" s="287"/>
      <c r="WYO366" s="296"/>
      <c r="WYP366" s="266"/>
      <c r="WYQ366" s="649"/>
      <c r="WYR366" s="326"/>
      <c r="WYS366" s="655"/>
      <c r="WYT366" s="284"/>
      <c r="WYU366" s="656"/>
      <c r="WYV366" s="286"/>
      <c r="WYW366" s="287"/>
      <c r="WYX366" s="296"/>
      <c r="WYY366" s="266"/>
      <c r="WYZ366" s="649"/>
      <c r="WZA366" s="326"/>
      <c r="WZB366" s="655"/>
      <c r="WZC366" s="284"/>
      <c r="WZD366" s="656"/>
      <c r="WZE366" s="286"/>
      <c r="WZF366" s="287"/>
      <c r="WZG366" s="296"/>
      <c r="WZH366" s="266"/>
      <c r="WZI366" s="649"/>
      <c r="WZJ366" s="326"/>
      <c r="WZK366" s="655"/>
      <c r="WZL366" s="284"/>
      <c r="WZM366" s="656"/>
      <c r="WZN366" s="286"/>
      <c r="WZO366" s="287"/>
      <c r="WZP366" s="296"/>
      <c r="WZQ366" s="266"/>
      <c r="WZR366" s="649"/>
      <c r="WZS366" s="326"/>
      <c r="WZT366" s="655"/>
      <c r="WZU366" s="284"/>
      <c r="WZV366" s="656"/>
      <c r="WZW366" s="286"/>
      <c r="WZX366" s="287"/>
      <c r="WZY366" s="296"/>
      <c r="WZZ366" s="266"/>
      <c r="XAA366" s="649"/>
      <c r="XAB366" s="326"/>
      <c r="XAC366" s="655"/>
      <c r="XAD366" s="284"/>
      <c r="XAE366" s="656"/>
      <c r="XAF366" s="286"/>
      <c r="XAG366" s="287"/>
      <c r="XAH366" s="296"/>
      <c r="XAI366" s="266"/>
      <c r="XAJ366" s="649"/>
      <c r="XAK366" s="326"/>
      <c r="XAL366" s="655"/>
      <c r="XAM366" s="284"/>
      <c r="XAN366" s="656"/>
      <c r="XAO366" s="286"/>
      <c r="XAP366" s="287"/>
      <c r="XAQ366" s="296"/>
      <c r="XAR366" s="266"/>
      <c r="XAS366" s="649"/>
      <c r="XAT366" s="326"/>
      <c r="XAU366" s="655"/>
      <c r="XAV366" s="284"/>
      <c r="XAW366" s="656"/>
      <c r="XAX366" s="286"/>
      <c r="XAY366" s="287"/>
      <c r="XAZ366" s="296"/>
      <c r="XBA366" s="266"/>
      <c r="XBB366" s="649"/>
      <c r="XBC366" s="326"/>
      <c r="XBD366" s="655"/>
      <c r="XBE366" s="284"/>
      <c r="XBF366" s="656"/>
      <c r="XBG366" s="286"/>
      <c r="XBH366" s="287"/>
      <c r="XBI366" s="296"/>
      <c r="XBJ366" s="266"/>
      <c r="XBK366" s="649"/>
      <c r="XBL366" s="326"/>
      <c r="XBM366" s="655"/>
      <c r="XBN366" s="284"/>
      <c r="XBO366" s="656"/>
      <c r="XBP366" s="286"/>
      <c r="XBQ366" s="287"/>
      <c r="XBR366" s="296"/>
      <c r="XBS366" s="266"/>
      <c r="XBT366" s="649"/>
      <c r="XBU366" s="326"/>
      <c r="XBV366" s="655"/>
      <c r="XBW366" s="284"/>
      <c r="XBX366" s="656"/>
      <c r="XBY366" s="286"/>
      <c r="XBZ366" s="287"/>
      <c r="XCA366" s="296"/>
      <c r="XCB366" s="266"/>
      <c r="XCC366" s="649"/>
      <c r="XCD366" s="326"/>
      <c r="XCE366" s="655"/>
      <c r="XCF366" s="284"/>
      <c r="XCG366" s="656"/>
      <c r="XCH366" s="286"/>
      <c r="XCI366" s="287"/>
      <c r="XCJ366" s="296"/>
      <c r="XCK366" s="266"/>
      <c r="XCL366" s="649"/>
      <c r="XCM366" s="326"/>
      <c r="XCN366" s="655"/>
      <c r="XCO366" s="284"/>
      <c r="XCP366" s="656"/>
      <c r="XCQ366" s="286"/>
      <c r="XCR366" s="287"/>
      <c r="XCS366" s="296"/>
      <c r="XCT366" s="266"/>
      <c r="XCU366" s="649"/>
      <c r="XCV366" s="326"/>
      <c r="XCW366" s="655"/>
      <c r="XCX366" s="284"/>
      <c r="XCY366" s="656"/>
      <c r="XCZ366" s="286"/>
      <c r="XDA366" s="287"/>
      <c r="XDB366" s="296"/>
      <c r="XDC366" s="266"/>
      <c r="XDD366" s="649"/>
      <c r="XDE366" s="326"/>
      <c r="XDF366" s="655"/>
      <c r="XDG366" s="284"/>
      <c r="XDH366" s="656"/>
      <c r="XDI366" s="286"/>
      <c r="XDJ366" s="287"/>
      <c r="XDK366" s="296"/>
      <c r="XDL366" s="266"/>
      <c r="XDM366" s="649"/>
      <c r="XDN366" s="326"/>
      <c r="XDO366" s="655"/>
      <c r="XDP366" s="284"/>
      <c r="XDQ366" s="656"/>
      <c r="XDR366" s="286"/>
      <c r="XDS366" s="287"/>
      <c r="XDT366" s="296"/>
      <c r="XDU366" s="266"/>
      <c r="XDV366" s="649"/>
      <c r="XDW366" s="326"/>
      <c r="XDX366" s="655"/>
      <c r="XDY366" s="284"/>
      <c r="XDZ366" s="656"/>
      <c r="XEA366" s="286"/>
      <c r="XEB366" s="287"/>
      <c r="XEC366" s="296"/>
      <c r="XED366" s="266"/>
      <c r="XEE366" s="649"/>
      <c r="XEF366" s="326"/>
      <c r="XEG366" s="655"/>
      <c r="XEH366" s="284"/>
      <c r="XEI366" s="656"/>
      <c r="XEJ366" s="286"/>
      <c r="XEK366" s="287"/>
      <c r="XEL366" s="296"/>
      <c r="XEM366" s="266"/>
      <c r="XEN366" s="649"/>
      <c r="XEO366" s="326"/>
      <c r="XEP366" s="655"/>
      <c r="XEQ366" s="284"/>
      <c r="XER366" s="656"/>
      <c r="XES366" s="286"/>
      <c r="XET366" s="287"/>
      <c r="XEU366" s="296"/>
      <c r="XEV366" s="266"/>
      <c r="XEW366" s="649"/>
      <c r="XEX366" s="326"/>
      <c r="XEY366" s="655"/>
      <c r="XEZ366" s="284"/>
      <c r="XFA366" s="656"/>
      <c r="XFB366" s="286"/>
      <c r="XFC366" s="287"/>
    </row>
    <row r="367" spans="1:16383" hidden="1" outlineLevel="2" x14ac:dyDescent="0.35">
      <c r="A367" s="386" t="s">
        <v>96</v>
      </c>
      <c r="B367" s="387">
        <v>120</v>
      </c>
      <c r="C367" s="388">
        <v>1031.52</v>
      </c>
      <c r="D367" s="389">
        <f t="shared" si="26"/>
        <v>123782.39999999999</v>
      </c>
      <c r="E367" s="590">
        <f>(C367-C355)/C367</f>
        <v>-6.3110749185667668E-3</v>
      </c>
      <c r="F367" s="645">
        <f>D367/D372</f>
        <v>0.48105041465660142</v>
      </c>
      <c r="G367" s="520">
        <v>50</v>
      </c>
      <c r="H367" s="521">
        <v>0.12</v>
      </c>
      <c r="I367" s="542">
        <f>D367-D355</f>
        <v>-781.19999999999709</v>
      </c>
      <c r="J367" s="95"/>
      <c r="K367" s="595"/>
      <c r="L367" s="633"/>
      <c r="M367" s="634"/>
      <c r="N367" s="635"/>
      <c r="O367" s="622"/>
      <c r="P367" s="636"/>
      <c r="Q367" s="637"/>
      <c r="R367" s="638"/>
      <c r="S367" s="95"/>
      <c r="T367" s="595"/>
      <c r="U367" s="633"/>
      <c r="V367" s="634"/>
      <c r="W367" s="635"/>
      <c r="X367" s="622"/>
      <c r="Y367" s="636"/>
      <c r="Z367" s="637"/>
      <c r="AA367" s="95"/>
      <c r="AB367" s="595"/>
      <c r="AC367" s="633"/>
      <c r="AD367" s="634"/>
      <c r="AE367" s="635"/>
      <c r="AF367" s="622"/>
      <c r="AG367" s="636"/>
      <c r="AH367" s="637"/>
      <c r="AI367" s="638"/>
      <c r="AJ367" s="95"/>
      <c r="AK367" s="595"/>
      <c r="AL367" s="633"/>
      <c r="AM367" s="634"/>
      <c r="AN367" s="635"/>
      <c r="AO367" s="622"/>
      <c r="AP367" s="636"/>
      <c r="AQ367" s="637"/>
      <c r="AR367" s="638"/>
      <c r="AS367" s="95"/>
      <c r="AT367" s="595"/>
      <c r="AU367" s="633"/>
      <c r="AV367" s="634"/>
      <c r="AW367" s="635"/>
      <c r="AX367" s="622"/>
      <c r="AY367" s="636"/>
      <c r="AZ367" s="637"/>
      <c r="BA367" s="638"/>
      <c r="BB367" s="95"/>
      <c r="BC367" s="595"/>
      <c r="BD367" s="633"/>
      <c r="BE367" s="634"/>
      <c r="BF367" s="635"/>
      <c r="BG367" s="622"/>
      <c r="BH367" s="636"/>
      <c r="BI367" s="637"/>
      <c r="BJ367" s="638"/>
      <c r="BK367" s="95"/>
      <c r="BL367" s="595"/>
      <c r="BM367" s="633"/>
      <c r="BN367" s="634"/>
      <c r="BO367" s="635"/>
      <c r="BP367" s="622"/>
      <c r="BQ367" s="636"/>
      <c r="BR367" s="637"/>
      <c r="BS367" s="638"/>
      <c r="BT367" s="95"/>
      <c r="BU367" s="595"/>
      <c r="BV367" s="633"/>
      <c r="BW367" s="634"/>
      <c r="BX367" s="635"/>
      <c r="BY367" s="622"/>
      <c r="BZ367" s="636"/>
      <c r="CA367" s="637"/>
      <c r="CB367" s="638"/>
      <c r="CC367" s="95"/>
      <c r="CD367" s="595"/>
      <c r="CE367" s="633"/>
      <c r="CF367" s="634"/>
      <c r="CG367" s="635"/>
      <c r="CH367" s="622"/>
      <c r="CI367" s="636"/>
      <c r="CJ367" s="637"/>
      <c r="CK367" s="638"/>
      <c r="CL367" s="95"/>
      <c r="CM367" s="595"/>
      <c r="CN367" s="633"/>
      <c r="CO367" s="634"/>
      <c r="CP367" s="635"/>
      <c r="CQ367" s="622"/>
      <c r="CR367" s="636"/>
      <c r="CS367" s="637"/>
      <c r="CT367" s="638"/>
      <c r="CU367" s="95"/>
      <c r="CV367" s="595"/>
      <c r="CW367" s="633"/>
      <c r="CX367" s="634"/>
      <c r="CY367" s="635"/>
      <c r="CZ367" s="622"/>
      <c r="DA367" s="636"/>
      <c r="DB367" s="637"/>
      <c r="DC367" s="638"/>
      <c r="DD367" s="95"/>
      <c r="DE367" s="595"/>
      <c r="DF367" s="633"/>
      <c r="DG367" s="634"/>
      <c r="DH367" s="635"/>
      <c r="DI367" s="622"/>
      <c r="DJ367" s="636"/>
      <c r="DK367" s="637"/>
      <c r="DL367" s="638"/>
      <c r="DM367" s="95"/>
      <c r="DN367" s="595"/>
      <c r="DO367" s="633"/>
      <c r="DP367" s="634"/>
      <c r="DQ367" s="635"/>
      <c r="DR367" s="622"/>
      <c r="DS367" s="636"/>
      <c r="DT367" s="637"/>
      <c r="DU367" s="638"/>
      <c r="DV367" s="95"/>
      <c r="DW367" s="595"/>
      <c r="DX367" s="633"/>
      <c r="DY367" s="634"/>
      <c r="DZ367" s="635"/>
      <c r="EA367" s="622"/>
      <c r="EB367" s="636"/>
      <c r="EC367" s="637"/>
      <c r="ED367" s="638"/>
      <c r="EE367" s="95"/>
      <c r="EF367" s="595"/>
      <c r="EG367" s="633"/>
      <c r="EH367" s="634"/>
      <c r="EI367" s="635"/>
      <c r="EJ367" s="622"/>
      <c r="EK367" s="636"/>
      <c r="EL367" s="637"/>
      <c r="EM367" s="638"/>
      <c r="EN367" s="95"/>
      <c r="EO367" s="595"/>
      <c r="EP367" s="633"/>
      <c r="EQ367" s="634"/>
      <c r="ER367" s="635"/>
      <c r="ES367" s="622"/>
      <c r="ET367" s="636"/>
      <c r="EU367" s="637"/>
      <c r="EV367" s="638"/>
      <c r="EW367" s="95"/>
      <c r="EX367" s="595"/>
      <c r="EY367" s="633"/>
      <c r="EZ367" s="634"/>
      <c r="FA367" s="635"/>
      <c r="FB367" s="622"/>
      <c r="FC367" s="636"/>
      <c r="FD367" s="637"/>
      <c r="FE367" s="638"/>
      <c r="FF367" s="95"/>
      <c r="FG367" s="595"/>
      <c r="FH367" s="633"/>
      <c r="FI367" s="634"/>
      <c r="FJ367" s="635"/>
      <c r="FK367" s="622"/>
      <c r="FL367" s="636"/>
      <c r="FM367" s="637"/>
      <c r="FN367" s="638"/>
      <c r="FO367" s="95"/>
      <c r="FP367" s="595"/>
      <c r="FQ367" s="633"/>
      <c r="FR367" s="634"/>
      <c r="FS367" s="652"/>
      <c r="FT367" s="626"/>
      <c r="FU367" s="640"/>
      <c r="FV367" s="641"/>
      <c r="FW367" s="653"/>
      <c r="FY367" s="118"/>
      <c r="FZ367" s="219"/>
      <c r="GA367" s="247"/>
      <c r="GB367" s="652"/>
      <c r="GC367" s="626"/>
      <c r="GD367" s="640"/>
      <c r="GE367" s="641"/>
      <c r="GF367" s="653"/>
      <c r="GH367" s="118"/>
      <c r="GI367" s="219"/>
      <c r="GJ367" s="247"/>
      <c r="GK367" s="652"/>
      <c r="GL367" s="626"/>
      <c r="GM367" s="640"/>
      <c r="GN367" s="641"/>
      <c r="GO367" s="653"/>
      <c r="GQ367" s="118"/>
      <c r="GR367" s="219"/>
      <c r="GS367" s="247"/>
      <c r="GT367" s="652"/>
      <c r="GU367" s="626"/>
      <c r="GV367" s="640"/>
      <c r="GW367" s="641"/>
      <c r="GX367" s="653"/>
      <c r="GZ367" s="118"/>
      <c r="HA367" s="219"/>
      <c r="HB367" s="247"/>
      <c r="HC367" s="652"/>
      <c r="HD367" s="626"/>
      <c r="HE367" s="640"/>
      <c r="HF367" s="641"/>
      <c r="HG367" s="653"/>
      <c r="HI367" s="118"/>
      <c r="HJ367" s="219"/>
      <c r="HK367" s="247"/>
      <c r="HL367" s="652"/>
      <c r="HM367" s="626"/>
      <c r="HN367" s="640"/>
      <c r="HO367" s="641"/>
      <c r="HP367" s="653"/>
      <c r="HR367" s="118"/>
      <c r="HS367" s="219"/>
      <c r="HT367" s="247"/>
      <c r="HU367" s="652"/>
      <c r="HV367" s="626"/>
      <c r="HW367" s="640"/>
      <c r="HX367" s="641"/>
      <c r="HY367" s="653"/>
      <c r="IA367" s="118"/>
      <c r="IB367" s="219"/>
      <c r="IC367" s="247"/>
      <c r="ID367" s="652"/>
      <c r="IE367" s="626"/>
      <c r="IF367" s="640"/>
      <c r="IG367" s="641"/>
      <c r="IH367" s="653"/>
      <c r="IJ367" s="118"/>
      <c r="IK367" s="219"/>
      <c r="IL367" s="247"/>
      <c r="IM367" s="652"/>
      <c r="IN367" s="626"/>
      <c r="IO367" s="640"/>
      <c r="IP367" s="641"/>
      <c r="IQ367" s="653"/>
      <c r="IS367" s="118"/>
      <c r="IT367" s="219"/>
      <c r="IU367" s="247"/>
      <c r="IV367" s="652"/>
      <c r="IW367" s="626"/>
      <c r="IX367" s="640"/>
      <c r="IY367" s="641"/>
      <c r="IZ367" s="653"/>
      <c r="JB367" s="118"/>
      <c r="JC367" s="219"/>
      <c r="JD367" s="247"/>
      <c r="JE367" s="652"/>
      <c r="JF367" s="626"/>
      <c r="JG367" s="640"/>
      <c r="JH367" s="641"/>
      <c r="JI367" s="653"/>
      <c r="JK367" s="118"/>
      <c r="JL367" s="219"/>
      <c r="JM367" s="247"/>
      <c r="JN367" s="652"/>
      <c r="JO367" s="626"/>
      <c r="JP367" s="640"/>
      <c r="JQ367" s="641"/>
      <c r="JR367" s="653"/>
      <c r="JT367" s="118"/>
      <c r="JU367" s="219"/>
      <c r="JV367" s="247"/>
      <c r="JW367" s="652"/>
      <c r="JX367" s="626"/>
      <c r="JY367" s="640"/>
      <c r="JZ367" s="641"/>
      <c r="KA367" s="653"/>
      <c r="KC367" s="118"/>
      <c r="KD367" s="219"/>
      <c r="KE367" s="247"/>
      <c r="KF367" s="652"/>
      <c r="KG367" s="626"/>
      <c r="KH367" s="640"/>
      <c r="KI367" s="641"/>
      <c r="KJ367" s="653"/>
      <c r="KL367" s="118"/>
      <c r="KM367" s="219"/>
      <c r="KN367" s="247"/>
      <c r="KO367" s="652"/>
      <c r="KP367" s="626"/>
      <c r="KQ367" s="640"/>
      <c r="KR367" s="641"/>
      <c r="KS367" s="653"/>
      <c r="KU367" s="118"/>
      <c r="KV367" s="219"/>
      <c r="KW367" s="247"/>
      <c r="KX367" s="652"/>
      <c r="KY367" s="626"/>
      <c r="KZ367" s="640"/>
      <c r="LA367" s="641"/>
      <c r="LB367" s="653"/>
      <c r="LD367" s="118"/>
      <c r="LE367" s="219"/>
      <c r="LF367" s="247"/>
      <c r="LG367" s="652"/>
      <c r="LH367" s="626"/>
      <c r="LI367" s="640"/>
      <c r="LJ367" s="641"/>
      <c r="LK367" s="653"/>
      <c r="LM367" s="118"/>
      <c r="LN367" s="219"/>
      <c r="LO367" s="247"/>
      <c r="LP367" s="652"/>
      <c r="LQ367" s="626"/>
      <c r="LR367" s="640"/>
      <c r="LS367" s="641"/>
      <c r="LT367" s="653"/>
      <c r="LV367" s="118"/>
      <c r="LW367" s="219"/>
      <c r="LX367" s="247"/>
      <c r="LY367" s="652"/>
      <c r="LZ367" s="626"/>
      <c r="MA367" s="640"/>
      <c r="MB367" s="641"/>
      <c r="MC367" s="653"/>
      <c r="ME367" s="118"/>
      <c r="MF367" s="219"/>
      <c r="MG367" s="247"/>
      <c r="MH367" s="652"/>
      <c r="MI367" s="626"/>
      <c r="MJ367" s="640"/>
      <c r="MK367" s="641"/>
      <c r="ML367" s="653"/>
      <c r="MN367" s="118"/>
      <c r="MO367" s="219"/>
      <c r="MP367" s="247"/>
      <c r="MQ367" s="652"/>
      <c r="MR367" s="626"/>
      <c r="MS367" s="640"/>
      <c r="MT367" s="641"/>
      <c r="MU367" s="653"/>
      <c r="MW367" s="118"/>
      <c r="MX367" s="219"/>
      <c r="MY367" s="247"/>
      <c r="MZ367" s="652"/>
      <c r="NA367" s="626"/>
      <c r="NB367" s="640"/>
      <c r="NC367" s="641"/>
      <c r="ND367" s="653"/>
      <c r="NF367" s="118"/>
      <c r="NG367" s="219"/>
      <c r="NH367" s="247"/>
      <c r="NI367" s="652"/>
      <c r="NJ367" s="626"/>
      <c r="NK367" s="640"/>
      <c r="NL367" s="641"/>
      <c r="NM367" s="653"/>
      <c r="NO367" s="118"/>
      <c r="NP367" s="219"/>
      <c r="NQ367" s="247"/>
      <c r="NR367" s="652"/>
      <c r="NS367" s="626"/>
      <c r="NT367" s="640"/>
      <c r="NU367" s="641"/>
      <c r="NV367" s="653"/>
      <c r="NX367" s="118"/>
      <c r="NY367" s="219"/>
      <c r="NZ367" s="247"/>
      <c r="OA367" s="652"/>
      <c r="OB367" s="626"/>
      <c r="OC367" s="640"/>
      <c r="OD367" s="641"/>
      <c r="OE367" s="653"/>
      <c r="OG367" s="118"/>
      <c r="OH367" s="219"/>
      <c r="OI367" s="247"/>
      <c r="OJ367" s="652"/>
      <c r="OK367" s="626"/>
      <c r="OL367" s="640"/>
      <c r="OM367" s="641"/>
      <c r="ON367" s="653"/>
      <c r="OP367" s="118"/>
      <c r="OQ367" s="219"/>
      <c r="OR367" s="247"/>
      <c r="OS367" s="652"/>
      <c r="OT367" s="626"/>
      <c r="OU367" s="640"/>
      <c r="OV367" s="641"/>
      <c r="OW367" s="653"/>
      <c r="OY367" s="118"/>
      <c r="OZ367" s="219"/>
      <c r="PA367" s="247"/>
      <c r="PB367" s="652"/>
      <c r="PC367" s="626"/>
      <c r="PD367" s="640"/>
      <c r="PE367" s="641"/>
      <c r="PF367" s="653"/>
      <c r="PH367" s="118"/>
      <c r="PI367" s="219"/>
      <c r="PJ367" s="247"/>
      <c r="PK367" s="652"/>
      <c r="PL367" s="626"/>
      <c r="PM367" s="640"/>
      <c r="PN367" s="641"/>
      <c r="PO367" s="653"/>
      <c r="PQ367" s="118"/>
      <c r="PR367" s="219"/>
      <c r="PS367" s="247"/>
      <c r="PT367" s="652"/>
      <c r="PU367" s="626"/>
      <c r="PV367" s="640"/>
      <c r="PW367" s="641"/>
      <c r="PX367" s="653"/>
      <c r="PZ367" s="118"/>
      <c r="QA367" s="219"/>
      <c r="QB367" s="247"/>
      <c r="QC367" s="652"/>
      <c r="QD367" s="626"/>
      <c r="QE367" s="640"/>
      <c r="QF367" s="641"/>
      <c r="QG367" s="653"/>
      <c r="QI367" s="118"/>
      <c r="QJ367" s="219"/>
      <c r="QK367" s="247"/>
      <c r="QL367" s="652"/>
      <c r="QM367" s="626"/>
      <c r="QN367" s="640"/>
      <c r="QO367" s="641"/>
      <c r="QP367" s="653"/>
      <c r="QR367" s="118"/>
      <c r="QS367" s="219"/>
      <c r="QT367" s="247"/>
      <c r="QU367" s="652"/>
      <c r="QV367" s="626"/>
      <c r="QW367" s="640"/>
      <c r="QX367" s="641"/>
      <c r="QY367" s="653"/>
      <c r="RA367" s="118"/>
      <c r="RB367" s="219"/>
      <c r="RC367" s="247"/>
      <c r="RD367" s="652"/>
      <c r="RE367" s="626"/>
      <c r="RF367" s="640"/>
      <c r="RG367" s="641"/>
      <c r="RH367" s="653"/>
      <c r="RJ367" s="118"/>
      <c r="RK367" s="219"/>
      <c r="RL367" s="247"/>
      <c r="RM367" s="652"/>
      <c r="RN367" s="626"/>
      <c r="RO367" s="640"/>
      <c r="RP367" s="641"/>
      <c r="RQ367" s="653"/>
      <c r="RS367" s="118"/>
      <c r="RT367" s="219"/>
      <c r="RU367" s="247"/>
      <c r="RV367" s="652"/>
      <c r="RW367" s="626"/>
      <c r="RX367" s="640"/>
      <c r="RY367" s="641"/>
      <c r="RZ367" s="653"/>
      <c r="SB367" s="118"/>
      <c r="SC367" s="219"/>
      <c r="SD367" s="247"/>
      <c r="SE367" s="652"/>
      <c r="SF367" s="626"/>
      <c r="SG367" s="640"/>
      <c r="SH367" s="641"/>
      <c r="SI367" s="653"/>
      <c r="SK367" s="118"/>
      <c r="SL367" s="219"/>
      <c r="SM367" s="247"/>
      <c r="SN367" s="652"/>
      <c r="SO367" s="626"/>
      <c r="SP367" s="640"/>
      <c r="SQ367" s="641"/>
      <c r="SR367" s="653"/>
      <c r="ST367" s="118"/>
      <c r="SU367" s="219"/>
      <c r="SV367" s="247"/>
      <c r="SW367" s="652"/>
      <c r="SX367" s="626"/>
      <c r="SY367" s="640"/>
      <c r="SZ367" s="641"/>
      <c r="TA367" s="653"/>
      <c r="TC367" s="118"/>
      <c r="TD367" s="219"/>
      <c r="TE367" s="247"/>
      <c r="TF367" s="652"/>
      <c r="TG367" s="626"/>
      <c r="TH367" s="640"/>
      <c r="TI367" s="641"/>
      <c r="TJ367" s="653"/>
      <c r="TL367" s="118"/>
      <c r="TM367" s="219"/>
      <c r="TN367" s="247"/>
      <c r="TO367" s="652"/>
      <c r="TP367" s="626"/>
      <c r="TQ367" s="640"/>
      <c r="TR367" s="641"/>
      <c r="TS367" s="653"/>
      <c r="TU367" s="118"/>
      <c r="TV367" s="219"/>
      <c r="TW367" s="247"/>
      <c r="TX367" s="652"/>
      <c r="TY367" s="626"/>
      <c r="TZ367" s="640"/>
      <c r="UA367" s="641"/>
      <c r="UB367" s="653"/>
      <c r="UD367" s="118"/>
      <c r="UE367" s="219"/>
      <c r="UF367" s="247"/>
      <c r="UG367" s="652"/>
      <c r="UH367" s="626"/>
      <c r="UI367" s="640"/>
      <c r="UJ367" s="641"/>
      <c r="UK367" s="653"/>
      <c r="UM367" s="118"/>
      <c r="UN367" s="219"/>
      <c r="UO367" s="247"/>
      <c r="UP367" s="652"/>
      <c r="UQ367" s="626"/>
      <c r="UR367" s="640"/>
      <c r="US367" s="641"/>
      <c r="UT367" s="653"/>
      <c r="UV367" s="118"/>
      <c r="UW367" s="219"/>
      <c r="UX367" s="247"/>
      <c r="UY367" s="652"/>
      <c r="UZ367" s="626"/>
      <c r="VA367" s="640"/>
      <c r="VB367" s="641"/>
      <c r="VC367" s="653"/>
      <c r="VE367" s="118"/>
      <c r="VF367" s="219"/>
      <c r="VG367" s="247"/>
      <c r="VH367" s="652"/>
      <c r="VI367" s="626"/>
      <c r="VJ367" s="640"/>
      <c r="VK367" s="641"/>
      <c r="VL367" s="653"/>
      <c r="VN367" s="118"/>
      <c r="VO367" s="219"/>
      <c r="VP367" s="247"/>
      <c r="VQ367" s="652"/>
      <c r="VR367" s="626"/>
      <c r="VS367" s="640"/>
      <c r="VT367" s="641"/>
      <c r="VU367" s="653"/>
      <c r="VW367" s="118"/>
      <c r="VX367" s="219"/>
      <c r="VY367" s="247"/>
      <c r="VZ367" s="652"/>
      <c r="WA367" s="626"/>
      <c r="WB367" s="640"/>
      <c r="WC367" s="641"/>
      <c r="WD367" s="653"/>
      <c r="WF367" s="118"/>
      <c r="WG367" s="219"/>
      <c r="WH367" s="247"/>
      <c r="WI367" s="652"/>
      <c r="WJ367" s="626"/>
      <c r="WK367" s="640"/>
      <c r="WL367" s="641"/>
      <c r="WM367" s="653"/>
      <c r="WO367" s="118"/>
      <c r="WP367" s="219"/>
      <c r="WQ367" s="247"/>
      <c r="WR367" s="652"/>
      <c r="WS367" s="626"/>
      <c r="WT367" s="640"/>
      <c r="WU367" s="641"/>
      <c r="WV367" s="653"/>
      <c r="WX367" s="118"/>
      <c r="WY367" s="219"/>
      <c r="WZ367" s="247"/>
      <c r="XA367" s="652"/>
      <c r="XB367" s="626"/>
      <c r="XC367" s="640"/>
      <c r="XD367" s="641"/>
      <c r="XE367" s="653"/>
      <c r="XG367" s="118"/>
      <c r="XH367" s="219"/>
      <c r="XI367" s="247"/>
      <c r="XJ367" s="652"/>
      <c r="XK367" s="626"/>
      <c r="XL367" s="640"/>
      <c r="XM367" s="641"/>
      <c r="XN367" s="653"/>
      <c r="XP367" s="118"/>
      <c r="XQ367" s="219"/>
      <c r="XR367" s="247"/>
      <c r="XS367" s="652"/>
      <c r="XT367" s="626"/>
      <c r="XU367" s="640"/>
      <c r="XV367" s="641"/>
      <c r="XW367" s="653"/>
      <c r="XY367" s="118"/>
      <c r="XZ367" s="219"/>
      <c r="YA367" s="247"/>
      <c r="YB367" s="652"/>
      <c r="YC367" s="626"/>
      <c r="YD367" s="640"/>
      <c r="YE367" s="641"/>
      <c r="YF367" s="653"/>
      <c r="YH367" s="118"/>
      <c r="YI367" s="219"/>
      <c r="YJ367" s="247"/>
      <c r="YK367" s="652"/>
      <c r="YL367" s="626"/>
      <c r="YM367" s="640"/>
      <c r="YN367" s="641"/>
      <c r="YO367" s="653"/>
      <c r="YQ367" s="118"/>
      <c r="YR367" s="219"/>
      <c r="YS367" s="247"/>
      <c r="YT367" s="652"/>
      <c r="YU367" s="626"/>
      <c r="YV367" s="640"/>
      <c r="YW367" s="641"/>
      <c r="YX367" s="653"/>
      <c r="YZ367" s="118"/>
      <c r="ZA367" s="219"/>
      <c r="ZB367" s="247"/>
      <c r="ZC367" s="652"/>
      <c r="ZD367" s="626"/>
      <c r="ZE367" s="640"/>
      <c r="ZF367" s="641"/>
      <c r="ZG367" s="653"/>
      <c r="ZI367" s="118"/>
      <c r="ZJ367" s="219"/>
      <c r="ZK367" s="247"/>
      <c r="ZL367" s="652"/>
      <c r="ZM367" s="626"/>
      <c r="ZN367" s="640"/>
      <c r="ZO367" s="641"/>
      <c r="ZP367" s="653"/>
      <c r="ZR367" s="118"/>
      <c r="ZS367" s="219"/>
      <c r="ZT367" s="247"/>
      <c r="ZU367" s="652"/>
      <c r="ZV367" s="626"/>
      <c r="ZW367" s="640"/>
      <c r="ZX367" s="641"/>
      <c r="ZY367" s="653"/>
      <c r="AAA367" s="118"/>
      <c r="AAB367" s="219"/>
      <c r="AAC367" s="247"/>
      <c r="AAD367" s="652"/>
      <c r="AAE367" s="626"/>
      <c r="AAF367" s="640"/>
      <c r="AAG367" s="641"/>
      <c r="AAH367" s="653"/>
      <c r="AAJ367" s="118"/>
      <c r="AAK367" s="219"/>
      <c r="AAL367" s="247"/>
      <c r="AAM367" s="652"/>
      <c r="AAN367" s="626"/>
      <c r="AAO367" s="640"/>
      <c r="AAP367" s="641"/>
      <c r="AAQ367" s="653"/>
      <c r="AAS367" s="118"/>
      <c r="AAT367" s="219"/>
      <c r="AAU367" s="247"/>
      <c r="AAV367" s="652"/>
      <c r="AAW367" s="626"/>
      <c r="AAX367" s="640"/>
      <c r="AAY367" s="641"/>
      <c r="AAZ367" s="653"/>
      <c r="ABB367" s="118"/>
      <c r="ABC367" s="219"/>
      <c r="ABD367" s="247"/>
      <c r="ABE367" s="652"/>
      <c r="ABF367" s="626"/>
      <c r="ABG367" s="640"/>
      <c r="ABH367" s="641"/>
      <c r="ABI367" s="653"/>
      <c r="ABK367" s="118"/>
      <c r="ABL367" s="219"/>
      <c r="ABM367" s="247"/>
      <c r="ABN367" s="652"/>
      <c r="ABO367" s="626"/>
      <c r="ABP367" s="640"/>
      <c r="ABQ367" s="641"/>
      <c r="ABR367" s="653"/>
      <c r="ABT367" s="118"/>
      <c r="ABU367" s="219"/>
      <c r="ABV367" s="247"/>
      <c r="ABW367" s="652"/>
      <c r="ABX367" s="626"/>
      <c r="ABY367" s="640"/>
      <c r="ABZ367" s="641"/>
      <c r="ACA367" s="653"/>
      <c r="ACC367" s="118"/>
      <c r="ACD367" s="219"/>
      <c r="ACE367" s="247"/>
      <c r="ACF367" s="652"/>
      <c r="ACG367" s="626"/>
      <c r="ACH367" s="640"/>
      <c r="ACI367" s="641"/>
      <c r="ACJ367" s="653"/>
      <c r="ACL367" s="118"/>
      <c r="ACM367" s="219"/>
      <c r="ACN367" s="247"/>
      <c r="ACO367" s="652"/>
      <c r="ACP367" s="626"/>
      <c r="ACQ367" s="640"/>
      <c r="ACR367" s="641"/>
      <c r="ACS367" s="653"/>
      <c r="ACU367" s="118"/>
      <c r="ACV367" s="219"/>
      <c r="ACW367" s="247"/>
      <c r="ACX367" s="652"/>
      <c r="ACY367" s="626"/>
      <c r="ACZ367" s="640"/>
      <c r="ADA367" s="641"/>
      <c r="ADB367" s="653"/>
      <c r="ADD367" s="118"/>
      <c r="ADE367" s="219"/>
      <c r="ADF367" s="247"/>
      <c r="ADG367" s="652"/>
      <c r="ADH367" s="626"/>
      <c r="ADI367" s="640"/>
      <c r="ADJ367" s="641"/>
      <c r="ADK367" s="653"/>
      <c r="ADM367" s="118"/>
      <c r="ADN367" s="219"/>
      <c r="ADO367" s="247"/>
      <c r="ADP367" s="652"/>
      <c r="ADQ367" s="626"/>
      <c r="ADR367" s="640"/>
      <c r="ADS367" s="641"/>
      <c r="ADT367" s="653"/>
      <c r="ADV367" s="118"/>
      <c r="ADW367" s="219"/>
      <c r="ADX367" s="247"/>
      <c r="ADY367" s="652"/>
      <c r="ADZ367" s="626"/>
      <c r="AEA367" s="640"/>
      <c r="AEB367" s="641"/>
      <c r="AEC367" s="653"/>
      <c r="AEE367" s="118"/>
      <c r="AEF367" s="219"/>
      <c r="AEG367" s="247"/>
      <c r="AEH367" s="652"/>
      <c r="AEI367" s="626"/>
      <c r="AEJ367" s="640"/>
      <c r="AEK367" s="641"/>
      <c r="AEL367" s="653"/>
      <c r="AEN367" s="118"/>
      <c r="AEO367" s="219"/>
      <c r="AEP367" s="247"/>
      <c r="AEQ367" s="652"/>
      <c r="AER367" s="626"/>
      <c r="AES367" s="640"/>
      <c r="AET367" s="641"/>
      <c r="AEU367" s="653"/>
      <c r="AEW367" s="118"/>
      <c r="AEX367" s="219"/>
      <c r="AEY367" s="247"/>
      <c r="AEZ367" s="652"/>
      <c r="AFA367" s="626"/>
      <c r="AFB367" s="640"/>
      <c r="AFC367" s="641"/>
      <c r="AFD367" s="653"/>
      <c r="AFF367" s="118"/>
      <c r="AFG367" s="219"/>
      <c r="AFH367" s="247"/>
      <c r="AFI367" s="652"/>
      <c r="AFJ367" s="626"/>
      <c r="AFK367" s="640"/>
      <c r="AFL367" s="641"/>
      <c r="AFM367" s="653"/>
      <c r="AFO367" s="118"/>
      <c r="AFP367" s="219"/>
      <c r="AFQ367" s="247"/>
      <c r="AFR367" s="652"/>
      <c r="AFS367" s="626"/>
      <c r="AFT367" s="640"/>
      <c r="AFU367" s="641"/>
      <c r="AFV367" s="653"/>
      <c r="AFX367" s="118"/>
      <c r="AFY367" s="219"/>
      <c r="AFZ367" s="247"/>
      <c r="AGA367" s="652"/>
      <c r="AGB367" s="626"/>
      <c r="AGC367" s="640"/>
      <c r="AGD367" s="641"/>
      <c r="AGE367" s="653"/>
      <c r="AGG367" s="118"/>
      <c r="AGH367" s="219"/>
      <c r="AGI367" s="247"/>
      <c r="AGJ367" s="652"/>
      <c r="AGK367" s="626"/>
      <c r="AGL367" s="640"/>
      <c r="AGM367" s="641"/>
      <c r="AGN367" s="653"/>
      <c r="AGP367" s="118"/>
      <c r="AGQ367" s="219"/>
      <c r="AGR367" s="247"/>
      <c r="AGS367" s="652"/>
      <c r="AGT367" s="626"/>
      <c r="AGU367" s="640"/>
      <c r="AGV367" s="641"/>
      <c r="AGW367" s="653"/>
      <c r="AGY367" s="118"/>
      <c r="AGZ367" s="219"/>
      <c r="AHA367" s="247"/>
      <c r="AHB367" s="652"/>
      <c r="AHC367" s="626"/>
      <c r="AHD367" s="640"/>
      <c r="AHE367" s="641"/>
      <c r="AHF367" s="653"/>
      <c r="AHH367" s="118"/>
      <c r="AHI367" s="219"/>
      <c r="AHJ367" s="247"/>
      <c r="AHK367" s="652"/>
      <c r="AHL367" s="626"/>
      <c r="AHM367" s="640"/>
      <c r="AHN367" s="641"/>
      <c r="AHO367" s="653"/>
      <c r="AHQ367" s="118"/>
      <c r="AHR367" s="219"/>
      <c r="AHS367" s="247"/>
      <c r="AHT367" s="652"/>
      <c r="AHU367" s="626"/>
      <c r="AHV367" s="640"/>
      <c r="AHW367" s="641"/>
      <c r="AHX367" s="653"/>
      <c r="AHZ367" s="118"/>
      <c r="AIA367" s="219"/>
      <c r="AIB367" s="247"/>
      <c r="AIC367" s="652"/>
      <c r="AID367" s="626"/>
      <c r="AIE367" s="640"/>
      <c r="AIF367" s="641"/>
      <c r="AIG367" s="653"/>
      <c r="AII367" s="118"/>
      <c r="AIJ367" s="219"/>
      <c r="AIK367" s="247"/>
      <c r="AIL367" s="652"/>
      <c r="AIM367" s="626"/>
      <c r="AIN367" s="640"/>
      <c r="AIO367" s="641"/>
      <c r="AIP367" s="653"/>
      <c r="AIR367" s="118"/>
      <c r="AIS367" s="219"/>
      <c r="AIT367" s="247"/>
      <c r="AIU367" s="652"/>
      <c r="AIV367" s="626"/>
      <c r="AIW367" s="640"/>
      <c r="AIX367" s="641"/>
      <c r="AIY367" s="653"/>
      <c r="AJA367" s="118"/>
      <c r="AJB367" s="219"/>
      <c r="AJC367" s="247"/>
      <c r="AJD367" s="652"/>
      <c r="AJE367" s="626"/>
      <c r="AJF367" s="640"/>
      <c r="AJG367" s="641"/>
      <c r="AJH367" s="653"/>
      <c r="AJJ367" s="118"/>
      <c r="AJK367" s="219"/>
      <c r="AJL367" s="247"/>
      <c r="AJM367" s="652"/>
      <c r="AJN367" s="626"/>
      <c r="AJO367" s="640"/>
      <c r="AJP367" s="641"/>
      <c r="AJQ367" s="653"/>
      <c r="AJS367" s="118"/>
      <c r="AJT367" s="219"/>
      <c r="AJU367" s="247"/>
      <c r="AJV367" s="652"/>
      <c r="AJW367" s="626"/>
      <c r="AJX367" s="640"/>
      <c r="AJY367" s="641"/>
      <c r="AJZ367" s="653"/>
      <c r="AKB367" s="118"/>
      <c r="AKC367" s="219"/>
      <c r="AKD367" s="247"/>
      <c r="AKE367" s="652"/>
      <c r="AKF367" s="626"/>
      <c r="AKG367" s="640"/>
      <c r="AKH367" s="641"/>
      <c r="AKI367" s="653"/>
      <c r="AKK367" s="118"/>
      <c r="AKL367" s="219"/>
      <c r="AKM367" s="247"/>
      <c r="AKN367" s="652"/>
      <c r="AKO367" s="626"/>
      <c r="AKP367" s="640"/>
      <c r="AKQ367" s="641"/>
      <c r="AKR367" s="653"/>
      <c r="AKT367" s="118"/>
      <c r="AKU367" s="219"/>
      <c r="AKV367" s="247"/>
      <c r="AKW367" s="652"/>
      <c r="AKX367" s="626"/>
      <c r="AKY367" s="640"/>
      <c r="AKZ367" s="641"/>
      <c r="ALA367" s="653"/>
      <c r="ALC367" s="118"/>
      <c r="ALD367" s="219"/>
      <c r="ALE367" s="247"/>
      <c r="ALF367" s="652"/>
      <c r="ALG367" s="626"/>
      <c r="ALH367" s="640"/>
      <c r="ALI367" s="641"/>
      <c r="ALJ367" s="653"/>
      <c r="ALL367" s="118"/>
      <c r="ALM367" s="219"/>
      <c r="ALN367" s="247"/>
      <c r="ALO367" s="652"/>
      <c r="ALP367" s="626"/>
      <c r="ALQ367" s="640"/>
      <c r="ALR367" s="641"/>
      <c r="ALS367" s="653"/>
      <c r="ALU367" s="118"/>
      <c r="ALV367" s="219"/>
      <c r="ALW367" s="247"/>
      <c r="ALX367" s="652"/>
      <c r="ALY367" s="626"/>
      <c r="ALZ367" s="640"/>
      <c r="AMA367" s="641"/>
      <c r="AMB367" s="653"/>
      <c r="AMD367" s="118"/>
      <c r="AME367" s="219"/>
      <c r="AMF367" s="247"/>
      <c r="AMG367" s="652"/>
      <c r="AMH367" s="626"/>
      <c r="AMI367" s="640"/>
      <c r="AMJ367" s="641"/>
      <c r="AMK367" s="653"/>
      <c r="AMM367" s="118"/>
      <c r="AMN367" s="219"/>
      <c r="AMO367" s="247"/>
      <c r="AMP367" s="652"/>
      <c r="AMQ367" s="626"/>
      <c r="AMR367" s="640"/>
      <c r="AMS367" s="641"/>
      <c r="AMT367" s="653"/>
      <c r="AMV367" s="118"/>
      <c r="AMW367" s="219"/>
      <c r="AMX367" s="247"/>
      <c r="AMY367" s="652"/>
      <c r="AMZ367" s="626"/>
      <c r="ANA367" s="640"/>
      <c r="ANB367" s="641"/>
      <c r="ANC367" s="653"/>
      <c r="ANE367" s="118"/>
      <c r="ANF367" s="219"/>
      <c r="ANG367" s="247"/>
      <c r="ANH367" s="652"/>
      <c r="ANI367" s="626"/>
      <c r="ANJ367" s="640"/>
      <c r="ANK367" s="641"/>
      <c r="ANL367" s="653"/>
      <c r="ANN367" s="118"/>
      <c r="ANO367" s="219"/>
      <c r="ANP367" s="247"/>
      <c r="ANQ367" s="652"/>
      <c r="ANR367" s="626"/>
      <c r="ANS367" s="640"/>
      <c r="ANT367" s="641"/>
      <c r="ANU367" s="653"/>
      <c r="ANW367" s="118"/>
      <c r="ANX367" s="219"/>
      <c r="ANY367" s="247"/>
      <c r="ANZ367" s="652"/>
      <c r="AOA367" s="626"/>
      <c r="AOB367" s="640"/>
      <c r="AOC367" s="641"/>
      <c r="AOD367" s="653"/>
      <c r="AOF367" s="118"/>
      <c r="AOG367" s="219"/>
      <c r="AOH367" s="247"/>
      <c r="AOI367" s="652"/>
      <c r="AOJ367" s="626"/>
      <c r="AOK367" s="640"/>
      <c r="AOL367" s="641"/>
      <c r="AOM367" s="653"/>
      <c r="AOO367" s="118"/>
      <c r="AOP367" s="219"/>
      <c r="AOQ367" s="247"/>
      <c r="AOR367" s="652"/>
      <c r="AOS367" s="626"/>
      <c r="AOT367" s="640"/>
      <c r="AOU367" s="641"/>
      <c r="AOV367" s="653"/>
      <c r="AOX367" s="118"/>
      <c r="AOY367" s="219"/>
      <c r="AOZ367" s="247"/>
      <c r="APA367" s="652"/>
      <c r="APB367" s="626"/>
      <c r="APC367" s="640"/>
      <c r="APD367" s="641"/>
      <c r="APE367" s="653"/>
      <c r="APG367" s="118"/>
      <c r="APH367" s="219"/>
      <c r="API367" s="247"/>
      <c r="APJ367" s="652"/>
      <c r="APK367" s="626"/>
      <c r="APL367" s="640"/>
      <c r="APM367" s="641"/>
      <c r="APN367" s="653"/>
      <c r="APP367" s="118"/>
      <c r="APQ367" s="219"/>
      <c r="APR367" s="247"/>
      <c r="APS367" s="652"/>
      <c r="APT367" s="626"/>
      <c r="APU367" s="640"/>
      <c r="APV367" s="641"/>
      <c r="APW367" s="653"/>
      <c r="APY367" s="118"/>
      <c r="APZ367" s="219"/>
      <c r="AQA367" s="247"/>
      <c r="AQB367" s="652"/>
      <c r="AQC367" s="626"/>
      <c r="AQD367" s="640"/>
      <c r="AQE367" s="641"/>
      <c r="AQF367" s="653"/>
      <c r="AQH367" s="118"/>
      <c r="AQI367" s="219"/>
      <c r="AQJ367" s="247"/>
      <c r="AQK367" s="652"/>
      <c r="AQL367" s="626"/>
      <c r="AQM367" s="640"/>
      <c r="AQN367" s="641"/>
      <c r="AQO367" s="653"/>
      <c r="AQQ367" s="118"/>
      <c r="AQR367" s="219"/>
      <c r="AQS367" s="247"/>
      <c r="AQT367" s="652"/>
      <c r="AQU367" s="626"/>
      <c r="AQV367" s="640"/>
      <c r="AQW367" s="641"/>
      <c r="AQX367" s="653"/>
      <c r="AQZ367" s="118"/>
      <c r="ARA367" s="219"/>
      <c r="ARB367" s="247"/>
      <c r="ARC367" s="652"/>
      <c r="ARD367" s="626"/>
      <c r="ARE367" s="640"/>
      <c r="ARF367" s="641"/>
      <c r="ARG367" s="653"/>
      <c r="ARI367" s="118"/>
      <c r="ARJ367" s="219"/>
      <c r="ARK367" s="247"/>
      <c r="ARL367" s="652"/>
      <c r="ARM367" s="626"/>
      <c r="ARN367" s="640"/>
      <c r="ARO367" s="641"/>
      <c r="ARP367" s="653"/>
      <c r="ARR367" s="118"/>
      <c r="ARS367" s="219"/>
      <c r="ART367" s="247"/>
      <c r="ARU367" s="652"/>
      <c r="ARV367" s="626"/>
      <c r="ARW367" s="640"/>
      <c r="ARX367" s="641"/>
      <c r="ARY367" s="653"/>
      <c r="ASA367" s="118"/>
      <c r="ASB367" s="219"/>
      <c r="ASC367" s="247"/>
      <c r="ASD367" s="652"/>
      <c r="ASE367" s="626"/>
      <c r="ASF367" s="640"/>
      <c r="ASG367" s="641"/>
      <c r="ASH367" s="653"/>
      <c r="ASJ367" s="118"/>
      <c r="ASK367" s="219"/>
      <c r="ASL367" s="247"/>
      <c r="ASM367" s="652"/>
      <c r="ASN367" s="626"/>
      <c r="ASO367" s="640"/>
      <c r="ASP367" s="641"/>
      <c r="ASQ367" s="653"/>
      <c r="ASS367" s="118"/>
      <c r="AST367" s="219"/>
      <c r="ASU367" s="247"/>
      <c r="ASV367" s="652"/>
      <c r="ASW367" s="626"/>
      <c r="ASX367" s="640"/>
      <c r="ASY367" s="641"/>
      <c r="ASZ367" s="653"/>
      <c r="ATB367" s="118"/>
      <c r="ATC367" s="219"/>
      <c r="ATD367" s="247"/>
      <c r="ATE367" s="652"/>
      <c r="ATF367" s="626"/>
      <c r="ATG367" s="640"/>
      <c r="ATH367" s="641"/>
      <c r="ATI367" s="653"/>
      <c r="ATK367" s="118"/>
      <c r="ATL367" s="219"/>
      <c r="ATM367" s="247"/>
      <c r="ATN367" s="652"/>
      <c r="ATO367" s="626"/>
      <c r="ATP367" s="640"/>
      <c r="ATQ367" s="641"/>
      <c r="ATR367" s="653"/>
      <c r="ATT367" s="118"/>
      <c r="ATU367" s="219"/>
      <c r="ATV367" s="247"/>
      <c r="ATW367" s="652"/>
      <c r="ATX367" s="626"/>
      <c r="ATY367" s="640"/>
      <c r="ATZ367" s="641"/>
      <c r="AUA367" s="653"/>
      <c r="AUC367" s="118"/>
      <c r="AUD367" s="219"/>
      <c r="AUE367" s="247"/>
      <c r="AUF367" s="652"/>
      <c r="AUG367" s="626"/>
      <c r="AUH367" s="640"/>
      <c r="AUI367" s="641"/>
      <c r="AUJ367" s="653"/>
      <c r="AUL367" s="118"/>
      <c r="AUM367" s="219"/>
      <c r="AUN367" s="247"/>
      <c r="AUO367" s="652"/>
      <c r="AUP367" s="626"/>
      <c r="AUQ367" s="640"/>
      <c r="AUR367" s="641"/>
      <c r="AUS367" s="653"/>
      <c r="AUU367" s="118"/>
      <c r="AUV367" s="219"/>
      <c r="AUW367" s="247"/>
      <c r="AUX367" s="652"/>
      <c r="AUY367" s="626"/>
      <c r="AUZ367" s="640"/>
      <c r="AVA367" s="641"/>
      <c r="AVB367" s="653"/>
      <c r="AVD367" s="118"/>
      <c r="AVE367" s="219"/>
      <c r="AVF367" s="247"/>
      <c r="AVG367" s="652"/>
      <c r="AVH367" s="626"/>
      <c r="AVI367" s="640"/>
      <c r="AVJ367" s="641"/>
      <c r="AVK367" s="653"/>
      <c r="AVM367" s="118"/>
      <c r="AVN367" s="219"/>
      <c r="AVO367" s="247"/>
      <c r="AVP367" s="652"/>
      <c r="AVQ367" s="626"/>
      <c r="AVR367" s="640"/>
      <c r="AVS367" s="641"/>
      <c r="AVT367" s="653"/>
      <c r="AVV367" s="118"/>
      <c r="AVW367" s="219"/>
      <c r="AVX367" s="247"/>
      <c r="AVY367" s="652"/>
      <c r="AVZ367" s="626"/>
      <c r="AWA367" s="640"/>
      <c r="AWB367" s="641"/>
      <c r="AWC367" s="653"/>
      <c r="AWE367" s="118"/>
      <c r="AWF367" s="219"/>
      <c r="AWG367" s="247"/>
      <c r="AWH367" s="652"/>
      <c r="AWI367" s="626"/>
      <c r="AWJ367" s="640"/>
      <c r="AWK367" s="641"/>
      <c r="AWL367" s="653"/>
      <c r="AWN367" s="118"/>
      <c r="AWO367" s="219"/>
      <c r="AWP367" s="247"/>
      <c r="AWQ367" s="652"/>
      <c r="AWR367" s="626"/>
      <c r="AWS367" s="640"/>
      <c r="AWT367" s="641"/>
      <c r="AWU367" s="653"/>
      <c r="AWW367" s="118"/>
      <c r="AWX367" s="219"/>
      <c r="AWY367" s="247"/>
      <c r="AWZ367" s="652"/>
      <c r="AXA367" s="626"/>
      <c r="AXB367" s="640"/>
      <c r="AXC367" s="641"/>
      <c r="AXD367" s="653"/>
      <c r="AXF367" s="118"/>
      <c r="AXG367" s="219"/>
      <c r="AXH367" s="247"/>
      <c r="AXI367" s="652"/>
      <c r="AXJ367" s="626"/>
      <c r="AXK367" s="640"/>
      <c r="AXL367" s="641"/>
      <c r="AXM367" s="653"/>
      <c r="AXO367" s="118"/>
      <c r="AXP367" s="219"/>
      <c r="AXQ367" s="247"/>
      <c r="AXR367" s="652"/>
      <c r="AXS367" s="626"/>
      <c r="AXT367" s="640"/>
      <c r="AXU367" s="641"/>
      <c r="AXV367" s="653"/>
      <c r="AXX367" s="118"/>
      <c r="AXY367" s="219"/>
      <c r="AXZ367" s="247"/>
      <c r="AYA367" s="652"/>
      <c r="AYB367" s="626"/>
      <c r="AYC367" s="640"/>
      <c r="AYD367" s="641"/>
      <c r="AYE367" s="653"/>
      <c r="AYG367" s="118"/>
      <c r="AYH367" s="219"/>
      <c r="AYI367" s="247"/>
      <c r="AYJ367" s="652"/>
      <c r="AYK367" s="626"/>
      <c r="AYL367" s="640"/>
      <c r="AYM367" s="641"/>
      <c r="AYN367" s="653"/>
      <c r="AYP367" s="118"/>
      <c r="AYQ367" s="219"/>
      <c r="AYR367" s="247"/>
      <c r="AYS367" s="652"/>
      <c r="AYT367" s="626"/>
      <c r="AYU367" s="640"/>
      <c r="AYV367" s="641"/>
      <c r="AYW367" s="653"/>
      <c r="AYY367" s="118"/>
      <c r="AYZ367" s="219"/>
      <c r="AZA367" s="247"/>
      <c r="AZB367" s="652"/>
      <c r="AZC367" s="626"/>
      <c r="AZD367" s="640"/>
      <c r="AZE367" s="641"/>
      <c r="AZF367" s="653"/>
      <c r="AZH367" s="118"/>
      <c r="AZI367" s="219"/>
      <c r="AZJ367" s="247"/>
      <c r="AZK367" s="652"/>
      <c r="AZL367" s="626"/>
      <c r="AZM367" s="640"/>
      <c r="AZN367" s="641"/>
      <c r="AZO367" s="653"/>
      <c r="AZQ367" s="118"/>
      <c r="AZR367" s="219"/>
      <c r="AZS367" s="247"/>
      <c r="AZT367" s="652"/>
      <c r="AZU367" s="626"/>
      <c r="AZV367" s="640"/>
      <c r="AZW367" s="641"/>
      <c r="AZX367" s="653"/>
      <c r="AZZ367" s="118"/>
      <c r="BAA367" s="219"/>
      <c r="BAB367" s="247"/>
      <c r="BAC367" s="652"/>
      <c r="BAD367" s="626"/>
      <c r="BAE367" s="640"/>
      <c r="BAF367" s="641"/>
      <c r="BAG367" s="653"/>
      <c r="BAI367" s="118"/>
      <c r="BAJ367" s="219"/>
      <c r="BAK367" s="247"/>
      <c r="BAL367" s="652"/>
      <c r="BAM367" s="626"/>
      <c r="BAN367" s="640"/>
      <c r="BAO367" s="641"/>
      <c r="BAP367" s="653"/>
      <c r="BAR367" s="118"/>
      <c r="BAS367" s="219"/>
      <c r="BAT367" s="247"/>
      <c r="BAU367" s="652"/>
      <c r="BAV367" s="626"/>
      <c r="BAW367" s="640"/>
      <c r="BAX367" s="641"/>
      <c r="BAY367" s="653"/>
      <c r="BBA367" s="118"/>
      <c r="BBB367" s="219"/>
      <c r="BBC367" s="247"/>
      <c r="BBD367" s="652"/>
      <c r="BBE367" s="626"/>
      <c r="BBF367" s="640"/>
      <c r="BBG367" s="641"/>
      <c r="BBH367" s="653"/>
      <c r="BBJ367" s="118"/>
      <c r="BBK367" s="219"/>
      <c r="BBL367" s="247"/>
      <c r="BBM367" s="652"/>
      <c r="BBN367" s="626"/>
      <c r="BBO367" s="640"/>
      <c r="BBP367" s="641"/>
      <c r="BBQ367" s="653"/>
      <c r="BBS367" s="118"/>
      <c r="BBT367" s="219"/>
      <c r="BBU367" s="247"/>
      <c r="BBV367" s="652"/>
      <c r="BBW367" s="626"/>
      <c r="BBX367" s="640"/>
      <c r="BBY367" s="641"/>
      <c r="BBZ367" s="653"/>
      <c r="BCB367" s="118"/>
      <c r="BCC367" s="219"/>
      <c r="BCD367" s="247"/>
      <c r="BCE367" s="652"/>
      <c r="BCF367" s="626"/>
      <c r="BCG367" s="640"/>
      <c r="BCH367" s="641"/>
      <c r="BCI367" s="653"/>
      <c r="BCK367" s="118"/>
      <c r="BCL367" s="219"/>
      <c r="BCM367" s="247"/>
      <c r="BCN367" s="652"/>
      <c r="BCO367" s="626"/>
      <c r="BCP367" s="640"/>
      <c r="BCQ367" s="641"/>
      <c r="BCR367" s="653"/>
      <c r="BCT367" s="118"/>
      <c r="BCU367" s="219"/>
      <c r="BCV367" s="247"/>
      <c r="BCW367" s="652"/>
      <c r="BCX367" s="626"/>
      <c r="BCY367" s="640"/>
      <c r="BCZ367" s="641"/>
      <c r="BDA367" s="653"/>
      <c r="BDC367" s="118"/>
      <c r="BDD367" s="219"/>
      <c r="BDE367" s="247"/>
      <c r="BDF367" s="652"/>
      <c r="BDG367" s="626"/>
      <c r="BDH367" s="640"/>
      <c r="BDI367" s="641"/>
      <c r="BDJ367" s="653"/>
      <c r="BDL367" s="118"/>
      <c r="BDM367" s="219"/>
      <c r="BDN367" s="247"/>
      <c r="BDO367" s="652"/>
      <c r="BDP367" s="626"/>
      <c r="BDQ367" s="640"/>
      <c r="BDR367" s="641"/>
      <c r="BDS367" s="653"/>
      <c r="BDU367" s="118"/>
      <c r="BDV367" s="219"/>
      <c r="BDW367" s="247"/>
      <c r="BDX367" s="652"/>
      <c r="BDY367" s="626"/>
      <c r="BDZ367" s="640"/>
      <c r="BEA367" s="641"/>
      <c r="BEB367" s="653"/>
      <c r="BED367" s="118"/>
      <c r="BEE367" s="219"/>
      <c r="BEF367" s="247"/>
      <c r="BEG367" s="652"/>
      <c r="BEH367" s="626"/>
      <c r="BEI367" s="640"/>
      <c r="BEJ367" s="641"/>
      <c r="BEK367" s="653"/>
      <c r="BEM367" s="118"/>
      <c r="BEN367" s="219"/>
      <c r="BEO367" s="247"/>
      <c r="BEP367" s="652"/>
      <c r="BEQ367" s="626"/>
      <c r="BER367" s="640"/>
      <c r="BES367" s="641"/>
      <c r="BET367" s="653"/>
      <c r="BEV367" s="118"/>
      <c r="BEW367" s="219"/>
      <c r="BEX367" s="247"/>
      <c r="BEY367" s="652"/>
      <c r="BEZ367" s="626"/>
      <c r="BFA367" s="640"/>
      <c r="BFB367" s="641"/>
      <c r="BFC367" s="653"/>
      <c r="BFE367" s="118"/>
      <c r="BFF367" s="219"/>
      <c r="BFG367" s="247"/>
      <c r="BFH367" s="652"/>
      <c r="BFI367" s="626"/>
      <c r="BFJ367" s="640"/>
      <c r="BFK367" s="641"/>
      <c r="BFL367" s="653"/>
      <c r="BFN367" s="118"/>
      <c r="BFO367" s="219"/>
      <c r="BFP367" s="247"/>
      <c r="BFQ367" s="652"/>
      <c r="BFR367" s="626"/>
      <c r="BFS367" s="640"/>
      <c r="BFT367" s="641"/>
      <c r="BFU367" s="653"/>
      <c r="BFW367" s="118"/>
      <c r="BFX367" s="219"/>
      <c r="BFY367" s="247"/>
      <c r="BFZ367" s="652"/>
      <c r="BGA367" s="626"/>
      <c r="BGB367" s="640"/>
      <c r="BGC367" s="641"/>
      <c r="BGD367" s="653"/>
      <c r="BGF367" s="118"/>
      <c r="BGG367" s="219"/>
      <c r="BGH367" s="247"/>
      <c r="BGI367" s="652"/>
      <c r="BGJ367" s="626"/>
      <c r="BGK367" s="640"/>
      <c r="BGL367" s="641"/>
      <c r="BGM367" s="653"/>
      <c r="BGO367" s="118"/>
      <c r="BGP367" s="219"/>
      <c r="BGQ367" s="247"/>
      <c r="BGR367" s="652"/>
      <c r="BGS367" s="626"/>
      <c r="BGT367" s="640"/>
      <c r="BGU367" s="641"/>
      <c r="BGV367" s="653"/>
      <c r="BGX367" s="118"/>
      <c r="BGY367" s="219"/>
      <c r="BGZ367" s="247"/>
      <c r="BHA367" s="652"/>
      <c r="BHB367" s="626"/>
      <c r="BHC367" s="640"/>
      <c r="BHD367" s="641"/>
      <c r="BHE367" s="653"/>
      <c r="BHG367" s="118"/>
      <c r="BHH367" s="219"/>
      <c r="BHI367" s="247"/>
      <c r="BHJ367" s="652"/>
      <c r="BHK367" s="626"/>
      <c r="BHL367" s="640"/>
      <c r="BHM367" s="641"/>
      <c r="BHN367" s="653"/>
      <c r="BHP367" s="118"/>
      <c r="BHQ367" s="219"/>
      <c r="BHR367" s="247"/>
      <c r="BHS367" s="652"/>
      <c r="BHT367" s="626"/>
      <c r="BHU367" s="640"/>
      <c r="BHV367" s="641"/>
      <c r="BHW367" s="653"/>
      <c r="BHY367" s="118"/>
      <c r="BHZ367" s="219"/>
      <c r="BIA367" s="247"/>
      <c r="BIB367" s="652"/>
      <c r="BIC367" s="626"/>
      <c r="BID367" s="640"/>
      <c r="BIE367" s="641"/>
      <c r="BIF367" s="653"/>
      <c r="BIH367" s="118"/>
      <c r="BII367" s="219"/>
      <c r="BIJ367" s="247"/>
      <c r="BIK367" s="652"/>
      <c r="BIL367" s="626"/>
      <c r="BIM367" s="640"/>
      <c r="BIN367" s="641"/>
      <c r="BIO367" s="653"/>
      <c r="BIQ367" s="118"/>
      <c r="BIR367" s="219"/>
      <c r="BIS367" s="247"/>
      <c r="BIT367" s="652"/>
      <c r="BIU367" s="626"/>
      <c r="BIV367" s="640"/>
      <c r="BIW367" s="641"/>
      <c r="BIX367" s="653"/>
      <c r="BIZ367" s="118"/>
      <c r="BJA367" s="219"/>
      <c r="BJB367" s="247"/>
      <c r="BJC367" s="652"/>
      <c r="BJD367" s="626"/>
      <c r="BJE367" s="640"/>
      <c r="BJF367" s="641"/>
      <c r="BJG367" s="653"/>
      <c r="BJI367" s="118"/>
      <c r="BJJ367" s="219"/>
      <c r="BJK367" s="247"/>
      <c r="BJL367" s="652"/>
      <c r="BJM367" s="626"/>
      <c r="BJN367" s="640"/>
      <c r="BJO367" s="641"/>
      <c r="BJP367" s="653"/>
      <c r="BJR367" s="118"/>
      <c r="BJS367" s="219"/>
      <c r="BJT367" s="247"/>
      <c r="BJU367" s="652"/>
      <c r="BJV367" s="626"/>
      <c r="BJW367" s="640"/>
      <c r="BJX367" s="641"/>
      <c r="BJY367" s="653"/>
      <c r="BKA367" s="118"/>
      <c r="BKB367" s="219"/>
      <c r="BKC367" s="247"/>
      <c r="BKD367" s="652"/>
      <c r="BKE367" s="626"/>
      <c r="BKF367" s="640"/>
      <c r="BKG367" s="641"/>
      <c r="BKH367" s="653"/>
      <c r="BKJ367" s="118"/>
      <c r="BKK367" s="219"/>
      <c r="BKL367" s="247"/>
      <c r="BKM367" s="652"/>
      <c r="BKN367" s="626"/>
      <c r="BKO367" s="640"/>
      <c r="BKP367" s="641"/>
      <c r="BKQ367" s="653"/>
      <c r="BKS367" s="118"/>
      <c r="BKT367" s="219"/>
      <c r="BKU367" s="247"/>
      <c r="BKV367" s="652"/>
      <c r="BKW367" s="626"/>
      <c r="BKX367" s="640"/>
      <c r="BKY367" s="641"/>
      <c r="BKZ367" s="653"/>
      <c r="BLB367" s="118"/>
      <c r="BLC367" s="219"/>
      <c r="BLD367" s="247"/>
      <c r="BLE367" s="652"/>
      <c r="BLF367" s="626"/>
      <c r="BLG367" s="640"/>
      <c r="BLH367" s="641"/>
      <c r="BLI367" s="653"/>
      <c r="BLK367" s="118"/>
      <c r="BLL367" s="219"/>
      <c r="BLM367" s="247"/>
      <c r="BLN367" s="652"/>
      <c r="BLO367" s="626"/>
      <c r="BLP367" s="640"/>
      <c r="BLQ367" s="641"/>
      <c r="BLR367" s="653"/>
      <c r="BLT367" s="118"/>
      <c r="BLU367" s="219"/>
      <c r="BLV367" s="247"/>
      <c r="BLW367" s="652"/>
      <c r="BLX367" s="626"/>
      <c r="BLY367" s="640"/>
      <c r="BLZ367" s="641"/>
      <c r="BMA367" s="653"/>
      <c r="BMC367" s="118"/>
      <c r="BMD367" s="219"/>
      <c r="BME367" s="247"/>
      <c r="BMF367" s="652"/>
      <c r="BMG367" s="626"/>
      <c r="BMH367" s="640"/>
      <c r="BMI367" s="641"/>
      <c r="BMJ367" s="653"/>
      <c r="BML367" s="118"/>
      <c r="BMM367" s="219"/>
      <c r="BMN367" s="247"/>
      <c r="BMO367" s="652"/>
      <c r="BMP367" s="626"/>
      <c r="BMQ367" s="640"/>
      <c r="BMR367" s="641"/>
      <c r="BMS367" s="653"/>
      <c r="BMU367" s="118"/>
      <c r="BMV367" s="219"/>
      <c r="BMW367" s="247"/>
      <c r="BMX367" s="652"/>
      <c r="BMY367" s="626"/>
      <c r="BMZ367" s="640"/>
      <c r="BNA367" s="641"/>
      <c r="BNB367" s="653"/>
      <c r="BND367" s="118"/>
      <c r="BNE367" s="219"/>
      <c r="BNF367" s="247"/>
      <c r="BNG367" s="652"/>
      <c r="BNH367" s="626"/>
      <c r="BNI367" s="640"/>
      <c r="BNJ367" s="641"/>
      <c r="BNK367" s="653"/>
      <c r="BNM367" s="118"/>
      <c r="BNN367" s="219"/>
      <c r="BNO367" s="247"/>
      <c r="BNP367" s="652"/>
      <c r="BNQ367" s="626"/>
      <c r="BNR367" s="640"/>
      <c r="BNS367" s="641"/>
      <c r="BNT367" s="653"/>
      <c r="BNV367" s="118"/>
      <c r="BNW367" s="219"/>
      <c r="BNX367" s="247"/>
      <c r="BNY367" s="652"/>
      <c r="BNZ367" s="626"/>
      <c r="BOA367" s="640"/>
      <c r="BOB367" s="641"/>
      <c r="BOC367" s="653"/>
      <c r="BOE367" s="118"/>
      <c r="BOF367" s="219"/>
      <c r="BOG367" s="247"/>
      <c r="BOH367" s="652"/>
      <c r="BOI367" s="626"/>
      <c r="BOJ367" s="640"/>
      <c r="BOK367" s="641"/>
      <c r="BOL367" s="653"/>
      <c r="BON367" s="118"/>
      <c r="BOO367" s="219"/>
      <c r="BOP367" s="247"/>
      <c r="BOQ367" s="652"/>
      <c r="BOR367" s="626"/>
      <c r="BOS367" s="640"/>
      <c r="BOT367" s="641"/>
      <c r="BOU367" s="653"/>
      <c r="BOW367" s="118"/>
      <c r="BOX367" s="219"/>
      <c r="BOY367" s="247"/>
      <c r="BOZ367" s="652"/>
      <c r="BPA367" s="626"/>
      <c r="BPB367" s="640"/>
      <c r="BPC367" s="641"/>
      <c r="BPD367" s="653"/>
      <c r="BPF367" s="118"/>
      <c r="BPG367" s="219"/>
      <c r="BPH367" s="247"/>
      <c r="BPI367" s="652"/>
      <c r="BPJ367" s="626"/>
      <c r="BPK367" s="640"/>
      <c r="BPL367" s="641"/>
      <c r="BPM367" s="653"/>
      <c r="BPO367" s="118"/>
      <c r="BPP367" s="219"/>
      <c r="BPQ367" s="247"/>
      <c r="BPR367" s="652"/>
      <c r="BPS367" s="626"/>
      <c r="BPT367" s="640"/>
      <c r="BPU367" s="641"/>
      <c r="BPV367" s="653"/>
      <c r="BPX367" s="118"/>
      <c r="BPY367" s="219"/>
      <c r="BPZ367" s="247"/>
      <c r="BQA367" s="652"/>
      <c r="BQB367" s="626"/>
      <c r="BQC367" s="640"/>
      <c r="BQD367" s="641"/>
      <c r="BQE367" s="653"/>
      <c r="BQG367" s="118"/>
      <c r="BQH367" s="219"/>
      <c r="BQI367" s="247"/>
      <c r="BQJ367" s="652"/>
      <c r="BQK367" s="626"/>
      <c r="BQL367" s="640"/>
      <c r="BQM367" s="641"/>
      <c r="BQN367" s="653"/>
      <c r="BQP367" s="118"/>
      <c r="BQQ367" s="219"/>
      <c r="BQR367" s="247"/>
      <c r="BQS367" s="652"/>
      <c r="BQT367" s="626"/>
      <c r="BQU367" s="640"/>
      <c r="BQV367" s="641"/>
      <c r="BQW367" s="653"/>
      <c r="BQY367" s="118"/>
      <c r="BQZ367" s="219"/>
      <c r="BRA367" s="247"/>
      <c r="BRB367" s="652"/>
      <c r="BRC367" s="626"/>
      <c r="BRD367" s="640"/>
      <c r="BRE367" s="641"/>
      <c r="BRF367" s="653"/>
      <c r="BRH367" s="118"/>
      <c r="BRI367" s="219"/>
      <c r="BRJ367" s="247"/>
      <c r="BRK367" s="652"/>
      <c r="BRL367" s="626"/>
      <c r="BRM367" s="640"/>
      <c r="BRN367" s="641"/>
      <c r="BRO367" s="653"/>
      <c r="BRQ367" s="118"/>
      <c r="BRR367" s="219"/>
      <c r="BRS367" s="247"/>
      <c r="BRT367" s="652"/>
      <c r="BRU367" s="626"/>
      <c r="BRV367" s="640"/>
      <c r="BRW367" s="641"/>
      <c r="BRX367" s="653"/>
      <c r="BRZ367" s="118"/>
      <c r="BSA367" s="219"/>
      <c r="BSB367" s="247"/>
      <c r="BSC367" s="652"/>
      <c r="BSD367" s="626"/>
      <c r="BSE367" s="640"/>
      <c r="BSF367" s="641"/>
      <c r="BSG367" s="653"/>
      <c r="BSI367" s="118"/>
      <c r="BSJ367" s="219"/>
      <c r="BSK367" s="247"/>
      <c r="BSL367" s="652"/>
      <c r="BSM367" s="626"/>
      <c r="BSN367" s="640"/>
      <c r="BSO367" s="641"/>
      <c r="BSP367" s="653"/>
      <c r="BSR367" s="118"/>
      <c r="BSS367" s="219"/>
      <c r="BST367" s="247"/>
      <c r="BSU367" s="652"/>
      <c r="BSV367" s="626"/>
      <c r="BSW367" s="640"/>
      <c r="BSX367" s="641"/>
      <c r="BSY367" s="653"/>
      <c r="BTA367" s="118"/>
      <c r="BTB367" s="219"/>
      <c r="BTC367" s="247"/>
      <c r="BTD367" s="652"/>
      <c r="BTE367" s="626"/>
      <c r="BTF367" s="640"/>
      <c r="BTG367" s="641"/>
      <c r="BTH367" s="653"/>
      <c r="BTJ367" s="118"/>
      <c r="BTK367" s="219"/>
      <c r="BTL367" s="247"/>
      <c r="BTM367" s="652"/>
      <c r="BTN367" s="626"/>
      <c r="BTO367" s="640"/>
      <c r="BTP367" s="641"/>
      <c r="BTQ367" s="653"/>
      <c r="BTS367" s="118"/>
      <c r="BTT367" s="219"/>
      <c r="BTU367" s="247"/>
      <c r="BTV367" s="652"/>
      <c r="BTW367" s="626"/>
      <c r="BTX367" s="640"/>
      <c r="BTY367" s="641"/>
      <c r="BTZ367" s="653"/>
      <c r="BUB367" s="118"/>
      <c r="BUC367" s="219"/>
      <c r="BUD367" s="247"/>
      <c r="BUE367" s="652"/>
      <c r="BUF367" s="626"/>
      <c r="BUG367" s="640"/>
      <c r="BUH367" s="641"/>
      <c r="BUI367" s="653"/>
      <c r="BUK367" s="118"/>
      <c r="BUL367" s="219"/>
      <c r="BUM367" s="247"/>
      <c r="BUN367" s="652"/>
      <c r="BUO367" s="626"/>
      <c r="BUP367" s="640"/>
      <c r="BUQ367" s="641"/>
      <c r="BUR367" s="653"/>
      <c r="BUT367" s="118"/>
      <c r="BUU367" s="219"/>
      <c r="BUV367" s="247"/>
      <c r="BUW367" s="652"/>
      <c r="BUX367" s="626"/>
      <c r="BUY367" s="640"/>
      <c r="BUZ367" s="641"/>
      <c r="BVA367" s="653"/>
      <c r="BVC367" s="118"/>
      <c r="BVD367" s="219"/>
      <c r="BVE367" s="247"/>
      <c r="BVF367" s="652"/>
      <c r="BVG367" s="626"/>
      <c r="BVH367" s="640"/>
      <c r="BVI367" s="641"/>
      <c r="BVJ367" s="653"/>
      <c r="BVL367" s="118"/>
      <c r="BVM367" s="219"/>
      <c r="BVN367" s="247"/>
      <c r="BVO367" s="652"/>
      <c r="BVP367" s="626"/>
      <c r="BVQ367" s="640"/>
      <c r="BVR367" s="641"/>
      <c r="BVS367" s="653"/>
      <c r="BVU367" s="118"/>
      <c r="BVV367" s="219"/>
      <c r="BVW367" s="247"/>
      <c r="BVX367" s="652"/>
      <c r="BVY367" s="626"/>
      <c r="BVZ367" s="640"/>
      <c r="BWA367" s="641"/>
      <c r="BWB367" s="653"/>
      <c r="BWD367" s="118"/>
      <c r="BWE367" s="219"/>
      <c r="BWF367" s="247"/>
      <c r="BWG367" s="652"/>
      <c r="BWH367" s="626"/>
      <c r="BWI367" s="640"/>
      <c r="BWJ367" s="641"/>
      <c r="BWK367" s="653"/>
      <c r="BWM367" s="118"/>
      <c r="BWN367" s="219"/>
      <c r="BWO367" s="247"/>
      <c r="BWP367" s="652"/>
      <c r="BWQ367" s="626"/>
      <c r="BWR367" s="640"/>
      <c r="BWS367" s="641"/>
      <c r="BWT367" s="653"/>
      <c r="BWV367" s="118"/>
      <c r="BWW367" s="219"/>
      <c r="BWX367" s="247"/>
      <c r="BWY367" s="652"/>
      <c r="BWZ367" s="626"/>
      <c r="BXA367" s="640"/>
      <c r="BXB367" s="641"/>
      <c r="BXC367" s="653"/>
      <c r="BXE367" s="118"/>
      <c r="BXF367" s="219"/>
      <c r="BXG367" s="247"/>
      <c r="BXH367" s="652"/>
      <c r="BXI367" s="626"/>
      <c r="BXJ367" s="640"/>
      <c r="BXK367" s="641"/>
      <c r="BXL367" s="653"/>
      <c r="BXN367" s="118"/>
      <c r="BXO367" s="219"/>
      <c r="BXP367" s="247"/>
      <c r="BXQ367" s="652"/>
      <c r="BXR367" s="626"/>
      <c r="BXS367" s="640"/>
      <c r="BXT367" s="641"/>
      <c r="BXU367" s="653"/>
      <c r="BXW367" s="118"/>
      <c r="BXX367" s="219"/>
      <c r="BXY367" s="247"/>
      <c r="BXZ367" s="652"/>
      <c r="BYA367" s="626"/>
      <c r="BYB367" s="640"/>
      <c r="BYC367" s="641"/>
      <c r="BYD367" s="653"/>
      <c r="BYF367" s="118"/>
      <c r="BYG367" s="219"/>
      <c r="BYH367" s="247"/>
      <c r="BYI367" s="652"/>
      <c r="BYJ367" s="626"/>
      <c r="BYK367" s="640"/>
      <c r="BYL367" s="641"/>
      <c r="BYM367" s="653"/>
      <c r="BYO367" s="118"/>
      <c r="BYP367" s="219"/>
      <c r="BYQ367" s="247"/>
      <c r="BYR367" s="652"/>
      <c r="BYS367" s="626"/>
      <c r="BYT367" s="640"/>
      <c r="BYU367" s="641"/>
      <c r="BYV367" s="653"/>
      <c r="BYX367" s="118"/>
      <c r="BYY367" s="219"/>
      <c r="BYZ367" s="247"/>
      <c r="BZA367" s="652"/>
      <c r="BZB367" s="626"/>
      <c r="BZC367" s="640"/>
      <c r="BZD367" s="641"/>
      <c r="BZE367" s="653"/>
      <c r="BZG367" s="118"/>
      <c r="BZH367" s="219"/>
      <c r="BZI367" s="247"/>
      <c r="BZJ367" s="652"/>
      <c r="BZK367" s="626"/>
      <c r="BZL367" s="640"/>
      <c r="BZM367" s="641"/>
      <c r="BZN367" s="653"/>
      <c r="BZP367" s="118"/>
      <c r="BZQ367" s="219"/>
      <c r="BZR367" s="247"/>
      <c r="BZS367" s="652"/>
      <c r="BZT367" s="626"/>
      <c r="BZU367" s="640"/>
      <c r="BZV367" s="641"/>
      <c r="BZW367" s="653"/>
      <c r="BZY367" s="118"/>
      <c r="BZZ367" s="219"/>
      <c r="CAA367" s="247"/>
      <c r="CAB367" s="652"/>
      <c r="CAC367" s="626"/>
      <c r="CAD367" s="640"/>
      <c r="CAE367" s="641"/>
      <c r="CAF367" s="653"/>
      <c r="CAH367" s="118"/>
      <c r="CAI367" s="219"/>
      <c r="CAJ367" s="247"/>
      <c r="CAK367" s="652"/>
      <c r="CAL367" s="626"/>
      <c r="CAM367" s="640"/>
      <c r="CAN367" s="641"/>
      <c r="CAO367" s="653"/>
      <c r="CAQ367" s="118"/>
      <c r="CAR367" s="219"/>
      <c r="CAS367" s="247"/>
      <c r="CAT367" s="652"/>
      <c r="CAU367" s="626"/>
      <c r="CAV367" s="640"/>
      <c r="CAW367" s="641"/>
      <c r="CAX367" s="653"/>
      <c r="CAZ367" s="118"/>
      <c r="CBA367" s="219"/>
      <c r="CBB367" s="247"/>
      <c r="CBC367" s="652"/>
      <c r="CBD367" s="626"/>
      <c r="CBE367" s="640"/>
      <c r="CBF367" s="641"/>
      <c r="CBG367" s="653"/>
      <c r="CBI367" s="118"/>
      <c r="CBJ367" s="219"/>
      <c r="CBK367" s="247"/>
      <c r="CBL367" s="652"/>
      <c r="CBM367" s="626"/>
      <c r="CBN367" s="640"/>
      <c r="CBO367" s="641"/>
      <c r="CBP367" s="653"/>
      <c r="CBR367" s="118"/>
      <c r="CBS367" s="219"/>
      <c r="CBT367" s="247"/>
      <c r="CBU367" s="652"/>
      <c r="CBV367" s="626"/>
      <c r="CBW367" s="640"/>
      <c r="CBX367" s="641"/>
      <c r="CBY367" s="653"/>
      <c r="CCA367" s="118"/>
      <c r="CCB367" s="219"/>
      <c r="CCC367" s="247"/>
      <c r="CCD367" s="652"/>
      <c r="CCE367" s="626"/>
      <c r="CCF367" s="640"/>
      <c r="CCG367" s="641"/>
      <c r="CCH367" s="653"/>
      <c r="CCJ367" s="118"/>
      <c r="CCK367" s="219"/>
      <c r="CCL367" s="247"/>
      <c r="CCM367" s="652"/>
      <c r="CCN367" s="626"/>
      <c r="CCO367" s="640"/>
      <c r="CCP367" s="641"/>
      <c r="CCQ367" s="653"/>
      <c r="CCS367" s="118"/>
      <c r="CCT367" s="219"/>
      <c r="CCU367" s="247"/>
      <c r="CCV367" s="652"/>
      <c r="CCW367" s="626"/>
      <c r="CCX367" s="640"/>
      <c r="CCY367" s="641"/>
      <c r="CCZ367" s="653"/>
      <c r="CDB367" s="118"/>
      <c r="CDC367" s="219"/>
      <c r="CDD367" s="247"/>
      <c r="CDE367" s="652"/>
      <c r="CDF367" s="626"/>
      <c r="CDG367" s="640"/>
      <c r="CDH367" s="641"/>
      <c r="CDI367" s="653"/>
      <c r="CDK367" s="118"/>
      <c r="CDL367" s="219"/>
      <c r="CDM367" s="247"/>
      <c r="CDN367" s="652"/>
      <c r="CDO367" s="626"/>
      <c r="CDP367" s="640"/>
      <c r="CDQ367" s="641"/>
      <c r="CDR367" s="653"/>
      <c r="CDT367" s="118"/>
      <c r="CDU367" s="219"/>
      <c r="CDV367" s="247"/>
      <c r="CDW367" s="652"/>
      <c r="CDX367" s="626"/>
      <c r="CDY367" s="640"/>
      <c r="CDZ367" s="641"/>
      <c r="CEA367" s="653"/>
      <c r="CEC367" s="118"/>
      <c r="CED367" s="219"/>
      <c r="CEE367" s="247"/>
      <c r="CEF367" s="652"/>
      <c r="CEG367" s="626"/>
      <c r="CEH367" s="640"/>
      <c r="CEI367" s="641"/>
      <c r="CEJ367" s="653"/>
      <c r="CEL367" s="118"/>
      <c r="CEM367" s="219"/>
      <c r="CEN367" s="247"/>
      <c r="CEO367" s="652"/>
      <c r="CEP367" s="626"/>
      <c r="CEQ367" s="640"/>
      <c r="CER367" s="641"/>
      <c r="CES367" s="653"/>
      <c r="CEU367" s="118"/>
      <c r="CEV367" s="219"/>
      <c r="CEW367" s="247"/>
      <c r="CEX367" s="652"/>
      <c r="CEY367" s="626"/>
      <c r="CEZ367" s="640"/>
      <c r="CFA367" s="641"/>
      <c r="CFB367" s="653"/>
      <c r="CFD367" s="118"/>
      <c r="CFE367" s="219"/>
      <c r="CFF367" s="247"/>
      <c r="CFG367" s="652"/>
      <c r="CFH367" s="626"/>
      <c r="CFI367" s="640"/>
      <c r="CFJ367" s="641"/>
      <c r="CFK367" s="653"/>
      <c r="CFM367" s="118"/>
      <c r="CFN367" s="219"/>
      <c r="CFO367" s="247"/>
      <c r="CFP367" s="652"/>
      <c r="CFQ367" s="626"/>
      <c r="CFR367" s="640"/>
      <c r="CFS367" s="641"/>
      <c r="CFT367" s="653"/>
      <c r="CFV367" s="118"/>
      <c r="CFW367" s="219"/>
      <c r="CFX367" s="247"/>
      <c r="CFY367" s="652"/>
      <c r="CFZ367" s="626"/>
      <c r="CGA367" s="640"/>
      <c r="CGB367" s="641"/>
      <c r="CGC367" s="653"/>
      <c r="CGE367" s="118"/>
      <c r="CGF367" s="219"/>
      <c r="CGG367" s="247"/>
      <c r="CGH367" s="652"/>
      <c r="CGI367" s="626"/>
      <c r="CGJ367" s="640"/>
      <c r="CGK367" s="641"/>
      <c r="CGL367" s="653"/>
      <c r="CGN367" s="118"/>
      <c r="CGO367" s="219"/>
      <c r="CGP367" s="247"/>
      <c r="CGQ367" s="652"/>
      <c r="CGR367" s="626"/>
      <c r="CGS367" s="640"/>
      <c r="CGT367" s="641"/>
      <c r="CGU367" s="653"/>
      <c r="CGW367" s="118"/>
      <c r="CGX367" s="219"/>
      <c r="CGY367" s="247"/>
      <c r="CGZ367" s="652"/>
      <c r="CHA367" s="626"/>
      <c r="CHB367" s="640"/>
      <c r="CHC367" s="641"/>
      <c r="CHD367" s="653"/>
      <c r="CHF367" s="118"/>
      <c r="CHG367" s="219"/>
      <c r="CHH367" s="247"/>
      <c r="CHI367" s="652"/>
      <c r="CHJ367" s="626"/>
      <c r="CHK367" s="640"/>
      <c r="CHL367" s="641"/>
      <c r="CHM367" s="653"/>
      <c r="CHO367" s="118"/>
      <c r="CHP367" s="219"/>
      <c r="CHQ367" s="247"/>
      <c r="CHR367" s="652"/>
      <c r="CHS367" s="626"/>
      <c r="CHT367" s="640"/>
      <c r="CHU367" s="641"/>
      <c r="CHV367" s="653"/>
      <c r="CHX367" s="118"/>
      <c r="CHY367" s="219"/>
      <c r="CHZ367" s="247"/>
      <c r="CIA367" s="652"/>
      <c r="CIB367" s="626"/>
      <c r="CIC367" s="640"/>
      <c r="CID367" s="641"/>
      <c r="CIE367" s="653"/>
      <c r="CIG367" s="118"/>
      <c r="CIH367" s="219"/>
      <c r="CII367" s="247"/>
      <c r="CIJ367" s="652"/>
      <c r="CIK367" s="626"/>
      <c r="CIL367" s="640"/>
      <c r="CIM367" s="641"/>
      <c r="CIN367" s="653"/>
      <c r="CIP367" s="118"/>
      <c r="CIQ367" s="219"/>
      <c r="CIR367" s="247"/>
      <c r="CIS367" s="652"/>
      <c r="CIT367" s="626"/>
      <c r="CIU367" s="640"/>
      <c r="CIV367" s="641"/>
      <c r="CIW367" s="653"/>
      <c r="CIY367" s="118"/>
      <c r="CIZ367" s="219"/>
      <c r="CJA367" s="247"/>
      <c r="CJB367" s="652"/>
      <c r="CJC367" s="626"/>
      <c r="CJD367" s="640"/>
      <c r="CJE367" s="641"/>
      <c r="CJF367" s="653"/>
      <c r="CJH367" s="118"/>
      <c r="CJI367" s="219"/>
      <c r="CJJ367" s="247"/>
      <c r="CJK367" s="652"/>
      <c r="CJL367" s="626"/>
      <c r="CJM367" s="640"/>
      <c r="CJN367" s="641"/>
      <c r="CJO367" s="653"/>
      <c r="CJQ367" s="118"/>
      <c r="CJR367" s="219"/>
      <c r="CJS367" s="247"/>
      <c r="CJT367" s="652"/>
      <c r="CJU367" s="626"/>
      <c r="CJV367" s="640"/>
      <c r="CJW367" s="641"/>
      <c r="CJX367" s="653"/>
      <c r="CJZ367" s="118"/>
      <c r="CKA367" s="219"/>
      <c r="CKB367" s="247"/>
      <c r="CKC367" s="652"/>
      <c r="CKD367" s="626"/>
      <c r="CKE367" s="640"/>
      <c r="CKF367" s="641"/>
      <c r="CKG367" s="653"/>
      <c r="CKI367" s="118"/>
      <c r="CKJ367" s="219"/>
      <c r="CKK367" s="247"/>
      <c r="CKL367" s="652"/>
      <c r="CKM367" s="626"/>
      <c r="CKN367" s="640"/>
      <c r="CKO367" s="641"/>
      <c r="CKP367" s="653"/>
      <c r="CKR367" s="118"/>
      <c r="CKS367" s="219"/>
      <c r="CKT367" s="247"/>
      <c r="CKU367" s="652"/>
      <c r="CKV367" s="626"/>
      <c r="CKW367" s="640"/>
      <c r="CKX367" s="641"/>
      <c r="CKY367" s="653"/>
      <c r="CLA367" s="118"/>
      <c r="CLB367" s="219"/>
      <c r="CLC367" s="247"/>
      <c r="CLD367" s="652"/>
      <c r="CLE367" s="626"/>
      <c r="CLF367" s="640"/>
      <c r="CLG367" s="641"/>
      <c r="CLH367" s="653"/>
      <c r="CLJ367" s="118"/>
      <c r="CLK367" s="219"/>
      <c r="CLL367" s="247"/>
      <c r="CLM367" s="652"/>
      <c r="CLN367" s="626"/>
      <c r="CLO367" s="640"/>
      <c r="CLP367" s="641"/>
      <c r="CLQ367" s="653"/>
      <c r="CLS367" s="118"/>
      <c r="CLT367" s="219"/>
      <c r="CLU367" s="247"/>
      <c r="CLV367" s="652"/>
      <c r="CLW367" s="626"/>
      <c r="CLX367" s="640"/>
      <c r="CLY367" s="641"/>
      <c r="CLZ367" s="653"/>
      <c r="CMB367" s="118"/>
      <c r="CMC367" s="219"/>
      <c r="CMD367" s="247"/>
      <c r="CME367" s="652"/>
      <c r="CMF367" s="626"/>
      <c r="CMG367" s="640"/>
      <c r="CMH367" s="641"/>
      <c r="CMI367" s="653"/>
      <c r="CMK367" s="118"/>
      <c r="CML367" s="219"/>
      <c r="CMM367" s="247"/>
      <c r="CMN367" s="652"/>
      <c r="CMO367" s="626"/>
      <c r="CMP367" s="640"/>
      <c r="CMQ367" s="641"/>
      <c r="CMR367" s="653"/>
      <c r="CMT367" s="118"/>
      <c r="CMU367" s="219"/>
      <c r="CMV367" s="247"/>
      <c r="CMW367" s="652"/>
      <c r="CMX367" s="626"/>
      <c r="CMY367" s="640"/>
      <c r="CMZ367" s="641"/>
      <c r="CNA367" s="653"/>
      <c r="CNC367" s="118"/>
      <c r="CND367" s="219"/>
      <c r="CNE367" s="247"/>
      <c r="CNF367" s="652"/>
      <c r="CNG367" s="626"/>
      <c r="CNH367" s="640"/>
      <c r="CNI367" s="641"/>
      <c r="CNJ367" s="653"/>
      <c r="CNL367" s="118"/>
      <c r="CNM367" s="219"/>
      <c r="CNN367" s="247"/>
      <c r="CNO367" s="652"/>
      <c r="CNP367" s="626"/>
      <c r="CNQ367" s="640"/>
      <c r="CNR367" s="641"/>
      <c r="CNS367" s="653"/>
      <c r="CNU367" s="118"/>
      <c r="CNV367" s="219"/>
      <c r="CNW367" s="247"/>
      <c r="CNX367" s="652"/>
      <c r="CNY367" s="626"/>
      <c r="CNZ367" s="640"/>
      <c r="COA367" s="641"/>
      <c r="COB367" s="653"/>
      <c r="COD367" s="118"/>
      <c r="COE367" s="219"/>
      <c r="COF367" s="247"/>
      <c r="COG367" s="652"/>
      <c r="COH367" s="626"/>
      <c r="COI367" s="640"/>
      <c r="COJ367" s="641"/>
      <c r="COK367" s="653"/>
      <c r="COM367" s="118"/>
      <c r="CON367" s="219"/>
      <c r="COO367" s="247"/>
      <c r="COP367" s="652"/>
      <c r="COQ367" s="626"/>
      <c r="COR367" s="640"/>
      <c r="COS367" s="641"/>
      <c r="COT367" s="653"/>
      <c r="COV367" s="118"/>
      <c r="COW367" s="219"/>
      <c r="COX367" s="247"/>
      <c r="COY367" s="652"/>
      <c r="COZ367" s="626"/>
      <c r="CPA367" s="640"/>
      <c r="CPB367" s="641"/>
      <c r="CPC367" s="653"/>
      <c r="CPE367" s="118"/>
      <c r="CPF367" s="219"/>
      <c r="CPG367" s="247"/>
      <c r="CPH367" s="652"/>
      <c r="CPI367" s="626"/>
      <c r="CPJ367" s="640"/>
      <c r="CPK367" s="641"/>
      <c r="CPL367" s="653"/>
      <c r="CPN367" s="118"/>
      <c r="CPO367" s="219"/>
      <c r="CPP367" s="247"/>
      <c r="CPQ367" s="652"/>
      <c r="CPR367" s="626"/>
      <c r="CPS367" s="640"/>
      <c r="CPT367" s="641"/>
      <c r="CPU367" s="653"/>
      <c r="CPW367" s="118"/>
      <c r="CPX367" s="219"/>
      <c r="CPY367" s="247"/>
      <c r="CPZ367" s="652"/>
      <c r="CQA367" s="626"/>
      <c r="CQB367" s="640"/>
      <c r="CQC367" s="641"/>
      <c r="CQD367" s="653"/>
      <c r="CQF367" s="118"/>
      <c r="CQG367" s="219"/>
      <c r="CQH367" s="247"/>
      <c r="CQI367" s="652"/>
      <c r="CQJ367" s="626"/>
      <c r="CQK367" s="640"/>
      <c r="CQL367" s="641"/>
      <c r="CQM367" s="653"/>
      <c r="CQO367" s="118"/>
      <c r="CQP367" s="219"/>
      <c r="CQQ367" s="247"/>
      <c r="CQR367" s="652"/>
      <c r="CQS367" s="626"/>
      <c r="CQT367" s="640"/>
      <c r="CQU367" s="641"/>
      <c r="CQV367" s="653"/>
      <c r="CQX367" s="118"/>
      <c r="CQY367" s="219"/>
      <c r="CQZ367" s="247"/>
      <c r="CRA367" s="652"/>
      <c r="CRB367" s="626"/>
      <c r="CRC367" s="640"/>
      <c r="CRD367" s="641"/>
      <c r="CRE367" s="653"/>
      <c r="CRG367" s="118"/>
      <c r="CRH367" s="219"/>
      <c r="CRI367" s="247"/>
      <c r="CRJ367" s="652"/>
      <c r="CRK367" s="626"/>
      <c r="CRL367" s="640"/>
      <c r="CRM367" s="641"/>
      <c r="CRN367" s="653"/>
      <c r="CRP367" s="118"/>
      <c r="CRQ367" s="219"/>
      <c r="CRR367" s="247"/>
      <c r="CRS367" s="652"/>
      <c r="CRT367" s="626"/>
      <c r="CRU367" s="640"/>
      <c r="CRV367" s="641"/>
      <c r="CRW367" s="653"/>
      <c r="CRY367" s="118"/>
      <c r="CRZ367" s="219"/>
      <c r="CSA367" s="247"/>
      <c r="CSB367" s="652"/>
      <c r="CSC367" s="626"/>
      <c r="CSD367" s="640"/>
      <c r="CSE367" s="641"/>
      <c r="CSF367" s="653"/>
      <c r="CSH367" s="118"/>
      <c r="CSI367" s="219"/>
      <c r="CSJ367" s="247"/>
      <c r="CSK367" s="652"/>
      <c r="CSL367" s="626"/>
      <c r="CSM367" s="640"/>
      <c r="CSN367" s="641"/>
      <c r="CSO367" s="653"/>
      <c r="CSQ367" s="118"/>
      <c r="CSR367" s="219"/>
      <c r="CSS367" s="247"/>
      <c r="CST367" s="652"/>
      <c r="CSU367" s="626"/>
      <c r="CSV367" s="640"/>
      <c r="CSW367" s="641"/>
      <c r="CSX367" s="653"/>
      <c r="CSZ367" s="118"/>
      <c r="CTA367" s="219"/>
      <c r="CTB367" s="247"/>
      <c r="CTC367" s="652"/>
      <c r="CTD367" s="626"/>
      <c r="CTE367" s="640"/>
      <c r="CTF367" s="641"/>
      <c r="CTG367" s="653"/>
      <c r="CTI367" s="118"/>
      <c r="CTJ367" s="219"/>
      <c r="CTK367" s="247"/>
      <c r="CTL367" s="652"/>
      <c r="CTM367" s="626"/>
      <c r="CTN367" s="640"/>
      <c r="CTO367" s="641"/>
      <c r="CTP367" s="653"/>
      <c r="CTR367" s="118"/>
      <c r="CTS367" s="219"/>
      <c r="CTT367" s="247"/>
      <c r="CTU367" s="652"/>
      <c r="CTV367" s="626"/>
      <c r="CTW367" s="640"/>
      <c r="CTX367" s="641"/>
      <c r="CTY367" s="653"/>
      <c r="CUA367" s="118"/>
      <c r="CUB367" s="219"/>
      <c r="CUC367" s="247"/>
      <c r="CUD367" s="652"/>
      <c r="CUE367" s="626"/>
      <c r="CUF367" s="640"/>
      <c r="CUG367" s="641"/>
      <c r="CUH367" s="653"/>
      <c r="CUJ367" s="118"/>
      <c r="CUK367" s="219"/>
      <c r="CUL367" s="247"/>
      <c r="CUM367" s="652"/>
      <c r="CUN367" s="626"/>
      <c r="CUO367" s="640"/>
      <c r="CUP367" s="641"/>
      <c r="CUQ367" s="653"/>
      <c r="CUS367" s="118"/>
      <c r="CUT367" s="219"/>
      <c r="CUU367" s="247"/>
      <c r="CUV367" s="652"/>
      <c r="CUW367" s="626"/>
      <c r="CUX367" s="640"/>
      <c r="CUY367" s="641"/>
      <c r="CUZ367" s="653"/>
      <c r="CVB367" s="118"/>
      <c r="CVC367" s="219"/>
      <c r="CVD367" s="247"/>
      <c r="CVE367" s="652"/>
      <c r="CVF367" s="626"/>
      <c r="CVG367" s="640"/>
      <c r="CVH367" s="641"/>
      <c r="CVI367" s="653"/>
      <c r="CVK367" s="118"/>
      <c r="CVL367" s="219"/>
      <c r="CVM367" s="247"/>
      <c r="CVN367" s="652"/>
      <c r="CVO367" s="626"/>
      <c r="CVP367" s="640"/>
      <c r="CVQ367" s="641"/>
      <c r="CVR367" s="653"/>
      <c r="CVT367" s="118"/>
      <c r="CVU367" s="219"/>
      <c r="CVV367" s="247"/>
      <c r="CVW367" s="652"/>
      <c r="CVX367" s="626"/>
      <c r="CVY367" s="640"/>
      <c r="CVZ367" s="641"/>
      <c r="CWA367" s="653"/>
      <c r="CWC367" s="118"/>
      <c r="CWD367" s="219"/>
      <c r="CWE367" s="247"/>
      <c r="CWF367" s="652"/>
      <c r="CWG367" s="626"/>
      <c r="CWH367" s="640"/>
      <c r="CWI367" s="641"/>
      <c r="CWJ367" s="653"/>
      <c r="CWL367" s="118"/>
      <c r="CWM367" s="219"/>
      <c r="CWN367" s="247"/>
      <c r="CWO367" s="652"/>
      <c r="CWP367" s="626"/>
      <c r="CWQ367" s="640"/>
      <c r="CWR367" s="641"/>
      <c r="CWS367" s="653"/>
      <c r="CWU367" s="118"/>
      <c r="CWV367" s="219"/>
      <c r="CWW367" s="247"/>
      <c r="CWX367" s="652"/>
      <c r="CWY367" s="626"/>
      <c r="CWZ367" s="640"/>
      <c r="CXA367" s="641"/>
      <c r="CXB367" s="653"/>
      <c r="CXD367" s="118"/>
      <c r="CXE367" s="219"/>
      <c r="CXF367" s="247"/>
      <c r="CXG367" s="652"/>
      <c r="CXH367" s="626"/>
      <c r="CXI367" s="640"/>
      <c r="CXJ367" s="641"/>
      <c r="CXK367" s="653"/>
      <c r="CXM367" s="118"/>
      <c r="CXN367" s="219"/>
      <c r="CXO367" s="247"/>
      <c r="CXP367" s="652"/>
      <c r="CXQ367" s="626"/>
      <c r="CXR367" s="640"/>
      <c r="CXS367" s="641"/>
      <c r="CXT367" s="653"/>
      <c r="CXV367" s="118"/>
      <c r="CXW367" s="219"/>
      <c r="CXX367" s="247"/>
      <c r="CXY367" s="652"/>
      <c r="CXZ367" s="626"/>
      <c r="CYA367" s="640"/>
      <c r="CYB367" s="641"/>
      <c r="CYC367" s="653"/>
      <c r="CYE367" s="118"/>
      <c r="CYF367" s="219"/>
      <c r="CYG367" s="247"/>
      <c r="CYH367" s="652"/>
      <c r="CYI367" s="626"/>
      <c r="CYJ367" s="640"/>
      <c r="CYK367" s="641"/>
      <c r="CYL367" s="653"/>
      <c r="CYN367" s="118"/>
      <c r="CYO367" s="219"/>
      <c r="CYP367" s="247"/>
      <c r="CYQ367" s="652"/>
      <c r="CYR367" s="626"/>
      <c r="CYS367" s="640"/>
      <c r="CYT367" s="641"/>
      <c r="CYU367" s="653"/>
      <c r="CYW367" s="118"/>
      <c r="CYX367" s="219"/>
      <c r="CYY367" s="247"/>
      <c r="CYZ367" s="652"/>
      <c r="CZA367" s="626"/>
      <c r="CZB367" s="640"/>
      <c r="CZC367" s="641"/>
      <c r="CZD367" s="653"/>
      <c r="CZF367" s="118"/>
      <c r="CZG367" s="219"/>
      <c r="CZH367" s="247"/>
      <c r="CZI367" s="652"/>
      <c r="CZJ367" s="626"/>
      <c r="CZK367" s="640"/>
      <c r="CZL367" s="641"/>
      <c r="CZM367" s="653"/>
      <c r="CZO367" s="118"/>
      <c r="CZP367" s="219"/>
      <c r="CZQ367" s="247"/>
      <c r="CZR367" s="652"/>
      <c r="CZS367" s="626"/>
      <c r="CZT367" s="640"/>
      <c r="CZU367" s="641"/>
      <c r="CZV367" s="653"/>
      <c r="CZX367" s="118"/>
      <c r="CZY367" s="219"/>
      <c r="CZZ367" s="247"/>
      <c r="DAA367" s="652"/>
      <c r="DAB367" s="626"/>
      <c r="DAC367" s="640"/>
      <c r="DAD367" s="641"/>
      <c r="DAE367" s="653"/>
      <c r="DAG367" s="118"/>
      <c r="DAH367" s="219"/>
      <c r="DAI367" s="247"/>
      <c r="DAJ367" s="652"/>
      <c r="DAK367" s="626"/>
      <c r="DAL367" s="640"/>
      <c r="DAM367" s="641"/>
      <c r="DAN367" s="653"/>
      <c r="DAP367" s="118"/>
      <c r="DAQ367" s="219"/>
      <c r="DAR367" s="247"/>
      <c r="DAS367" s="652"/>
      <c r="DAT367" s="626"/>
      <c r="DAU367" s="640"/>
      <c r="DAV367" s="641"/>
      <c r="DAW367" s="653"/>
      <c r="DAY367" s="118"/>
      <c r="DAZ367" s="219"/>
      <c r="DBA367" s="247"/>
      <c r="DBB367" s="652"/>
      <c r="DBC367" s="626"/>
      <c r="DBD367" s="640"/>
      <c r="DBE367" s="641"/>
      <c r="DBF367" s="653"/>
      <c r="DBH367" s="118"/>
      <c r="DBI367" s="219"/>
      <c r="DBJ367" s="247"/>
      <c r="DBK367" s="652"/>
      <c r="DBL367" s="626"/>
      <c r="DBM367" s="640"/>
      <c r="DBN367" s="641"/>
      <c r="DBO367" s="653"/>
      <c r="DBQ367" s="118"/>
      <c r="DBR367" s="219"/>
      <c r="DBS367" s="247"/>
      <c r="DBT367" s="652"/>
      <c r="DBU367" s="626"/>
      <c r="DBV367" s="640"/>
      <c r="DBW367" s="641"/>
      <c r="DBX367" s="653"/>
      <c r="DBZ367" s="118"/>
      <c r="DCA367" s="219"/>
      <c r="DCB367" s="247"/>
      <c r="DCC367" s="652"/>
      <c r="DCD367" s="626"/>
      <c r="DCE367" s="640"/>
      <c r="DCF367" s="641"/>
      <c r="DCG367" s="653"/>
      <c r="DCI367" s="118"/>
      <c r="DCJ367" s="219"/>
      <c r="DCK367" s="247"/>
      <c r="DCL367" s="652"/>
      <c r="DCM367" s="626"/>
      <c r="DCN367" s="640"/>
      <c r="DCO367" s="641"/>
      <c r="DCP367" s="653"/>
      <c r="DCR367" s="118"/>
      <c r="DCS367" s="219"/>
      <c r="DCT367" s="247"/>
      <c r="DCU367" s="652"/>
      <c r="DCV367" s="626"/>
      <c r="DCW367" s="640"/>
      <c r="DCX367" s="641"/>
      <c r="DCY367" s="653"/>
      <c r="DDA367" s="118"/>
      <c r="DDB367" s="219"/>
      <c r="DDC367" s="247"/>
      <c r="DDD367" s="652"/>
      <c r="DDE367" s="626"/>
      <c r="DDF367" s="640"/>
      <c r="DDG367" s="641"/>
      <c r="DDH367" s="653"/>
      <c r="DDJ367" s="118"/>
      <c r="DDK367" s="219"/>
      <c r="DDL367" s="247"/>
      <c r="DDM367" s="652"/>
      <c r="DDN367" s="626"/>
      <c r="DDO367" s="640"/>
      <c r="DDP367" s="641"/>
      <c r="DDQ367" s="653"/>
      <c r="DDS367" s="118"/>
      <c r="DDT367" s="219"/>
      <c r="DDU367" s="247"/>
      <c r="DDV367" s="652"/>
      <c r="DDW367" s="626"/>
      <c r="DDX367" s="640"/>
      <c r="DDY367" s="641"/>
      <c r="DDZ367" s="653"/>
      <c r="DEB367" s="118"/>
      <c r="DEC367" s="219"/>
      <c r="DED367" s="247"/>
      <c r="DEE367" s="652"/>
      <c r="DEF367" s="626"/>
      <c r="DEG367" s="640"/>
      <c r="DEH367" s="641"/>
      <c r="DEI367" s="653"/>
      <c r="DEK367" s="118"/>
      <c r="DEL367" s="219"/>
      <c r="DEM367" s="247"/>
      <c r="DEN367" s="652"/>
      <c r="DEO367" s="626"/>
      <c r="DEP367" s="640"/>
      <c r="DEQ367" s="641"/>
      <c r="DER367" s="653"/>
      <c r="DET367" s="118"/>
      <c r="DEU367" s="219"/>
      <c r="DEV367" s="247"/>
      <c r="DEW367" s="652"/>
      <c r="DEX367" s="626"/>
      <c r="DEY367" s="640"/>
      <c r="DEZ367" s="641"/>
      <c r="DFA367" s="653"/>
      <c r="DFC367" s="118"/>
      <c r="DFD367" s="219"/>
      <c r="DFE367" s="247"/>
      <c r="DFF367" s="652"/>
      <c r="DFG367" s="626"/>
      <c r="DFH367" s="640"/>
      <c r="DFI367" s="641"/>
      <c r="DFJ367" s="653"/>
      <c r="DFL367" s="118"/>
      <c r="DFM367" s="219"/>
      <c r="DFN367" s="247"/>
      <c r="DFO367" s="652"/>
      <c r="DFP367" s="626"/>
      <c r="DFQ367" s="640"/>
      <c r="DFR367" s="641"/>
      <c r="DFS367" s="653"/>
      <c r="DFU367" s="118"/>
      <c r="DFV367" s="219"/>
      <c r="DFW367" s="247"/>
      <c r="DFX367" s="652"/>
      <c r="DFY367" s="626"/>
      <c r="DFZ367" s="640"/>
      <c r="DGA367" s="641"/>
      <c r="DGB367" s="653"/>
      <c r="DGD367" s="118"/>
      <c r="DGE367" s="219"/>
      <c r="DGF367" s="247"/>
      <c r="DGG367" s="652"/>
      <c r="DGH367" s="626"/>
      <c r="DGI367" s="640"/>
      <c r="DGJ367" s="641"/>
      <c r="DGK367" s="653"/>
      <c r="DGM367" s="118"/>
      <c r="DGN367" s="219"/>
      <c r="DGO367" s="247"/>
      <c r="DGP367" s="652"/>
      <c r="DGQ367" s="626"/>
      <c r="DGR367" s="640"/>
      <c r="DGS367" s="641"/>
      <c r="DGT367" s="653"/>
      <c r="DGV367" s="118"/>
      <c r="DGW367" s="219"/>
      <c r="DGX367" s="247"/>
      <c r="DGY367" s="652"/>
      <c r="DGZ367" s="626"/>
      <c r="DHA367" s="640"/>
      <c r="DHB367" s="641"/>
      <c r="DHC367" s="653"/>
      <c r="DHE367" s="118"/>
      <c r="DHF367" s="219"/>
      <c r="DHG367" s="247"/>
      <c r="DHH367" s="652"/>
      <c r="DHI367" s="626"/>
      <c r="DHJ367" s="640"/>
      <c r="DHK367" s="641"/>
      <c r="DHL367" s="653"/>
      <c r="DHN367" s="118"/>
      <c r="DHO367" s="219"/>
      <c r="DHP367" s="247"/>
      <c r="DHQ367" s="652"/>
      <c r="DHR367" s="626"/>
      <c r="DHS367" s="640"/>
      <c r="DHT367" s="641"/>
      <c r="DHU367" s="653"/>
      <c r="DHW367" s="118"/>
      <c r="DHX367" s="219"/>
      <c r="DHY367" s="247"/>
      <c r="DHZ367" s="652"/>
      <c r="DIA367" s="626"/>
      <c r="DIB367" s="640"/>
      <c r="DIC367" s="641"/>
      <c r="DID367" s="653"/>
      <c r="DIF367" s="118"/>
      <c r="DIG367" s="219"/>
      <c r="DIH367" s="247"/>
      <c r="DII367" s="652"/>
      <c r="DIJ367" s="626"/>
      <c r="DIK367" s="640"/>
      <c r="DIL367" s="641"/>
      <c r="DIM367" s="653"/>
      <c r="DIO367" s="118"/>
      <c r="DIP367" s="219"/>
      <c r="DIQ367" s="247"/>
      <c r="DIR367" s="652"/>
      <c r="DIS367" s="626"/>
      <c r="DIT367" s="640"/>
      <c r="DIU367" s="641"/>
      <c r="DIV367" s="653"/>
      <c r="DIX367" s="118"/>
      <c r="DIY367" s="219"/>
      <c r="DIZ367" s="247"/>
      <c r="DJA367" s="652"/>
      <c r="DJB367" s="626"/>
      <c r="DJC367" s="640"/>
      <c r="DJD367" s="641"/>
      <c r="DJE367" s="653"/>
      <c r="DJG367" s="118"/>
      <c r="DJH367" s="219"/>
      <c r="DJI367" s="247"/>
      <c r="DJJ367" s="652"/>
      <c r="DJK367" s="626"/>
      <c r="DJL367" s="640"/>
      <c r="DJM367" s="641"/>
      <c r="DJN367" s="653"/>
      <c r="DJP367" s="118"/>
      <c r="DJQ367" s="219"/>
      <c r="DJR367" s="247"/>
      <c r="DJS367" s="652"/>
      <c r="DJT367" s="626"/>
      <c r="DJU367" s="640"/>
      <c r="DJV367" s="641"/>
      <c r="DJW367" s="653"/>
      <c r="DJY367" s="118"/>
      <c r="DJZ367" s="219"/>
      <c r="DKA367" s="247"/>
      <c r="DKB367" s="652"/>
      <c r="DKC367" s="626"/>
      <c r="DKD367" s="640"/>
      <c r="DKE367" s="641"/>
      <c r="DKF367" s="653"/>
      <c r="DKH367" s="118"/>
      <c r="DKI367" s="219"/>
      <c r="DKJ367" s="247"/>
      <c r="DKK367" s="652"/>
      <c r="DKL367" s="626"/>
      <c r="DKM367" s="640"/>
      <c r="DKN367" s="641"/>
      <c r="DKO367" s="653"/>
      <c r="DKQ367" s="118"/>
      <c r="DKR367" s="219"/>
      <c r="DKS367" s="247"/>
      <c r="DKT367" s="652"/>
      <c r="DKU367" s="626"/>
      <c r="DKV367" s="640"/>
      <c r="DKW367" s="641"/>
      <c r="DKX367" s="653"/>
      <c r="DKZ367" s="118"/>
      <c r="DLA367" s="219"/>
      <c r="DLB367" s="247"/>
      <c r="DLC367" s="652"/>
      <c r="DLD367" s="626"/>
      <c r="DLE367" s="640"/>
      <c r="DLF367" s="641"/>
      <c r="DLG367" s="653"/>
      <c r="DLI367" s="118"/>
      <c r="DLJ367" s="219"/>
      <c r="DLK367" s="247"/>
      <c r="DLL367" s="652"/>
      <c r="DLM367" s="626"/>
      <c r="DLN367" s="640"/>
      <c r="DLO367" s="641"/>
      <c r="DLP367" s="653"/>
      <c r="DLR367" s="118"/>
      <c r="DLS367" s="219"/>
      <c r="DLT367" s="247"/>
      <c r="DLU367" s="652"/>
      <c r="DLV367" s="626"/>
      <c r="DLW367" s="640"/>
      <c r="DLX367" s="641"/>
      <c r="DLY367" s="653"/>
      <c r="DMA367" s="118"/>
      <c r="DMB367" s="219"/>
      <c r="DMC367" s="247"/>
      <c r="DMD367" s="652"/>
      <c r="DME367" s="626"/>
      <c r="DMF367" s="640"/>
      <c r="DMG367" s="641"/>
      <c r="DMH367" s="653"/>
      <c r="DMJ367" s="118"/>
      <c r="DMK367" s="219"/>
      <c r="DML367" s="247"/>
      <c r="DMM367" s="652"/>
      <c r="DMN367" s="626"/>
      <c r="DMO367" s="640"/>
      <c r="DMP367" s="641"/>
      <c r="DMQ367" s="653"/>
      <c r="DMS367" s="118"/>
      <c r="DMT367" s="219"/>
      <c r="DMU367" s="247"/>
      <c r="DMV367" s="652"/>
      <c r="DMW367" s="626"/>
      <c r="DMX367" s="640"/>
      <c r="DMY367" s="641"/>
      <c r="DMZ367" s="653"/>
      <c r="DNB367" s="118"/>
      <c r="DNC367" s="219"/>
      <c r="DND367" s="247"/>
      <c r="DNE367" s="652"/>
      <c r="DNF367" s="626"/>
      <c r="DNG367" s="640"/>
      <c r="DNH367" s="641"/>
      <c r="DNI367" s="653"/>
      <c r="DNK367" s="118"/>
      <c r="DNL367" s="219"/>
      <c r="DNM367" s="247"/>
      <c r="DNN367" s="652"/>
      <c r="DNO367" s="626"/>
      <c r="DNP367" s="640"/>
      <c r="DNQ367" s="641"/>
      <c r="DNR367" s="653"/>
      <c r="DNT367" s="118"/>
      <c r="DNU367" s="219"/>
      <c r="DNV367" s="247"/>
      <c r="DNW367" s="652"/>
      <c r="DNX367" s="626"/>
      <c r="DNY367" s="640"/>
      <c r="DNZ367" s="641"/>
      <c r="DOA367" s="653"/>
      <c r="DOC367" s="118"/>
      <c r="DOD367" s="219"/>
      <c r="DOE367" s="247"/>
      <c r="DOF367" s="652"/>
      <c r="DOG367" s="626"/>
      <c r="DOH367" s="640"/>
      <c r="DOI367" s="641"/>
      <c r="DOJ367" s="653"/>
      <c r="DOL367" s="118"/>
      <c r="DOM367" s="219"/>
      <c r="DON367" s="247"/>
      <c r="DOO367" s="652"/>
      <c r="DOP367" s="626"/>
      <c r="DOQ367" s="640"/>
      <c r="DOR367" s="641"/>
      <c r="DOS367" s="653"/>
      <c r="DOU367" s="118"/>
      <c r="DOV367" s="219"/>
      <c r="DOW367" s="247"/>
      <c r="DOX367" s="652"/>
      <c r="DOY367" s="626"/>
      <c r="DOZ367" s="640"/>
      <c r="DPA367" s="641"/>
      <c r="DPB367" s="653"/>
      <c r="DPD367" s="118"/>
      <c r="DPE367" s="219"/>
      <c r="DPF367" s="247"/>
      <c r="DPG367" s="652"/>
      <c r="DPH367" s="626"/>
      <c r="DPI367" s="640"/>
      <c r="DPJ367" s="641"/>
      <c r="DPK367" s="653"/>
      <c r="DPM367" s="118"/>
      <c r="DPN367" s="219"/>
      <c r="DPO367" s="247"/>
      <c r="DPP367" s="652"/>
      <c r="DPQ367" s="626"/>
      <c r="DPR367" s="640"/>
      <c r="DPS367" s="641"/>
      <c r="DPT367" s="653"/>
      <c r="DPV367" s="118"/>
      <c r="DPW367" s="219"/>
      <c r="DPX367" s="247"/>
      <c r="DPY367" s="652"/>
      <c r="DPZ367" s="626"/>
      <c r="DQA367" s="640"/>
      <c r="DQB367" s="641"/>
      <c r="DQC367" s="653"/>
      <c r="DQE367" s="118"/>
      <c r="DQF367" s="219"/>
      <c r="DQG367" s="247"/>
      <c r="DQH367" s="652"/>
      <c r="DQI367" s="626"/>
      <c r="DQJ367" s="640"/>
      <c r="DQK367" s="641"/>
      <c r="DQL367" s="653"/>
      <c r="DQN367" s="118"/>
      <c r="DQO367" s="219"/>
      <c r="DQP367" s="247"/>
      <c r="DQQ367" s="652"/>
      <c r="DQR367" s="626"/>
      <c r="DQS367" s="640"/>
      <c r="DQT367" s="641"/>
      <c r="DQU367" s="653"/>
      <c r="DQW367" s="118"/>
      <c r="DQX367" s="219"/>
      <c r="DQY367" s="247"/>
      <c r="DQZ367" s="652"/>
      <c r="DRA367" s="626"/>
      <c r="DRB367" s="640"/>
      <c r="DRC367" s="641"/>
      <c r="DRD367" s="653"/>
      <c r="DRF367" s="118"/>
      <c r="DRG367" s="219"/>
      <c r="DRH367" s="247"/>
      <c r="DRI367" s="652"/>
      <c r="DRJ367" s="626"/>
      <c r="DRK367" s="640"/>
      <c r="DRL367" s="641"/>
      <c r="DRM367" s="653"/>
      <c r="DRO367" s="118"/>
      <c r="DRP367" s="219"/>
      <c r="DRQ367" s="247"/>
      <c r="DRR367" s="652"/>
      <c r="DRS367" s="626"/>
      <c r="DRT367" s="640"/>
      <c r="DRU367" s="641"/>
      <c r="DRV367" s="653"/>
      <c r="DRX367" s="118"/>
      <c r="DRY367" s="219"/>
      <c r="DRZ367" s="247"/>
      <c r="DSA367" s="652"/>
      <c r="DSB367" s="626"/>
      <c r="DSC367" s="640"/>
      <c r="DSD367" s="641"/>
      <c r="DSE367" s="653"/>
      <c r="DSG367" s="118"/>
      <c r="DSH367" s="219"/>
      <c r="DSI367" s="247"/>
      <c r="DSJ367" s="652"/>
      <c r="DSK367" s="626"/>
      <c r="DSL367" s="640"/>
      <c r="DSM367" s="641"/>
      <c r="DSN367" s="653"/>
      <c r="DSP367" s="118"/>
      <c r="DSQ367" s="219"/>
      <c r="DSR367" s="247"/>
      <c r="DSS367" s="652"/>
      <c r="DST367" s="626"/>
      <c r="DSU367" s="640"/>
      <c r="DSV367" s="641"/>
      <c r="DSW367" s="653"/>
      <c r="DSY367" s="118"/>
      <c r="DSZ367" s="219"/>
      <c r="DTA367" s="247"/>
      <c r="DTB367" s="652"/>
      <c r="DTC367" s="626"/>
      <c r="DTD367" s="640"/>
      <c r="DTE367" s="641"/>
      <c r="DTF367" s="653"/>
      <c r="DTH367" s="118"/>
      <c r="DTI367" s="219"/>
      <c r="DTJ367" s="247"/>
      <c r="DTK367" s="652"/>
      <c r="DTL367" s="626"/>
      <c r="DTM367" s="640"/>
      <c r="DTN367" s="641"/>
      <c r="DTO367" s="653"/>
      <c r="DTQ367" s="118"/>
      <c r="DTR367" s="219"/>
      <c r="DTS367" s="247"/>
      <c r="DTT367" s="652"/>
      <c r="DTU367" s="626"/>
      <c r="DTV367" s="640"/>
      <c r="DTW367" s="641"/>
      <c r="DTX367" s="653"/>
      <c r="DTZ367" s="118"/>
      <c r="DUA367" s="219"/>
      <c r="DUB367" s="247"/>
      <c r="DUC367" s="652"/>
      <c r="DUD367" s="626"/>
      <c r="DUE367" s="640"/>
      <c r="DUF367" s="641"/>
      <c r="DUG367" s="653"/>
      <c r="DUI367" s="118"/>
      <c r="DUJ367" s="219"/>
      <c r="DUK367" s="247"/>
      <c r="DUL367" s="652"/>
      <c r="DUM367" s="626"/>
      <c r="DUN367" s="640"/>
      <c r="DUO367" s="641"/>
      <c r="DUP367" s="653"/>
      <c r="DUR367" s="118"/>
      <c r="DUS367" s="219"/>
      <c r="DUT367" s="247"/>
      <c r="DUU367" s="652"/>
      <c r="DUV367" s="626"/>
      <c r="DUW367" s="640"/>
      <c r="DUX367" s="641"/>
      <c r="DUY367" s="653"/>
      <c r="DVA367" s="118"/>
      <c r="DVB367" s="219"/>
      <c r="DVC367" s="247"/>
      <c r="DVD367" s="652"/>
      <c r="DVE367" s="626"/>
      <c r="DVF367" s="640"/>
      <c r="DVG367" s="641"/>
      <c r="DVH367" s="653"/>
      <c r="DVJ367" s="118"/>
      <c r="DVK367" s="219"/>
      <c r="DVL367" s="247"/>
      <c r="DVM367" s="652"/>
      <c r="DVN367" s="626"/>
      <c r="DVO367" s="640"/>
      <c r="DVP367" s="641"/>
      <c r="DVQ367" s="653"/>
      <c r="DVS367" s="118"/>
      <c r="DVT367" s="219"/>
      <c r="DVU367" s="247"/>
      <c r="DVV367" s="652"/>
      <c r="DVW367" s="626"/>
      <c r="DVX367" s="640"/>
      <c r="DVY367" s="641"/>
      <c r="DVZ367" s="653"/>
      <c r="DWB367" s="118"/>
      <c r="DWC367" s="219"/>
      <c r="DWD367" s="247"/>
      <c r="DWE367" s="652"/>
      <c r="DWF367" s="626"/>
      <c r="DWG367" s="640"/>
      <c r="DWH367" s="641"/>
      <c r="DWI367" s="653"/>
      <c r="DWK367" s="118"/>
      <c r="DWL367" s="219"/>
      <c r="DWM367" s="247"/>
      <c r="DWN367" s="652"/>
      <c r="DWO367" s="626"/>
      <c r="DWP367" s="640"/>
      <c r="DWQ367" s="641"/>
      <c r="DWR367" s="653"/>
      <c r="DWT367" s="118"/>
      <c r="DWU367" s="219"/>
      <c r="DWV367" s="247"/>
      <c r="DWW367" s="652"/>
      <c r="DWX367" s="626"/>
      <c r="DWY367" s="640"/>
      <c r="DWZ367" s="641"/>
      <c r="DXA367" s="653"/>
      <c r="DXC367" s="118"/>
      <c r="DXD367" s="219"/>
      <c r="DXE367" s="247"/>
      <c r="DXF367" s="652"/>
      <c r="DXG367" s="626"/>
      <c r="DXH367" s="640"/>
      <c r="DXI367" s="641"/>
      <c r="DXJ367" s="653"/>
      <c r="DXL367" s="118"/>
      <c r="DXM367" s="219"/>
      <c r="DXN367" s="247"/>
      <c r="DXO367" s="652"/>
      <c r="DXP367" s="626"/>
      <c r="DXQ367" s="640"/>
      <c r="DXR367" s="641"/>
      <c r="DXS367" s="653"/>
      <c r="DXU367" s="118"/>
      <c r="DXV367" s="219"/>
      <c r="DXW367" s="247"/>
      <c r="DXX367" s="652"/>
      <c r="DXY367" s="626"/>
      <c r="DXZ367" s="640"/>
      <c r="DYA367" s="641"/>
      <c r="DYB367" s="653"/>
      <c r="DYD367" s="118"/>
      <c r="DYE367" s="219"/>
      <c r="DYF367" s="247"/>
      <c r="DYG367" s="652"/>
      <c r="DYH367" s="626"/>
      <c r="DYI367" s="640"/>
      <c r="DYJ367" s="641"/>
      <c r="DYK367" s="653"/>
      <c r="DYM367" s="118"/>
      <c r="DYN367" s="219"/>
      <c r="DYO367" s="247"/>
      <c r="DYP367" s="652"/>
      <c r="DYQ367" s="626"/>
      <c r="DYR367" s="640"/>
      <c r="DYS367" s="641"/>
      <c r="DYT367" s="653"/>
      <c r="DYV367" s="118"/>
      <c r="DYW367" s="219"/>
      <c r="DYX367" s="247"/>
      <c r="DYY367" s="652"/>
      <c r="DYZ367" s="626"/>
      <c r="DZA367" s="640"/>
      <c r="DZB367" s="641"/>
      <c r="DZC367" s="653"/>
      <c r="DZE367" s="118"/>
      <c r="DZF367" s="219"/>
      <c r="DZG367" s="247"/>
      <c r="DZH367" s="652"/>
      <c r="DZI367" s="626"/>
      <c r="DZJ367" s="640"/>
      <c r="DZK367" s="641"/>
      <c r="DZL367" s="653"/>
      <c r="DZN367" s="118"/>
      <c r="DZO367" s="219"/>
      <c r="DZP367" s="247"/>
      <c r="DZQ367" s="652"/>
      <c r="DZR367" s="626"/>
      <c r="DZS367" s="640"/>
      <c r="DZT367" s="641"/>
      <c r="DZU367" s="653"/>
      <c r="DZW367" s="118"/>
      <c r="DZX367" s="219"/>
      <c r="DZY367" s="247"/>
      <c r="DZZ367" s="652"/>
      <c r="EAA367" s="626"/>
      <c r="EAB367" s="640"/>
      <c r="EAC367" s="641"/>
      <c r="EAD367" s="653"/>
      <c r="EAF367" s="118"/>
      <c r="EAG367" s="219"/>
      <c r="EAH367" s="247"/>
      <c r="EAI367" s="652"/>
      <c r="EAJ367" s="626"/>
      <c r="EAK367" s="640"/>
      <c r="EAL367" s="641"/>
      <c r="EAM367" s="653"/>
      <c r="EAO367" s="118"/>
      <c r="EAP367" s="219"/>
      <c r="EAQ367" s="247"/>
      <c r="EAR367" s="652"/>
      <c r="EAS367" s="626"/>
      <c r="EAT367" s="640"/>
      <c r="EAU367" s="641"/>
      <c r="EAV367" s="653"/>
      <c r="EAX367" s="118"/>
      <c r="EAY367" s="219"/>
      <c r="EAZ367" s="247"/>
      <c r="EBA367" s="652"/>
      <c r="EBB367" s="626"/>
      <c r="EBC367" s="640"/>
      <c r="EBD367" s="641"/>
      <c r="EBE367" s="653"/>
      <c r="EBG367" s="118"/>
      <c r="EBH367" s="219"/>
      <c r="EBI367" s="247"/>
      <c r="EBJ367" s="652"/>
      <c r="EBK367" s="626"/>
      <c r="EBL367" s="640"/>
      <c r="EBM367" s="641"/>
      <c r="EBN367" s="653"/>
      <c r="EBP367" s="118"/>
      <c r="EBQ367" s="219"/>
      <c r="EBR367" s="247"/>
      <c r="EBS367" s="652"/>
      <c r="EBT367" s="626"/>
      <c r="EBU367" s="640"/>
      <c r="EBV367" s="641"/>
      <c r="EBW367" s="653"/>
      <c r="EBY367" s="118"/>
      <c r="EBZ367" s="219"/>
      <c r="ECA367" s="247"/>
      <c r="ECB367" s="652"/>
      <c r="ECC367" s="626"/>
      <c r="ECD367" s="640"/>
      <c r="ECE367" s="641"/>
      <c r="ECF367" s="653"/>
      <c r="ECH367" s="118"/>
      <c r="ECI367" s="219"/>
      <c r="ECJ367" s="247"/>
      <c r="ECK367" s="652"/>
      <c r="ECL367" s="626"/>
      <c r="ECM367" s="640"/>
      <c r="ECN367" s="641"/>
      <c r="ECO367" s="653"/>
      <c r="ECQ367" s="118"/>
      <c r="ECR367" s="219"/>
      <c r="ECS367" s="247"/>
      <c r="ECT367" s="652"/>
      <c r="ECU367" s="626"/>
      <c r="ECV367" s="640"/>
      <c r="ECW367" s="641"/>
      <c r="ECX367" s="653"/>
      <c r="ECZ367" s="118"/>
      <c r="EDA367" s="219"/>
      <c r="EDB367" s="247"/>
      <c r="EDC367" s="652"/>
      <c r="EDD367" s="626"/>
      <c r="EDE367" s="640"/>
      <c r="EDF367" s="641"/>
      <c r="EDG367" s="653"/>
      <c r="EDI367" s="118"/>
      <c r="EDJ367" s="219"/>
      <c r="EDK367" s="247"/>
      <c r="EDL367" s="652"/>
      <c r="EDM367" s="626"/>
      <c r="EDN367" s="640"/>
      <c r="EDO367" s="641"/>
      <c r="EDP367" s="653"/>
      <c r="EDR367" s="118"/>
      <c r="EDS367" s="219"/>
      <c r="EDT367" s="247"/>
      <c r="EDU367" s="652"/>
      <c r="EDV367" s="626"/>
      <c r="EDW367" s="640"/>
      <c r="EDX367" s="641"/>
      <c r="EDY367" s="653"/>
      <c r="EEA367" s="118"/>
      <c r="EEB367" s="219"/>
      <c r="EEC367" s="247"/>
      <c r="EED367" s="652"/>
      <c r="EEE367" s="626"/>
      <c r="EEF367" s="640"/>
      <c r="EEG367" s="641"/>
      <c r="EEH367" s="653"/>
      <c r="EEJ367" s="118"/>
      <c r="EEK367" s="219"/>
      <c r="EEL367" s="247"/>
      <c r="EEM367" s="652"/>
      <c r="EEN367" s="626"/>
      <c r="EEO367" s="640"/>
      <c r="EEP367" s="641"/>
      <c r="EEQ367" s="653"/>
      <c r="EES367" s="118"/>
      <c r="EET367" s="219"/>
      <c r="EEU367" s="247"/>
      <c r="EEV367" s="652"/>
      <c r="EEW367" s="626"/>
      <c r="EEX367" s="640"/>
      <c r="EEY367" s="641"/>
      <c r="EEZ367" s="653"/>
      <c r="EFB367" s="118"/>
      <c r="EFC367" s="219"/>
      <c r="EFD367" s="247"/>
      <c r="EFE367" s="652"/>
      <c r="EFF367" s="626"/>
      <c r="EFG367" s="640"/>
      <c r="EFH367" s="641"/>
      <c r="EFI367" s="653"/>
      <c r="EFK367" s="118"/>
      <c r="EFL367" s="219"/>
      <c r="EFM367" s="247"/>
      <c r="EFN367" s="652"/>
      <c r="EFO367" s="626"/>
      <c r="EFP367" s="640"/>
      <c r="EFQ367" s="641"/>
      <c r="EFR367" s="653"/>
      <c r="EFT367" s="118"/>
      <c r="EFU367" s="219"/>
      <c r="EFV367" s="247"/>
      <c r="EFW367" s="652"/>
      <c r="EFX367" s="626"/>
      <c r="EFY367" s="640"/>
      <c r="EFZ367" s="641"/>
      <c r="EGA367" s="653"/>
      <c r="EGC367" s="118"/>
      <c r="EGD367" s="219"/>
      <c r="EGE367" s="247"/>
      <c r="EGF367" s="652"/>
      <c r="EGG367" s="626"/>
      <c r="EGH367" s="640"/>
      <c r="EGI367" s="641"/>
      <c r="EGJ367" s="653"/>
      <c r="EGL367" s="118"/>
      <c r="EGM367" s="219"/>
      <c r="EGN367" s="247"/>
      <c r="EGO367" s="652"/>
      <c r="EGP367" s="626"/>
      <c r="EGQ367" s="640"/>
      <c r="EGR367" s="641"/>
      <c r="EGS367" s="653"/>
      <c r="EGU367" s="118"/>
      <c r="EGV367" s="219"/>
      <c r="EGW367" s="247"/>
      <c r="EGX367" s="652"/>
      <c r="EGY367" s="626"/>
      <c r="EGZ367" s="640"/>
      <c r="EHA367" s="641"/>
      <c r="EHB367" s="653"/>
      <c r="EHD367" s="118"/>
      <c r="EHE367" s="219"/>
      <c r="EHF367" s="247"/>
      <c r="EHG367" s="652"/>
      <c r="EHH367" s="626"/>
      <c r="EHI367" s="640"/>
      <c r="EHJ367" s="641"/>
      <c r="EHK367" s="653"/>
      <c r="EHM367" s="118"/>
      <c r="EHN367" s="219"/>
      <c r="EHO367" s="247"/>
      <c r="EHP367" s="652"/>
      <c r="EHQ367" s="626"/>
      <c r="EHR367" s="640"/>
      <c r="EHS367" s="641"/>
      <c r="EHT367" s="653"/>
      <c r="EHV367" s="118"/>
      <c r="EHW367" s="219"/>
      <c r="EHX367" s="247"/>
      <c r="EHY367" s="652"/>
      <c r="EHZ367" s="626"/>
      <c r="EIA367" s="640"/>
      <c r="EIB367" s="641"/>
      <c r="EIC367" s="653"/>
      <c r="EIE367" s="118"/>
      <c r="EIF367" s="219"/>
      <c r="EIG367" s="247"/>
      <c r="EIH367" s="652"/>
      <c r="EII367" s="626"/>
      <c r="EIJ367" s="640"/>
      <c r="EIK367" s="641"/>
      <c r="EIL367" s="653"/>
      <c r="EIN367" s="118"/>
      <c r="EIO367" s="219"/>
      <c r="EIP367" s="247"/>
      <c r="EIQ367" s="652"/>
      <c r="EIR367" s="626"/>
      <c r="EIS367" s="640"/>
      <c r="EIT367" s="641"/>
      <c r="EIU367" s="653"/>
      <c r="EIW367" s="118"/>
      <c r="EIX367" s="219"/>
      <c r="EIY367" s="247"/>
      <c r="EIZ367" s="652"/>
      <c r="EJA367" s="626"/>
      <c r="EJB367" s="640"/>
      <c r="EJC367" s="641"/>
      <c r="EJD367" s="653"/>
      <c r="EJF367" s="118"/>
      <c r="EJG367" s="219"/>
      <c r="EJH367" s="247"/>
      <c r="EJI367" s="652"/>
      <c r="EJJ367" s="626"/>
      <c r="EJK367" s="640"/>
      <c r="EJL367" s="641"/>
      <c r="EJM367" s="653"/>
      <c r="EJO367" s="118"/>
      <c r="EJP367" s="219"/>
      <c r="EJQ367" s="247"/>
      <c r="EJR367" s="652"/>
      <c r="EJS367" s="626"/>
      <c r="EJT367" s="640"/>
      <c r="EJU367" s="641"/>
      <c r="EJV367" s="653"/>
      <c r="EJX367" s="118"/>
      <c r="EJY367" s="219"/>
      <c r="EJZ367" s="247"/>
      <c r="EKA367" s="652"/>
      <c r="EKB367" s="626"/>
      <c r="EKC367" s="640"/>
      <c r="EKD367" s="641"/>
      <c r="EKE367" s="653"/>
      <c r="EKG367" s="118"/>
      <c r="EKH367" s="219"/>
      <c r="EKI367" s="247"/>
      <c r="EKJ367" s="652"/>
      <c r="EKK367" s="626"/>
      <c r="EKL367" s="640"/>
      <c r="EKM367" s="641"/>
      <c r="EKN367" s="653"/>
      <c r="EKP367" s="118"/>
      <c r="EKQ367" s="219"/>
      <c r="EKR367" s="247"/>
      <c r="EKS367" s="652"/>
      <c r="EKT367" s="626"/>
      <c r="EKU367" s="640"/>
      <c r="EKV367" s="641"/>
      <c r="EKW367" s="653"/>
      <c r="EKY367" s="118"/>
      <c r="EKZ367" s="219"/>
      <c r="ELA367" s="247"/>
      <c r="ELB367" s="652"/>
      <c r="ELC367" s="626"/>
      <c r="ELD367" s="640"/>
      <c r="ELE367" s="641"/>
      <c r="ELF367" s="653"/>
      <c r="ELH367" s="118"/>
      <c r="ELI367" s="219"/>
      <c r="ELJ367" s="247"/>
      <c r="ELK367" s="652"/>
      <c r="ELL367" s="626"/>
      <c r="ELM367" s="640"/>
      <c r="ELN367" s="641"/>
      <c r="ELO367" s="653"/>
      <c r="ELQ367" s="118"/>
      <c r="ELR367" s="219"/>
      <c r="ELS367" s="247"/>
      <c r="ELT367" s="652"/>
      <c r="ELU367" s="626"/>
      <c r="ELV367" s="640"/>
      <c r="ELW367" s="641"/>
      <c r="ELX367" s="653"/>
      <c r="ELZ367" s="118"/>
      <c r="EMA367" s="219"/>
      <c r="EMB367" s="247"/>
      <c r="EMC367" s="652"/>
      <c r="EMD367" s="626"/>
      <c r="EME367" s="640"/>
      <c r="EMF367" s="641"/>
      <c r="EMG367" s="653"/>
      <c r="EMI367" s="118"/>
      <c r="EMJ367" s="219"/>
      <c r="EMK367" s="247"/>
      <c r="EML367" s="652"/>
      <c r="EMM367" s="626"/>
      <c r="EMN367" s="640"/>
      <c r="EMO367" s="641"/>
      <c r="EMP367" s="653"/>
      <c r="EMR367" s="118"/>
      <c r="EMS367" s="219"/>
      <c r="EMT367" s="247"/>
      <c r="EMU367" s="652"/>
      <c r="EMV367" s="626"/>
      <c r="EMW367" s="640"/>
      <c r="EMX367" s="641"/>
      <c r="EMY367" s="653"/>
      <c r="ENA367" s="118"/>
      <c r="ENB367" s="219"/>
      <c r="ENC367" s="247"/>
      <c r="END367" s="652"/>
      <c r="ENE367" s="626"/>
      <c r="ENF367" s="640"/>
      <c r="ENG367" s="641"/>
      <c r="ENH367" s="653"/>
      <c r="ENJ367" s="118"/>
      <c r="ENK367" s="219"/>
      <c r="ENL367" s="247"/>
      <c r="ENM367" s="652"/>
      <c r="ENN367" s="626"/>
      <c r="ENO367" s="640"/>
      <c r="ENP367" s="641"/>
      <c r="ENQ367" s="653"/>
      <c r="ENS367" s="118"/>
      <c r="ENT367" s="219"/>
      <c r="ENU367" s="247"/>
      <c r="ENV367" s="652"/>
      <c r="ENW367" s="626"/>
      <c r="ENX367" s="640"/>
      <c r="ENY367" s="641"/>
      <c r="ENZ367" s="653"/>
      <c r="EOB367" s="118"/>
      <c r="EOC367" s="219"/>
      <c r="EOD367" s="247"/>
      <c r="EOE367" s="652"/>
      <c r="EOF367" s="626"/>
      <c r="EOG367" s="640"/>
      <c r="EOH367" s="641"/>
      <c r="EOI367" s="653"/>
      <c r="EOK367" s="118"/>
      <c r="EOL367" s="219"/>
      <c r="EOM367" s="247"/>
      <c r="EON367" s="652"/>
      <c r="EOO367" s="626"/>
      <c r="EOP367" s="640"/>
      <c r="EOQ367" s="641"/>
      <c r="EOR367" s="653"/>
      <c r="EOT367" s="118"/>
      <c r="EOU367" s="219"/>
      <c r="EOV367" s="247"/>
      <c r="EOW367" s="652"/>
      <c r="EOX367" s="626"/>
      <c r="EOY367" s="640"/>
      <c r="EOZ367" s="641"/>
      <c r="EPA367" s="653"/>
      <c r="EPC367" s="118"/>
      <c r="EPD367" s="219"/>
      <c r="EPE367" s="247"/>
      <c r="EPF367" s="652"/>
      <c r="EPG367" s="626"/>
      <c r="EPH367" s="640"/>
      <c r="EPI367" s="641"/>
      <c r="EPJ367" s="653"/>
      <c r="EPL367" s="118"/>
      <c r="EPM367" s="219"/>
      <c r="EPN367" s="247"/>
      <c r="EPO367" s="652"/>
      <c r="EPP367" s="626"/>
      <c r="EPQ367" s="640"/>
      <c r="EPR367" s="641"/>
      <c r="EPS367" s="653"/>
      <c r="EPU367" s="118"/>
      <c r="EPV367" s="219"/>
      <c r="EPW367" s="247"/>
      <c r="EPX367" s="652"/>
      <c r="EPY367" s="626"/>
      <c r="EPZ367" s="640"/>
      <c r="EQA367" s="641"/>
      <c r="EQB367" s="653"/>
      <c r="EQD367" s="118"/>
      <c r="EQE367" s="219"/>
      <c r="EQF367" s="247"/>
      <c r="EQG367" s="652"/>
      <c r="EQH367" s="626"/>
      <c r="EQI367" s="640"/>
      <c r="EQJ367" s="641"/>
      <c r="EQK367" s="653"/>
      <c r="EQM367" s="118"/>
      <c r="EQN367" s="219"/>
      <c r="EQO367" s="247"/>
      <c r="EQP367" s="652"/>
      <c r="EQQ367" s="626"/>
      <c r="EQR367" s="640"/>
      <c r="EQS367" s="641"/>
      <c r="EQT367" s="653"/>
      <c r="EQV367" s="118"/>
      <c r="EQW367" s="219"/>
      <c r="EQX367" s="247"/>
      <c r="EQY367" s="652"/>
      <c r="EQZ367" s="626"/>
      <c r="ERA367" s="640"/>
      <c r="ERB367" s="641"/>
      <c r="ERC367" s="653"/>
      <c r="ERE367" s="118"/>
      <c r="ERF367" s="219"/>
      <c r="ERG367" s="247"/>
      <c r="ERH367" s="652"/>
      <c r="ERI367" s="626"/>
      <c r="ERJ367" s="640"/>
      <c r="ERK367" s="641"/>
      <c r="ERL367" s="653"/>
      <c r="ERN367" s="118"/>
      <c r="ERO367" s="219"/>
      <c r="ERP367" s="247"/>
      <c r="ERQ367" s="652"/>
      <c r="ERR367" s="626"/>
      <c r="ERS367" s="640"/>
      <c r="ERT367" s="641"/>
      <c r="ERU367" s="653"/>
      <c r="ERW367" s="118"/>
      <c r="ERX367" s="219"/>
      <c r="ERY367" s="247"/>
      <c r="ERZ367" s="652"/>
      <c r="ESA367" s="626"/>
      <c r="ESB367" s="640"/>
      <c r="ESC367" s="641"/>
      <c r="ESD367" s="653"/>
      <c r="ESF367" s="118"/>
      <c r="ESG367" s="219"/>
      <c r="ESH367" s="247"/>
      <c r="ESI367" s="652"/>
      <c r="ESJ367" s="626"/>
      <c r="ESK367" s="640"/>
      <c r="ESL367" s="641"/>
      <c r="ESM367" s="653"/>
      <c r="ESO367" s="118"/>
      <c r="ESP367" s="219"/>
      <c r="ESQ367" s="247"/>
      <c r="ESR367" s="652"/>
      <c r="ESS367" s="626"/>
      <c r="EST367" s="640"/>
      <c r="ESU367" s="641"/>
      <c r="ESV367" s="653"/>
      <c r="ESX367" s="118"/>
      <c r="ESY367" s="219"/>
      <c r="ESZ367" s="247"/>
      <c r="ETA367" s="652"/>
      <c r="ETB367" s="626"/>
      <c r="ETC367" s="640"/>
      <c r="ETD367" s="641"/>
      <c r="ETE367" s="653"/>
      <c r="ETG367" s="118"/>
      <c r="ETH367" s="219"/>
      <c r="ETI367" s="247"/>
      <c r="ETJ367" s="652"/>
      <c r="ETK367" s="626"/>
      <c r="ETL367" s="640"/>
      <c r="ETM367" s="641"/>
      <c r="ETN367" s="653"/>
      <c r="ETP367" s="118"/>
      <c r="ETQ367" s="219"/>
      <c r="ETR367" s="247"/>
      <c r="ETS367" s="652"/>
      <c r="ETT367" s="626"/>
      <c r="ETU367" s="640"/>
      <c r="ETV367" s="641"/>
      <c r="ETW367" s="653"/>
      <c r="ETY367" s="118"/>
      <c r="ETZ367" s="219"/>
      <c r="EUA367" s="247"/>
      <c r="EUB367" s="652"/>
      <c r="EUC367" s="626"/>
      <c r="EUD367" s="640"/>
      <c r="EUE367" s="641"/>
      <c r="EUF367" s="653"/>
      <c r="EUH367" s="118"/>
      <c r="EUI367" s="219"/>
      <c r="EUJ367" s="247"/>
      <c r="EUK367" s="652"/>
      <c r="EUL367" s="626"/>
      <c r="EUM367" s="640"/>
      <c r="EUN367" s="641"/>
      <c r="EUO367" s="653"/>
      <c r="EUQ367" s="118"/>
      <c r="EUR367" s="219"/>
      <c r="EUS367" s="247"/>
      <c r="EUT367" s="652"/>
      <c r="EUU367" s="626"/>
      <c r="EUV367" s="640"/>
      <c r="EUW367" s="641"/>
      <c r="EUX367" s="653"/>
      <c r="EUZ367" s="118"/>
      <c r="EVA367" s="219"/>
      <c r="EVB367" s="247"/>
      <c r="EVC367" s="652"/>
      <c r="EVD367" s="626"/>
      <c r="EVE367" s="640"/>
      <c r="EVF367" s="641"/>
      <c r="EVG367" s="653"/>
      <c r="EVI367" s="118"/>
      <c r="EVJ367" s="219"/>
      <c r="EVK367" s="247"/>
      <c r="EVL367" s="652"/>
      <c r="EVM367" s="626"/>
      <c r="EVN367" s="640"/>
      <c r="EVO367" s="641"/>
      <c r="EVP367" s="653"/>
      <c r="EVR367" s="118"/>
      <c r="EVS367" s="219"/>
      <c r="EVT367" s="247"/>
      <c r="EVU367" s="652"/>
      <c r="EVV367" s="626"/>
      <c r="EVW367" s="640"/>
      <c r="EVX367" s="641"/>
      <c r="EVY367" s="653"/>
      <c r="EWA367" s="118"/>
      <c r="EWB367" s="219"/>
      <c r="EWC367" s="247"/>
      <c r="EWD367" s="652"/>
      <c r="EWE367" s="626"/>
      <c r="EWF367" s="640"/>
      <c r="EWG367" s="641"/>
      <c r="EWH367" s="653"/>
      <c r="EWJ367" s="118"/>
      <c r="EWK367" s="219"/>
      <c r="EWL367" s="247"/>
      <c r="EWM367" s="652"/>
      <c r="EWN367" s="626"/>
      <c r="EWO367" s="640"/>
      <c r="EWP367" s="641"/>
      <c r="EWQ367" s="653"/>
      <c r="EWS367" s="118"/>
      <c r="EWT367" s="219"/>
      <c r="EWU367" s="247"/>
      <c r="EWV367" s="652"/>
      <c r="EWW367" s="626"/>
      <c r="EWX367" s="640"/>
      <c r="EWY367" s="641"/>
      <c r="EWZ367" s="653"/>
      <c r="EXB367" s="118"/>
      <c r="EXC367" s="219"/>
      <c r="EXD367" s="247"/>
      <c r="EXE367" s="652"/>
      <c r="EXF367" s="626"/>
      <c r="EXG367" s="640"/>
      <c r="EXH367" s="641"/>
      <c r="EXI367" s="653"/>
      <c r="EXK367" s="118"/>
      <c r="EXL367" s="219"/>
      <c r="EXM367" s="247"/>
      <c r="EXN367" s="652"/>
      <c r="EXO367" s="626"/>
      <c r="EXP367" s="640"/>
      <c r="EXQ367" s="641"/>
      <c r="EXR367" s="653"/>
      <c r="EXT367" s="118"/>
      <c r="EXU367" s="219"/>
      <c r="EXV367" s="247"/>
      <c r="EXW367" s="652"/>
      <c r="EXX367" s="626"/>
      <c r="EXY367" s="640"/>
      <c r="EXZ367" s="641"/>
      <c r="EYA367" s="653"/>
      <c r="EYC367" s="118"/>
      <c r="EYD367" s="219"/>
      <c r="EYE367" s="247"/>
      <c r="EYF367" s="652"/>
      <c r="EYG367" s="626"/>
      <c r="EYH367" s="640"/>
      <c r="EYI367" s="641"/>
      <c r="EYJ367" s="653"/>
      <c r="EYL367" s="118"/>
      <c r="EYM367" s="219"/>
      <c r="EYN367" s="247"/>
      <c r="EYO367" s="652"/>
      <c r="EYP367" s="626"/>
      <c r="EYQ367" s="640"/>
      <c r="EYR367" s="641"/>
      <c r="EYS367" s="653"/>
      <c r="EYU367" s="118"/>
      <c r="EYV367" s="219"/>
      <c r="EYW367" s="247"/>
      <c r="EYX367" s="652"/>
      <c r="EYY367" s="626"/>
      <c r="EYZ367" s="640"/>
      <c r="EZA367" s="641"/>
      <c r="EZB367" s="653"/>
      <c r="EZD367" s="118"/>
      <c r="EZE367" s="219"/>
      <c r="EZF367" s="247"/>
      <c r="EZG367" s="652"/>
      <c r="EZH367" s="626"/>
      <c r="EZI367" s="640"/>
      <c r="EZJ367" s="641"/>
      <c r="EZK367" s="653"/>
      <c r="EZM367" s="118"/>
      <c r="EZN367" s="219"/>
      <c r="EZO367" s="247"/>
      <c r="EZP367" s="652"/>
      <c r="EZQ367" s="626"/>
      <c r="EZR367" s="640"/>
      <c r="EZS367" s="641"/>
      <c r="EZT367" s="653"/>
      <c r="EZV367" s="118"/>
      <c r="EZW367" s="219"/>
      <c r="EZX367" s="247"/>
      <c r="EZY367" s="652"/>
      <c r="EZZ367" s="626"/>
      <c r="FAA367" s="640"/>
      <c r="FAB367" s="641"/>
      <c r="FAC367" s="653"/>
      <c r="FAE367" s="118"/>
      <c r="FAF367" s="219"/>
      <c r="FAG367" s="247"/>
      <c r="FAH367" s="652"/>
      <c r="FAI367" s="626"/>
      <c r="FAJ367" s="640"/>
      <c r="FAK367" s="641"/>
      <c r="FAL367" s="653"/>
      <c r="FAN367" s="118"/>
      <c r="FAO367" s="219"/>
      <c r="FAP367" s="247"/>
      <c r="FAQ367" s="652"/>
      <c r="FAR367" s="626"/>
      <c r="FAS367" s="640"/>
      <c r="FAT367" s="641"/>
      <c r="FAU367" s="653"/>
      <c r="FAW367" s="118"/>
      <c r="FAX367" s="219"/>
      <c r="FAY367" s="247"/>
      <c r="FAZ367" s="652"/>
      <c r="FBA367" s="626"/>
      <c r="FBB367" s="640"/>
      <c r="FBC367" s="641"/>
      <c r="FBD367" s="653"/>
      <c r="FBF367" s="118"/>
      <c r="FBG367" s="219"/>
      <c r="FBH367" s="247"/>
      <c r="FBI367" s="652"/>
      <c r="FBJ367" s="626"/>
      <c r="FBK367" s="640"/>
      <c r="FBL367" s="641"/>
      <c r="FBM367" s="653"/>
      <c r="FBO367" s="118"/>
      <c r="FBP367" s="219"/>
      <c r="FBQ367" s="247"/>
      <c r="FBR367" s="652"/>
      <c r="FBS367" s="626"/>
      <c r="FBT367" s="640"/>
      <c r="FBU367" s="641"/>
      <c r="FBV367" s="653"/>
      <c r="FBX367" s="118"/>
      <c r="FBY367" s="219"/>
      <c r="FBZ367" s="247"/>
      <c r="FCA367" s="652"/>
      <c r="FCB367" s="626"/>
      <c r="FCC367" s="640"/>
      <c r="FCD367" s="641"/>
      <c r="FCE367" s="653"/>
      <c r="FCG367" s="118"/>
      <c r="FCH367" s="219"/>
      <c r="FCI367" s="247"/>
      <c r="FCJ367" s="652"/>
      <c r="FCK367" s="626"/>
      <c r="FCL367" s="640"/>
      <c r="FCM367" s="641"/>
      <c r="FCN367" s="653"/>
      <c r="FCP367" s="118"/>
      <c r="FCQ367" s="219"/>
      <c r="FCR367" s="247"/>
      <c r="FCS367" s="652"/>
      <c r="FCT367" s="626"/>
      <c r="FCU367" s="640"/>
      <c r="FCV367" s="641"/>
      <c r="FCW367" s="653"/>
      <c r="FCY367" s="118"/>
      <c r="FCZ367" s="219"/>
      <c r="FDA367" s="247"/>
      <c r="FDB367" s="652"/>
      <c r="FDC367" s="626"/>
      <c r="FDD367" s="640"/>
      <c r="FDE367" s="641"/>
      <c r="FDF367" s="653"/>
      <c r="FDH367" s="118"/>
      <c r="FDI367" s="219"/>
      <c r="FDJ367" s="247"/>
      <c r="FDK367" s="652"/>
      <c r="FDL367" s="626"/>
      <c r="FDM367" s="640"/>
      <c r="FDN367" s="641"/>
      <c r="FDO367" s="653"/>
      <c r="FDQ367" s="118"/>
      <c r="FDR367" s="219"/>
      <c r="FDS367" s="247"/>
      <c r="FDT367" s="652"/>
      <c r="FDU367" s="626"/>
      <c r="FDV367" s="640"/>
      <c r="FDW367" s="641"/>
      <c r="FDX367" s="653"/>
      <c r="FDZ367" s="118"/>
      <c r="FEA367" s="219"/>
      <c r="FEB367" s="247"/>
      <c r="FEC367" s="652"/>
      <c r="FED367" s="626"/>
      <c r="FEE367" s="640"/>
      <c r="FEF367" s="641"/>
      <c r="FEG367" s="653"/>
      <c r="FEI367" s="118"/>
      <c r="FEJ367" s="219"/>
      <c r="FEK367" s="247"/>
      <c r="FEL367" s="652"/>
      <c r="FEM367" s="626"/>
      <c r="FEN367" s="640"/>
      <c r="FEO367" s="641"/>
      <c r="FEP367" s="653"/>
      <c r="FER367" s="118"/>
      <c r="FES367" s="219"/>
      <c r="FET367" s="247"/>
      <c r="FEU367" s="652"/>
      <c r="FEV367" s="626"/>
      <c r="FEW367" s="640"/>
      <c r="FEX367" s="641"/>
      <c r="FEY367" s="653"/>
      <c r="FFA367" s="118"/>
      <c r="FFB367" s="219"/>
      <c r="FFC367" s="247"/>
      <c r="FFD367" s="652"/>
      <c r="FFE367" s="626"/>
      <c r="FFF367" s="640"/>
      <c r="FFG367" s="641"/>
      <c r="FFH367" s="653"/>
      <c r="FFJ367" s="118"/>
      <c r="FFK367" s="219"/>
      <c r="FFL367" s="247"/>
      <c r="FFM367" s="652"/>
      <c r="FFN367" s="626"/>
      <c r="FFO367" s="640"/>
      <c r="FFP367" s="641"/>
      <c r="FFQ367" s="653"/>
      <c r="FFS367" s="118"/>
      <c r="FFT367" s="219"/>
      <c r="FFU367" s="247"/>
      <c r="FFV367" s="652"/>
      <c r="FFW367" s="626"/>
      <c r="FFX367" s="640"/>
      <c r="FFY367" s="641"/>
      <c r="FFZ367" s="653"/>
      <c r="FGB367" s="118"/>
      <c r="FGC367" s="219"/>
      <c r="FGD367" s="247"/>
      <c r="FGE367" s="652"/>
      <c r="FGF367" s="626"/>
      <c r="FGG367" s="640"/>
      <c r="FGH367" s="641"/>
      <c r="FGI367" s="653"/>
      <c r="FGK367" s="118"/>
      <c r="FGL367" s="219"/>
      <c r="FGM367" s="247"/>
      <c r="FGN367" s="652"/>
      <c r="FGO367" s="626"/>
      <c r="FGP367" s="640"/>
      <c r="FGQ367" s="641"/>
      <c r="FGR367" s="653"/>
      <c r="FGT367" s="118"/>
      <c r="FGU367" s="219"/>
      <c r="FGV367" s="247"/>
      <c r="FGW367" s="652"/>
      <c r="FGX367" s="626"/>
      <c r="FGY367" s="640"/>
      <c r="FGZ367" s="641"/>
      <c r="FHA367" s="653"/>
      <c r="FHC367" s="118"/>
      <c r="FHD367" s="219"/>
      <c r="FHE367" s="247"/>
      <c r="FHF367" s="652"/>
      <c r="FHG367" s="626"/>
      <c r="FHH367" s="640"/>
      <c r="FHI367" s="641"/>
      <c r="FHJ367" s="653"/>
      <c r="FHL367" s="118"/>
      <c r="FHM367" s="219"/>
      <c r="FHN367" s="247"/>
      <c r="FHO367" s="652"/>
      <c r="FHP367" s="626"/>
      <c r="FHQ367" s="640"/>
      <c r="FHR367" s="641"/>
      <c r="FHS367" s="653"/>
      <c r="FHU367" s="118"/>
      <c r="FHV367" s="219"/>
      <c r="FHW367" s="247"/>
      <c r="FHX367" s="652"/>
      <c r="FHY367" s="626"/>
      <c r="FHZ367" s="640"/>
      <c r="FIA367" s="641"/>
      <c r="FIB367" s="653"/>
      <c r="FID367" s="118"/>
      <c r="FIE367" s="219"/>
      <c r="FIF367" s="247"/>
      <c r="FIG367" s="652"/>
      <c r="FIH367" s="626"/>
      <c r="FII367" s="640"/>
      <c r="FIJ367" s="641"/>
      <c r="FIK367" s="653"/>
      <c r="FIM367" s="118"/>
      <c r="FIN367" s="219"/>
      <c r="FIO367" s="247"/>
      <c r="FIP367" s="652"/>
      <c r="FIQ367" s="626"/>
      <c r="FIR367" s="640"/>
      <c r="FIS367" s="641"/>
      <c r="FIT367" s="653"/>
      <c r="FIV367" s="118"/>
      <c r="FIW367" s="219"/>
      <c r="FIX367" s="247"/>
      <c r="FIY367" s="652"/>
      <c r="FIZ367" s="626"/>
      <c r="FJA367" s="640"/>
      <c r="FJB367" s="641"/>
      <c r="FJC367" s="653"/>
      <c r="FJE367" s="118"/>
      <c r="FJF367" s="219"/>
      <c r="FJG367" s="247"/>
      <c r="FJH367" s="652"/>
      <c r="FJI367" s="626"/>
      <c r="FJJ367" s="640"/>
      <c r="FJK367" s="641"/>
      <c r="FJL367" s="653"/>
      <c r="FJN367" s="118"/>
      <c r="FJO367" s="219"/>
      <c r="FJP367" s="247"/>
      <c r="FJQ367" s="652"/>
      <c r="FJR367" s="626"/>
      <c r="FJS367" s="640"/>
      <c r="FJT367" s="641"/>
      <c r="FJU367" s="653"/>
      <c r="FJW367" s="118"/>
      <c r="FJX367" s="219"/>
      <c r="FJY367" s="247"/>
      <c r="FJZ367" s="652"/>
      <c r="FKA367" s="626"/>
      <c r="FKB367" s="640"/>
      <c r="FKC367" s="641"/>
      <c r="FKD367" s="653"/>
      <c r="FKF367" s="118"/>
      <c r="FKG367" s="219"/>
      <c r="FKH367" s="247"/>
      <c r="FKI367" s="652"/>
      <c r="FKJ367" s="626"/>
      <c r="FKK367" s="640"/>
      <c r="FKL367" s="641"/>
      <c r="FKM367" s="653"/>
      <c r="FKO367" s="118"/>
      <c r="FKP367" s="219"/>
      <c r="FKQ367" s="247"/>
      <c r="FKR367" s="652"/>
      <c r="FKS367" s="626"/>
      <c r="FKT367" s="640"/>
      <c r="FKU367" s="641"/>
      <c r="FKV367" s="653"/>
      <c r="FKX367" s="118"/>
      <c r="FKY367" s="219"/>
      <c r="FKZ367" s="247"/>
      <c r="FLA367" s="652"/>
      <c r="FLB367" s="626"/>
      <c r="FLC367" s="640"/>
      <c r="FLD367" s="641"/>
      <c r="FLE367" s="653"/>
      <c r="FLG367" s="118"/>
      <c r="FLH367" s="219"/>
      <c r="FLI367" s="247"/>
      <c r="FLJ367" s="652"/>
      <c r="FLK367" s="626"/>
      <c r="FLL367" s="640"/>
      <c r="FLM367" s="641"/>
      <c r="FLN367" s="653"/>
      <c r="FLP367" s="118"/>
      <c r="FLQ367" s="219"/>
      <c r="FLR367" s="247"/>
      <c r="FLS367" s="652"/>
      <c r="FLT367" s="626"/>
      <c r="FLU367" s="640"/>
      <c r="FLV367" s="641"/>
      <c r="FLW367" s="653"/>
      <c r="FLY367" s="118"/>
      <c r="FLZ367" s="219"/>
      <c r="FMA367" s="247"/>
      <c r="FMB367" s="652"/>
      <c r="FMC367" s="626"/>
      <c r="FMD367" s="640"/>
      <c r="FME367" s="641"/>
      <c r="FMF367" s="653"/>
      <c r="FMH367" s="118"/>
      <c r="FMI367" s="219"/>
      <c r="FMJ367" s="247"/>
      <c r="FMK367" s="652"/>
      <c r="FML367" s="626"/>
      <c r="FMM367" s="640"/>
      <c r="FMN367" s="641"/>
      <c r="FMO367" s="653"/>
      <c r="FMQ367" s="118"/>
      <c r="FMR367" s="219"/>
      <c r="FMS367" s="247"/>
      <c r="FMT367" s="652"/>
      <c r="FMU367" s="626"/>
      <c r="FMV367" s="640"/>
      <c r="FMW367" s="641"/>
      <c r="FMX367" s="653"/>
      <c r="FMZ367" s="118"/>
      <c r="FNA367" s="219"/>
      <c r="FNB367" s="247"/>
      <c r="FNC367" s="652"/>
      <c r="FND367" s="626"/>
      <c r="FNE367" s="640"/>
      <c r="FNF367" s="641"/>
      <c r="FNG367" s="653"/>
      <c r="FNI367" s="118"/>
      <c r="FNJ367" s="219"/>
      <c r="FNK367" s="247"/>
      <c r="FNL367" s="652"/>
      <c r="FNM367" s="626"/>
      <c r="FNN367" s="640"/>
      <c r="FNO367" s="641"/>
      <c r="FNP367" s="653"/>
      <c r="FNR367" s="118"/>
      <c r="FNS367" s="219"/>
      <c r="FNT367" s="247"/>
      <c r="FNU367" s="652"/>
      <c r="FNV367" s="626"/>
      <c r="FNW367" s="640"/>
      <c r="FNX367" s="641"/>
      <c r="FNY367" s="653"/>
      <c r="FOA367" s="118"/>
      <c r="FOB367" s="219"/>
      <c r="FOC367" s="247"/>
      <c r="FOD367" s="652"/>
      <c r="FOE367" s="626"/>
      <c r="FOF367" s="640"/>
      <c r="FOG367" s="641"/>
      <c r="FOH367" s="653"/>
      <c r="FOJ367" s="118"/>
      <c r="FOK367" s="219"/>
      <c r="FOL367" s="247"/>
      <c r="FOM367" s="652"/>
      <c r="FON367" s="626"/>
      <c r="FOO367" s="640"/>
      <c r="FOP367" s="641"/>
      <c r="FOQ367" s="653"/>
      <c r="FOS367" s="118"/>
      <c r="FOT367" s="219"/>
      <c r="FOU367" s="247"/>
      <c r="FOV367" s="652"/>
      <c r="FOW367" s="626"/>
      <c r="FOX367" s="640"/>
      <c r="FOY367" s="641"/>
      <c r="FOZ367" s="653"/>
      <c r="FPB367" s="118"/>
      <c r="FPC367" s="219"/>
      <c r="FPD367" s="247"/>
      <c r="FPE367" s="652"/>
      <c r="FPF367" s="626"/>
      <c r="FPG367" s="640"/>
      <c r="FPH367" s="641"/>
      <c r="FPI367" s="653"/>
      <c r="FPK367" s="118"/>
      <c r="FPL367" s="219"/>
      <c r="FPM367" s="247"/>
      <c r="FPN367" s="652"/>
      <c r="FPO367" s="626"/>
      <c r="FPP367" s="640"/>
      <c r="FPQ367" s="641"/>
      <c r="FPR367" s="653"/>
      <c r="FPT367" s="118"/>
      <c r="FPU367" s="219"/>
      <c r="FPV367" s="247"/>
      <c r="FPW367" s="652"/>
      <c r="FPX367" s="626"/>
      <c r="FPY367" s="640"/>
      <c r="FPZ367" s="641"/>
      <c r="FQA367" s="653"/>
      <c r="FQC367" s="118"/>
      <c r="FQD367" s="219"/>
      <c r="FQE367" s="247"/>
      <c r="FQF367" s="652"/>
      <c r="FQG367" s="626"/>
      <c r="FQH367" s="640"/>
      <c r="FQI367" s="641"/>
      <c r="FQJ367" s="653"/>
      <c r="FQL367" s="118"/>
      <c r="FQM367" s="219"/>
      <c r="FQN367" s="247"/>
      <c r="FQO367" s="652"/>
      <c r="FQP367" s="626"/>
      <c r="FQQ367" s="640"/>
      <c r="FQR367" s="641"/>
      <c r="FQS367" s="653"/>
      <c r="FQU367" s="118"/>
      <c r="FQV367" s="219"/>
      <c r="FQW367" s="247"/>
      <c r="FQX367" s="652"/>
      <c r="FQY367" s="626"/>
      <c r="FQZ367" s="640"/>
      <c r="FRA367" s="641"/>
      <c r="FRB367" s="653"/>
      <c r="FRD367" s="118"/>
      <c r="FRE367" s="219"/>
      <c r="FRF367" s="247"/>
      <c r="FRG367" s="652"/>
      <c r="FRH367" s="626"/>
      <c r="FRI367" s="640"/>
      <c r="FRJ367" s="641"/>
      <c r="FRK367" s="653"/>
      <c r="FRM367" s="118"/>
      <c r="FRN367" s="219"/>
      <c r="FRO367" s="247"/>
      <c r="FRP367" s="652"/>
      <c r="FRQ367" s="626"/>
      <c r="FRR367" s="640"/>
      <c r="FRS367" s="641"/>
      <c r="FRT367" s="653"/>
      <c r="FRV367" s="118"/>
      <c r="FRW367" s="219"/>
      <c r="FRX367" s="247"/>
      <c r="FRY367" s="652"/>
      <c r="FRZ367" s="626"/>
      <c r="FSA367" s="640"/>
      <c r="FSB367" s="641"/>
      <c r="FSC367" s="653"/>
      <c r="FSE367" s="118"/>
      <c r="FSF367" s="219"/>
      <c r="FSG367" s="247"/>
      <c r="FSH367" s="652"/>
      <c r="FSI367" s="626"/>
      <c r="FSJ367" s="640"/>
      <c r="FSK367" s="641"/>
      <c r="FSL367" s="653"/>
      <c r="FSN367" s="118"/>
      <c r="FSO367" s="219"/>
      <c r="FSP367" s="247"/>
      <c r="FSQ367" s="652"/>
      <c r="FSR367" s="626"/>
      <c r="FSS367" s="640"/>
      <c r="FST367" s="641"/>
      <c r="FSU367" s="653"/>
      <c r="FSW367" s="118"/>
      <c r="FSX367" s="219"/>
      <c r="FSY367" s="247"/>
      <c r="FSZ367" s="652"/>
      <c r="FTA367" s="626"/>
      <c r="FTB367" s="640"/>
      <c r="FTC367" s="641"/>
      <c r="FTD367" s="653"/>
      <c r="FTF367" s="118"/>
      <c r="FTG367" s="219"/>
      <c r="FTH367" s="247"/>
      <c r="FTI367" s="652"/>
      <c r="FTJ367" s="626"/>
      <c r="FTK367" s="640"/>
      <c r="FTL367" s="641"/>
      <c r="FTM367" s="653"/>
      <c r="FTO367" s="118"/>
      <c r="FTP367" s="219"/>
      <c r="FTQ367" s="247"/>
      <c r="FTR367" s="652"/>
      <c r="FTS367" s="626"/>
      <c r="FTT367" s="640"/>
      <c r="FTU367" s="641"/>
      <c r="FTV367" s="653"/>
      <c r="FTX367" s="118"/>
      <c r="FTY367" s="219"/>
      <c r="FTZ367" s="247"/>
      <c r="FUA367" s="652"/>
      <c r="FUB367" s="626"/>
      <c r="FUC367" s="640"/>
      <c r="FUD367" s="641"/>
      <c r="FUE367" s="653"/>
      <c r="FUG367" s="118"/>
      <c r="FUH367" s="219"/>
      <c r="FUI367" s="247"/>
      <c r="FUJ367" s="652"/>
      <c r="FUK367" s="626"/>
      <c r="FUL367" s="640"/>
      <c r="FUM367" s="641"/>
      <c r="FUN367" s="653"/>
      <c r="FUP367" s="118"/>
      <c r="FUQ367" s="219"/>
      <c r="FUR367" s="247"/>
      <c r="FUS367" s="652"/>
      <c r="FUT367" s="626"/>
      <c r="FUU367" s="640"/>
      <c r="FUV367" s="641"/>
      <c r="FUW367" s="653"/>
      <c r="FUY367" s="118"/>
      <c r="FUZ367" s="219"/>
      <c r="FVA367" s="247"/>
      <c r="FVB367" s="652"/>
      <c r="FVC367" s="626"/>
      <c r="FVD367" s="640"/>
      <c r="FVE367" s="641"/>
      <c r="FVF367" s="653"/>
      <c r="FVH367" s="657"/>
      <c r="FVI367" s="388"/>
      <c r="FVJ367" s="389"/>
      <c r="FVK367" s="590"/>
      <c r="FVL367" s="266"/>
      <c r="FVM367" s="649"/>
      <c r="FVN367" s="326"/>
      <c r="FVO367" s="362"/>
      <c r="FVP367" s="386"/>
      <c r="FVQ367" s="658"/>
      <c r="FVR367" s="388"/>
      <c r="FVS367" s="389"/>
      <c r="FVT367" s="590"/>
      <c r="FVU367" s="266"/>
      <c r="FVV367" s="649"/>
      <c r="FVW367" s="326"/>
      <c r="FVX367" s="362"/>
      <c r="FVY367" s="386"/>
      <c r="FVZ367" s="658"/>
      <c r="FWA367" s="388"/>
      <c r="FWB367" s="389"/>
      <c r="FWC367" s="590"/>
      <c r="FWD367" s="266"/>
      <c r="FWE367" s="649"/>
      <c r="FWF367" s="326"/>
      <c r="FWG367" s="362"/>
      <c r="FWH367" s="386"/>
      <c r="FWI367" s="658"/>
      <c r="FWJ367" s="388"/>
      <c r="FWK367" s="389"/>
      <c r="FWL367" s="590"/>
      <c r="FWM367" s="266"/>
      <c r="FWN367" s="649"/>
      <c r="FWO367" s="326"/>
      <c r="FWP367" s="362"/>
      <c r="FWQ367" s="386"/>
      <c r="FWR367" s="658"/>
      <c r="FWS367" s="388"/>
      <c r="FWT367" s="389"/>
      <c r="FWU367" s="590"/>
      <c r="FWV367" s="266"/>
      <c r="FWW367" s="649"/>
      <c r="FWX367" s="326"/>
      <c r="FWY367" s="362"/>
      <c r="FWZ367" s="386"/>
      <c r="FXA367" s="658"/>
      <c r="FXB367" s="388"/>
      <c r="FXC367" s="389"/>
      <c r="FXD367" s="590"/>
      <c r="FXE367" s="266"/>
      <c r="FXF367" s="649"/>
      <c r="FXG367" s="326"/>
      <c r="FXH367" s="362"/>
      <c r="FXI367" s="386"/>
      <c r="FXJ367" s="658"/>
      <c r="FXK367" s="388"/>
      <c r="FXL367" s="389"/>
      <c r="FXM367" s="590"/>
      <c r="FXN367" s="266"/>
      <c r="FXO367" s="649"/>
      <c r="FXP367" s="326"/>
      <c r="FXQ367" s="362"/>
      <c r="FXR367" s="386"/>
      <c r="FXS367" s="658"/>
      <c r="FXT367" s="388"/>
      <c r="FXU367" s="389"/>
      <c r="FXV367" s="590"/>
      <c r="FXW367" s="266"/>
      <c r="FXX367" s="649"/>
      <c r="FXY367" s="326"/>
      <c r="FXZ367" s="362"/>
      <c r="FYA367" s="386"/>
      <c r="FYB367" s="658"/>
      <c r="FYC367" s="388"/>
      <c r="FYD367" s="389"/>
      <c r="FYE367" s="590"/>
      <c r="FYF367" s="266"/>
      <c r="FYG367" s="649"/>
      <c r="FYH367" s="326"/>
      <c r="FYI367" s="362"/>
      <c r="FYJ367" s="386"/>
      <c r="FYK367" s="658"/>
      <c r="FYL367" s="388"/>
      <c r="FYM367" s="389"/>
      <c r="FYN367" s="590"/>
      <c r="FYO367" s="266"/>
      <c r="FYP367" s="649"/>
      <c r="FYQ367" s="326"/>
      <c r="FYR367" s="362"/>
      <c r="FYS367" s="386"/>
      <c r="FYT367" s="658"/>
      <c r="FYU367" s="388"/>
      <c r="FYV367" s="389"/>
      <c r="FYW367" s="590"/>
      <c r="FYX367" s="266"/>
      <c r="FYY367" s="649"/>
      <c r="FYZ367" s="326"/>
      <c r="FZA367" s="362"/>
      <c r="FZB367" s="386"/>
      <c r="FZC367" s="658"/>
      <c r="FZD367" s="388"/>
      <c r="FZE367" s="389"/>
      <c r="FZF367" s="590"/>
      <c r="FZG367" s="266"/>
      <c r="FZH367" s="649"/>
      <c r="FZI367" s="326"/>
      <c r="FZJ367" s="362"/>
      <c r="FZK367" s="386"/>
      <c r="FZL367" s="658"/>
      <c r="FZM367" s="388"/>
      <c r="FZN367" s="389"/>
      <c r="FZO367" s="590"/>
      <c r="FZP367" s="266"/>
      <c r="FZQ367" s="649"/>
      <c r="FZR367" s="326"/>
      <c r="FZS367" s="362"/>
      <c r="FZT367" s="386"/>
      <c r="FZU367" s="658"/>
      <c r="FZV367" s="388"/>
      <c r="FZW367" s="389"/>
      <c r="FZX367" s="590"/>
      <c r="FZY367" s="266"/>
      <c r="FZZ367" s="649"/>
      <c r="GAA367" s="326"/>
      <c r="GAB367" s="362"/>
      <c r="GAC367" s="386"/>
      <c r="GAD367" s="658"/>
      <c r="GAE367" s="388"/>
      <c r="GAF367" s="389"/>
      <c r="GAG367" s="590"/>
      <c r="GAH367" s="266"/>
      <c r="GAI367" s="649"/>
      <c r="GAJ367" s="326"/>
      <c r="GAK367" s="362"/>
      <c r="GAL367" s="386"/>
      <c r="GAM367" s="658"/>
      <c r="GAN367" s="388"/>
      <c r="GAO367" s="389"/>
      <c r="GAP367" s="590"/>
      <c r="GAQ367" s="266"/>
      <c r="GAR367" s="649"/>
      <c r="GAS367" s="326"/>
      <c r="GAT367" s="362"/>
      <c r="GAU367" s="386"/>
      <c r="GAV367" s="658"/>
      <c r="GAW367" s="388"/>
      <c r="GAX367" s="389"/>
      <c r="GAY367" s="590"/>
      <c r="GAZ367" s="266"/>
      <c r="GBA367" s="649"/>
      <c r="GBB367" s="326"/>
      <c r="GBC367" s="362"/>
      <c r="GBD367" s="386"/>
      <c r="GBE367" s="658"/>
      <c r="GBF367" s="388"/>
      <c r="GBG367" s="389"/>
      <c r="GBH367" s="590"/>
      <c r="GBI367" s="266"/>
      <c r="GBJ367" s="649"/>
      <c r="GBK367" s="326"/>
      <c r="GBL367" s="362"/>
      <c r="GBM367" s="386"/>
      <c r="GBN367" s="658"/>
      <c r="GBO367" s="388"/>
      <c r="GBP367" s="389"/>
      <c r="GBQ367" s="590"/>
      <c r="GBR367" s="266"/>
      <c r="GBS367" s="649"/>
      <c r="GBT367" s="326"/>
      <c r="GBU367" s="362"/>
      <c r="GBV367" s="386"/>
      <c r="GBW367" s="658"/>
      <c r="GBX367" s="388"/>
      <c r="GBY367" s="389"/>
      <c r="GBZ367" s="590"/>
      <c r="GCA367" s="266"/>
      <c r="GCB367" s="649"/>
      <c r="GCC367" s="326"/>
      <c r="GCD367" s="362"/>
      <c r="GCE367" s="386"/>
      <c r="GCF367" s="658"/>
      <c r="GCG367" s="388"/>
      <c r="GCH367" s="389"/>
      <c r="GCI367" s="590"/>
      <c r="GCJ367" s="266"/>
      <c r="GCK367" s="649"/>
      <c r="GCL367" s="326"/>
      <c r="GCM367" s="362"/>
      <c r="GCN367" s="386"/>
      <c r="GCO367" s="658"/>
      <c r="GCP367" s="388"/>
      <c r="GCQ367" s="389"/>
      <c r="GCR367" s="590"/>
      <c r="GCS367" s="266"/>
      <c r="GCT367" s="649"/>
      <c r="GCU367" s="326"/>
      <c r="GCV367" s="362"/>
      <c r="GCW367" s="386"/>
      <c r="GCX367" s="658"/>
      <c r="GCY367" s="388"/>
      <c r="GCZ367" s="389"/>
      <c r="GDA367" s="590"/>
      <c r="GDB367" s="266"/>
      <c r="GDC367" s="649"/>
      <c r="GDD367" s="326"/>
      <c r="GDE367" s="362"/>
      <c r="GDF367" s="386"/>
      <c r="GDG367" s="658"/>
      <c r="GDH367" s="388"/>
      <c r="GDI367" s="389"/>
      <c r="GDJ367" s="590"/>
      <c r="GDK367" s="266"/>
      <c r="GDL367" s="649"/>
      <c r="GDM367" s="326"/>
      <c r="GDN367" s="362"/>
      <c r="GDO367" s="386"/>
      <c r="GDP367" s="658"/>
      <c r="GDQ367" s="388"/>
      <c r="GDR367" s="389"/>
      <c r="GDS367" s="590"/>
      <c r="GDT367" s="266"/>
      <c r="GDU367" s="649"/>
      <c r="GDV367" s="326"/>
      <c r="GDW367" s="362"/>
      <c r="GDX367" s="386"/>
      <c r="GDY367" s="658"/>
      <c r="GDZ367" s="388"/>
      <c r="GEA367" s="389"/>
      <c r="GEB367" s="590"/>
      <c r="GEC367" s="266"/>
      <c r="GED367" s="649"/>
      <c r="GEE367" s="326"/>
      <c r="GEF367" s="362"/>
      <c r="GEG367" s="386"/>
      <c r="GEH367" s="658"/>
      <c r="GEI367" s="388"/>
      <c r="GEJ367" s="389"/>
      <c r="GEK367" s="590"/>
      <c r="GEL367" s="266"/>
      <c r="GEM367" s="649"/>
      <c r="GEN367" s="326"/>
      <c r="GEO367" s="362"/>
      <c r="GEP367" s="386"/>
      <c r="GEQ367" s="658"/>
      <c r="GER367" s="388"/>
      <c r="GES367" s="389"/>
      <c r="GET367" s="590"/>
      <c r="GEU367" s="266"/>
      <c r="GEV367" s="649"/>
      <c r="GEW367" s="326"/>
      <c r="GEX367" s="362"/>
      <c r="GEY367" s="386"/>
      <c r="GEZ367" s="658"/>
      <c r="GFA367" s="388"/>
      <c r="GFB367" s="389"/>
      <c r="GFC367" s="590"/>
      <c r="GFD367" s="266"/>
      <c r="GFE367" s="649"/>
      <c r="GFF367" s="326"/>
      <c r="GFG367" s="362"/>
      <c r="GFH367" s="386"/>
      <c r="GFI367" s="658"/>
      <c r="GFJ367" s="388"/>
      <c r="GFK367" s="389"/>
      <c r="GFL367" s="590"/>
      <c r="GFM367" s="266"/>
      <c r="GFN367" s="649"/>
      <c r="GFO367" s="326"/>
      <c r="GFP367" s="362"/>
      <c r="GFQ367" s="386"/>
      <c r="GFR367" s="658"/>
      <c r="GFS367" s="388"/>
      <c r="GFT367" s="389"/>
      <c r="GFU367" s="590"/>
      <c r="GFV367" s="266"/>
      <c r="GFW367" s="649"/>
      <c r="GFX367" s="326"/>
      <c r="GFY367" s="362"/>
      <c r="GFZ367" s="386"/>
      <c r="GGA367" s="658"/>
      <c r="GGB367" s="388"/>
      <c r="GGC367" s="389"/>
      <c r="GGD367" s="590"/>
      <c r="GGE367" s="266"/>
      <c r="GGF367" s="649"/>
      <c r="GGG367" s="326"/>
      <c r="GGH367" s="362"/>
      <c r="GGI367" s="386"/>
      <c r="GGJ367" s="658"/>
      <c r="GGK367" s="388"/>
      <c r="GGL367" s="389"/>
      <c r="GGM367" s="590"/>
      <c r="GGN367" s="266"/>
      <c r="GGO367" s="649"/>
      <c r="GGP367" s="326"/>
      <c r="GGQ367" s="362"/>
      <c r="GGR367" s="386"/>
      <c r="GGS367" s="658"/>
      <c r="GGT367" s="388"/>
      <c r="GGU367" s="389"/>
      <c r="GGV367" s="590"/>
      <c r="GGW367" s="266"/>
      <c r="GGX367" s="649"/>
      <c r="GGY367" s="326"/>
      <c r="GGZ367" s="362"/>
      <c r="GHA367" s="386"/>
      <c r="GHB367" s="658"/>
      <c r="GHC367" s="388"/>
      <c r="GHD367" s="389"/>
      <c r="GHE367" s="590"/>
      <c r="GHF367" s="266"/>
      <c r="GHG367" s="649"/>
      <c r="GHH367" s="326"/>
      <c r="GHI367" s="362"/>
      <c r="GHJ367" s="386"/>
      <c r="GHK367" s="658"/>
      <c r="GHL367" s="388"/>
      <c r="GHM367" s="389"/>
      <c r="GHN367" s="590"/>
      <c r="GHO367" s="266"/>
      <c r="GHP367" s="649"/>
      <c r="GHQ367" s="326"/>
      <c r="GHR367" s="362"/>
      <c r="GHS367" s="386"/>
      <c r="GHT367" s="658"/>
      <c r="GHU367" s="388"/>
      <c r="GHV367" s="389"/>
      <c r="GHW367" s="590"/>
      <c r="GHX367" s="266"/>
      <c r="GHY367" s="649"/>
      <c r="GHZ367" s="326"/>
      <c r="GIA367" s="362"/>
      <c r="GIB367" s="386"/>
      <c r="GIC367" s="658"/>
      <c r="GID367" s="388"/>
      <c r="GIE367" s="389"/>
      <c r="GIF367" s="590"/>
      <c r="GIG367" s="266"/>
      <c r="GIH367" s="649"/>
      <c r="GII367" s="326"/>
      <c r="GIJ367" s="362"/>
      <c r="GIK367" s="386"/>
      <c r="GIL367" s="658"/>
      <c r="GIM367" s="388"/>
      <c r="GIN367" s="389"/>
      <c r="GIO367" s="590"/>
      <c r="GIP367" s="266"/>
      <c r="GIQ367" s="649"/>
      <c r="GIR367" s="326"/>
      <c r="GIS367" s="362"/>
      <c r="GIT367" s="386"/>
      <c r="GIU367" s="658"/>
      <c r="GIV367" s="388"/>
      <c r="GIW367" s="389"/>
      <c r="GIX367" s="590"/>
      <c r="GIY367" s="266"/>
      <c r="GIZ367" s="649"/>
      <c r="GJA367" s="326"/>
      <c r="GJB367" s="362"/>
      <c r="GJC367" s="386"/>
      <c r="GJD367" s="658"/>
      <c r="GJE367" s="388"/>
      <c r="GJF367" s="389"/>
      <c r="GJG367" s="590"/>
      <c r="GJH367" s="266"/>
      <c r="GJI367" s="649"/>
      <c r="GJJ367" s="326"/>
      <c r="GJK367" s="362"/>
      <c r="GJL367" s="386"/>
      <c r="GJM367" s="658"/>
      <c r="GJN367" s="388"/>
      <c r="GJO367" s="389"/>
      <c r="GJP367" s="590"/>
      <c r="GJQ367" s="266"/>
      <c r="GJR367" s="649"/>
      <c r="GJS367" s="326"/>
      <c r="GJT367" s="362"/>
      <c r="GJU367" s="386"/>
      <c r="GJV367" s="658"/>
      <c r="GJW367" s="388"/>
      <c r="GJX367" s="389"/>
      <c r="GJY367" s="590"/>
      <c r="GJZ367" s="266"/>
      <c r="GKA367" s="649"/>
      <c r="GKB367" s="326"/>
      <c r="GKC367" s="362"/>
      <c r="GKD367" s="386"/>
      <c r="GKE367" s="658"/>
      <c r="GKF367" s="388"/>
      <c r="GKG367" s="389"/>
      <c r="GKH367" s="590"/>
      <c r="GKI367" s="266"/>
      <c r="GKJ367" s="649"/>
      <c r="GKK367" s="326"/>
      <c r="GKL367" s="362"/>
      <c r="GKM367" s="386"/>
      <c r="GKN367" s="658"/>
      <c r="GKO367" s="388"/>
      <c r="GKP367" s="389"/>
      <c r="GKQ367" s="590"/>
      <c r="GKR367" s="266"/>
      <c r="GKS367" s="649"/>
      <c r="GKT367" s="326"/>
      <c r="GKU367" s="362"/>
      <c r="GKV367" s="386"/>
      <c r="GKW367" s="658"/>
      <c r="GKX367" s="388"/>
      <c r="GKY367" s="389"/>
      <c r="GKZ367" s="590"/>
      <c r="GLA367" s="266"/>
      <c r="GLB367" s="649"/>
      <c r="GLC367" s="326"/>
      <c r="GLD367" s="362"/>
      <c r="GLE367" s="386"/>
      <c r="GLF367" s="658"/>
      <c r="GLG367" s="388"/>
      <c r="GLH367" s="389"/>
      <c r="GLI367" s="590"/>
      <c r="GLJ367" s="266"/>
      <c r="GLK367" s="649"/>
      <c r="GLL367" s="326"/>
      <c r="GLM367" s="362"/>
      <c r="GLN367" s="386"/>
      <c r="GLO367" s="658"/>
      <c r="GLP367" s="388"/>
      <c r="GLQ367" s="389"/>
      <c r="GLR367" s="590"/>
      <c r="GLS367" s="266"/>
      <c r="GLT367" s="649"/>
      <c r="GLU367" s="326"/>
      <c r="GLV367" s="362"/>
      <c r="GLW367" s="386"/>
      <c r="GLX367" s="658"/>
      <c r="GLY367" s="388"/>
      <c r="GLZ367" s="389"/>
      <c r="GMA367" s="590"/>
      <c r="GMB367" s="266"/>
      <c r="GMC367" s="649"/>
      <c r="GMD367" s="326"/>
      <c r="GME367" s="362"/>
      <c r="GMF367" s="386"/>
      <c r="GMG367" s="658"/>
      <c r="GMH367" s="388"/>
      <c r="GMI367" s="389"/>
      <c r="GMJ367" s="590"/>
      <c r="GMK367" s="266"/>
      <c r="GML367" s="649"/>
      <c r="GMM367" s="326"/>
      <c r="GMN367" s="362"/>
      <c r="GMO367" s="386"/>
      <c r="GMP367" s="658"/>
      <c r="GMQ367" s="388"/>
      <c r="GMR367" s="389"/>
      <c r="GMS367" s="590"/>
      <c r="GMT367" s="266"/>
      <c r="GMU367" s="649"/>
      <c r="GMV367" s="326"/>
      <c r="GMW367" s="362"/>
      <c r="GMX367" s="386"/>
      <c r="GMY367" s="658"/>
      <c r="GMZ367" s="388"/>
      <c r="GNA367" s="389"/>
      <c r="GNB367" s="590"/>
      <c r="GNC367" s="266"/>
      <c r="GND367" s="649"/>
      <c r="GNE367" s="326"/>
      <c r="GNF367" s="362"/>
      <c r="GNG367" s="386"/>
      <c r="GNH367" s="658"/>
      <c r="GNI367" s="388"/>
      <c r="GNJ367" s="389"/>
      <c r="GNK367" s="590"/>
      <c r="GNL367" s="266"/>
      <c r="GNM367" s="649"/>
      <c r="GNN367" s="326"/>
      <c r="GNO367" s="362"/>
      <c r="GNP367" s="386"/>
      <c r="GNQ367" s="658"/>
      <c r="GNR367" s="388"/>
      <c r="GNS367" s="389"/>
      <c r="GNT367" s="590"/>
      <c r="GNU367" s="266"/>
      <c r="GNV367" s="649"/>
      <c r="GNW367" s="326"/>
      <c r="GNX367" s="362"/>
      <c r="GNY367" s="386"/>
      <c r="GNZ367" s="658"/>
      <c r="GOA367" s="388"/>
      <c r="GOB367" s="389"/>
      <c r="GOC367" s="590"/>
      <c r="GOD367" s="266"/>
      <c r="GOE367" s="649"/>
      <c r="GOF367" s="326"/>
      <c r="GOG367" s="362"/>
      <c r="GOH367" s="386"/>
      <c r="GOI367" s="658"/>
      <c r="GOJ367" s="388"/>
      <c r="GOK367" s="389"/>
      <c r="GOL367" s="590"/>
      <c r="GOM367" s="266"/>
      <c r="GON367" s="649"/>
      <c r="GOO367" s="326"/>
      <c r="GOP367" s="362"/>
      <c r="GOQ367" s="386"/>
      <c r="GOR367" s="658"/>
      <c r="GOS367" s="388"/>
      <c r="GOT367" s="389"/>
      <c r="GOU367" s="590"/>
      <c r="GOV367" s="266"/>
      <c r="GOW367" s="649"/>
      <c r="GOX367" s="326"/>
      <c r="GOY367" s="362"/>
      <c r="GOZ367" s="386"/>
      <c r="GPA367" s="658"/>
      <c r="GPB367" s="388"/>
      <c r="GPC367" s="389"/>
      <c r="GPD367" s="590"/>
      <c r="GPE367" s="266"/>
      <c r="GPF367" s="649"/>
      <c r="GPG367" s="326"/>
      <c r="GPH367" s="362"/>
      <c r="GPI367" s="386"/>
      <c r="GPJ367" s="658"/>
      <c r="GPK367" s="388"/>
      <c r="GPL367" s="389"/>
      <c r="GPM367" s="590"/>
      <c r="GPN367" s="266"/>
      <c r="GPO367" s="649"/>
      <c r="GPP367" s="326"/>
      <c r="GPQ367" s="362"/>
      <c r="GPR367" s="386"/>
      <c r="GPS367" s="658"/>
      <c r="GPT367" s="388"/>
      <c r="GPU367" s="389"/>
      <c r="GPV367" s="590"/>
      <c r="GPW367" s="266"/>
      <c r="GPX367" s="649"/>
      <c r="GPY367" s="326"/>
      <c r="GPZ367" s="362"/>
      <c r="GQA367" s="386"/>
      <c r="GQB367" s="658"/>
      <c r="GQC367" s="388"/>
      <c r="GQD367" s="389"/>
      <c r="GQE367" s="590"/>
      <c r="GQF367" s="266"/>
      <c r="GQG367" s="649"/>
      <c r="GQH367" s="326"/>
      <c r="GQI367" s="362"/>
      <c r="GQJ367" s="386"/>
      <c r="GQK367" s="658"/>
      <c r="GQL367" s="388"/>
      <c r="GQM367" s="389"/>
      <c r="GQN367" s="590"/>
      <c r="GQO367" s="266"/>
      <c r="GQP367" s="649"/>
      <c r="GQQ367" s="326"/>
      <c r="GQR367" s="362"/>
      <c r="GQS367" s="386"/>
      <c r="GQT367" s="658"/>
      <c r="GQU367" s="388"/>
      <c r="GQV367" s="389"/>
      <c r="GQW367" s="590"/>
      <c r="GQX367" s="266"/>
      <c r="GQY367" s="649"/>
      <c r="GQZ367" s="326"/>
      <c r="GRA367" s="362"/>
      <c r="GRB367" s="386"/>
      <c r="GRC367" s="658"/>
      <c r="GRD367" s="388"/>
      <c r="GRE367" s="389"/>
      <c r="GRF367" s="590"/>
      <c r="GRG367" s="266"/>
      <c r="GRH367" s="649"/>
      <c r="GRI367" s="326"/>
      <c r="GRJ367" s="362"/>
      <c r="GRK367" s="386"/>
      <c r="GRL367" s="658"/>
      <c r="GRM367" s="388"/>
      <c r="GRN367" s="389"/>
      <c r="GRO367" s="590"/>
      <c r="GRP367" s="266"/>
      <c r="GRQ367" s="649"/>
      <c r="GRR367" s="326"/>
      <c r="GRS367" s="362"/>
      <c r="GRT367" s="386"/>
      <c r="GRU367" s="658"/>
      <c r="GRV367" s="388"/>
      <c r="GRW367" s="389"/>
      <c r="GRX367" s="590"/>
      <c r="GRY367" s="266"/>
      <c r="GRZ367" s="649"/>
      <c r="GSA367" s="326"/>
      <c r="GSB367" s="362"/>
      <c r="GSC367" s="386"/>
      <c r="GSD367" s="658"/>
      <c r="GSE367" s="388"/>
      <c r="GSF367" s="389"/>
      <c r="GSG367" s="590"/>
      <c r="GSH367" s="266"/>
      <c r="GSI367" s="649"/>
      <c r="GSJ367" s="326"/>
      <c r="GSK367" s="362"/>
      <c r="GSL367" s="386"/>
      <c r="GSM367" s="658"/>
      <c r="GSN367" s="388"/>
      <c r="GSO367" s="389"/>
      <c r="GSP367" s="590"/>
      <c r="GSQ367" s="266"/>
      <c r="GSR367" s="649"/>
      <c r="GSS367" s="326"/>
      <c r="GST367" s="362"/>
      <c r="GSU367" s="386"/>
      <c r="GSV367" s="658"/>
      <c r="GSW367" s="388"/>
      <c r="GSX367" s="389"/>
      <c r="GSY367" s="590"/>
      <c r="GSZ367" s="266"/>
      <c r="GTA367" s="649"/>
      <c r="GTB367" s="326"/>
      <c r="GTC367" s="362"/>
      <c r="GTD367" s="386"/>
      <c r="GTE367" s="658"/>
      <c r="GTF367" s="388"/>
      <c r="GTG367" s="389"/>
      <c r="GTH367" s="590"/>
      <c r="GTI367" s="266"/>
      <c r="GTJ367" s="649"/>
      <c r="GTK367" s="326"/>
      <c r="GTL367" s="362"/>
      <c r="GTM367" s="386"/>
      <c r="GTN367" s="658"/>
      <c r="GTO367" s="388"/>
      <c r="GTP367" s="389"/>
      <c r="GTQ367" s="590"/>
      <c r="GTR367" s="266"/>
      <c r="GTS367" s="649"/>
      <c r="GTT367" s="326"/>
      <c r="GTU367" s="362"/>
      <c r="GTV367" s="386"/>
      <c r="GTW367" s="658"/>
      <c r="GTX367" s="388"/>
      <c r="GTY367" s="389"/>
      <c r="GTZ367" s="590"/>
      <c r="GUA367" s="266"/>
      <c r="GUB367" s="649"/>
      <c r="GUC367" s="326"/>
      <c r="GUD367" s="362"/>
      <c r="GUE367" s="386"/>
      <c r="GUF367" s="658"/>
      <c r="GUG367" s="388"/>
      <c r="GUH367" s="389"/>
      <c r="GUI367" s="590"/>
      <c r="GUJ367" s="266"/>
      <c r="GUK367" s="649"/>
      <c r="GUL367" s="326"/>
      <c r="GUM367" s="362"/>
      <c r="GUN367" s="386"/>
      <c r="GUO367" s="658"/>
      <c r="GUP367" s="388"/>
      <c r="GUQ367" s="389"/>
      <c r="GUR367" s="590"/>
      <c r="GUS367" s="266"/>
      <c r="GUT367" s="649"/>
      <c r="GUU367" s="326"/>
      <c r="GUV367" s="362"/>
      <c r="GUW367" s="386"/>
      <c r="GUX367" s="658"/>
      <c r="GUY367" s="388"/>
      <c r="GUZ367" s="389"/>
      <c r="GVA367" s="590"/>
      <c r="GVB367" s="266"/>
      <c r="GVC367" s="649"/>
      <c r="GVD367" s="326"/>
      <c r="GVE367" s="362"/>
      <c r="GVF367" s="386"/>
      <c r="GVG367" s="658"/>
      <c r="GVH367" s="388"/>
      <c r="GVI367" s="389"/>
      <c r="GVJ367" s="590"/>
      <c r="GVK367" s="266"/>
      <c r="GVL367" s="649"/>
      <c r="GVM367" s="326"/>
      <c r="GVN367" s="362"/>
      <c r="GVO367" s="386"/>
      <c r="GVP367" s="658"/>
      <c r="GVQ367" s="388"/>
      <c r="GVR367" s="389"/>
      <c r="GVS367" s="590"/>
      <c r="GVT367" s="266"/>
      <c r="GVU367" s="649"/>
      <c r="GVV367" s="326"/>
      <c r="GVW367" s="362"/>
      <c r="GVX367" s="386"/>
      <c r="GVY367" s="658"/>
      <c r="GVZ367" s="388"/>
      <c r="GWA367" s="389"/>
      <c r="GWB367" s="590"/>
      <c r="GWC367" s="266"/>
      <c r="GWD367" s="649"/>
      <c r="GWE367" s="326"/>
      <c r="GWF367" s="362"/>
      <c r="GWG367" s="386"/>
      <c r="GWH367" s="658"/>
      <c r="GWI367" s="388"/>
      <c r="GWJ367" s="389"/>
      <c r="GWK367" s="590"/>
      <c r="GWL367" s="266"/>
      <c r="GWM367" s="649"/>
      <c r="GWN367" s="326"/>
      <c r="GWO367" s="362"/>
      <c r="GWP367" s="386"/>
      <c r="GWQ367" s="658"/>
      <c r="GWR367" s="388"/>
      <c r="GWS367" s="389"/>
      <c r="GWT367" s="590"/>
      <c r="GWU367" s="266"/>
      <c r="GWV367" s="649"/>
      <c r="GWW367" s="326"/>
      <c r="GWX367" s="362"/>
      <c r="GWY367" s="386"/>
      <c r="GWZ367" s="658"/>
      <c r="GXA367" s="388"/>
      <c r="GXB367" s="389"/>
      <c r="GXC367" s="590"/>
      <c r="GXD367" s="266"/>
      <c r="GXE367" s="649"/>
      <c r="GXF367" s="326"/>
      <c r="GXG367" s="362"/>
      <c r="GXH367" s="386"/>
      <c r="GXI367" s="658"/>
      <c r="GXJ367" s="388"/>
      <c r="GXK367" s="389"/>
      <c r="GXL367" s="590"/>
      <c r="GXM367" s="266"/>
      <c r="GXN367" s="649"/>
      <c r="GXO367" s="326"/>
      <c r="GXP367" s="362"/>
      <c r="GXQ367" s="386"/>
      <c r="GXR367" s="658"/>
      <c r="GXS367" s="388"/>
      <c r="GXT367" s="389"/>
      <c r="GXU367" s="590"/>
      <c r="GXV367" s="266"/>
      <c r="GXW367" s="649"/>
      <c r="GXX367" s="326"/>
      <c r="GXY367" s="362"/>
      <c r="GXZ367" s="386"/>
      <c r="GYA367" s="658"/>
      <c r="GYB367" s="388"/>
      <c r="GYC367" s="389"/>
      <c r="GYD367" s="590"/>
      <c r="GYE367" s="266"/>
      <c r="GYF367" s="649"/>
      <c r="GYG367" s="326"/>
      <c r="GYH367" s="362"/>
      <c r="GYI367" s="386"/>
      <c r="GYJ367" s="658"/>
      <c r="GYK367" s="388"/>
      <c r="GYL367" s="389"/>
      <c r="GYM367" s="590"/>
      <c r="GYN367" s="266"/>
      <c r="GYO367" s="649"/>
      <c r="GYP367" s="326"/>
      <c r="GYQ367" s="362"/>
      <c r="GYR367" s="386"/>
      <c r="GYS367" s="658"/>
      <c r="GYT367" s="388"/>
      <c r="GYU367" s="389"/>
      <c r="GYV367" s="590"/>
      <c r="GYW367" s="266"/>
      <c r="GYX367" s="649"/>
      <c r="GYY367" s="326"/>
      <c r="GYZ367" s="362"/>
      <c r="GZA367" s="386"/>
      <c r="GZB367" s="658"/>
      <c r="GZC367" s="388"/>
      <c r="GZD367" s="389"/>
      <c r="GZE367" s="590"/>
      <c r="GZF367" s="266"/>
      <c r="GZG367" s="649"/>
      <c r="GZH367" s="326"/>
      <c r="GZI367" s="362"/>
      <c r="GZJ367" s="386"/>
      <c r="GZK367" s="658"/>
      <c r="GZL367" s="388"/>
      <c r="GZM367" s="389"/>
      <c r="GZN367" s="590"/>
      <c r="GZO367" s="266"/>
      <c r="GZP367" s="649"/>
      <c r="GZQ367" s="326"/>
      <c r="GZR367" s="362"/>
      <c r="GZS367" s="386"/>
      <c r="GZT367" s="658"/>
      <c r="GZU367" s="388"/>
      <c r="GZV367" s="389"/>
      <c r="GZW367" s="590"/>
      <c r="GZX367" s="266"/>
      <c r="GZY367" s="649"/>
      <c r="GZZ367" s="326"/>
      <c r="HAA367" s="362"/>
      <c r="HAB367" s="386"/>
      <c r="HAC367" s="658"/>
      <c r="HAD367" s="388"/>
      <c r="HAE367" s="389"/>
      <c r="HAF367" s="590"/>
      <c r="HAG367" s="266"/>
      <c r="HAH367" s="649"/>
      <c r="HAI367" s="326"/>
      <c r="HAJ367" s="362"/>
      <c r="HAK367" s="386"/>
      <c r="HAL367" s="658"/>
      <c r="HAM367" s="388"/>
      <c r="HAN367" s="389"/>
      <c r="HAO367" s="590"/>
      <c r="HAP367" s="266"/>
      <c r="HAQ367" s="649"/>
      <c r="HAR367" s="326"/>
      <c r="HAS367" s="362"/>
      <c r="HAT367" s="386"/>
      <c r="HAU367" s="658"/>
      <c r="HAV367" s="388"/>
      <c r="HAW367" s="389"/>
      <c r="HAX367" s="590"/>
      <c r="HAY367" s="266"/>
      <c r="HAZ367" s="649"/>
      <c r="HBA367" s="326"/>
      <c r="HBB367" s="362"/>
      <c r="HBC367" s="386"/>
      <c r="HBD367" s="658"/>
      <c r="HBE367" s="388"/>
      <c r="HBF367" s="389"/>
      <c r="HBG367" s="590"/>
      <c r="HBH367" s="266"/>
      <c r="HBI367" s="649"/>
      <c r="HBJ367" s="326"/>
      <c r="HBK367" s="362"/>
      <c r="HBL367" s="386"/>
      <c r="HBM367" s="658"/>
      <c r="HBN367" s="388"/>
      <c r="HBO367" s="389"/>
      <c r="HBP367" s="590"/>
      <c r="HBQ367" s="266"/>
      <c r="HBR367" s="649"/>
      <c r="HBS367" s="326"/>
      <c r="HBT367" s="362"/>
      <c r="HBU367" s="386"/>
      <c r="HBV367" s="658"/>
      <c r="HBW367" s="388"/>
      <c r="HBX367" s="389"/>
      <c r="HBY367" s="590"/>
      <c r="HBZ367" s="266"/>
      <c r="HCA367" s="649"/>
      <c r="HCB367" s="326"/>
      <c r="HCC367" s="362"/>
      <c r="HCD367" s="386"/>
      <c r="HCE367" s="658"/>
      <c r="HCF367" s="388"/>
      <c r="HCG367" s="389"/>
      <c r="HCH367" s="590"/>
      <c r="HCI367" s="266"/>
      <c r="HCJ367" s="649"/>
      <c r="HCK367" s="326"/>
      <c r="HCL367" s="362"/>
      <c r="HCM367" s="386"/>
      <c r="HCN367" s="658"/>
      <c r="HCO367" s="388"/>
      <c r="HCP367" s="389"/>
      <c r="HCQ367" s="590"/>
      <c r="HCR367" s="266"/>
      <c r="HCS367" s="649"/>
      <c r="HCT367" s="326"/>
      <c r="HCU367" s="362"/>
      <c r="HCV367" s="386"/>
      <c r="HCW367" s="658"/>
      <c r="HCX367" s="388"/>
      <c r="HCY367" s="389"/>
      <c r="HCZ367" s="590"/>
      <c r="HDA367" s="266"/>
      <c r="HDB367" s="649"/>
      <c r="HDC367" s="326"/>
      <c r="HDD367" s="362"/>
      <c r="HDE367" s="386"/>
      <c r="HDF367" s="658"/>
      <c r="HDG367" s="388"/>
      <c r="HDH367" s="389"/>
      <c r="HDI367" s="590"/>
      <c r="HDJ367" s="266"/>
      <c r="HDK367" s="649"/>
      <c r="HDL367" s="326"/>
      <c r="HDM367" s="362"/>
      <c r="HDN367" s="386"/>
      <c r="HDO367" s="658"/>
      <c r="HDP367" s="388"/>
      <c r="HDQ367" s="389"/>
      <c r="HDR367" s="590"/>
      <c r="HDS367" s="266"/>
      <c r="HDT367" s="649"/>
      <c r="HDU367" s="326"/>
      <c r="HDV367" s="362"/>
      <c r="HDW367" s="386"/>
      <c r="HDX367" s="658"/>
      <c r="HDY367" s="388"/>
      <c r="HDZ367" s="389"/>
      <c r="HEA367" s="590"/>
      <c r="HEB367" s="266"/>
      <c r="HEC367" s="649"/>
      <c r="HED367" s="326"/>
      <c r="HEE367" s="362"/>
      <c r="HEF367" s="386"/>
      <c r="HEG367" s="658"/>
      <c r="HEH367" s="388"/>
      <c r="HEI367" s="389"/>
      <c r="HEJ367" s="590"/>
      <c r="HEK367" s="266"/>
      <c r="HEL367" s="649"/>
      <c r="HEM367" s="326"/>
      <c r="HEN367" s="362"/>
      <c r="HEO367" s="386"/>
      <c r="HEP367" s="658"/>
      <c r="HEQ367" s="388"/>
      <c r="HER367" s="389"/>
      <c r="HES367" s="590"/>
      <c r="HET367" s="266"/>
      <c r="HEU367" s="649"/>
      <c r="HEV367" s="326"/>
      <c r="HEW367" s="362"/>
      <c r="HEX367" s="386"/>
      <c r="HEY367" s="658"/>
      <c r="HEZ367" s="388"/>
      <c r="HFA367" s="389"/>
      <c r="HFB367" s="590"/>
      <c r="HFC367" s="266"/>
      <c r="HFD367" s="649"/>
      <c r="HFE367" s="326"/>
      <c r="HFF367" s="362"/>
      <c r="HFG367" s="386"/>
      <c r="HFH367" s="658"/>
      <c r="HFI367" s="388"/>
      <c r="HFJ367" s="389"/>
      <c r="HFK367" s="590"/>
      <c r="HFL367" s="266"/>
      <c r="HFM367" s="649"/>
      <c r="HFN367" s="326"/>
      <c r="HFO367" s="362"/>
      <c r="HFP367" s="386"/>
      <c r="HFQ367" s="658"/>
      <c r="HFR367" s="388"/>
      <c r="HFS367" s="389"/>
      <c r="HFT367" s="590"/>
      <c r="HFU367" s="266"/>
      <c r="HFV367" s="649"/>
      <c r="HFW367" s="326"/>
      <c r="HFX367" s="362"/>
      <c r="HFY367" s="386"/>
      <c r="HFZ367" s="658"/>
      <c r="HGA367" s="388"/>
      <c r="HGB367" s="389"/>
      <c r="HGC367" s="590"/>
      <c r="HGD367" s="266"/>
      <c r="HGE367" s="649"/>
      <c r="HGF367" s="326"/>
      <c r="HGG367" s="362"/>
      <c r="HGH367" s="386"/>
      <c r="HGI367" s="658"/>
      <c r="HGJ367" s="388"/>
      <c r="HGK367" s="389"/>
      <c r="HGL367" s="590"/>
      <c r="HGM367" s="266"/>
      <c r="HGN367" s="649"/>
      <c r="HGO367" s="326"/>
      <c r="HGP367" s="362"/>
      <c r="HGQ367" s="386"/>
      <c r="HGR367" s="658"/>
      <c r="HGS367" s="388"/>
      <c r="HGT367" s="389"/>
      <c r="HGU367" s="590"/>
      <c r="HGV367" s="266"/>
      <c r="HGW367" s="649"/>
      <c r="HGX367" s="326"/>
      <c r="HGY367" s="362"/>
      <c r="HGZ367" s="386"/>
      <c r="HHA367" s="658"/>
      <c r="HHB367" s="388"/>
      <c r="HHC367" s="389"/>
      <c r="HHD367" s="590"/>
      <c r="HHE367" s="266"/>
      <c r="HHF367" s="649"/>
      <c r="HHG367" s="326"/>
      <c r="HHH367" s="362"/>
      <c r="HHI367" s="386"/>
      <c r="HHJ367" s="658"/>
      <c r="HHK367" s="388"/>
      <c r="HHL367" s="389"/>
      <c r="HHM367" s="590"/>
      <c r="HHN367" s="266"/>
      <c r="HHO367" s="649"/>
      <c r="HHP367" s="326"/>
      <c r="HHQ367" s="362"/>
      <c r="HHR367" s="386"/>
      <c r="HHS367" s="658"/>
      <c r="HHT367" s="388"/>
      <c r="HHU367" s="389"/>
      <c r="HHV367" s="590"/>
      <c r="HHW367" s="266"/>
      <c r="HHX367" s="649"/>
      <c r="HHY367" s="326"/>
      <c r="HHZ367" s="362"/>
      <c r="HIA367" s="386"/>
      <c r="HIB367" s="658"/>
      <c r="HIC367" s="388"/>
      <c r="HID367" s="389"/>
      <c r="HIE367" s="590"/>
      <c r="HIF367" s="266"/>
      <c r="HIG367" s="649"/>
      <c r="HIH367" s="326"/>
      <c r="HII367" s="362"/>
      <c r="HIJ367" s="386"/>
      <c r="HIK367" s="658"/>
      <c r="HIL367" s="388"/>
      <c r="HIM367" s="389"/>
      <c r="HIN367" s="590"/>
      <c r="HIO367" s="266"/>
      <c r="HIP367" s="649"/>
      <c r="HIQ367" s="326"/>
      <c r="HIR367" s="362"/>
      <c r="HIS367" s="386"/>
      <c r="HIT367" s="658"/>
      <c r="HIU367" s="388"/>
      <c r="HIV367" s="389"/>
      <c r="HIW367" s="590"/>
      <c r="HIX367" s="266"/>
      <c r="HIY367" s="649"/>
      <c r="HIZ367" s="326"/>
      <c r="HJA367" s="362"/>
      <c r="HJB367" s="386"/>
      <c r="HJC367" s="658"/>
      <c r="HJD367" s="388"/>
      <c r="HJE367" s="389"/>
      <c r="HJF367" s="590"/>
      <c r="HJG367" s="266"/>
      <c r="HJH367" s="649"/>
      <c r="HJI367" s="326"/>
      <c r="HJJ367" s="362"/>
      <c r="HJK367" s="386"/>
      <c r="HJL367" s="658"/>
      <c r="HJM367" s="388"/>
      <c r="HJN367" s="389"/>
      <c r="HJO367" s="590"/>
      <c r="HJP367" s="266"/>
      <c r="HJQ367" s="649"/>
      <c r="HJR367" s="326"/>
      <c r="HJS367" s="362"/>
      <c r="HJT367" s="386"/>
      <c r="HJU367" s="658"/>
      <c r="HJV367" s="388"/>
      <c r="HJW367" s="389"/>
      <c r="HJX367" s="590"/>
      <c r="HJY367" s="266"/>
      <c r="HJZ367" s="649"/>
      <c r="HKA367" s="326"/>
      <c r="HKB367" s="362"/>
      <c r="HKC367" s="386"/>
      <c r="HKD367" s="658"/>
      <c r="HKE367" s="388"/>
      <c r="HKF367" s="389"/>
      <c r="HKG367" s="590"/>
      <c r="HKH367" s="266"/>
      <c r="HKI367" s="649"/>
      <c r="HKJ367" s="326"/>
      <c r="HKK367" s="362"/>
      <c r="HKL367" s="386"/>
      <c r="HKM367" s="658"/>
      <c r="HKN367" s="388"/>
      <c r="HKO367" s="389"/>
      <c r="HKP367" s="590"/>
      <c r="HKQ367" s="266"/>
      <c r="HKR367" s="649"/>
      <c r="HKS367" s="326"/>
      <c r="HKT367" s="362"/>
      <c r="HKU367" s="386"/>
      <c r="HKV367" s="658"/>
      <c r="HKW367" s="388"/>
      <c r="HKX367" s="389"/>
      <c r="HKY367" s="590"/>
      <c r="HKZ367" s="266"/>
      <c r="HLA367" s="649"/>
      <c r="HLB367" s="326"/>
      <c r="HLC367" s="362"/>
      <c r="HLD367" s="386"/>
      <c r="HLE367" s="658"/>
      <c r="HLF367" s="388"/>
      <c r="HLG367" s="389"/>
      <c r="HLH367" s="590"/>
      <c r="HLI367" s="266"/>
      <c r="HLJ367" s="649"/>
      <c r="HLK367" s="326"/>
      <c r="HLL367" s="362"/>
      <c r="HLM367" s="386"/>
      <c r="HLN367" s="658"/>
      <c r="HLO367" s="388"/>
      <c r="HLP367" s="389"/>
      <c r="HLQ367" s="590"/>
      <c r="HLR367" s="266"/>
      <c r="HLS367" s="649"/>
      <c r="HLT367" s="326"/>
      <c r="HLU367" s="362"/>
      <c r="HLV367" s="386"/>
      <c r="HLW367" s="658"/>
      <c r="HLX367" s="388"/>
      <c r="HLY367" s="389"/>
      <c r="HLZ367" s="590"/>
      <c r="HMA367" s="266"/>
      <c r="HMB367" s="649"/>
      <c r="HMC367" s="326"/>
      <c r="HMD367" s="362"/>
      <c r="HME367" s="386"/>
      <c r="HMF367" s="658"/>
      <c r="HMG367" s="388"/>
      <c r="HMH367" s="389"/>
      <c r="HMI367" s="590"/>
      <c r="HMJ367" s="266"/>
      <c r="HMK367" s="649"/>
      <c r="HML367" s="326"/>
      <c r="HMM367" s="362"/>
      <c r="HMN367" s="386"/>
      <c r="HMO367" s="658"/>
      <c r="HMP367" s="388"/>
      <c r="HMQ367" s="389"/>
      <c r="HMR367" s="590"/>
      <c r="HMS367" s="266"/>
      <c r="HMT367" s="649"/>
      <c r="HMU367" s="326"/>
      <c r="HMV367" s="362"/>
      <c r="HMW367" s="386"/>
      <c r="HMX367" s="658"/>
      <c r="HMY367" s="388"/>
      <c r="HMZ367" s="389"/>
      <c r="HNA367" s="590"/>
      <c r="HNB367" s="266"/>
      <c r="HNC367" s="649"/>
      <c r="HND367" s="326"/>
      <c r="HNE367" s="362"/>
      <c r="HNF367" s="386"/>
      <c r="HNG367" s="658"/>
      <c r="HNH367" s="388"/>
      <c r="HNI367" s="389"/>
      <c r="HNJ367" s="590"/>
      <c r="HNK367" s="266"/>
      <c r="HNL367" s="649"/>
      <c r="HNM367" s="326"/>
      <c r="HNN367" s="362"/>
      <c r="HNO367" s="386"/>
      <c r="HNP367" s="658"/>
      <c r="HNQ367" s="388"/>
      <c r="HNR367" s="389"/>
      <c r="HNS367" s="590"/>
      <c r="HNT367" s="266"/>
      <c r="HNU367" s="649"/>
      <c r="HNV367" s="326"/>
      <c r="HNW367" s="362"/>
      <c r="HNX367" s="386"/>
      <c r="HNY367" s="658"/>
      <c r="HNZ367" s="388"/>
      <c r="HOA367" s="389"/>
      <c r="HOB367" s="590"/>
      <c r="HOC367" s="266"/>
      <c r="HOD367" s="649"/>
      <c r="HOE367" s="326"/>
      <c r="HOF367" s="362"/>
      <c r="HOG367" s="386"/>
      <c r="HOH367" s="658"/>
      <c r="HOI367" s="388"/>
      <c r="HOJ367" s="389"/>
      <c r="HOK367" s="590"/>
      <c r="HOL367" s="266"/>
      <c r="HOM367" s="649"/>
      <c r="HON367" s="326"/>
      <c r="HOO367" s="362"/>
      <c r="HOP367" s="386"/>
      <c r="HOQ367" s="658"/>
      <c r="HOR367" s="388"/>
      <c r="HOS367" s="389"/>
      <c r="HOT367" s="590"/>
      <c r="HOU367" s="266"/>
      <c r="HOV367" s="649"/>
      <c r="HOW367" s="326"/>
      <c r="HOX367" s="362"/>
      <c r="HOY367" s="386"/>
      <c r="HOZ367" s="658"/>
      <c r="HPA367" s="388"/>
      <c r="HPB367" s="389"/>
      <c r="HPC367" s="590"/>
      <c r="HPD367" s="266"/>
      <c r="HPE367" s="649"/>
      <c r="HPF367" s="326"/>
      <c r="HPG367" s="362"/>
      <c r="HPH367" s="386"/>
      <c r="HPI367" s="658"/>
      <c r="HPJ367" s="388"/>
      <c r="HPK367" s="389"/>
      <c r="HPL367" s="590"/>
      <c r="HPM367" s="266"/>
      <c r="HPN367" s="649"/>
      <c r="HPO367" s="326"/>
      <c r="HPP367" s="362"/>
      <c r="HPQ367" s="386"/>
      <c r="HPR367" s="658"/>
      <c r="HPS367" s="388"/>
      <c r="HPT367" s="389"/>
      <c r="HPU367" s="590"/>
      <c r="HPV367" s="266"/>
      <c r="HPW367" s="649"/>
      <c r="HPX367" s="326"/>
      <c r="HPY367" s="362"/>
      <c r="HPZ367" s="386"/>
      <c r="HQA367" s="658"/>
      <c r="HQB367" s="388"/>
      <c r="HQC367" s="389"/>
      <c r="HQD367" s="590"/>
      <c r="HQE367" s="266"/>
      <c r="HQF367" s="649"/>
      <c r="HQG367" s="326"/>
      <c r="HQH367" s="362"/>
      <c r="HQI367" s="386"/>
      <c r="HQJ367" s="658"/>
      <c r="HQK367" s="388"/>
      <c r="HQL367" s="389"/>
      <c r="HQM367" s="590"/>
      <c r="HQN367" s="266"/>
      <c r="HQO367" s="649"/>
      <c r="HQP367" s="326"/>
      <c r="HQQ367" s="362"/>
      <c r="HQR367" s="386"/>
      <c r="HQS367" s="658"/>
      <c r="HQT367" s="388"/>
      <c r="HQU367" s="389"/>
      <c r="HQV367" s="590"/>
      <c r="HQW367" s="266"/>
      <c r="HQX367" s="649"/>
      <c r="HQY367" s="326"/>
      <c r="HQZ367" s="362"/>
      <c r="HRA367" s="386"/>
      <c r="HRB367" s="658"/>
      <c r="HRC367" s="388"/>
      <c r="HRD367" s="389"/>
      <c r="HRE367" s="590"/>
      <c r="HRF367" s="266"/>
      <c r="HRG367" s="649"/>
      <c r="HRH367" s="326"/>
      <c r="HRI367" s="362"/>
      <c r="HRJ367" s="386"/>
      <c r="HRK367" s="658"/>
      <c r="HRL367" s="388"/>
      <c r="HRM367" s="389"/>
      <c r="HRN367" s="590"/>
      <c r="HRO367" s="266"/>
      <c r="HRP367" s="649"/>
      <c r="HRQ367" s="326"/>
      <c r="HRR367" s="362"/>
      <c r="HRS367" s="386"/>
      <c r="HRT367" s="658"/>
      <c r="HRU367" s="388"/>
      <c r="HRV367" s="389"/>
      <c r="HRW367" s="590"/>
      <c r="HRX367" s="266"/>
      <c r="HRY367" s="649"/>
      <c r="HRZ367" s="326"/>
      <c r="HSA367" s="362"/>
      <c r="HSB367" s="386"/>
      <c r="HSC367" s="658"/>
      <c r="HSD367" s="388"/>
      <c r="HSE367" s="389"/>
      <c r="HSF367" s="590"/>
      <c r="HSG367" s="266"/>
      <c r="HSH367" s="649"/>
      <c r="HSI367" s="326"/>
      <c r="HSJ367" s="362"/>
      <c r="HSK367" s="386"/>
      <c r="HSL367" s="658"/>
      <c r="HSM367" s="388"/>
      <c r="HSN367" s="389"/>
      <c r="HSO367" s="590"/>
      <c r="HSP367" s="266"/>
      <c r="HSQ367" s="649"/>
      <c r="HSR367" s="326"/>
      <c r="HSS367" s="362"/>
      <c r="HST367" s="386"/>
      <c r="HSU367" s="658"/>
      <c r="HSV367" s="388"/>
      <c r="HSW367" s="389"/>
      <c r="HSX367" s="590"/>
      <c r="HSY367" s="266"/>
      <c r="HSZ367" s="649"/>
      <c r="HTA367" s="326"/>
      <c r="HTB367" s="362"/>
      <c r="HTC367" s="386"/>
      <c r="HTD367" s="658"/>
      <c r="HTE367" s="388"/>
      <c r="HTF367" s="389"/>
      <c r="HTG367" s="590"/>
      <c r="HTH367" s="266"/>
      <c r="HTI367" s="649"/>
      <c r="HTJ367" s="326"/>
      <c r="HTK367" s="362"/>
      <c r="HTL367" s="386"/>
      <c r="HTM367" s="658"/>
      <c r="HTN367" s="388"/>
      <c r="HTO367" s="389"/>
      <c r="HTP367" s="590"/>
      <c r="HTQ367" s="266"/>
      <c r="HTR367" s="649"/>
      <c r="HTS367" s="326"/>
      <c r="HTT367" s="362"/>
      <c r="HTU367" s="386"/>
      <c r="HTV367" s="658"/>
      <c r="HTW367" s="388"/>
      <c r="HTX367" s="389"/>
      <c r="HTY367" s="590"/>
      <c r="HTZ367" s="266"/>
      <c r="HUA367" s="649"/>
      <c r="HUB367" s="326"/>
      <c r="HUC367" s="362"/>
      <c r="HUD367" s="386"/>
      <c r="HUE367" s="658"/>
      <c r="HUF367" s="388"/>
      <c r="HUG367" s="389"/>
      <c r="HUH367" s="590"/>
      <c r="HUI367" s="266"/>
      <c r="HUJ367" s="649"/>
      <c r="HUK367" s="326"/>
      <c r="HUL367" s="362"/>
      <c r="HUM367" s="386"/>
      <c r="HUN367" s="658"/>
      <c r="HUO367" s="388"/>
      <c r="HUP367" s="389"/>
      <c r="HUQ367" s="590"/>
      <c r="HUR367" s="266"/>
      <c r="HUS367" s="649"/>
      <c r="HUT367" s="326"/>
      <c r="HUU367" s="362"/>
      <c r="HUV367" s="386"/>
      <c r="HUW367" s="658"/>
      <c r="HUX367" s="388"/>
      <c r="HUY367" s="389"/>
      <c r="HUZ367" s="590"/>
      <c r="HVA367" s="266"/>
      <c r="HVB367" s="649"/>
      <c r="HVC367" s="326"/>
      <c r="HVD367" s="362"/>
      <c r="HVE367" s="386"/>
      <c r="HVF367" s="658"/>
      <c r="HVG367" s="388"/>
      <c r="HVH367" s="389"/>
      <c r="HVI367" s="590"/>
      <c r="HVJ367" s="266"/>
      <c r="HVK367" s="649"/>
      <c r="HVL367" s="326"/>
      <c r="HVM367" s="362"/>
      <c r="HVN367" s="386"/>
      <c r="HVO367" s="658"/>
      <c r="HVP367" s="388"/>
      <c r="HVQ367" s="389"/>
      <c r="HVR367" s="590"/>
      <c r="HVS367" s="266"/>
      <c r="HVT367" s="649"/>
      <c r="HVU367" s="326"/>
      <c r="HVV367" s="362"/>
      <c r="HVW367" s="386"/>
      <c r="HVX367" s="658"/>
      <c r="HVY367" s="388"/>
      <c r="HVZ367" s="389"/>
      <c r="HWA367" s="590"/>
      <c r="HWB367" s="266"/>
      <c r="HWC367" s="649"/>
      <c r="HWD367" s="326"/>
      <c r="HWE367" s="362"/>
      <c r="HWF367" s="386"/>
      <c r="HWG367" s="658"/>
      <c r="HWH367" s="388"/>
      <c r="HWI367" s="389"/>
      <c r="HWJ367" s="590"/>
      <c r="HWK367" s="266"/>
      <c r="HWL367" s="649"/>
      <c r="HWM367" s="326"/>
      <c r="HWN367" s="362"/>
      <c r="HWO367" s="386"/>
      <c r="HWP367" s="658"/>
      <c r="HWQ367" s="388"/>
      <c r="HWR367" s="389"/>
      <c r="HWS367" s="590"/>
      <c r="HWT367" s="266"/>
      <c r="HWU367" s="649"/>
      <c r="HWV367" s="326"/>
      <c r="HWW367" s="362"/>
      <c r="HWX367" s="386"/>
      <c r="HWY367" s="658"/>
      <c r="HWZ367" s="388"/>
      <c r="HXA367" s="389"/>
      <c r="HXB367" s="590"/>
      <c r="HXC367" s="266"/>
      <c r="HXD367" s="649"/>
      <c r="HXE367" s="326"/>
      <c r="HXF367" s="362"/>
      <c r="HXG367" s="386"/>
      <c r="HXH367" s="658"/>
      <c r="HXI367" s="388"/>
      <c r="HXJ367" s="389"/>
      <c r="HXK367" s="590"/>
      <c r="HXL367" s="266"/>
      <c r="HXM367" s="649"/>
      <c r="HXN367" s="326"/>
      <c r="HXO367" s="362"/>
      <c r="HXP367" s="386"/>
      <c r="HXQ367" s="658"/>
      <c r="HXR367" s="388"/>
      <c r="HXS367" s="389"/>
      <c r="HXT367" s="590"/>
      <c r="HXU367" s="266"/>
      <c r="HXV367" s="649"/>
      <c r="HXW367" s="326"/>
      <c r="HXX367" s="362"/>
      <c r="HXY367" s="386"/>
      <c r="HXZ367" s="658"/>
      <c r="HYA367" s="388"/>
      <c r="HYB367" s="389"/>
      <c r="HYC367" s="590"/>
      <c r="HYD367" s="266"/>
      <c r="HYE367" s="649"/>
      <c r="HYF367" s="326"/>
      <c r="HYG367" s="362"/>
      <c r="HYH367" s="386"/>
      <c r="HYI367" s="658"/>
      <c r="HYJ367" s="388"/>
      <c r="HYK367" s="389"/>
      <c r="HYL367" s="590"/>
      <c r="HYM367" s="266"/>
      <c r="HYN367" s="649"/>
      <c r="HYO367" s="326"/>
      <c r="HYP367" s="362"/>
      <c r="HYQ367" s="386"/>
      <c r="HYR367" s="658"/>
      <c r="HYS367" s="388"/>
      <c r="HYT367" s="389"/>
      <c r="HYU367" s="590"/>
      <c r="HYV367" s="266"/>
      <c r="HYW367" s="649"/>
      <c r="HYX367" s="326"/>
      <c r="HYY367" s="362"/>
      <c r="HYZ367" s="386"/>
      <c r="HZA367" s="658"/>
      <c r="HZB367" s="388"/>
      <c r="HZC367" s="389"/>
      <c r="HZD367" s="590"/>
      <c r="HZE367" s="266"/>
      <c r="HZF367" s="649"/>
      <c r="HZG367" s="326"/>
      <c r="HZH367" s="362"/>
      <c r="HZI367" s="386"/>
      <c r="HZJ367" s="658"/>
      <c r="HZK367" s="388"/>
      <c r="HZL367" s="389"/>
      <c r="HZM367" s="590"/>
      <c r="HZN367" s="266"/>
      <c r="HZO367" s="649"/>
      <c r="HZP367" s="326"/>
      <c r="HZQ367" s="362"/>
      <c r="HZR367" s="386"/>
      <c r="HZS367" s="658"/>
      <c r="HZT367" s="388"/>
      <c r="HZU367" s="389"/>
      <c r="HZV367" s="590"/>
      <c r="HZW367" s="266"/>
      <c r="HZX367" s="649"/>
      <c r="HZY367" s="326"/>
      <c r="HZZ367" s="362"/>
      <c r="IAA367" s="386"/>
      <c r="IAB367" s="658"/>
      <c r="IAC367" s="388"/>
      <c r="IAD367" s="389"/>
      <c r="IAE367" s="590"/>
      <c r="IAF367" s="266"/>
      <c r="IAG367" s="649"/>
      <c r="IAH367" s="326"/>
      <c r="IAI367" s="362"/>
      <c r="IAJ367" s="386"/>
      <c r="IAK367" s="658"/>
      <c r="IAL367" s="388"/>
      <c r="IAM367" s="389"/>
      <c r="IAN367" s="590"/>
      <c r="IAO367" s="266"/>
      <c r="IAP367" s="649"/>
      <c r="IAQ367" s="326"/>
      <c r="IAR367" s="362"/>
      <c r="IAS367" s="386"/>
      <c r="IAT367" s="658"/>
      <c r="IAU367" s="388"/>
      <c r="IAV367" s="389"/>
      <c r="IAW367" s="590"/>
      <c r="IAX367" s="266"/>
      <c r="IAY367" s="649"/>
      <c r="IAZ367" s="326"/>
      <c r="IBA367" s="362"/>
      <c r="IBB367" s="386"/>
      <c r="IBC367" s="658"/>
      <c r="IBD367" s="388"/>
      <c r="IBE367" s="389"/>
      <c r="IBF367" s="590"/>
      <c r="IBG367" s="266"/>
      <c r="IBH367" s="649"/>
      <c r="IBI367" s="326"/>
      <c r="IBJ367" s="362"/>
      <c r="IBK367" s="386"/>
      <c r="IBL367" s="658"/>
      <c r="IBM367" s="388"/>
      <c r="IBN367" s="389"/>
      <c r="IBO367" s="590"/>
      <c r="IBP367" s="266"/>
      <c r="IBQ367" s="649"/>
      <c r="IBR367" s="326"/>
      <c r="IBS367" s="362"/>
      <c r="IBT367" s="386"/>
      <c r="IBU367" s="658"/>
      <c r="IBV367" s="388"/>
      <c r="IBW367" s="389"/>
      <c r="IBX367" s="590"/>
      <c r="IBY367" s="266"/>
      <c r="IBZ367" s="649"/>
      <c r="ICA367" s="326"/>
      <c r="ICB367" s="362"/>
      <c r="ICC367" s="386"/>
      <c r="ICD367" s="658"/>
      <c r="ICE367" s="388"/>
      <c r="ICF367" s="389"/>
      <c r="ICG367" s="590"/>
      <c r="ICH367" s="266"/>
      <c r="ICI367" s="649"/>
      <c r="ICJ367" s="326"/>
      <c r="ICK367" s="362"/>
      <c r="ICL367" s="386"/>
      <c r="ICM367" s="658"/>
      <c r="ICN367" s="388"/>
      <c r="ICO367" s="389"/>
      <c r="ICP367" s="590"/>
      <c r="ICQ367" s="266"/>
      <c r="ICR367" s="649"/>
      <c r="ICS367" s="326"/>
      <c r="ICT367" s="362"/>
      <c r="ICU367" s="386"/>
      <c r="ICV367" s="658"/>
      <c r="ICW367" s="388"/>
      <c r="ICX367" s="389"/>
      <c r="ICY367" s="590"/>
      <c r="ICZ367" s="266"/>
      <c r="IDA367" s="649"/>
      <c r="IDB367" s="326"/>
      <c r="IDC367" s="362"/>
      <c r="IDD367" s="386"/>
      <c r="IDE367" s="658"/>
      <c r="IDF367" s="388"/>
      <c r="IDG367" s="389"/>
      <c r="IDH367" s="590"/>
      <c r="IDI367" s="266"/>
      <c r="IDJ367" s="649"/>
      <c r="IDK367" s="326"/>
      <c r="IDL367" s="362"/>
      <c r="IDM367" s="386"/>
      <c r="IDN367" s="658"/>
      <c r="IDO367" s="388"/>
      <c r="IDP367" s="389"/>
      <c r="IDQ367" s="590"/>
      <c r="IDR367" s="266"/>
      <c r="IDS367" s="649"/>
      <c r="IDT367" s="326"/>
      <c r="IDU367" s="362"/>
      <c r="IDV367" s="386"/>
      <c r="IDW367" s="658"/>
      <c r="IDX367" s="388"/>
      <c r="IDY367" s="389"/>
      <c r="IDZ367" s="590"/>
      <c r="IEA367" s="266"/>
      <c r="IEB367" s="649"/>
      <c r="IEC367" s="326"/>
      <c r="IED367" s="362"/>
      <c r="IEE367" s="386"/>
      <c r="IEF367" s="658"/>
      <c r="IEG367" s="388"/>
      <c r="IEH367" s="389"/>
      <c r="IEI367" s="590"/>
      <c r="IEJ367" s="266"/>
      <c r="IEK367" s="649"/>
      <c r="IEL367" s="326"/>
      <c r="IEM367" s="362"/>
      <c r="IEN367" s="386"/>
      <c r="IEO367" s="658"/>
      <c r="IEP367" s="388"/>
      <c r="IEQ367" s="389"/>
      <c r="IER367" s="590"/>
      <c r="IES367" s="266"/>
      <c r="IET367" s="649"/>
      <c r="IEU367" s="326"/>
      <c r="IEV367" s="362"/>
      <c r="IEW367" s="386"/>
      <c r="IEX367" s="658"/>
      <c r="IEY367" s="388"/>
      <c r="IEZ367" s="389"/>
      <c r="IFA367" s="590"/>
      <c r="IFB367" s="266"/>
      <c r="IFC367" s="649"/>
      <c r="IFD367" s="326"/>
      <c r="IFE367" s="362"/>
      <c r="IFF367" s="386"/>
      <c r="IFG367" s="658"/>
      <c r="IFH367" s="388"/>
      <c r="IFI367" s="389"/>
      <c r="IFJ367" s="590"/>
      <c r="IFK367" s="266"/>
      <c r="IFL367" s="649"/>
      <c r="IFM367" s="326"/>
      <c r="IFN367" s="362"/>
      <c r="IFO367" s="386"/>
      <c r="IFP367" s="658"/>
      <c r="IFQ367" s="388"/>
      <c r="IFR367" s="389"/>
      <c r="IFS367" s="590"/>
      <c r="IFT367" s="266"/>
      <c r="IFU367" s="649"/>
      <c r="IFV367" s="326"/>
      <c r="IFW367" s="362"/>
      <c r="IFX367" s="386"/>
      <c r="IFY367" s="658"/>
      <c r="IFZ367" s="388"/>
      <c r="IGA367" s="389"/>
      <c r="IGB367" s="590"/>
      <c r="IGC367" s="266"/>
      <c r="IGD367" s="649"/>
      <c r="IGE367" s="326"/>
      <c r="IGF367" s="362"/>
      <c r="IGG367" s="386"/>
      <c r="IGH367" s="658"/>
      <c r="IGI367" s="388"/>
      <c r="IGJ367" s="389"/>
      <c r="IGK367" s="590"/>
      <c r="IGL367" s="266"/>
      <c r="IGM367" s="649"/>
      <c r="IGN367" s="326"/>
      <c r="IGO367" s="362"/>
      <c r="IGP367" s="386"/>
      <c r="IGQ367" s="658"/>
      <c r="IGR367" s="388"/>
      <c r="IGS367" s="389"/>
      <c r="IGT367" s="590"/>
      <c r="IGU367" s="266"/>
      <c r="IGV367" s="649"/>
      <c r="IGW367" s="326"/>
      <c r="IGX367" s="362"/>
      <c r="IGY367" s="386"/>
      <c r="IGZ367" s="658"/>
      <c r="IHA367" s="388"/>
      <c r="IHB367" s="389"/>
      <c r="IHC367" s="590"/>
      <c r="IHD367" s="266"/>
      <c r="IHE367" s="649"/>
      <c r="IHF367" s="326"/>
      <c r="IHG367" s="362"/>
      <c r="IHH367" s="386"/>
      <c r="IHI367" s="658"/>
      <c r="IHJ367" s="388"/>
      <c r="IHK367" s="389"/>
      <c r="IHL367" s="590"/>
      <c r="IHM367" s="266"/>
      <c r="IHN367" s="649"/>
      <c r="IHO367" s="326"/>
      <c r="IHP367" s="362"/>
      <c r="IHQ367" s="386"/>
      <c r="IHR367" s="658"/>
      <c r="IHS367" s="388"/>
      <c r="IHT367" s="389"/>
      <c r="IHU367" s="590"/>
      <c r="IHV367" s="266"/>
      <c r="IHW367" s="649"/>
      <c r="IHX367" s="326"/>
      <c r="IHY367" s="362"/>
      <c r="IHZ367" s="386"/>
      <c r="IIA367" s="658"/>
      <c r="IIB367" s="388"/>
      <c r="IIC367" s="389"/>
      <c r="IID367" s="590"/>
      <c r="IIE367" s="266"/>
      <c r="IIF367" s="649"/>
      <c r="IIG367" s="326"/>
      <c r="IIH367" s="362"/>
      <c r="III367" s="386"/>
      <c r="IIJ367" s="658"/>
      <c r="IIK367" s="388"/>
      <c r="IIL367" s="389"/>
      <c r="IIM367" s="590"/>
      <c r="IIN367" s="266"/>
      <c r="IIO367" s="649"/>
      <c r="IIP367" s="326"/>
      <c r="IIQ367" s="362"/>
      <c r="IIR367" s="386"/>
      <c r="IIS367" s="658"/>
      <c r="IIT367" s="388"/>
      <c r="IIU367" s="389"/>
      <c r="IIV367" s="590"/>
      <c r="IIW367" s="266"/>
      <c r="IIX367" s="649"/>
      <c r="IIY367" s="326"/>
      <c r="IIZ367" s="362"/>
      <c r="IJA367" s="386"/>
      <c r="IJB367" s="658"/>
      <c r="IJC367" s="388"/>
      <c r="IJD367" s="389"/>
      <c r="IJE367" s="590"/>
      <c r="IJF367" s="266"/>
      <c r="IJG367" s="649"/>
      <c r="IJH367" s="326"/>
      <c r="IJI367" s="362"/>
      <c r="IJJ367" s="386"/>
      <c r="IJK367" s="658"/>
      <c r="IJL367" s="388"/>
      <c r="IJM367" s="389"/>
      <c r="IJN367" s="590"/>
      <c r="IJO367" s="266"/>
      <c r="IJP367" s="649"/>
      <c r="IJQ367" s="326"/>
      <c r="IJR367" s="362"/>
      <c r="IJS367" s="386"/>
      <c r="IJT367" s="658"/>
      <c r="IJU367" s="388"/>
      <c r="IJV367" s="389"/>
      <c r="IJW367" s="590"/>
      <c r="IJX367" s="266"/>
      <c r="IJY367" s="649"/>
      <c r="IJZ367" s="326"/>
      <c r="IKA367" s="362"/>
      <c r="IKB367" s="386"/>
      <c r="IKC367" s="658"/>
      <c r="IKD367" s="388"/>
      <c r="IKE367" s="389"/>
      <c r="IKF367" s="590"/>
      <c r="IKG367" s="266"/>
      <c r="IKH367" s="649"/>
      <c r="IKI367" s="326"/>
      <c r="IKJ367" s="362"/>
      <c r="IKK367" s="386"/>
      <c r="IKL367" s="658"/>
      <c r="IKM367" s="388"/>
      <c r="IKN367" s="389"/>
      <c r="IKO367" s="590"/>
      <c r="IKP367" s="266"/>
      <c r="IKQ367" s="649"/>
      <c r="IKR367" s="326"/>
      <c r="IKS367" s="362"/>
      <c r="IKT367" s="386"/>
      <c r="IKU367" s="658"/>
      <c r="IKV367" s="388"/>
      <c r="IKW367" s="389"/>
      <c r="IKX367" s="590"/>
      <c r="IKY367" s="266"/>
      <c r="IKZ367" s="649"/>
      <c r="ILA367" s="326"/>
      <c r="ILB367" s="362"/>
      <c r="ILC367" s="386"/>
      <c r="ILD367" s="658"/>
      <c r="ILE367" s="388"/>
      <c r="ILF367" s="389"/>
      <c r="ILG367" s="590"/>
      <c r="ILH367" s="266"/>
      <c r="ILI367" s="649"/>
      <c r="ILJ367" s="326"/>
      <c r="ILK367" s="362"/>
      <c r="ILL367" s="386"/>
      <c r="ILM367" s="658"/>
      <c r="ILN367" s="388"/>
      <c r="ILO367" s="389"/>
      <c r="ILP367" s="590"/>
      <c r="ILQ367" s="266"/>
      <c r="ILR367" s="649"/>
      <c r="ILS367" s="326"/>
      <c r="ILT367" s="362"/>
      <c r="ILU367" s="386"/>
      <c r="ILV367" s="658"/>
      <c r="ILW367" s="388"/>
      <c r="ILX367" s="389"/>
      <c r="ILY367" s="590"/>
      <c r="ILZ367" s="266"/>
      <c r="IMA367" s="649"/>
      <c r="IMB367" s="326"/>
      <c r="IMC367" s="362"/>
      <c r="IMD367" s="386"/>
      <c r="IME367" s="658"/>
      <c r="IMF367" s="388"/>
      <c r="IMG367" s="389"/>
      <c r="IMH367" s="590"/>
      <c r="IMI367" s="266"/>
      <c r="IMJ367" s="649"/>
      <c r="IMK367" s="326"/>
      <c r="IML367" s="362"/>
      <c r="IMM367" s="386"/>
      <c r="IMN367" s="658"/>
      <c r="IMO367" s="388"/>
      <c r="IMP367" s="389"/>
      <c r="IMQ367" s="590"/>
      <c r="IMR367" s="266"/>
      <c r="IMS367" s="649"/>
      <c r="IMT367" s="326"/>
      <c r="IMU367" s="362"/>
      <c r="IMV367" s="386"/>
      <c r="IMW367" s="658"/>
      <c r="IMX367" s="388"/>
      <c r="IMY367" s="389"/>
      <c r="IMZ367" s="590"/>
      <c r="INA367" s="266"/>
      <c r="INB367" s="649"/>
      <c r="INC367" s="326"/>
      <c r="IND367" s="362"/>
      <c r="INE367" s="386"/>
      <c r="INF367" s="658"/>
      <c r="ING367" s="388"/>
      <c r="INH367" s="389"/>
      <c r="INI367" s="590"/>
      <c r="INJ367" s="266"/>
      <c r="INK367" s="649"/>
      <c r="INL367" s="326"/>
      <c r="INM367" s="362"/>
      <c r="INN367" s="386"/>
      <c r="INO367" s="658"/>
      <c r="INP367" s="388"/>
      <c r="INQ367" s="389"/>
      <c r="INR367" s="590"/>
      <c r="INS367" s="266"/>
      <c r="INT367" s="649"/>
      <c r="INU367" s="326"/>
      <c r="INV367" s="362"/>
      <c r="INW367" s="386"/>
      <c r="INX367" s="658"/>
      <c r="INY367" s="388"/>
      <c r="INZ367" s="389"/>
      <c r="IOA367" s="590"/>
      <c r="IOB367" s="266"/>
      <c r="IOC367" s="649"/>
      <c r="IOD367" s="326"/>
      <c r="IOE367" s="362"/>
      <c r="IOF367" s="386"/>
      <c r="IOG367" s="658"/>
      <c r="IOH367" s="388"/>
      <c r="IOI367" s="389"/>
      <c r="IOJ367" s="590"/>
      <c r="IOK367" s="266"/>
      <c r="IOL367" s="649"/>
      <c r="IOM367" s="326"/>
      <c r="ION367" s="362"/>
      <c r="IOO367" s="386"/>
      <c r="IOP367" s="658"/>
      <c r="IOQ367" s="388"/>
      <c r="IOR367" s="389"/>
      <c r="IOS367" s="590"/>
      <c r="IOT367" s="266"/>
      <c r="IOU367" s="649"/>
      <c r="IOV367" s="326"/>
      <c r="IOW367" s="362"/>
      <c r="IOX367" s="386"/>
      <c r="IOY367" s="658"/>
      <c r="IOZ367" s="388"/>
      <c r="IPA367" s="389"/>
      <c r="IPB367" s="590"/>
      <c r="IPC367" s="266"/>
      <c r="IPD367" s="649"/>
      <c r="IPE367" s="326"/>
      <c r="IPF367" s="362"/>
      <c r="IPG367" s="386"/>
      <c r="IPH367" s="658"/>
      <c r="IPI367" s="388"/>
      <c r="IPJ367" s="389"/>
      <c r="IPK367" s="590"/>
      <c r="IPL367" s="266"/>
      <c r="IPM367" s="649"/>
      <c r="IPN367" s="326"/>
      <c r="IPO367" s="362"/>
      <c r="IPP367" s="386"/>
      <c r="IPQ367" s="658"/>
      <c r="IPR367" s="388"/>
      <c r="IPS367" s="389"/>
      <c r="IPT367" s="590"/>
      <c r="IPU367" s="266"/>
      <c r="IPV367" s="649"/>
      <c r="IPW367" s="326"/>
      <c r="IPX367" s="362"/>
      <c r="IPY367" s="386"/>
      <c r="IPZ367" s="658"/>
      <c r="IQA367" s="388"/>
      <c r="IQB367" s="389"/>
      <c r="IQC367" s="590"/>
      <c r="IQD367" s="266"/>
      <c r="IQE367" s="649"/>
      <c r="IQF367" s="326"/>
      <c r="IQG367" s="362"/>
      <c r="IQH367" s="386"/>
      <c r="IQI367" s="658"/>
      <c r="IQJ367" s="388"/>
      <c r="IQK367" s="389"/>
      <c r="IQL367" s="590"/>
      <c r="IQM367" s="266"/>
      <c r="IQN367" s="649"/>
      <c r="IQO367" s="326"/>
      <c r="IQP367" s="362"/>
      <c r="IQQ367" s="386"/>
      <c r="IQR367" s="658"/>
      <c r="IQS367" s="388"/>
      <c r="IQT367" s="389"/>
      <c r="IQU367" s="590"/>
      <c r="IQV367" s="266"/>
      <c r="IQW367" s="649"/>
      <c r="IQX367" s="326"/>
      <c r="IQY367" s="362"/>
      <c r="IQZ367" s="386"/>
      <c r="IRA367" s="658"/>
      <c r="IRB367" s="388"/>
      <c r="IRC367" s="389"/>
      <c r="IRD367" s="590"/>
      <c r="IRE367" s="266"/>
      <c r="IRF367" s="649"/>
      <c r="IRG367" s="326"/>
      <c r="IRH367" s="362"/>
      <c r="IRI367" s="386"/>
      <c r="IRJ367" s="658"/>
      <c r="IRK367" s="388"/>
      <c r="IRL367" s="389"/>
      <c r="IRM367" s="590"/>
      <c r="IRN367" s="266"/>
      <c r="IRO367" s="649"/>
      <c r="IRP367" s="326"/>
      <c r="IRQ367" s="362"/>
      <c r="IRR367" s="386"/>
      <c r="IRS367" s="658"/>
      <c r="IRT367" s="388"/>
      <c r="IRU367" s="389"/>
      <c r="IRV367" s="590"/>
      <c r="IRW367" s="266"/>
      <c r="IRX367" s="649"/>
      <c r="IRY367" s="326"/>
      <c r="IRZ367" s="362"/>
      <c r="ISA367" s="386"/>
      <c r="ISB367" s="658"/>
      <c r="ISC367" s="388"/>
      <c r="ISD367" s="389"/>
      <c r="ISE367" s="590"/>
      <c r="ISF367" s="266"/>
      <c r="ISG367" s="649"/>
      <c r="ISH367" s="326"/>
      <c r="ISI367" s="362"/>
      <c r="ISJ367" s="386"/>
      <c r="ISK367" s="658"/>
      <c r="ISL367" s="388"/>
      <c r="ISM367" s="389"/>
      <c r="ISN367" s="590"/>
      <c r="ISO367" s="266"/>
      <c r="ISP367" s="649"/>
      <c r="ISQ367" s="326"/>
      <c r="ISR367" s="362"/>
      <c r="ISS367" s="386"/>
      <c r="IST367" s="658"/>
      <c r="ISU367" s="388"/>
      <c r="ISV367" s="389"/>
      <c r="ISW367" s="590"/>
      <c r="ISX367" s="266"/>
      <c r="ISY367" s="649"/>
      <c r="ISZ367" s="326"/>
      <c r="ITA367" s="362"/>
      <c r="ITB367" s="386"/>
      <c r="ITC367" s="658"/>
      <c r="ITD367" s="388"/>
      <c r="ITE367" s="389"/>
      <c r="ITF367" s="590"/>
      <c r="ITG367" s="266"/>
      <c r="ITH367" s="649"/>
      <c r="ITI367" s="326"/>
      <c r="ITJ367" s="362"/>
      <c r="ITK367" s="386"/>
      <c r="ITL367" s="658"/>
      <c r="ITM367" s="388"/>
      <c r="ITN367" s="389"/>
      <c r="ITO367" s="590"/>
      <c r="ITP367" s="266"/>
      <c r="ITQ367" s="649"/>
      <c r="ITR367" s="326"/>
      <c r="ITS367" s="362"/>
      <c r="ITT367" s="386"/>
      <c r="ITU367" s="658"/>
      <c r="ITV367" s="388"/>
      <c r="ITW367" s="389"/>
      <c r="ITX367" s="590"/>
      <c r="ITY367" s="266"/>
      <c r="ITZ367" s="649"/>
      <c r="IUA367" s="326"/>
      <c r="IUB367" s="362"/>
      <c r="IUC367" s="386"/>
      <c r="IUD367" s="658"/>
      <c r="IUE367" s="388"/>
      <c r="IUF367" s="389"/>
      <c r="IUG367" s="590"/>
      <c r="IUH367" s="266"/>
      <c r="IUI367" s="649"/>
      <c r="IUJ367" s="326"/>
      <c r="IUK367" s="362"/>
      <c r="IUL367" s="386"/>
      <c r="IUM367" s="658"/>
      <c r="IUN367" s="388"/>
      <c r="IUO367" s="389"/>
      <c r="IUP367" s="590"/>
      <c r="IUQ367" s="266"/>
      <c r="IUR367" s="649"/>
      <c r="IUS367" s="326"/>
      <c r="IUT367" s="362"/>
      <c r="IUU367" s="386"/>
      <c r="IUV367" s="658"/>
      <c r="IUW367" s="388"/>
      <c r="IUX367" s="389"/>
      <c r="IUY367" s="590"/>
      <c r="IUZ367" s="266"/>
      <c r="IVA367" s="649"/>
      <c r="IVB367" s="326"/>
      <c r="IVC367" s="362"/>
      <c r="IVD367" s="386"/>
      <c r="IVE367" s="658"/>
      <c r="IVF367" s="388"/>
      <c r="IVG367" s="389"/>
      <c r="IVH367" s="590"/>
      <c r="IVI367" s="266"/>
      <c r="IVJ367" s="649"/>
      <c r="IVK367" s="326"/>
      <c r="IVL367" s="362"/>
      <c r="IVM367" s="386"/>
      <c r="IVN367" s="658"/>
      <c r="IVO367" s="388"/>
      <c r="IVP367" s="389"/>
      <c r="IVQ367" s="590"/>
      <c r="IVR367" s="266"/>
      <c r="IVS367" s="649"/>
      <c r="IVT367" s="326"/>
      <c r="IVU367" s="362"/>
      <c r="IVV367" s="386"/>
      <c r="IVW367" s="658"/>
      <c r="IVX367" s="388"/>
      <c r="IVY367" s="389"/>
      <c r="IVZ367" s="590"/>
      <c r="IWA367" s="266"/>
      <c r="IWB367" s="649"/>
      <c r="IWC367" s="326"/>
      <c r="IWD367" s="362"/>
      <c r="IWE367" s="386"/>
      <c r="IWF367" s="658"/>
      <c r="IWG367" s="388"/>
      <c r="IWH367" s="389"/>
      <c r="IWI367" s="590"/>
      <c r="IWJ367" s="266"/>
      <c r="IWK367" s="649"/>
      <c r="IWL367" s="326"/>
      <c r="IWM367" s="362"/>
      <c r="IWN367" s="386"/>
      <c r="IWO367" s="658"/>
      <c r="IWP367" s="388"/>
      <c r="IWQ367" s="389"/>
      <c r="IWR367" s="590"/>
      <c r="IWS367" s="266"/>
      <c r="IWT367" s="649"/>
      <c r="IWU367" s="326"/>
      <c r="IWV367" s="362"/>
      <c r="IWW367" s="386"/>
      <c r="IWX367" s="658"/>
      <c r="IWY367" s="388"/>
      <c r="IWZ367" s="389"/>
      <c r="IXA367" s="590"/>
      <c r="IXB367" s="266"/>
      <c r="IXC367" s="649"/>
      <c r="IXD367" s="326"/>
      <c r="IXE367" s="362"/>
      <c r="IXF367" s="386"/>
      <c r="IXG367" s="658"/>
      <c r="IXH367" s="388"/>
      <c r="IXI367" s="389"/>
      <c r="IXJ367" s="590"/>
      <c r="IXK367" s="266"/>
      <c r="IXL367" s="649"/>
      <c r="IXM367" s="326"/>
      <c r="IXN367" s="362"/>
      <c r="IXO367" s="386"/>
      <c r="IXP367" s="658"/>
      <c r="IXQ367" s="388"/>
      <c r="IXR367" s="389"/>
      <c r="IXS367" s="590"/>
      <c r="IXT367" s="266"/>
      <c r="IXU367" s="649"/>
      <c r="IXV367" s="326"/>
      <c r="IXW367" s="362"/>
      <c r="IXX367" s="386"/>
      <c r="IXY367" s="658"/>
      <c r="IXZ367" s="388"/>
      <c r="IYA367" s="389"/>
      <c r="IYB367" s="590"/>
      <c r="IYC367" s="266"/>
      <c r="IYD367" s="649"/>
      <c r="IYE367" s="326"/>
      <c r="IYF367" s="362"/>
      <c r="IYG367" s="386"/>
      <c r="IYH367" s="658"/>
      <c r="IYI367" s="388"/>
      <c r="IYJ367" s="389"/>
      <c r="IYK367" s="590"/>
      <c r="IYL367" s="266"/>
      <c r="IYM367" s="649"/>
      <c r="IYN367" s="326"/>
      <c r="IYO367" s="362"/>
      <c r="IYP367" s="386"/>
      <c r="IYQ367" s="658"/>
      <c r="IYR367" s="388"/>
      <c r="IYS367" s="389"/>
      <c r="IYT367" s="590"/>
      <c r="IYU367" s="266"/>
      <c r="IYV367" s="649"/>
      <c r="IYW367" s="326"/>
      <c r="IYX367" s="362"/>
      <c r="IYY367" s="386"/>
      <c r="IYZ367" s="658"/>
      <c r="IZA367" s="388"/>
      <c r="IZB367" s="389"/>
      <c r="IZC367" s="590"/>
      <c r="IZD367" s="266"/>
      <c r="IZE367" s="649"/>
      <c r="IZF367" s="326"/>
      <c r="IZG367" s="362"/>
      <c r="IZH367" s="386"/>
      <c r="IZI367" s="658"/>
      <c r="IZJ367" s="388"/>
      <c r="IZK367" s="389"/>
      <c r="IZL367" s="590"/>
      <c r="IZM367" s="266"/>
      <c r="IZN367" s="649"/>
      <c r="IZO367" s="326"/>
      <c r="IZP367" s="362"/>
      <c r="IZQ367" s="386"/>
      <c r="IZR367" s="658"/>
      <c r="IZS367" s="388"/>
      <c r="IZT367" s="389"/>
      <c r="IZU367" s="590"/>
      <c r="IZV367" s="266"/>
      <c r="IZW367" s="649"/>
      <c r="IZX367" s="326"/>
      <c r="IZY367" s="362"/>
      <c r="IZZ367" s="386"/>
      <c r="JAA367" s="658"/>
      <c r="JAB367" s="388"/>
      <c r="JAC367" s="389"/>
      <c r="JAD367" s="590"/>
      <c r="JAE367" s="266"/>
      <c r="JAF367" s="649"/>
      <c r="JAG367" s="326"/>
      <c r="JAH367" s="362"/>
      <c r="JAI367" s="386"/>
      <c r="JAJ367" s="658"/>
      <c r="JAK367" s="388"/>
      <c r="JAL367" s="389"/>
      <c r="JAM367" s="590"/>
      <c r="JAN367" s="266"/>
      <c r="JAO367" s="649"/>
      <c r="JAP367" s="326"/>
      <c r="JAQ367" s="362"/>
      <c r="JAR367" s="386"/>
      <c r="JAS367" s="658"/>
      <c r="JAT367" s="388"/>
      <c r="JAU367" s="389"/>
      <c r="JAV367" s="590"/>
      <c r="JAW367" s="266"/>
      <c r="JAX367" s="649"/>
      <c r="JAY367" s="326"/>
      <c r="JAZ367" s="362"/>
      <c r="JBA367" s="386"/>
      <c r="JBB367" s="658"/>
      <c r="JBC367" s="388"/>
      <c r="JBD367" s="389"/>
      <c r="JBE367" s="590"/>
      <c r="JBF367" s="266"/>
      <c r="JBG367" s="649"/>
      <c r="JBH367" s="326"/>
      <c r="JBI367" s="362"/>
      <c r="JBJ367" s="386"/>
      <c r="JBK367" s="658"/>
      <c r="JBL367" s="388"/>
      <c r="JBM367" s="389"/>
      <c r="JBN367" s="590"/>
      <c r="JBO367" s="266"/>
      <c r="JBP367" s="649"/>
      <c r="JBQ367" s="326"/>
      <c r="JBR367" s="362"/>
      <c r="JBS367" s="386"/>
      <c r="JBT367" s="658"/>
      <c r="JBU367" s="388"/>
      <c r="JBV367" s="389"/>
      <c r="JBW367" s="590"/>
      <c r="JBX367" s="266"/>
      <c r="JBY367" s="649"/>
      <c r="JBZ367" s="326"/>
      <c r="JCA367" s="362"/>
      <c r="JCB367" s="386"/>
      <c r="JCC367" s="658"/>
      <c r="JCD367" s="388"/>
      <c r="JCE367" s="389"/>
      <c r="JCF367" s="590"/>
      <c r="JCG367" s="266"/>
      <c r="JCH367" s="649"/>
      <c r="JCI367" s="326"/>
      <c r="JCJ367" s="362"/>
      <c r="JCK367" s="386"/>
      <c r="JCL367" s="658"/>
      <c r="JCM367" s="388"/>
      <c r="JCN367" s="389"/>
      <c r="JCO367" s="590"/>
      <c r="JCP367" s="266"/>
      <c r="JCQ367" s="649"/>
      <c r="JCR367" s="326"/>
      <c r="JCS367" s="362"/>
      <c r="JCT367" s="386"/>
      <c r="JCU367" s="658"/>
      <c r="JCV367" s="388"/>
      <c r="JCW367" s="389"/>
      <c r="JCX367" s="590"/>
      <c r="JCY367" s="266"/>
      <c r="JCZ367" s="649"/>
      <c r="JDA367" s="326"/>
      <c r="JDB367" s="362"/>
      <c r="JDC367" s="386"/>
      <c r="JDD367" s="658"/>
      <c r="JDE367" s="388"/>
      <c r="JDF367" s="389"/>
      <c r="JDG367" s="590"/>
      <c r="JDH367" s="266"/>
      <c r="JDI367" s="649"/>
      <c r="JDJ367" s="326"/>
      <c r="JDK367" s="362"/>
      <c r="JDL367" s="386"/>
      <c r="JDM367" s="658"/>
      <c r="JDN367" s="388"/>
      <c r="JDO367" s="389"/>
      <c r="JDP367" s="590"/>
      <c r="JDQ367" s="266"/>
      <c r="JDR367" s="649"/>
      <c r="JDS367" s="326"/>
      <c r="JDT367" s="362"/>
      <c r="JDU367" s="386"/>
      <c r="JDV367" s="658"/>
      <c r="JDW367" s="388"/>
      <c r="JDX367" s="389"/>
      <c r="JDY367" s="590"/>
      <c r="JDZ367" s="266"/>
      <c r="JEA367" s="649"/>
      <c r="JEB367" s="326"/>
      <c r="JEC367" s="362"/>
      <c r="JED367" s="386"/>
      <c r="JEE367" s="658"/>
      <c r="JEF367" s="388"/>
      <c r="JEG367" s="389"/>
      <c r="JEH367" s="590"/>
      <c r="JEI367" s="266"/>
      <c r="JEJ367" s="649"/>
      <c r="JEK367" s="326"/>
      <c r="JEL367" s="362"/>
      <c r="JEM367" s="386"/>
      <c r="JEN367" s="658"/>
      <c r="JEO367" s="388"/>
      <c r="JEP367" s="389"/>
      <c r="JEQ367" s="590"/>
      <c r="JER367" s="266"/>
      <c r="JES367" s="649"/>
      <c r="JET367" s="326"/>
      <c r="JEU367" s="362"/>
      <c r="JEV367" s="386"/>
      <c r="JEW367" s="658"/>
      <c r="JEX367" s="388"/>
      <c r="JEY367" s="389"/>
      <c r="JEZ367" s="590"/>
      <c r="JFA367" s="266"/>
      <c r="JFB367" s="649"/>
      <c r="JFC367" s="326"/>
      <c r="JFD367" s="362"/>
      <c r="JFE367" s="386"/>
      <c r="JFF367" s="658"/>
      <c r="JFG367" s="388"/>
      <c r="JFH367" s="389"/>
      <c r="JFI367" s="590"/>
      <c r="JFJ367" s="266"/>
      <c r="JFK367" s="649"/>
      <c r="JFL367" s="326"/>
      <c r="JFM367" s="362"/>
      <c r="JFN367" s="386"/>
      <c r="JFO367" s="658"/>
      <c r="JFP367" s="388"/>
      <c r="JFQ367" s="389"/>
      <c r="JFR367" s="590"/>
      <c r="JFS367" s="266"/>
      <c r="JFT367" s="649"/>
      <c r="JFU367" s="326"/>
      <c r="JFV367" s="362"/>
      <c r="JFW367" s="386"/>
      <c r="JFX367" s="658"/>
      <c r="JFY367" s="388"/>
      <c r="JFZ367" s="389"/>
      <c r="JGA367" s="590"/>
      <c r="JGB367" s="266"/>
      <c r="JGC367" s="649"/>
      <c r="JGD367" s="326"/>
      <c r="JGE367" s="362"/>
      <c r="JGF367" s="386"/>
      <c r="JGG367" s="658"/>
      <c r="JGH367" s="388"/>
      <c r="JGI367" s="389"/>
      <c r="JGJ367" s="590"/>
      <c r="JGK367" s="266"/>
      <c r="JGL367" s="649"/>
      <c r="JGM367" s="326"/>
      <c r="JGN367" s="362"/>
      <c r="JGO367" s="386"/>
      <c r="JGP367" s="658"/>
      <c r="JGQ367" s="388"/>
      <c r="JGR367" s="389"/>
      <c r="JGS367" s="590"/>
      <c r="JGT367" s="266"/>
      <c r="JGU367" s="649"/>
      <c r="JGV367" s="326"/>
      <c r="JGW367" s="362"/>
      <c r="JGX367" s="386"/>
      <c r="JGY367" s="658"/>
      <c r="JGZ367" s="388"/>
      <c r="JHA367" s="389"/>
      <c r="JHB367" s="590"/>
      <c r="JHC367" s="266"/>
      <c r="JHD367" s="649"/>
      <c r="JHE367" s="326"/>
      <c r="JHF367" s="362"/>
      <c r="JHG367" s="386"/>
      <c r="JHH367" s="658"/>
      <c r="JHI367" s="388"/>
      <c r="JHJ367" s="389"/>
      <c r="JHK367" s="590"/>
      <c r="JHL367" s="266"/>
      <c r="JHM367" s="649"/>
      <c r="JHN367" s="326"/>
      <c r="JHO367" s="362"/>
      <c r="JHP367" s="386"/>
      <c r="JHQ367" s="658"/>
      <c r="JHR367" s="388"/>
      <c r="JHS367" s="389"/>
      <c r="JHT367" s="590"/>
      <c r="JHU367" s="266"/>
      <c r="JHV367" s="649"/>
      <c r="JHW367" s="326"/>
      <c r="JHX367" s="362"/>
      <c r="JHY367" s="386"/>
      <c r="JHZ367" s="658"/>
      <c r="JIA367" s="388"/>
      <c r="JIB367" s="389"/>
      <c r="JIC367" s="590"/>
      <c r="JID367" s="266"/>
      <c r="JIE367" s="649"/>
      <c r="JIF367" s="326"/>
      <c r="JIG367" s="362"/>
      <c r="JIH367" s="386"/>
      <c r="JII367" s="658"/>
      <c r="JIJ367" s="388"/>
      <c r="JIK367" s="389"/>
      <c r="JIL367" s="590"/>
      <c r="JIM367" s="266"/>
      <c r="JIN367" s="649"/>
      <c r="JIO367" s="326"/>
      <c r="JIP367" s="362"/>
      <c r="JIQ367" s="386"/>
      <c r="JIR367" s="658"/>
      <c r="JIS367" s="388"/>
      <c r="JIT367" s="389"/>
      <c r="JIU367" s="590"/>
      <c r="JIV367" s="266"/>
      <c r="JIW367" s="649"/>
      <c r="JIX367" s="326"/>
      <c r="JIY367" s="362"/>
      <c r="JIZ367" s="386"/>
      <c r="JJA367" s="658"/>
      <c r="JJB367" s="388"/>
      <c r="JJC367" s="389"/>
      <c r="JJD367" s="590"/>
      <c r="JJE367" s="266"/>
      <c r="JJF367" s="649"/>
      <c r="JJG367" s="326"/>
      <c r="JJH367" s="362"/>
      <c r="JJI367" s="386"/>
      <c r="JJJ367" s="658"/>
      <c r="JJK367" s="388"/>
      <c r="JJL367" s="389"/>
      <c r="JJM367" s="590"/>
      <c r="JJN367" s="266"/>
      <c r="JJO367" s="649"/>
      <c r="JJP367" s="326"/>
      <c r="JJQ367" s="362"/>
      <c r="JJR367" s="386"/>
      <c r="JJS367" s="658"/>
      <c r="JJT367" s="388"/>
      <c r="JJU367" s="389"/>
      <c r="JJV367" s="590"/>
      <c r="JJW367" s="266"/>
      <c r="JJX367" s="649"/>
      <c r="JJY367" s="326"/>
      <c r="JJZ367" s="362"/>
      <c r="JKA367" s="386"/>
      <c r="JKB367" s="658"/>
      <c r="JKC367" s="388"/>
      <c r="JKD367" s="389"/>
      <c r="JKE367" s="590"/>
      <c r="JKF367" s="266"/>
      <c r="JKG367" s="649"/>
      <c r="JKH367" s="326"/>
      <c r="JKI367" s="362"/>
      <c r="JKJ367" s="386"/>
      <c r="JKK367" s="658"/>
      <c r="JKL367" s="388"/>
      <c r="JKM367" s="389"/>
      <c r="JKN367" s="590"/>
      <c r="JKO367" s="266"/>
      <c r="JKP367" s="649"/>
      <c r="JKQ367" s="326"/>
      <c r="JKR367" s="362"/>
      <c r="JKS367" s="386"/>
      <c r="JKT367" s="658"/>
      <c r="JKU367" s="388"/>
      <c r="JKV367" s="389"/>
      <c r="JKW367" s="590"/>
      <c r="JKX367" s="266"/>
      <c r="JKY367" s="649"/>
      <c r="JKZ367" s="326"/>
      <c r="JLA367" s="362"/>
      <c r="JLB367" s="386"/>
      <c r="JLC367" s="658"/>
      <c r="JLD367" s="388"/>
      <c r="JLE367" s="389"/>
      <c r="JLF367" s="590"/>
      <c r="JLG367" s="266"/>
      <c r="JLH367" s="649"/>
      <c r="JLI367" s="326"/>
      <c r="JLJ367" s="362"/>
      <c r="JLK367" s="386"/>
      <c r="JLL367" s="658"/>
      <c r="JLM367" s="388"/>
      <c r="JLN367" s="389"/>
      <c r="JLO367" s="590"/>
      <c r="JLP367" s="266"/>
      <c r="JLQ367" s="649"/>
      <c r="JLR367" s="326"/>
      <c r="JLS367" s="362"/>
      <c r="JLT367" s="386"/>
      <c r="JLU367" s="658"/>
      <c r="JLV367" s="388"/>
      <c r="JLW367" s="389"/>
      <c r="JLX367" s="590"/>
      <c r="JLY367" s="266"/>
      <c r="JLZ367" s="649"/>
      <c r="JMA367" s="326"/>
      <c r="JMB367" s="362"/>
      <c r="JMC367" s="386"/>
      <c r="JMD367" s="658"/>
      <c r="JME367" s="388"/>
      <c r="JMF367" s="389"/>
      <c r="JMG367" s="590"/>
      <c r="JMH367" s="266"/>
      <c r="JMI367" s="649"/>
      <c r="JMJ367" s="326"/>
      <c r="JMK367" s="362"/>
      <c r="JML367" s="386"/>
      <c r="JMM367" s="658"/>
      <c r="JMN367" s="388"/>
      <c r="JMO367" s="389"/>
      <c r="JMP367" s="590"/>
      <c r="JMQ367" s="266"/>
      <c r="JMR367" s="649"/>
      <c r="JMS367" s="326"/>
      <c r="JMT367" s="362"/>
      <c r="JMU367" s="386"/>
      <c r="JMV367" s="658"/>
      <c r="JMW367" s="388"/>
      <c r="JMX367" s="389"/>
      <c r="JMY367" s="590"/>
      <c r="JMZ367" s="266"/>
      <c r="JNA367" s="649"/>
      <c r="JNB367" s="326"/>
      <c r="JNC367" s="362"/>
      <c r="JND367" s="386"/>
      <c r="JNE367" s="658"/>
      <c r="JNF367" s="388"/>
      <c r="JNG367" s="389"/>
      <c r="JNH367" s="590"/>
      <c r="JNI367" s="266"/>
      <c r="JNJ367" s="649"/>
      <c r="JNK367" s="326"/>
      <c r="JNL367" s="362"/>
      <c r="JNM367" s="386"/>
      <c r="JNN367" s="658"/>
      <c r="JNO367" s="388"/>
      <c r="JNP367" s="389"/>
      <c r="JNQ367" s="590"/>
      <c r="JNR367" s="266"/>
      <c r="JNS367" s="649"/>
      <c r="JNT367" s="326"/>
      <c r="JNU367" s="362"/>
      <c r="JNV367" s="386"/>
      <c r="JNW367" s="658"/>
      <c r="JNX367" s="388"/>
      <c r="JNY367" s="389"/>
      <c r="JNZ367" s="590"/>
      <c r="JOA367" s="266"/>
      <c r="JOB367" s="649"/>
      <c r="JOC367" s="326"/>
      <c r="JOD367" s="362"/>
      <c r="JOE367" s="386"/>
      <c r="JOF367" s="658"/>
      <c r="JOG367" s="388"/>
      <c r="JOH367" s="389"/>
      <c r="JOI367" s="590"/>
      <c r="JOJ367" s="266"/>
      <c r="JOK367" s="649"/>
      <c r="JOL367" s="326"/>
      <c r="JOM367" s="362"/>
      <c r="JON367" s="386"/>
      <c r="JOO367" s="658"/>
      <c r="JOP367" s="388"/>
      <c r="JOQ367" s="389"/>
      <c r="JOR367" s="590"/>
      <c r="JOS367" s="266"/>
      <c r="JOT367" s="649"/>
      <c r="JOU367" s="326"/>
      <c r="JOV367" s="362"/>
      <c r="JOW367" s="386"/>
      <c r="JOX367" s="658"/>
      <c r="JOY367" s="388"/>
      <c r="JOZ367" s="389"/>
      <c r="JPA367" s="590"/>
      <c r="JPB367" s="266"/>
      <c r="JPC367" s="649"/>
      <c r="JPD367" s="326"/>
      <c r="JPE367" s="362"/>
      <c r="JPF367" s="386"/>
      <c r="JPG367" s="658"/>
      <c r="JPH367" s="388"/>
      <c r="JPI367" s="389"/>
      <c r="JPJ367" s="590"/>
      <c r="JPK367" s="266"/>
      <c r="JPL367" s="649"/>
      <c r="JPM367" s="326"/>
      <c r="JPN367" s="362"/>
      <c r="JPO367" s="386"/>
      <c r="JPP367" s="658"/>
      <c r="JPQ367" s="388"/>
      <c r="JPR367" s="389"/>
      <c r="JPS367" s="590"/>
      <c r="JPT367" s="266"/>
      <c r="JPU367" s="649"/>
      <c r="JPV367" s="326"/>
      <c r="JPW367" s="362"/>
      <c r="JPX367" s="386"/>
      <c r="JPY367" s="658"/>
      <c r="JPZ367" s="388"/>
      <c r="JQA367" s="389"/>
      <c r="JQB367" s="590"/>
      <c r="JQC367" s="266"/>
      <c r="JQD367" s="649"/>
      <c r="JQE367" s="326"/>
      <c r="JQF367" s="362"/>
      <c r="JQG367" s="386"/>
      <c r="JQH367" s="658"/>
      <c r="JQI367" s="388"/>
      <c r="JQJ367" s="389"/>
      <c r="JQK367" s="590"/>
      <c r="JQL367" s="266"/>
      <c r="JQM367" s="649"/>
      <c r="JQN367" s="326"/>
      <c r="JQO367" s="362"/>
      <c r="JQP367" s="386"/>
      <c r="JQQ367" s="658"/>
      <c r="JQR367" s="388"/>
      <c r="JQS367" s="389"/>
      <c r="JQT367" s="590"/>
      <c r="JQU367" s="266"/>
      <c r="JQV367" s="649"/>
      <c r="JQW367" s="326"/>
      <c r="JQX367" s="362"/>
      <c r="JQY367" s="386"/>
      <c r="JQZ367" s="658"/>
      <c r="JRA367" s="388"/>
      <c r="JRB367" s="389"/>
      <c r="JRC367" s="590"/>
      <c r="JRD367" s="266"/>
      <c r="JRE367" s="649"/>
      <c r="JRF367" s="326"/>
      <c r="JRG367" s="362"/>
      <c r="JRH367" s="386"/>
      <c r="JRI367" s="658"/>
      <c r="JRJ367" s="388"/>
      <c r="JRK367" s="389"/>
      <c r="JRL367" s="590"/>
      <c r="JRM367" s="266"/>
      <c r="JRN367" s="649"/>
      <c r="JRO367" s="326"/>
      <c r="JRP367" s="362"/>
      <c r="JRQ367" s="386"/>
      <c r="JRR367" s="658"/>
      <c r="JRS367" s="388"/>
      <c r="JRT367" s="389"/>
      <c r="JRU367" s="590"/>
      <c r="JRV367" s="266"/>
      <c r="JRW367" s="649"/>
      <c r="JRX367" s="326"/>
      <c r="JRY367" s="362"/>
      <c r="JRZ367" s="386"/>
      <c r="JSA367" s="658"/>
      <c r="JSB367" s="388"/>
      <c r="JSC367" s="389"/>
      <c r="JSD367" s="590"/>
      <c r="JSE367" s="266"/>
      <c r="JSF367" s="649"/>
      <c r="JSG367" s="326"/>
      <c r="JSH367" s="362"/>
      <c r="JSI367" s="386"/>
      <c r="JSJ367" s="658"/>
      <c r="JSK367" s="388"/>
      <c r="JSL367" s="389"/>
      <c r="JSM367" s="590"/>
      <c r="JSN367" s="266"/>
      <c r="JSO367" s="649"/>
      <c r="JSP367" s="326"/>
      <c r="JSQ367" s="362"/>
      <c r="JSR367" s="386"/>
      <c r="JSS367" s="658"/>
      <c r="JST367" s="388"/>
      <c r="JSU367" s="389"/>
      <c r="JSV367" s="590"/>
      <c r="JSW367" s="266"/>
      <c r="JSX367" s="649"/>
      <c r="JSY367" s="326"/>
      <c r="JSZ367" s="362"/>
      <c r="JTA367" s="386"/>
      <c r="JTB367" s="658"/>
      <c r="JTC367" s="388"/>
      <c r="JTD367" s="389"/>
      <c r="JTE367" s="590"/>
      <c r="JTF367" s="266"/>
      <c r="JTG367" s="649"/>
      <c r="JTH367" s="326"/>
      <c r="JTI367" s="362"/>
      <c r="JTJ367" s="386"/>
      <c r="JTK367" s="658"/>
      <c r="JTL367" s="388"/>
      <c r="JTM367" s="389"/>
      <c r="JTN367" s="590"/>
      <c r="JTO367" s="266"/>
      <c r="JTP367" s="649"/>
      <c r="JTQ367" s="326"/>
      <c r="JTR367" s="362"/>
      <c r="JTS367" s="386"/>
      <c r="JTT367" s="658"/>
      <c r="JTU367" s="388"/>
      <c r="JTV367" s="389"/>
      <c r="JTW367" s="590"/>
      <c r="JTX367" s="266"/>
      <c r="JTY367" s="649"/>
      <c r="JTZ367" s="326"/>
      <c r="JUA367" s="362"/>
      <c r="JUB367" s="386"/>
      <c r="JUC367" s="658"/>
      <c r="JUD367" s="388"/>
      <c r="JUE367" s="389"/>
      <c r="JUF367" s="590"/>
      <c r="JUG367" s="266"/>
      <c r="JUH367" s="649"/>
      <c r="JUI367" s="326"/>
      <c r="JUJ367" s="362"/>
      <c r="JUK367" s="386"/>
      <c r="JUL367" s="658"/>
      <c r="JUM367" s="388"/>
      <c r="JUN367" s="389"/>
      <c r="JUO367" s="590"/>
      <c r="JUP367" s="266"/>
      <c r="JUQ367" s="649"/>
      <c r="JUR367" s="326"/>
      <c r="JUS367" s="362"/>
      <c r="JUT367" s="386"/>
      <c r="JUU367" s="658"/>
      <c r="JUV367" s="388"/>
      <c r="JUW367" s="389"/>
      <c r="JUX367" s="590"/>
      <c r="JUY367" s="266"/>
      <c r="JUZ367" s="649"/>
      <c r="JVA367" s="326"/>
      <c r="JVB367" s="362"/>
      <c r="JVC367" s="386"/>
      <c r="JVD367" s="658"/>
      <c r="JVE367" s="388"/>
      <c r="JVF367" s="389"/>
      <c r="JVG367" s="590"/>
      <c r="JVH367" s="266"/>
      <c r="JVI367" s="649"/>
      <c r="JVJ367" s="326"/>
      <c r="JVK367" s="362"/>
      <c r="JVL367" s="386"/>
      <c r="JVM367" s="658"/>
      <c r="JVN367" s="388"/>
      <c r="JVO367" s="389"/>
      <c r="JVP367" s="590"/>
      <c r="JVQ367" s="266"/>
      <c r="JVR367" s="649"/>
      <c r="JVS367" s="326"/>
      <c r="JVT367" s="362"/>
      <c r="JVU367" s="386"/>
      <c r="JVV367" s="658"/>
      <c r="JVW367" s="388"/>
      <c r="JVX367" s="389"/>
      <c r="JVY367" s="590"/>
      <c r="JVZ367" s="266"/>
      <c r="JWA367" s="649"/>
      <c r="JWB367" s="326"/>
      <c r="JWC367" s="362"/>
      <c r="JWD367" s="386"/>
      <c r="JWE367" s="658"/>
      <c r="JWF367" s="388"/>
      <c r="JWG367" s="389"/>
      <c r="JWH367" s="590"/>
      <c r="JWI367" s="266"/>
      <c r="JWJ367" s="649"/>
      <c r="JWK367" s="326"/>
      <c r="JWL367" s="362"/>
      <c r="JWM367" s="386"/>
      <c r="JWN367" s="658"/>
      <c r="JWO367" s="388"/>
      <c r="JWP367" s="389"/>
      <c r="JWQ367" s="590"/>
      <c r="JWR367" s="266"/>
      <c r="JWS367" s="649"/>
      <c r="JWT367" s="326"/>
      <c r="JWU367" s="362"/>
      <c r="JWV367" s="386"/>
      <c r="JWW367" s="658"/>
      <c r="JWX367" s="388"/>
      <c r="JWY367" s="389"/>
      <c r="JWZ367" s="590"/>
      <c r="JXA367" s="266"/>
      <c r="JXB367" s="649"/>
      <c r="JXC367" s="326"/>
      <c r="JXD367" s="362"/>
      <c r="JXE367" s="386"/>
      <c r="JXF367" s="658"/>
      <c r="JXG367" s="388"/>
      <c r="JXH367" s="389"/>
      <c r="JXI367" s="590"/>
      <c r="JXJ367" s="266"/>
      <c r="JXK367" s="649"/>
      <c r="JXL367" s="326"/>
      <c r="JXM367" s="362"/>
      <c r="JXN367" s="386"/>
      <c r="JXO367" s="658"/>
      <c r="JXP367" s="388"/>
      <c r="JXQ367" s="389"/>
      <c r="JXR367" s="590"/>
      <c r="JXS367" s="266"/>
      <c r="JXT367" s="649"/>
      <c r="JXU367" s="326"/>
      <c r="JXV367" s="362"/>
      <c r="JXW367" s="386"/>
      <c r="JXX367" s="658"/>
      <c r="JXY367" s="388"/>
      <c r="JXZ367" s="389"/>
      <c r="JYA367" s="590"/>
      <c r="JYB367" s="266"/>
      <c r="JYC367" s="649"/>
      <c r="JYD367" s="326"/>
      <c r="JYE367" s="362"/>
      <c r="JYF367" s="386"/>
      <c r="JYG367" s="658"/>
      <c r="JYH367" s="388"/>
      <c r="JYI367" s="389"/>
      <c r="JYJ367" s="590"/>
      <c r="JYK367" s="266"/>
      <c r="JYL367" s="649"/>
      <c r="JYM367" s="326"/>
      <c r="JYN367" s="362"/>
      <c r="JYO367" s="386"/>
      <c r="JYP367" s="658"/>
      <c r="JYQ367" s="388"/>
      <c r="JYR367" s="389"/>
      <c r="JYS367" s="590"/>
      <c r="JYT367" s="266"/>
      <c r="JYU367" s="649"/>
      <c r="JYV367" s="326"/>
      <c r="JYW367" s="362"/>
      <c r="JYX367" s="386"/>
      <c r="JYY367" s="658"/>
      <c r="JYZ367" s="388"/>
      <c r="JZA367" s="389"/>
      <c r="JZB367" s="590"/>
      <c r="JZC367" s="266"/>
      <c r="JZD367" s="649"/>
      <c r="JZE367" s="326"/>
      <c r="JZF367" s="362"/>
      <c r="JZG367" s="386"/>
      <c r="JZH367" s="658"/>
      <c r="JZI367" s="388"/>
      <c r="JZJ367" s="389"/>
      <c r="JZK367" s="590"/>
      <c r="JZL367" s="266"/>
      <c r="JZM367" s="649"/>
      <c r="JZN367" s="326"/>
      <c r="JZO367" s="362"/>
      <c r="JZP367" s="386"/>
      <c r="JZQ367" s="658"/>
      <c r="JZR367" s="388"/>
      <c r="JZS367" s="389"/>
      <c r="JZT367" s="590"/>
      <c r="JZU367" s="266"/>
      <c r="JZV367" s="649"/>
      <c r="JZW367" s="326"/>
      <c r="JZX367" s="362"/>
      <c r="JZY367" s="386"/>
      <c r="JZZ367" s="658"/>
      <c r="KAA367" s="388"/>
      <c r="KAB367" s="389"/>
      <c r="KAC367" s="590"/>
      <c r="KAD367" s="266"/>
      <c r="KAE367" s="649"/>
      <c r="KAF367" s="326"/>
      <c r="KAG367" s="362"/>
      <c r="KAH367" s="386"/>
      <c r="KAI367" s="658"/>
      <c r="KAJ367" s="388"/>
      <c r="KAK367" s="389"/>
      <c r="KAL367" s="590"/>
      <c r="KAM367" s="266"/>
      <c r="KAN367" s="649"/>
      <c r="KAO367" s="326"/>
      <c r="KAP367" s="362"/>
      <c r="KAQ367" s="386"/>
      <c r="KAR367" s="658"/>
      <c r="KAS367" s="388"/>
      <c r="KAT367" s="389"/>
      <c r="KAU367" s="590"/>
      <c r="KAV367" s="266"/>
      <c r="KAW367" s="649"/>
      <c r="KAX367" s="326"/>
      <c r="KAY367" s="362"/>
      <c r="KAZ367" s="386"/>
      <c r="KBA367" s="658"/>
      <c r="KBB367" s="388"/>
      <c r="KBC367" s="389"/>
      <c r="KBD367" s="590"/>
      <c r="KBE367" s="266"/>
      <c r="KBF367" s="649"/>
      <c r="KBG367" s="326"/>
      <c r="KBH367" s="362"/>
      <c r="KBI367" s="386"/>
      <c r="KBJ367" s="658"/>
      <c r="KBK367" s="388"/>
      <c r="KBL367" s="389"/>
      <c r="KBM367" s="590"/>
      <c r="KBN367" s="266"/>
      <c r="KBO367" s="649"/>
      <c r="KBP367" s="326"/>
      <c r="KBQ367" s="362"/>
      <c r="KBR367" s="386"/>
      <c r="KBS367" s="658"/>
      <c r="KBT367" s="388"/>
      <c r="KBU367" s="389"/>
      <c r="KBV367" s="590"/>
      <c r="KBW367" s="266"/>
      <c r="KBX367" s="649"/>
      <c r="KBY367" s="326"/>
      <c r="KBZ367" s="362"/>
      <c r="KCA367" s="386"/>
      <c r="KCB367" s="658"/>
      <c r="KCC367" s="388"/>
      <c r="KCD367" s="389"/>
      <c r="KCE367" s="590"/>
      <c r="KCF367" s="266"/>
      <c r="KCG367" s="649"/>
      <c r="KCH367" s="326"/>
      <c r="KCI367" s="362"/>
      <c r="KCJ367" s="386"/>
      <c r="KCK367" s="658"/>
      <c r="KCL367" s="388"/>
      <c r="KCM367" s="389"/>
      <c r="KCN367" s="590"/>
      <c r="KCO367" s="266"/>
      <c r="KCP367" s="649"/>
      <c r="KCQ367" s="326"/>
      <c r="KCR367" s="362"/>
      <c r="KCS367" s="386"/>
      <c r="KCT367" s="658"/>
      <c r="KCU367" s="388"/>
      <c r="KCV367" s="389"/>
      <c r="KCW367" s="590"/>
      <c r="KCX367" s="266"/>
      <c r="KCY367" s="649"/>
      <c r="KCZ367" s="326"/>
      <c r="KDA367" s="362"/>
      <c r="KDB367" s="386"/>
      <c r="KDC367" s="658"/>
      <c r="KDD367" s="388"/>
      <c r="KDE367" s="389"/>
      <c r="KDF367" s="590"/>
      <c r="KDG367" s="266"/>
      <c r="KDH367" s="649"/>
      <c r="KDI367" s="326"/>
      <c r="KDJ367" s="362"/>
      <c r="KDK367" s="386"/>
      <c r="KDL367" s="658"/>
      <c r="KDM367" s="388"/>
      <c r="KDN367" s="389"/>
      <c r="KDO367" s="590"/>
      <c r="KDP367" s="266"/>
      <c r="KDQ367" s="649"/>
      <c r="KDR367" s="326"/>
      <c r="KDS367" s="362"/>
      <c r="KDT367" s="386"/>
      <c r="KDU367" s="658"/>
      <c r="KDV367" s="388"/>
      <c r="KDW367" s="389"/>
      <c r="KDX367" s="590"/>
      <c r="KDY367" s="266"/>
      <c r="KDZ367" s="649"/>
      <c r="KEA367" s="326"/>
      <c r="KEB367" s="362"/>
      <c r="KEC367" s="386"/>
      <c r="KED367" s="658"/>
      <c r="KEE367" s="388"/>
      <c r="KEF367" s="389"/>
      <c r="KEG367" s="590"/>
      <c r="KEH367" s="266"/>
      <c r="KEI367" s="649"/>
      <c r="KEJ367" s="326"/>
      <c r="KEK367" s="362"/>
      <c r="KEL367" s="386"/>
      <c r="KEM367" s="658"/>
      <c r="KEN367" s="388"/>
      <c r="KEO367" s="389"/>
      <c r="KEP367" s="590"/>
      <c r="KEQ367" s="266"/>
      <c r="KER367" s="649"/>
      <c r="KES367" s="326"/>
      <c r="KET367" s="362"/>
      <c r="KEU367" s="386"/>
      <c r="KEV367" s="658"/>
      <c r="KEW367" s="388"/>
      <c r="KEX367" s="389"/>
      <c r="KEY367" s="590"/>
      <c r="KEZ367" s="266"/>
      <c r="KFA367" s="649"/>
      <c r="KFB367" s="326"/>
      <c r="KFC367" s="362"/>
      <c r="KFD367" s="386"/>
      <c r="KFE367" s="658"/>
      <c r="KFF367" s="388"/>
      <c r="KFG367" s="389"/>
      <c r="KFH367" s="590"/>
      <c r="KFI367" s="266"/>
      <c r="KFJ367" s="649"/>
      <c r="KFK367" s="326"/>
      <c r="KFL367" s="362"/>
      <c r="KFM367" s="386"/>
      <c r="KFN367" s="658"/>
      <c r="KFO367" s="388"/>
      <c r="KFP367" s="389"/>
      <c r="KFQ367" s="590"/>
      <c r="KFR367" s="266"/>
      <c r="KFS367" s="649"/>
      <c r="KFT367" s="326"/>
      <c r="KFU367" s="362"/>
      <c r="KFV367" s="386"/>
      <c r="KFW367" s="658"/>
      <c r="KFX367" s="388"/>
      <c r="KFY367" s="389"/>
      <c r="KFZ367" s="590"/>
      <c r="KGA367" s="266"/>
      <c r="KGB367" s="649"/>
      <c r="KGC367" s="326"/>
      <c r="KGD367" s="362"/>
      <c r="KGE367" s="386"/>
      <c r="KGF367" s="658"/>
      <c r="KGG367" s="388"/>
      <c r="KGH367" s="389"/>
      <c r="KGI367" s="590"/>
      <c r="KGJ367" s="266"/>
      <c r="KGK367" s="649"/>
      <c r="KGL367" s="326"/>
      <c r="KGM367" s="362"/>
      <c r="KGN367" s="386"/>
      <c r="KGO367" s="658"/>
      <c r="KGP367" s="388"/>
      <c r="KGQ367" s="389"/>
      <c r="KGR367" s="590"/>
      <c r="KGS367" s="266"/>
      <c r="KGT367" s="649"/>
      <c r="KGU367" s="326"/>
      <c r="KGV367" s="362"/>
      <c r="KGW367" s="386"/>
      <c r="KGX367" s="658"/>
      <c r="KGY367" s="388"/>
      <c r="KGZ367" s="389"/>
      <c r="KHA367" s="590"/>
      <c r="KHB367" s="266"/>
      <c r="KHC367" s="649"/>
      <c r="KHD367" s="326"/>
      <c r="KHE367" s="362"/>
      <c r="KHF367" s="386"/>
      <c r="KHG367" s="658"/>
      <c r="KHH367" s="388"/>
      <c r="KHI367" s="389"/>
      <c r="KHJ367" s="590"/>
      <c r="KHK367" s="266"/>
      <c r="KHL367" s="649"/>
      <c r="KHM367" s="326"/>
      <c r="KHN367" s="362"/>
      <c r="KHO367" s="386"/>
      <c r="KHP367" s="658"/>
      <c r="KHQ367" s="388"/>
      <c r="KHR367" s="389"/>
      <c r="KHS367" s="590"/>
      <c r="KHT367" s="266"/>
      <c r="KHU367" s="649"/>
      <c r="KHV367" s="326"/>
      <c r="KHW367" s="362"/>
      <c r="KHX367" s="386"/>
      <c r="KHY367" s="658"/>
      <c r="KHZ367" s="388"/>
      <c r="KIA367" s="389"/>
      <c r="KIB367" s="590"/>
      <c r="KIC367" s="266"/>
      <c r="KID367" s="649"/>
      <c r="KIE367" s="326"/>
      <c r="KIF367" s="362"/>
      <c r="KIG367" s="386"/>
      <c r="KIH367" s="658"/>
      <c r="KII367" s="388"/>
      <c r="KIJ367" s="389"/>
      <c r="KIK367" s="590"/>
      <c r="KIL367" s="266"/>
      <c r="KIM367" s="649"/>
      <c r="KIN367" s="326"/>
      <c r="KIO367" s="362"/>
      <c r="KIP367" s="386"/>
      <c r="KIQ367" s="658"/>
      <c r="KIR367" s="388"/>
      <c r="KIS367" s="389"/>
      <c r="KIT367" s="590"/>
      <c r="KIU367" s="266"/>
      <c r="KIV367" s="649"/>
      <c r="KIW367" s="326"/>
      <c r="KIX367" s="362"/>
      <c r="KIY367" s="386"/>
      <c r="KIZ367" s="658"/>
      <c r="KJA367" s="388"/>
      <c r="KJB367" s="389"/>
      <c r="KJC367" s="590"/>
      <c r="KJD367" s="266"/>
      <c r="KJE367" s="649"/>
      <c r="KJF367" s="326"/>
      <c r="KJG367" s="362"/>
      <c r="KJH367" s="386"/>
      <c r="KJI367" s="658"/>
      <c r="KJJ367" s="388"/>
      <c r="KJK367" s="389"/>
      <c r="KJL367" s="590"/>
      <c r="KJM367" s="266"/>
      <c r="KJN367" s="649"/>
      <c r="KJO367" s="326"/>
      <c r="KJP367" s="362"/>
      <c r="KJQ367" s="386"/>
      <c r="KJR367" s="658"/>
      <c r="KJS367" s="388"/>
      <c r="KJT367" s="389"/>
      <c r="KJU367" s="590"/>
      <c r="KJV367" s="266"/>
      <c r="KJW367" s="649"/>
      <c r="KJX367" s="326"/>
      <c r="KJY367" s="362"/>
      <c r="KJZ367" s="386"/>
      <c r="KKA367" s="658"/>
      <c r="KKB367" s="388"/>
      <c r="KKC367" s="389"/>
      <c r="KKD367" s="590"/>
      <c r="KKE367" s="266"/>
      <c r="KKF367" s="649"/>
      <c r="KKG367" s="326"/>
      <c r="KKH367" s="362"/>
      <c r="KKI367" s="386"/>
      <c r="KKJ367" s="658"/>
      <c r="KKK367" s="388"/>
      <c r="KKL367" s="389"/>
      <c r="KKM367" s="590"/>
      <c r="KKN367" s="266"/>
      <c r="KKO367" s="649"/>
      <c r="KKP367" s="326"/>
      <c r="KKQ367" s="362"/>
      <c r="KKR367" s="386"/>
      <c r="KKS367" s="658"/>
      <c r="KKT367" s="388"/>
      <c r="KKU367" s="389"/>
      <c r="KKV367" s="590"/>
      <c r="KKW367" s="266"/>
      <c r="KKX367" s="649"/>
      <c r="KKY367" s="326"/>
      <c r="KKZ367" s="362"/>
      <c r="KLA367" s="386"/>
      <c r="KLB367" s="658"/>
      <c r="KLC367" s="388"/>
      <c r="KLD367" s="389"/>
      <c r="KLE367" s="590"/>
      <c r="KLF367" s="266"/>
      <c r="KLG367" s="649"/>
      <c r="KLH367" s="326"/>
      <c r="KLI367" s="362"/>
      <c r="KLJ367" s="386"/>
      <c r="KLK367" s="658"/>
      <c r="KLL367" s="388"/>
      <c r="KLM367" s="389"/>
      <c r="KLN367" s="590"/>
      <c r="KLO367" s="266"/>
      <c r="KLP367" s="649"/>
      <c r="KLQ367" s="326"/>
      <c r="KLR367" s="362"/>
      <c r="KLS367" s="386"/>
      <c r="KLT367" s="658"/>
      <c r="KLU367" s="388"/>
      <c r="KLV367" s="389"/>
      <c r="KLW367" s="590"/>
      <c r="KLX367" s="266"/>
      <c r="KLY367" s="649"/>
      <c r="KLZ367" s="326"/>
      <c r="KMA367" s="362"/>
      <c r="KMB367" s="386"/>
      <c r="KMC367" s="658"/>
      <c r="KMD367" s="388"/>
      <c r="KME367" s="389"/>
      <c r="KMF367" s="590"/>
      <c r="KMG367" s="266"/>
      <c r="KMH367" s="649"/>
      <c r="KMI367" s="326"/>
      <c r="KMJ367" s="362"/>
      <c r="KMK367" s="386"/>
      <c r="KML367" s="658"/>
      <c r="KMM367" s="388"/>
      <c r="KMN367" s="389"/>
      <c r="KMO367" s="590"/>
      <c r="KMP367" s="266"/>
      <c r="KMQ367" s="649"/>
      <c r="KMR367" s="326"/>
      <c r="KMS367" s="362"/>
      <c r="KMT367" s="386"/>
      <c r="KMU367" s="658"/>
      <c r="KMV367" s="388"/>
      <c r="KMW367" s="389"/>
      <c r="KMX367" s="590"/>
      <c r="KMY367" s="266"/>
      <c r="KMZ367" s="649"/>
      <c r="KNA367" s="326"/>
      <c r="KNB367" s="362"/>
      <c r="KNC367" s="386"/>
      <c r="KND367" s="658"/>
      <c r="KNE367" s="388"/>
      <c r="KNF367" s="389"/>
      <c r="KNG367" s="590"/>
      <c r="KNH367" s="266"/>
      <c r="KNI367" s="649"/>
      <c r="KNJ367" s="326"/>
      <c r="KNK367" s="362"/>
      <c r="KNL367" s="386"/>
      <c r="KNM367" s="658"/>
      <c r="KNN367" s="388"/>
      <c r="KNO367" s="389"/>
      <c r="KNP367" s="590"/>
      <c r="KNQ367" s="266"/>
      <c r="KNR367" s="649"/>
      <c r="KNS367" s="326"/>
      <c r="KNT367" s="362"/>
      <c r="KNU367" s="386"/>
      <c r="KNV367" s="658"/>
      <c r="KNW367" s="388"/>
      <c r="KNX367" s="389"/>
      <c r="KNY367" s="590"/>
      <c r="KNZ367" s="266"/>
      <c r="KOA367" s="649"/>
      <c r="KOB367" s="326"/>
      <c r="KOC367" s="362"/>
      <c r="KOD367" s="386"/>
      <c r="KOE367" s="658"/>
      <c r="KOF367" s="388"/>
      <c r="KOG367" s="389"/>
      <c r="KOH367" s="590"/>
      <c r="KOI367" s="266"/>
      <c r="KOJ367" s="649"/>
      <c r="KOK367" s="326"/>
      <c r="KOL367" s="362"/>
      <c r="KOM367" s="386"/>
      <c r="KON367" s="658"/>
      <c r="KOO367" s="388"/>
      <c r="KOP367" s="389"/>
      <c r="KOQ367" s="590"/>
      <c r="KOR367" s="266"/>
      <c r="KOS367" s="649"/>
      <c r="KOT367" s="326"/>
      <c r="KOU367" s="362"/>
      <c r="KOV367" s="386"/>
      <c r="KOW367" s="658"/>
      <c r="KOX367" s="388"/>
      <c r="KOY367" s="389"/>
      <c r="KOZ367" s="590"/>
      <c r="KPA367" s="266"/>
      <c r="KPB367" s="649"/>
      <c r="KPC367" s="326"/>
      <c r="KPD367" s="362"/>
      <c r="KPE367" s="386"/>
      <c r="KPF367" s="658"/>
      <c r="KPG367" s="388"/>
      <c r="KPH367" s="389"/>
      <c r="KPI367" s="590"/>
      <c r="KPJ367" s="266"/>
      <c r="KPK367" s="649"/>
      <c r="KPL367" s="326"/>
      <c r="KPM367" s="362"/>
      <c r="KPN367" s="386"/>
      <c r="KPO367" s="658"/>
      <c r="KPP367" s="388"/>
      <c r="KPQ367" s="389"/>
      <c r="KPR367" s="590"/>
      <c r="KPS367" s="266"/>
      <c r="KPT367" s="649"/>
      <c r="KPU367" s="326"/>
      <c r="KPV367" s="362"/>
      <c r="KPW367" s="386"/>
      <c r="KPX367" s="658"/>
      <c r="KPY367" s="388"/>
      <c r="KPZ367" s="389"/>
      <c r="KQA367" s="590"/>
      <c r="KQB367" s="266"/>
      <c r="KQC367" s="649"/>
      <c r="KQD367" s="326"/>
      <c r="KQE367" s="362"/>
      <c r="KQF367" s="386"/>
      <c r="KQG367" s="658"/>
      <c r="KQH367" s="388"/>
      <c r="KQI367" s="389"/>
      <c r="KQJ367" s="590"/>
      <c r="KQK367" s="266"/>
      <c r="KQL367" s="649"/>
      <c r="KQM367" s="326"/>
      <c r="KQN367" s="362"/>
      <c r="KQO367" s="386"/>
      <c r="KQP367" s="658"/>
      <c r="KQQ367" s="388"/>
      <c r="KQR367" s="389"/>
      <c r="KQS367" s="590"/>
      <c r="KQT367" s="266"/>
      <c r="KQU367" s="649"/>
      <c r="KQV367" s="326"/>
      <c r="KQW367" s="362"/>
      <c r="KQX367" s="386"/>
      <c r="KQY367" s="658"/>
      <c r="KQZ367" s="388"/>
      <c r="KRA367" s="389"/>
      <c r="KRB367" s="590"/>
      <c r="KRC367" s="266"/>
      <c r="KRD367" s="649"/>
      <c r="KRE367" s="326"/>
      <c r="KRF367" s="362"/>
      <c r="KRG367" s="386"/>
      <c r="KRH367" s="658"/>
      <c r="KRI367" s="388"/>
      <c r="KRJ367" s="389"/>
      <c r="KRK367" s="590"/>
      <c r="KRL367" s="266"/>
      <c r="KRM367" s="649"/>
      <c r="KRN367" s="326"/>
      <c r="KRO367" s="362"/>
      <c r="KRP367" s="386"/>
      <c r="KRQ367" s="658"/>
      <c r="KRR367" s="388"/>
      <c r="KRS367" s="389"/>
      <c r="KRT367" s="590"/>
      <c r="KRU367" s="266"/>
      <c r="KRV367" s="649"/>
      <c r="KRW367" s="326"/>
      <c r="KRX367" s="362"/>
      <c r="KRY367" s="386"/>
      <c r="KRZ367" s="658"/>
      <c r="KSA367" s="388"/>
      <c r="KSB367" s="389"/>
      <c r="KSC367" s="590"/>
      <c r="KSD367" s="266"/>
      <c r="KSE367" s="649"/>
      <c r="KSF367" s="326"/>
      <c r="KSG367" s="362"/>
      <c r="KSH367" s="386"/>
      <c r="KSI367" s="658"/>
      <c r="KSJ367" s="388"/>
      <c r="KSK367" s="389"/>
      <c r="KSL367" s="590"/>
      <c r="KSM367" s="266"/>
      <c r="KSN367" s="649"/>
      <c r="KSO367" s="326"/>
      <c r="KSP367" s="362"/>
      <c r="KSQ367" s="386"/>
      <c r="KSR367" s="658"/>
      <c r="KSS367" s="388"/>
      <c r="KST367" s="389"/>
      <c r="KSU367" s="590"/>
      <c r="KSV367" s="266"/>
      <c r="KSW367" s="649"/>
      <c r="KSX367" s="326"/>
      <c r="KSY367" s="362"/>
      <c r="KSZ367" s="386"/>
      <c r="KTA367" s="658"/>
      <c r="KTB367" s="388"/>
      <c r="KTC367" s="389"/>
      <c r="KTD367" s="590"/>
      <c r="KTE367" s="266"/>
      <c r="KTF367" s="649"/>
      <c r="KTG367" s="326"/>
      <c r="KTH367" s="362"/>
      <c r="KTI367" s="386"/>
      <c r="KTJ367" s="658"/>
      <c r="KTK367" s="388"/>
      <c r="KTL367" s="389"/>
      <c r="KTM367" s="590"/>
      <c r="KTN367" s="266"/>
      <c r="KTO367" s="649"/>
      <c r="KTP367" s="326"/>
      <c r="KTQ367" s="362"/>
      <c r="KTR367" s="386"/>
      <c r="KTS367" s="658"/>
      <c r="KTT367" s="388"/>
      <c r="KTU367" s="389"/>
      <c r="KTV367" s="590"/>
      <c r="KTW367" s="266"/>
      <c r="KTX367" s="649"/>
      <c r="KTY367" s="326"/>
      <c r="KTZ367" s="362"/>
      <c r="KUA367" s="386"/>
      <c r="KUB367" s="658"/>
      <c r="KUC367" s="388"/>
      <c r="KUD367" s="389"/>
      <c r="KUE367" s="590"/>
      <c r="KUF367" s="266"/>
      <c r="KUG367" s="649"/>
      <c r="KUH367" s="326"/>
      <c r="KUI367" s="362"/>
      <c r="KUJ367" s="386"/>
      <c r="KUK367" s="658"/>
      <c r="KUL367" s="388"/>
      <c r="KUM367" s="389"/>
      <c r="KUN367" s="590"/>
      <c r="KUO367" s="266"/>
      <c r="KUP367" s="649"/>
      <c r="KUQ367" s="326"/>
      <c r="KUR367" s="362"/>
      <c r="KUS367" s="386"/>
      <c r="KUT367" s="658"/>
      <c r="KUU367" s="388"/>
      <c r="KUV367" s="389"/>
      <c r="KUW367" s="590"/>
      <c r="KUX367" s="266"/>
      <c r="KUY367" s="649"/>
      <c r="KUZ367" s="326"/>
      <c r="KVA367" s="362"/>
      <c r="KVB367" s="386"/>
      <c r="KVC367" s="658"/>
      <c r="KVD367" s="388"/>
      <c r="KVE367" s="389"/>
      <c r="KVF367" s="590"/>
      <c r="KVG367" s="266"/>
      <c r="KVH367" s="649"/>
      <c r="KVI367" s="326"/>
      <c r="KVJ367" s="362"/>
      <c r="KVK367" s="386"/>
      <c r="KVL367" s="658"/>
      <c r="KVM367" s="388"/>
      <c r="KVN367" s="389"/>
      <c r="KVO367" s="590"/>
      <c r="KVP367" s="266"/>
      <c r="KVQ367" s="649"/>
      <c r="KVR367" s="326"/>
      <c r="KVS367" s="362"/>
      <c r="KVT367" s="386"/>
      <c r="KVU367" s="658"/>
      <c r="KVV367" s="388"/>
      <c r="KVW367" s="389"/>
      <c r="KVX367" s="590"/>
      <c r="KVY367" s="266"/>
      <c r="KVZ367" s="649"/>
      <c r="KWA367" s="326"/>
      <c r="KWB367" s="362"/>
      <c r="KWC367" s="386"/>
      <c r="KWD367" s="658"/>
      <c r="KWE367" s="388"/>
      <c r="KWF367" s="389"/>
      <c r="KWG367" s="590"/>
      <c r="KWH367" s="266"/>
      <c r="KWI367" s="649"/>
      <c r="KWJ367" s="326"/>
      <c r="KWK367" s="362"/>
      <c r="KWL367" s="386"/>
      <c r="KWM367" s="658"/>
      <c r="KWN367" s="388"/>
      <c r="KWO367" s="389"/>
      <c r="KWP367" s="590"/>
      <c r="KWQ367" s="266"/>
      <c r="KWR367" s="649"/>
      <c r="KWS367" s="326"/>
      <c r="KWT367" s="362"/>
      <c r="KWU367" s="386"/>
      <c r="KWV367" s="658"/>
      <c r="KWW367" s="388"/>
      <c r="KWX367" s="389"/>
      <c r="KWY367" s="590"/>
      <c r="KWZ367" s="266"/>
      <c r="KXA367" s="649"/>
      <c r="KXB367" s="326"/>
      <c r="KXC367" s="362"/>
      <c r="KXD367" s="386"/>
      <c r="KXE367" s="658"/>
      <c r="KXF367" s="388"/>
      <c r="KXG367" s="389"/>
      <c r="KXH367" s="590"/>
      <c r="KXI367" s="266"/>
      <c r="KXJ367" s="649"/>
      <c r="KXK367" s="326"/>
      <c r="KXL367" s="362"/>
      <c r="KXM367" s="386"/>
      <c r="KXN367" s="658"/>
      <c r="KXO367" s="388"/>
      <c r="KXP367" s="389"/>
      <c r="KXQ367" s="590"/>
      <c r="KXR367" s="266"/>
      <c r="KXS367" s="649"/>
      <c r="KXT367" s="326"/>
      <c r="KXU367" s="362"/>
      <c r="KXV367" s="386"/>
      <c r="KXW367" s="658"/>
      <c r="KXX367" s="388"/>
      <c r="KXY367" s="389"/>
      <c r="KXZ367" s="590"/>
      <c r="KYA367" s="266"/>
      <c r="KYB367" s="649"/>
      <c r="KYC367" s="326"/>
      <c r="KYD367" s="362"/>
      <c r="KYE367" s="386"/>
      <c r="KYF367" s="658"/>
      <c r="KYG367" s="388"/>
      <c r="KYH367" s="389"/>
      <c r="KYI367" s="590"/>
      <c r="KYJ367" s="266"/>
      <c r="KYK367" s="649"/>
      <c r="KYL367" s="326"/>
      <c r="KYM367" s="362"/>
      <c r="KYN367" s="386"/>
      <c r="KYO367" s="658"/>
      <c r="KYP367" s="388"/>
      <c r="KYQ367" s="389"/>
      <c r="KYR367" s="590"/>
      <c r="KYS367" s="266"/>
      <c r="KYT367" s="649"/>
      <c r="KYU367" s="326"/>
      <c r="KYV367" s="362"/>
      <c r="KYW367" s="386"/>
      <c r="KYX367" s="658"/>
      <c r="KYY367" s="388"/>
      <c r="KYZ367" s="389"/>
      <c r="KZA367" s="590"/>
      <c r="KZB367" s="266"/>
      <c r="KZC367" s="649"/>
      <c r="KZD367" s="326"/>
      <c r="KZE367" s="362"/>
      <c r="KZF367" s="386"/>
      <c r="KZG367" s="658"/>
      <c r="KZH367" s="388"/>
      <c r="KZI367" s="389"/>
      <c r="KZJ367" s="590"/>
      <c r="KZK367" s="266"/>
      <c r="KZL367" s="649"/>
      <c r="KZM367" s="326"/>
      <c r="KZN367" s="362"/>
      <c r="KZO367" s="386"/>
      <c r="KZP367" s="658"/>
      <c r="KZQ367" s="388"/>
      <c r="KZR367" s="389"/>
      <c r="KZS367" s="590"/>
      <c r="KZT367" s="266"/>
      <c r="KZU367" s="649"/>
      <c r="KZV367" s="326"/>
      <c r="KZW367" s="362"/>
      <c r="KZX367" s="386"/>
      <c r="KZY367" s="658"/>
      <c r="KZZ367" s="388"/>
      <c r="LAA367" s="389"/>
      <c r="LAB367" s="590"/>
      <c r="LAC367" s="266"/>
      <c r="LAD367" s="649"/>
      <c r="LAE367" s="326"/>
      <c r="LAF367" s="362"/>
      <c r="LAG367" s="386"/>
      <c r="LAH367" s="658"/>
      <c r="LAI367" s="388"/>
      <c r="LAJ367" s="389"/>
      <c r="LAK367" s="590"/>
      <c r="LAL367" s="266"/>
      <c r="LAM367" s="649"/>
      <c r="LAN367" s="326"/>
      <c r="LAO367" s="362"/>
      <c r="LAP367" s="386"/>
      <c r="LAQ367" s="658"/>
      <c r="LAR367" s="388"/>
      <c r="LAS367" s="389"/>
      <c r="LAT367" s="590"/>
      <c r="LAU367" s="266"/>
      <c r="LAV367" s="649"/>
      <c r="LAW367" s="326"/>
      <c r="LAX367" s="362"/>
      <c r="LAY367" s="386"/>
      <c r="LAZ367" s="658"/>
      <c r="LBA367" s="388"/>
      <c r="LBB367" s="389"/>
      <c r="LBC367" s="590"/>
      <c r="LBD367" s="266"/>
      <c r="LBE367" s="649"/>
      <c r="LBF367" s="326"/>
      <c r="LBG367" s="362"/>
      <c r="LBH367" s="386"/>
      <c r="LBI367" s="658"/>
      <c r="LBJ367" s="388"/>
      <c r="LBK367" s="389"/>
      <c r="LBL367" s="590"/>
      <c r="LBM367" s="266"/>
      <c r="LBN367" s="649"/>
      <c r="LBO367" s="326"/>
      <c r="LBP367" s="362"/>
      <c r="LBQ367" s="386"/>
      <c r="LBR367" s="658"/>
      <c r="LBS367" s="388"/>
      <c r="LBT367" s="389"/>
      <c r="LBU367" s="590"/>
      <c r="LBV367" s="266"/>
      <c r="LBW367" s="649"/>
      <c r="LBX367" s="326"/>
      <c r="LBY367" s="362"/>
      <c r="LBZ367" s="386"/>
      <c r="LCA367" s="658"/>
      <c r="LCB367" s="388"/>
      <c r="LCC367" s="389"/>
      <c r="LCD367" s="590"/>
      <c r="LCE367" s="266"/>
      <c r="LCF367" s="649"/>
      <c r="LCG367" s="326"/>
      <c r="LCH367" s="362"/>
      <c r="LCI367" s="386"/>
      <c r="LCJ367" s="658"/>
      <c r="LCK367" s="388"/>
      <c r="LCL367" s="389"/>
      <c r="LCM367" s="590"/>
      <c r="LCN367" s="266"/>
      <c r="LCO367" s="649"/>
      <c r="LCP367" s="326"/>
      <c r="LCQ367" s="362"/>
      <c r="LCR367" s="386"/>
      <c r="LCS367" s="658"/>
      <c r="LCT367" s="388"/>
      <c r="LCU367" s="389"/>
      <c r="LCV367" s="590"/>
      <c r="LCW367" s="266"/>
      <c r="LCX367" s="649"/>
      <c r="LCY367" s="326"/>
      <c r="LCZ367" s="362"/>
      <c r="LDA367" s="386"/>
      <c r="LDB367" s="658"/>
      <c r="LDC367" s="388"/>
      <c r="LDD367" s="389"/>
      <c r="LDE367" s="590"/>
      <c r="LDF367" s="266"/>
      <c r="LDG367" s="649"/>
      <c r="LDH367" s="326"/>
      <c r="LDI367" s="362"/>
      <c r="LDJ367" s="386"/>
      <c r="LDK367" s="658"/>
      <c r="LDL367" s="388"/>
      <c r="LDM367" s="389"/>
      <c r="LDN367" s="590"/>
      <c r="LDO367" s="266"/>
      <c r="LDP367" s="649"/>
      <c r="LDQ367" s="326"/>
      <c r="LDR367" s="362"/>
      <c r="LDS367" s="386"/>
      <c r="LDT367" s="658"/>
      <c r="LDU367" s="388"/>
      <c r="LDV367" s="389"/>
      <c r="LDW367" s="590"/>
      <c r="LDX367" s="266"/>
      <c r="LDY367" s="649"/>
      <c r="LDZ367" s="326"/>
      <c r="LEA367" s="362"/>
      <c r="LEB367" s="386"/>
      <c r="LEC367" s="658"/>
      <c r="LED367" s="388"/>
      <c r="LEE367" s="389"/>
      <c r="LEF367" s="590"/>
      <c r="LEG367" s="266"/>
      <c r="LEH367" s="649"/>
      <c r="LEI367" s="326"/>
      <c r="LEJ367" s="362"/>
      <c r="LEK367" s="386"/>
      <c r="LEL367" s="658"/>
      <c r="LEM367" s="388"/>
      <c r="LEN367" s="389"/>
      <c r="LEO367" s="590"/>
      <c r="LEP367" s="266"/>
      <c r="LEQ367" s="649"/>
      <c r="LER367" s="326"/>
      <c r="LES367" s="362"/>
      <c r="LET367" s="386"/>
      <c r="LEU367" s="658"/>
      <c r="LEV367" s="388"/>
      <c r="LEW367" s="389"/>
      <c r="LEX367" s="590"/>
      <c r="LEY367" s="266"/>
      <c r="LEZ367" s="649"/>
      <c r="LFA367" s="326"/>
      <c r="LFB367" s="362"/>
      <c r="LFC367" s="386"/>
      <c r="LFD367" s="658"/>
      <c r="LFE367" s="388"/>
      <c r="LFF367" s="389"/>
      <c r="LFG367" s="590"/>
      <c r="LFH367" s="266"/>
      <c r="LFI367" s="649"/>
      <c r="LFJ367" s="326"/>
      <c r="LFK367" s="362"/>
      <c r="LFL367" s="386"/>
      <c r="LFM367" s="658"/>
      <c r="LFN367" s="388"/>
      <c r="LFO367" s="389"/>
      <c r="LFP367" s="590"/>
      <c r="LFQ367" s="266"/>
      <c r="LFR367" s="649"/>
      <c r="LFS367" s="326"/>
      <c r="LFT367" s="362"/>
      <c r="LFU367" s="386"/>
      <c r="LFV367" s="658"/>
      <c r="LFW367" s="388"/>
      <c r="LFX367" s="389"/>
      <c r="LFY367" s="590"/>
      <c r="LFZ367" s="266"/>
      <c r="LGA367" s="649"/>
      <c r="LGB367" s="326"/>
      <c r="LGC367" s="362"/>
      <c r="LGD367" s="386"/>
      <c r="LGE367" s="658"/>
      <c r="LGF367" s="388"/>
      <c r="LGG367" s="389"/>
      <c r="LGH367" s="590"/>
      <c r="LGI367" s="266"/>
      <c r="LGJ367" s="649"/>
      <c r="LGK367" s="326"/>
      <c r="LGL367" s="362"/>
      <c r="LGM367" s="386"/>
      <c r="LGN367" s="658"/>
      <c r="LGO367" s="388"/>
      <c r="LGP367" s="389"/>
      <c r="LGQ367" s="590"/>
      <c r="LGR367" s="266"/>
      <c r="LGS367" s="649"/>
      <c r="LGT367" s="326"/>
      <c r="LGU367" s="362"/>
      <c r="LGV367" s="386"/>
      <c r="LGW367" s="658"/>
      <c r="LGX367" s="388"/>
      <c r="LGY367" s="389"/>
      <c r="LGZ367" s="590"/>
      <c r="LHA367" s="266"/>
      <c r="LHB367" s="649"/>
      <c r="LHC367" s="326"/>
      <c r="LHD367" s="362"/>
      <c r="LHE367" s="386"/>
      <c r="LHF367" s="658"/>
      <c r="LHG367" s="388"/>
      <c r="LHH367" s="389"/>
      <c r="LHI367" s="590"/>
      <c r="LHJ367" s="266"/>
      <c r="LHK367" s="649"/>
      <c r="LHL367" s="326"/>
      <c r="LHM367" s="362"/>
      <c r="LHN367" s="386"/>
      <c r="LHO367" s="658"/>
      <c r="LHP367" s="388"/>
      <c r="LHQ367" s="389"/>
      <c r="LHR367" s="590"/>
      <c r="LHS367" s="266"/>
      <c r="LHT367" s="649"/>
      <c r="LHU367" s="326"/>
      <c r="LHV367" s="362"/>
      <c r="LHW367" s="386"/>
      <c r="LHX367" s="658"/>
      <c r="LHY367" s="388"/>
      <c r="LHZ367" s="389"/>
      <c r="LIA367" s="590"/>
      <c r="LIB367" s="266"/>
      <c r="LIC367" s="649"/>
      <c r="LID367" s="326"/>
      <c r="LIE367" s="362"/>
      <c r="LIF367" s="386"/>
      <c r="LIG367" s="658"/>
      <c r="LIH367" s="388"/>
      <c r="LII367" s="389"/>
      <c r="LIJ367" s="590"/>
      <c r="LIK367" s="266"/>
      <c r="LIL367" s="649"/>
      <c r="LIM367" s="326"/>
      <c r="LIN367" s="362"/>
      <c r="LIO367" s="386"/>
      <c r="LIP367" s="658"/>
      <c r="LIQ367" s="388"/>
      <c r="LIR367" s="389"/>
      <c r="LIS367" s="590"/>
      <c r="LIT367" s="266"/>
      <c r="LIU367" s="649"/>
      <c r="LIV367" s="326"/>
      <c r="LIW367" s="362"/>
      <c r="LIX367" s="386"/>
      <c r="LIY367" s="658"/>
      <c r="LIZ367" s="388"/>
      <c r="LJA367" s="389"/>
      <c r="LJB367" s="590"/>
      <c r="LJC367" s="266"/>
      <c r="LJD367" s="649"/>
      <c r="LJE367" s="326"/>
      <c r="LJF367" s="362"/>
      <c r="LJG367" s="386"/>
      <c r="LJH367" s="658"/>
      <c r="LJI367" s="388"/>
      <c r="LJJ367" s="389"/>
      <c r="LJK367" s="590"/>
      <c r="LJL367" s="266"/>
      <c r="LJM367" s="649"/>
      <c r="LJN367" s="326"/>
      <c r="LJO367" s="362"/>
      <c r="LJP367" s="386"/>
      <c r="LJQ367" s="658"/>
      <c r="LJR367" s="388"/>
      <c r="LJS367" s="389"/>
      <c r="LJT367" s="590"/>
      <c r="LJU367" s="266"/>
      <c r="LJV367" s="649"/>
      <c r="LJW367" s="326"/>
      <c r="LJX367" s="362"/>
      <c r="LJY367" s="386"/>
      <c r="LJZ367" s="658"/>
      <c r="LKA367" s="388"/>
      <c r="LKB367" s="389"/>
      <c r="LKC367" s="590"/>
      <c r="LKD367" s="266"/>
      <c r="LKE367" s="649"/>
      <c r="LKF367" s="326"/>
      <c r="LKG367" s="362"/>
      <c r="LKH367" s="386"/>
      <c r="LKI367" s="658"/>
      <c r="LKJ367" s="388"/>
      <c r="LKK367" s="389"/>
      <c r="LKL367" s="590"/>
      <c r="LKM367" s="266"/>
      <c r="LKN367" s="649"/>
      <c r="LKO367" s="326"/>
      <c r="LKP367" s="362"/>
      <c r="LKQ367" s="386"/>
      <c r="LKR367" s="658"/>
      <c r="LKS367" s="388"/>
      <c r="LKT367" s="389"/>
      <c r="LKU367" s="590"/>
      <c r="LKV367" s="266"/>
      <c r="LKW367" s="649"/>
      <c r="LKX367" s="326"/>
      <c r="LKY367" s="362"/>
      <c r="LKZ367" s="386"/>
      <c r="LLA367" s="658"/>
      <c r="LLB367" s="388"/>
      <c r="LLC367" s="389"/>
      <c r="LLD367" s="590"/>
      <c r="LLE367" s="266"/>
      <c r="LLF367" s="649"/>
      <c r="LLG367" s="326"/>
      <c r="LLH367" s="362"/>
      <c r="LLI367" s="386"/>
      <c r="LLJ367" s="658"/>
      <c r="LLK367" s="388"/>
      <c r="LLL367" s="389"/>
      <c r="LLM367" s="590"/>
      <c r="LLN367" s="266"/>
      <c r="LLO367" s="649"/>
      <c r="LLP367" s="326"/>
      <c r="LLQ367" s="362"/>
      <c r="LLR367" s="386"/>
      <c r="LLS367" s="658"/>
      <c r="LLT367" s="388"/>
      <c r="LLU367" s="389"/>
      <c r="LLV367" s="590"/>
      <c r="LLW367" s="266"/>
      <c r="LLX367" s="649"/>
      <c r="LLY367" s="326"/>
      <c r="LLZ367" s="362"/>
      <c r="LMA367" s="386"/>
      <c r="LMB367" s="658"/>
      <c r="LMC367" s="388"/>
      <c r="LMD367" s="389"/>
      <c r="LME367" s="590"/>
      <c r="LMF367" s="266"/>
      <c r="LMG367" s="649"/>
      <c r="LMH367" s="326"/>
      <c r="LMI367" s="362"/>
      <c r="LMJ367" s="386"/>
      <c r="LMK367" s="658"/>
      <c r="LML367" s="388"/>
      <c r="LMM367" s="389"/>
      <c r="LMN367" s="590"/>
      <c r="LMO367" s="266"/>
      <c r="LMP367" s="649"/>
      <c r="LMQ367" s="326"/>
      <c r="LMR367" s="362"/>
      <c r="LMS367" s="386"/>
      <c r="LMT367" s="658"/>
      <c r="LMU367" s="388"/>
      <c r="LMV367" s="389"/>
      <c r="LMW367" s="590"/>
      <c r="LMX367" s="266"/>
      <c r="LMY367" s="649"/>
      <c r="LMZ367" s="326"/>
      <c r="LNA367" s="362"/>
      <c r="LNB367" s="386"/>
      <c r="LNC367" s="658"/>
      <c r="LND367" s="388"/>
      <c r="LNE367" s="389"/>
      <c r="LNF367" s="590"/>
      <c r="LNG367" s="266"/>
      <c r="LNH367" s="649"/>
      <c r="LNI367" s="326"/>
      <c r="LNJ367" s="362"/>
      <c r="LNK367" s="386"/>
      <c r="LNL367" s="658"/>
      <c r="LNM367" s="388"/>
      <c r="LNN367" s="389"/>
      <c r="LNO367" s="590"/>
      <c r="LNP367" s="266"/>
      <c r="LNQ367" s="649"/>
      <c r="LNR367" s="326"/>
      <c r="LNS367" s="362"/>
      <c r="LNT367" s="386"/>
      <c r="LNU367" s="658"/>
      <c r="LNV367" s="388"/>
      <c r="LNW367" s="389"/>
      <c r="LNX367" s="590"/>
      <c r="LNY367" s="266"/>
      <c r="LNZ367" s="649"/>
      <c r="LOA367" s="326"/>
      <c r="LOB367" s="362"/>
      <c r="LOC367" s="386"/>
      <c r="LOD367" s="658"/>
      <c r="LOE367" s="388"/>
      <c r="LOF367" s="389"/>
      <c r="LOG367" s="590"/>
      <c r="LOH367" s="266"/>
      <c r="LOI367" s="649"/>
      <c r="LOJ367" s="326"/>
      <c r="LOK367" s="362"/>
      <c r="LOL367" s="386"/>
      <c r="LOM367" s="658"/>
      <c r="LON367" s="388"/>
      <c r="LOO367" s="389"/>
      <c r="LOP367" s="590"/>
      <c r="LOQ367" s="266"/>
      <c r="LOR367" s="649"/>
      <c r="LOS367" s="326"/>
      <c r="LOT367" s="362"/>
      <c r="LOU367" s="386"/>
      <c r="LOV367" s="658"/>
      <c r="LOW367" s="388"/>
      <c r="LOX367" s="389"/>
      <c r="LOY367" s="590"/>
      <c r="LOZ367" s="266"/>
      <c r="LPA367" s="649"/>
      <c r="LPB367" s="326"/>
      <c r="LPC367" s="362"/>
      <c r="LPD367" s="386"/>
      <c r="LPE367" s="658"/>
      <c r="LPF367" s="388"/>
      <c r="LPG367" s="389"/>
      <c r="LPH367" s="590"/>
      <c r="LPI367" s="266"/>
      <c r="LPJ367" s="649"/>
      <c r="LPK367" s="326"/>
      <c r="LPL367" s="362"/>
      <c r="LPM367" s="386"/>
      <c r="LPN367" s="658"/>
      <c r="LPO367" s="388"/>
      <c r="LPP367" s="389"/>
      <c r="LPQ367" s="590"/>
      <c r="LPR367" s="266"/>
      <c r="LPS367" s="649"/>
      <c r="LPT367" s="326"/>
      <c r="LPU367" s="362"/>
      <c r="LPV367" s="386"/>
      <c r="LPW367" s="658"/>
      <c r="LPX367" s="388"/>
      <c r="LPY367" s="389"/>
      <c r="LPZ367" s="590"/>
      <c r="LQA367" s="266"/>
      <c r="LQB367" s="649"/>
      <c r="LQC367" s="326"/>
      <c r="LQD367" s="362"/>
      <c r="LQE367" s="386"/>
      <c r="LQF367" s="658"/>
      <c r="LQG367" s="388"/>
      <c r="LQH367" s="389"/>
      <c r="LQI367" s="590"/>
      <c r="LQJ367" s="266"/>
      <c r="LQK367" s="649"/>
      <c r="LQL367" s="326"/>
      <c r="LQM367" s="362"/>
      <c r="LQN367" s="386"/>
      <c r="LQO367" s="658"/>
      <c r="LQP367" s="388"/>
      <c r="LQQ367" s="389"/>
      <c r="LQR367" s="590"/>
      <c r="LQS367" s="266"/>
      <c r="LQT367" s="649"/>
      <c r="LQU367" s="326"/>
      <c r="LQV367" s="362"/>
      <c r="LQW367" s="386"/>
      <c r="LQX367" s="658"/>
      <c r="LQY367" s="388"/>
      <c r="LQZ367" s="389"/>
      <c r="LRA367" s="590"/>
      <c r="LRB367" s="266"/>
      <c r="LRC367" s="649"/>
      <c r="LRD367" s="326"/>
      <c r="LRE367" s="362"/>
      <c r="LRF367" s="386"/>
      <c r="LRG367" s="658"/>
      <c r="LRH367" s="388"/>
      <c r="LRI367" s="389"/>
      <c r="LRJ367" s="590"/>
      <c r="LRK367" s="266"/>
      <c r="LRL367" s="649"/>
      <c r="LRM367" s="326"/>
      <c r="LRN367" s="362"/>
      <c r="LRO367" s="386"/>
      <c r="LRP367" s="658"/>
      <c r="LRQ367" s="388"/>
      <c r="LRR367" s="389"/>
      <c r="LRS367" s="590"/>
      <c r="LRT367" s="266"/>
      <c r="LRU367" s="649"/>
      <c r="LRV367" s="326"/>
      <c r="LRW367" s="362"/>
      <c r="LRX367" s="386"/>
      <c r="LRY367" s="658"/>
      <c r="LRZ367" s="388"/>
      <c r="LSA367" s="389"/>
      <c r="LSB367" s="590"/>
      <c r="LSC367" s="266"/>
      <c r="LSD367" s="649"/>
      <c r="LSE367" s="326"/>
      <c r="LSF367" s="362"/>
      <c r="LSG367" s="386"/>
      <c r="LSH367" s="658"/>
      <c r="LSI367" s="388"/>
      <c r="LSJ367" s="389"/>
      <c r="LSK367" s="590"/>
      <c r="LSL367" s="266"/>
      <c r="LSM367" s="649"/>
      <c r="LSN367" s="326"/>
      <c r="LSO367" s="362"/>
      <c r="LSP367" s="386"/>
      <c r="LSQ367" s="658"/>
      <c r="LSR367" s="388"/>
      <c r="LSS367" s="389"/>
      <c r="LST367" s="590"/>
      <c r="LSU367" s="266"/>
      <c r="LSV367" s="649"/>
      <c r="LSW367" s="326"/>
      <c r="LSX367" s="362"/>
      <c r="LSY367" s="386"/>
      <c r="LSZ367" s="658"/>
      <c r="LTA367" s="388"/>
      <c r="LTB367" s="389"/>
      <c r="LTC367" s="590"/>
      <c r="LTD367" s="266"/>
      <c r="LTE367" s="649"/>
      <c r="LTF367" s="326"/>
      <c r="LTG367" s="362"/>
      <c r="LTH367" s="386"/>
      <c r="LTI367" s="658"/>
      <c r="LTJ367" s="388"/>
      <c r="LTK367" s="389"/>
      <c r="LTL367" s="590"/>
      <c r="LTM367" s="266"/>
      <c r="LTN367" s="649"/>
      <c r="LTO367" s="326"/>
      <c r="LTP367" s="362"/>
      <c r="LTQ367" s="386"/>
      <c r="LTR367" s="658"/>
      <c r="LTS367" s="388"/>
      <c r="LTT367" s="389"/>
      <c r="LTU367" s="590"/>
      <c r="LTV367" s="266"/>
      <c r="LTW367" s="649"/>
      <c r="LTX367" s="326"/>
      <c r="LTY367" s="362"/>
      <c r="LTZ367" s="386"/>
      <c r="LUA367" s="658"/>
      <c r="LUB367" s="388"/>
      <c r="LUC367" s="389"/>
      <c r="LUD367" s="590"/>
      <c r="LUE367" s="266"/>
      <c r="LUF367" s="649"/>
      <c r="LUG367" s="326"/>
      <c r="LUH367" s="362"/>
      <c r="LUI367" s="386"/>
      <c r="LUJ367" s="658"/>
      <c r="LUK367" s="388"/>
      <c r="LUL367" s="389"/>
      <c r="LUM367" s="590"/>
      <c r="LUN367" s="266"/>
      <c r="LUO367" s="649"/>
      <c r="LUP367" s="326"/>
      <c r="LUQ367" s="362"/>
      <c r="LUR367" s="386"/>
      <c r="LUS367" s="658"/>
      <c r="LUT367" s="388"/>
      <c r="LUU367" s="389"/>
      <c r="LUV367" s="590"/>
      <c r="LUW367" s="266"/>
      <c r="LUX367" s="649"/>
      <c r="LUY367" s="326"/>
      <c r="LUZ367" s="362"/>
      <c r="LVA367" s="386"/>
      <c r="LVB367" s="658"/>
      <c r="LVC367" s="388"/>
      <c r="LVD367" s="389"/>
      <c r="LVE367" s="590"/>
      <c r="LVF367" s="266"/>
      <c r="LVG367" s="649"/>
      <c r="LVH367" s="326"/>
      <c r="LVI367" s="362"/>
      <c r="LVJ367" s="386"/>
      <c r="LVK367" s="658"/>
      <c r="LVL367" s="388"/>
      <c r="LVM367" s="389"/>
      <c r="LVN367" s="590"/>
      <c r="LVO367" s="266"/>
      <c r="LVP367" s="649"/>
      <c r="LVQ367" s="326"/>
      <c r="LVR367" s="362"/>
      <c r="LVS367" s="386"/>
      <c r="LVT367" s="658"/>
      <c r="LVU367" s="388"/>
      <c r="LVV367" s="389"/>
      <c r="LVW367" s="590"/>
      <c r="LVX367" s="266"/>
      <c r="LVY367" s="649"/>
      <c r="LVZ367" s="326"/>
      <c r="LWA367" s="362"/>
      <c r="LWB367" s="386"/>
      <c r="LWC367" s="658"/>
      <c r="LWD367" s="388"/>
      <c r="LWE367" s="389"/>
      <c r="LWF367" s="590"/>
      <c r="LWG367" s="266"/>
      <c r="LWH367" s="649"/>
      <c r="LWI367" s="326"/>
      <c r="LWJ367" s="362"/>
      <c r="LWK367" s="386"/>
      <c r="LWL367" s="658"/>
      <c r="LWM367" s="388"/>
      <c r="LWN367" s="389"/>
      <c r="LWO367" s="590"/>
      <c r="LWP367" s="266"/>
      <c r="LWQ367" s="649"/>
      <c r="LWR367" s="326"/>
      <c r="LWS367" s="362"/>
      <c r="LWT367" s="386"/>
      <c r="LWU367" s="658"/>
      <c r="LWV367" s="388"/>
      <c r="LWW367" s="389"/>
      <c r="LWX367" s="590"/>
      <c r="LWY367" s="266"/>
      <c r="LWZ367" s="649"/>
      <c r="LXA367" s="326"/>
      <c r="LXB367" s="362"/>
      <c r="LXC367" s="386"/>
      <c r="LXD367" s="658"/>
      <c r="LXE367" s="388"/>
      <c r="LXF367" s="389"/>
      <c r="LXG367" s="590"/>
      <c r="LXH367" s="266"/>
      <c r="LXI367" s="649"/>
      <c r="LXJ367" s="326"/>
      <c r="LXK367" s="362"/>
      <c r="LXL367" s="386"/>
      <c r="LXM367" s="658"/>
      <c r="LXN367" s="388"/>
      <c r="LXO367" s="389"/>
      <c r="LXP367" s="590"/>
      <c r="LXQ367" s="266"/>
      <c r="LXR367" s="649"/>
      <c r="LXS367" s="326"/>
      <c r="LXT367" s="362"/>
      <c r="LXU367" s="386"/>
      <c r="LXV367" s="658"/>
      <c r="LXW367" s="388"/>
      <c r="LXX367" s="389"/>
      <c r="LXY367" s="590"/>
      <c r="LXZ367" s="266"/>
      <c r="LYA367" s="649"/>
      <c r="LYB367" s="326"/>
      <c r="LYC367" s="362"/>
      <c r="LYD367" s="386"/>
      <c r="LYE367" s="658"/>
      <c r="LYF367" s="388"/>
      <c r="LYG367" s="389"/>
      <c r="LYH367" s="590"/>
      <c r="LYI367" s="266"/>
      <c r="LYJ367" s="649"/>
      <c r="LYK367" s="326"/>
      <c r="LYL367" s="362"/>
      <c r="LYM367" s="386"/>
      <c r="LYN367" s="658"/>
      <c r="LYO367" s="388"/>
      <c r="LYP367" s="389"/>
      <c r="LYQ367" s="590"/>
      <c r="LYR367" s="266"/>
      <c r="LYS367" s="649"/>
      <c r="LYT367" s="326"/>
      <c r="LYU367" s="362"/>
      <c r="LYV367" s="386"/>
      <c r="LYW367" s="658"/>
      <c r="LYX367" s="388"/>
      <c r="LYY367" s="389"/>
      <c r="LYZ367" s="590"/>
      <c r="LZA367" s="266"/>
      <c r="LZB367" s="649"/>
      <c r="LZC367" s="326"/>
      <c r="LZD367" s="362"/>
      <c r="LZE367" s="386"/>
      <c r="LZF367" s="658"/>
      <c r="LZG367" s="388"/>
      <c r="LZH367" s="389"/>
      <c r="LZI367" s="590"/>
      <c r="LZJ367" s="266"/>
      <c r="LZK367" s="649"/>
      <c r="LZL367" s="326"/>
      <c r="LZM367" s="362"/>
      <c r="LZN367" s="386"/>
      <c r="LZO367" s="658"/>
      <c r="LZP367" s="388"/>
      <c r="LZQ367" s="389"/>
      <c r="LZR367" s="590"/>
      <c r="LZS367" s="266"/>
      <c r="LZT367" s="649"/>
      <c r="LZU367" s="326"/>
      <c r="LZV367" s="362"/>
      <c r="LZW367" s="386"/>
      <c r="LZX367" s="658"/>
      <c r="LZY367" s="388"/>
      <c r="LZZ367" s="389"/>
      <c r="MAA367" s="590"/>
      <c r="MAB367" s="266"/>
      <c r="MAC367" s="649"/>
      <c r="MAD367" s="326"/>
      <c r="MAE367" s="362"/>
      <c r="MAF367" s="386"/>
      <c r="MAG367" s="658"/>
      <c r="MAH367" s="388"/>
      <c r="MAI367" s="389"/>
      <c r="MAJ367" s="590"/>
      <c r="MAK367" s="266"/>
      <c r="MAL367" s="649"/>
      <c r="MAM367" s="326"/>
      <c r="MAN367" s="362"/>
      <c r="MAO367" s="386"/>
      <c r="MAP367" s="658"/>
      <c r="MAQ367" s="388"/>
      <c r="MAR367" s="389"/>
      <c r="MAS367" s="590"/>
      <c r="MAT367" s="266"/>
      <c r="MAU367" s="649"/>
      <c r="MAV367" s="326"/>
      <c r="MAW367" s="362"/>
      <c r="MAX367" s="386"/>
      <c r="MAY367" s="658"/>
      <c r="MAZ367" s="388"/>
      <c r="MBA367" s="389"/>
      <c r="MBB367" s="590"/>
      <c r="MBC367" s="266"/>
      <c r="MBD367" s="649"/>
      <c r="MBE367" s="326"/>
      <c r="MBF367" s="362"/>
      <c r="MBG367" s="386"/>
      <c r="MBH367" s="658"/>
      <c r="MBI367" s="388"/>
      <c r="MBJ367" s="389"/>
      <c r="MBK367" s="590"/>
      <c r="MBL367" s="266"/>
      <c r="MBM367" s="649"/>
      <c r="MBN367" s="326"/>
      <c r="MBO367" s="362"/>
      <c r="MBP367" s="386"/>
      <c r="MBQ367" s="658"/>
      <c r="MBR367" s="388"/>
      <c r="MBS367" s="389"/>
      <c r="MBT367" s="590"/>
      <c r="MBU367" s="266"/>
      <c r="MBV367" s="649"/>
      <c r="MBW367" s="326"/>
      <c r="MBX367" s="362"/>
      <c r="MBY367" s="386"/>
      <c r="MBZ367" s="658"/>
      <c r="MCA367" s="388"/>
      <c r="MCB367" s="389"/>
      <c r="MCC367" s="590"/>
      <c r="MCD367" s="266"/>
      <c r="MCE367" s="649"/>
      <c r="MCF367" s="326"/>
      <c r="MCG367" s="362"/>
      <c r="MCH367" s="386"/>
      <c r="MCI367" s="658"/>
      <c r="MCJ367" s="388"/>
      <c r="MCK367" s="389"/>
      <c r="MCL367" s="590"/>
      <c r="MCM367" s="266"/>
      <c r="MCN367" s="649"/>
      <c r="MCO367" s="326"/>
      <c r="MCP367" s="362"/>
      <c r="MCQ367" s="386"/>
      <c r="MCR367" s="658"/>
      <c r="MCS367" s="388"/>
      <c r="MCT367" s="389"/>
      <c r="MCU367" s="590"/>
      <c r="MCV367" s="266"/>
      <c r="MCW367" s="649"/>
      <c r="MCX367" s="326"/>
      <c r="MCY367" s="362"/>
      <c r="MCZ367" s="386"/>
      <c r="MDA367" s="658"/>
      <c r="MDB367" s="388"/>
      <c r="MDC367" s="389"/>
      <c r="MDD367" s="590"/>
      <c r="MDE367" s="266"/>
      <c r="MDF367" s="649"/>
      <c r="MDG367" s="326"/>
      <c r="MDH367" s="362"/>
      <c r="MDI367" s="386"/>
      <c r="MDJ367" s="658"/>
      <c r="MDK367" s="388"/>
      <c r="MDL367" s="389"/>
      <c r="MDM367" s="590"/>
      <c r="MDN367" s="266"/>
      <c r="MDO367" s="649"/>
      <c r="MDP367" s="326"/>
      <c r="MDQ367" s="362"/>
      <c r="MDR367" s="386"/>
      <c r="MDS367" s="658"/>
      <c r="MDT367" s="388"/>
      <c r="MDU367" s="389"/>
      <c r="MDV367" s="590"/>
      <c r="MDW367" s="266"/>
      <c r="MDX367" s="649"/>
      <c r="MDY367" s="326"/>
      <c r="MDZ367" s="362"/>
      <c r="MEA367" s="386"/>
      <c r="MEB367" s="658"/>
      <c r="MEC367" s="388"/>
      <c r="MED367" s="389"/>
      <c r="MEE367" s="590"/>
      <c r="MEF367" s="266"/>
      <c r="MEG367" s="649"/>
      <c r="MEH367" s="326"/>
      <c r="MEI367" s="362"/>
      <c r="MEJ367" s="386"/>
      <c r="MEK367" s="658"/>
      <c r="MEL367" s="388"/>
      <c r="MEM367" s="389"/>
      <c r="MEN367" s="590"/>
      <c r="MEO367" s="266"/>
      <c r="MEP367" s="649"/>
      <c r="MEQ367" s="326"/>
      <c r="MER367" s="362"/>
      <c r="MES367" s="386"/>
      <c r="MET367" s="658"/>
      <c r="MEU367" s="388"/>
      <c r="MEV367" s="389"/>
      <c r="MEW367" s="590"/>
      <c r="MEX367" s="266"/>
      <c r="MEY367" s="649"/>
      <c r="MEZ367" s="326"/>
      <c r="MFA367" s="362"/>
      <c r="MFB367" s="386"/>
      <c r="MFC367" s="658"/>
      <c r="MFD367" s="388"/>
      <c r="MFE367" s="389"/>
      <c r="MFF367" s="590"/>
      <c r="MFG367" s="266"/>
      <c r="MFH367" s="649"/>
      <c r="MFI367" s="326"/>
      <c r="MFJ367" s="362"/>
      <c r="MFK367" s="386"/>
      <c r="MFL367" s="658"/>
      <c r="MFM367" s="388"/>
      <c r="MFN367" s="389"/>
      <c r="MFO367" s="590"/>
      <c r="MFP367" s="266"/>
      <c r="MFQ367" s="649"/>
      <c r="MFR367" s="326"/>
      <c r="MFS367" s="362"/>
      <c r="MFT367" s="386"/>
      <c r="MFU367" s="658"/>
      <c r="MFV367" s="388"/>
      <c r="MFW367" s="389"/>
      <c r="MFX367" s="590"/>
      <c r="MFY367" s="266"/>
      <c r="MFZ367" s="649"/>
      <c r="MGA367" s="326"/>
      <c r="MGB367" s="362"/>
      <c r="MGC367" s="386"/>
      <c r="MGD367" s="658"/>
      <c r="MGE367" s="388"/>
      <c r="MGF367" s="389"/>
      <c r="MGG367" s="590"/>
      <c r="MGH367" s="266"/>
      <c r="MGI367" s="649"/>
      <c r="MGJ367" s="326"/>
      <c r="MGK367" s="362"/>
      <c r="MGL367" s="386"/>
      <c r="MGM367" s="658"/>
      <c r="MGN367" s="388"/>
      <c r="MGO367" s="389"/>
      <c r="MGP367" s="590"/>
      <c r="MGQ367" s="266"/>
      <c r="MGR367" s="649"/>
      <c r="MGS367" s="326"/>
      <c r="MGT367" s="362"/>
      <c r="MGU367" s="386"/>
      <c r="MGV367" s="658"/>
      <c r="MGW367" s="388"/>
      <c r="MGX367" s="389"/>
      <c r="MGY367" s="590"/>
      <c r="MGZ367" s="266"/>
      <c r="MHA367" s="649"/>
      <c r="MHB367" s="326"/>
      <c r="MHC367" s="362"/>
      <c r="MHD367" s="386"/>
      <c r="MHE367" s="658"/>
      <c r="MHF367" s="388"/>
      <c r="MHG367" s="389"/>
      <c r="MHH367" s="590"/>
      <c r="MHI367" s="266"/>
      <c r="MHJ367" s="649"/>
      <c r="MHK367" s="326"/>
      <c r="MHL367" s="362"/>
      <c r="MHM367" s="386"/>
      <c r="MHN367" s="658"/>
      <c r="MHO367" s="388"/>
      <c r="MHP367" s="389"/>
      <c r="MHQ367" s="590"/>
      <c r="MHR367" s="266"/>
      <c r="MHS367" s="649"/>
      <c r="MHT367" s="326"/>
      <c r="MHU367" s="362"/>
      <c r="MHV367" s="386"/>
      <c r="MHW367" s="658"/>
      <c r="MHX367" s="388"/>
      <c r="MHY367" s="389"/>
      <c r="MHZ367" s="590"/>
      <c r="MIA367" s="266"/>
      <c r="MIB367" s="649"/>
      <c r="MIC367" s="326"/>
      <c r="MID367" s="362"/>
      <c r="MIE367" s="386"/>
      <c r="MIF367" s="658"/>
      <c r="MIG367" s="388"/>
      <c r="MIH367" s="389"/>
      <c r="MII367" s="590"/>
      <c r="MIJ367" s="266"/>
      <c r="MIK367" s="649"/>
      <c r="MIL367" s="326"/>
      <c r="MIM367" s="362"/>
      <c r="MIN367" s="386"/>
      <c r="MIO367" s="658"/>
      <c r="MIP367" s="388"/>
      <c r="MIQ367" s="389"/>
      <c r="MIR367" s="590"/>
      <c r="MIS367" s="266"/>
      <c r="MIT367" s="649"/>
      <c r="MIU367" s="326"/>
      <c r="MIV367" s="362"/>
      <c r="MIW367" s="386"/>
      <c r="MIX367" s="658"/>
      <c r="MIY367" s="388"/>
      <c r="MIZ367" s="389"/>
      <c r="MJA367" s="590"/>
      <c r="MJB367" s="266"/>
      <c r="MJC367" s="649"/>
      <c r="MJD367" s="326"/>
      <c r="MJE367" s="362"/>
      <c r="MJF367" s="386"/>
      <c r="MJG367" s="658"/>
      <c r="MJH367" s="388"/>
      <c r="MJI367" s="389"/>
      <c r="MJJ367" s="590"/>
      <c r="MJK367" s="266"/>
      <c r="MJL367" s="649"/>
      <c r="MJM367" s="326"/>
      <c r="MJN367" s="362"/>
      <c r="MJO367" s="386"/>
      <c r="MJP367" s="658"/>
      <c r="MJQ367" s="388"/>
      <c r="MJR367" s="389"/>
      <c r="MJS367" s="590"/>
      <c r="MJT367" s="266"/>
      <c r="MJU367" s="649"/>
      <c r="MJV367" s="326"/>
      <c r="MJW367" s="362"/>
      <c r="MJX367" s="386"/>
      <c r="MJY367" s="658"/>
      <c r="MJZ367" s="388"/>
      <c r="MKA367" s="389"/>
      <c r="MKB367" s="590"/>
      <c r="MKC367" s="266"/>
      <c r="MKD367" s="649"/>
      <c r="MKE367" s="326"/>
      <c r="MKF367" s="362"/>
      <c r="MKG367" s="386"/>
      <c r="MKH367" s="658"/>
      <c r="MKI367" s="388"/>
      <c r="MKJ367" s="389"/>
      <c r="MKK367" s="590"/>
      <c r="MKL367" s="266"/>
      <c r="MKM367" s="649"/>
      <c r="MKN367" s="326"/>
      <c r="MKO367" s="362"/>
      <c r="MKP367" s="386"/>
      <c r="MKQ367" s="658"/>
      <c r="MKR367" s="388"/>
      <c r="MKS367" s="389"/>
      <c r="MKT367" s="590"/>
      <c r="MKU367" s="266"/>
      <c r="MKV367" s="649"/>
      <c r="MKW367" s="326"/>
      <c r="MKX367" s="362"/>
      <c r="MKY367" s="386"/>
      <c r="MKZ367" s="658"/>
      <c r="MLA367" s="388"/>
      <c r="MLB367" s="389"/>
      <c r="MLC367" s="590"/>
      <c r="MLD367" s="266"/>
      <c r="MLE367" s="649"/>
      <c r="MLF367" s="326"/>
      <c r="MLG367" s="362"/>
      <c r="MLH367" s="386"/>
      <c r="MLI367" s="658"/>
      <c r="MLJ367" s="388"/>
      <c r="MLK367" s="389"/>
      <c r="MLL367" s="590"/>
      <c r="MLM367" s="266"/>
      <c r="MLN367" s="649"/>
      <c r="MLO367" s="326"/>
      <c r="MLP367" s="362"/>
      <c r="MLQ367" s="386"/>
      <c r="MLR367" s="658"/>
      <c r="MLS367" s="388"/>
      <c r="MLT367" s="389"/>
      <c r="MLU367" s="590"/>
      <c r="MLV367" s="266"/>
      <c r="MLW367" s="649"/>
      <c r="MLX367" s="326"/>
      <c r="MLY367" s="362"/>
      <c r="MLZ367" s="386"/>
      <c r="MMA367" s="658"/>
      <c r="MMB367" s="388"/>
      <c r="MMC367" s="389"/>
      <c r="MMD367" s="590"/>
      <c r="MME367" s="266"/>
      <c r="MMF367" s="649"/>
      <c r="MMG367" s="326"/>
      <c r="MMH367" s="362"/>
      <c r="MMI367" s="386"/>
      <c r="MMJ367" s="658"/>
      <c r="MMK367" s="388"/>
      <c r="MML367" s="389"/>
      <c r="MMM367" s="590"/>
      <c r="MMN367" s="266"/>
      <c r="MMO367" s="649"/>
      <c r="MMP367" s="326"/>
      <c r="MMQ367" s="362"/>
      <c r="MMR367" s="386"/>
      <c r="MMS367" s="658"/>
      <c r="MMT367" s="388"/>
      <c r="MMU367" s="389"/>
      <c r="MMV367" s="590"/>
      <c r="MMW367" s="266"/>
      <c r="MMX367" s="649"/>
      <c r="MMY367" s="326"/>
      <c r="MMZ367" s="362"/>
      <c r="MNA367" s="386"/>
      <c r="MNB367" s="658"/>
      <c r="MNC367" s="388"/>
      <c r="MND367" s="389"/>
      <c r="MNE367" s="590"/>
      <c r="MNF367" s="266"/>
      <c r="MNG367" s="649"/>
      <c r="MNH367" s="326"/>
      <c r="MNI367" s="362"/>
      <c r="MNJ367" s="386"/>
      <c r="MNK367" s="658"/>
      <c r="MNL367" s="388"/>
      <c r="MNM367" s="389"/>
      <c r="MNN367" s="590"/>
      <c r="MNO367" s="266"/>
      <c r="MNP367" s="649"/>
      <c r="MNQ367" s="326"/>
      <c r="MNR367" s="362"/>
      <c r="MNS367" s="386"/>
      <c r="MNT367" s="658"/>
      <c r="MNU367" s="388"/>
      <c r="MNV367" s="389"/>
      <c r="MNW367" s="590"/>
      <c r="MNX367" s="266"/>
      <c r="MNY367" s="649"/>
      <c r="MNZ367" s="326"/>
      <c r="MOA367" s="362"/>
      <c r="MOB367" s="386"/>
      <c r="MOC367" s="658"/>
      <c r="MOD367" s="388"/>
      <c r="MOE367" s="389"/>
      <c r="MOF367" s="590"/>
      <c r="MOG367" s="266"/>
      <c r="MOH367" s="649"/>
      <c r="MOI367" s="326"/>
      <c r="MOJ367" s="362"/>
      <c r="MOK367" s="386"/>
      <c r="MOL367" s="658"/>
      <c r="MOM367" s="388"/>
      <c r="MON367" s="389"/>
      <c r="MOO367" s="590"/>
      <c r="MOP367" s="266"/>
      <c r="MOQ367" s="649"/>
      <c r="MOR367" s="326"/>
      <c r="MOS367" s="362"/>
      <c r="MOT367" s="386"/>
      <c r="MOU367" s="658"/>
      <c r="MOV367" s="388"/>
      <c r="MOW367" s="389"/>
      <c r="MOX367" s="590"/>
      <c r="MOY367" s="266"/>
      <c r="MOZ367" s="649"/>
      <c r="MPA367" s="326"/>
      <c r="MPB367" s="362"/>
      <c r="MPC367" s="386"/>
      <c r="MPD367" s="658"/>
      <c r="MPE367" s="388"/>
      <c r="MPF367" s="389"/>
      <c r="MPG367" s="590"/>
      <c r="MPH367" s="266"/>
      <c r="MPI367" s="649"/>
      <c r="MPJ367" s="326"/>
      <c r="MPK367" s="362"/>
      <c r="MPL367" s="386"/>
      <c r="MPM367" s="658"/>
      <c r="MPN367" s="388"/>
      <c r="MPO367" s="389"/>
      <c r="MPP367" s="590"/>
      <c r="MPQ367" s="266"/>
      <c r="MPR367" s="649"/>
      <c r="MPS367" s="326"/>
      <c r="MPT367" s="362"/>
      <c r="MPU367" s="386"/>
      <c r="MPV367" s="658"/>
      <c r="MPW367" s="388"/>
      <c r="MPX367" s="389"/>
      <c r="MPY367" s="590"/>
      <c r="MPZ367" s="266"/>
      <c r="MQA367" s="649"/>
      <c r="MQB367" s="326"/>
      <c r="MQC367" s="362"/>
      <c r="MQD367" s="386"/>
      <c r="MQE367" s="658"/>
      <c r="MQF367" s="388"/>
      <c r="MQG367" s="389"/>
      <c r="MQH367" s="590"/>
      <c r="MQI367" s="266"/>
      <c r="MQJ367" s="649"/>
      <c r="MQK367" s="326"/>
      <c r="MQL367" s="362"/>
      <c r="MQM367" s="386"/>
      <c r="MQN367" s="658"/>
      <c r="MQO367" s="388"/>
      <c r="MQP367" s="389"/>
      <c r="MQQ367" s="590"/>
      <c r="MQR367" s="266"/>
      <c r="MQS367" s="649"/>
      <c r="MQT367" s="326"/>
      <c r="MQU367" s="362"/>
      <c r="MQV367" s="386"/>
      <c r="MQW367" s="658"/>
      <c r="MQX367" s="388"/>
      <c r="MQY367" s="389"/>
      <c r="MQZ367" s="590"/>
      <c r="MRA367" s="266"/>
      <c r="MRB367" s="649"/>
      <c r="MRC367" s="326"/>
      <c r="MRD367" s="362"/>
      <c r="MRE367" s="386"/>
      <c r="MRF367" s="658"/>
      <c r="MRG367" s="388"/>
      <c r="MRH367" s="389"/>
      <c r="MRI367" s="590"/>
      <c r="MRJ367" s="266"/>
      <c r="MRK367" s="649"/>
      <c r="MRL367" s="326"/>
      <c r="MRM367" s="362"/>
      <c r="MRN367" s="386"/>
      <c r="MRO367" s="658"/>
      <c r="MRP367" s="388"/>
      <c r="MRQ367" s="389"/>
      <c r="MRR367" s="590"/>
      <c r="MRS367" s="266"/>
      <c r="MRT367" s="649"/>
      <c r="MRU367" s="326"/>
      <c r="MRV367" s="362"/>
      <c r="MRW367" s="386"/>
      <c r="MRX367" s="658"/>
      <c r="MRY367" s="388"/>
      <c r="MRZ367" s="389"/>
      <c r="MSA367" s="590"/>
      <c r="MSB367" s="266"/>
      <c r="MSC367" s="649"/>
      <c r="MSD367" s="326"/>
      <c r="MSE367" s="362"/>
      <c r="MSF367" s="386"/>
      <c r="MSG367" s="658"/>
      <c r="MSH367" s="388"/>
      <c r="MSI367" s="389"/>
      <c r="MSJ367" s="590"/>
      <c r="MSK367" s="266"/>
      <c r="MSL367" s="649"/>
      <c r="MSM367" s="326"/>
      <c r="MSN367" s="362"/>
      <c r="MSO367" s="386"/>
      <c r="MSP367" s="658"/>
      <c r="MSQ367" s="388"/>
      <c r="MSR367" s="389"/>
      <c r="MSS367" s="590"/>
      <c r="MST367" s="266"/>
      <c r="MSU367" s="649"/>
      <c r="MSV367" s="326"/>
      <c r="MSW367" s="362"/>
      <c r="MSX367" s="386"/>
      <c r="MSY367" s="658"/>
      <c r="MSZ367" s="388"/>
      <c r="MTA367" s="389"/>
      <c r="MTB367" s="590"/>
      <c r="MTC367" s="266"/>
      <c r="MTD367" s="649"/>
      <c r="MTE367" s="326"/>
      <c r="MTF367" s="362"/>
      <c r="MTG367" s="386"/>
      <c r="MTH367" s="658"/>
      <c r="MTI367" s="388"/>
      <c r="MTJ367" s="389"/>
      <c r="MTK367" s="590"/>
      <c r="MTL367" s="266"/>
      <c r="MTM367" s="649"/>
      <c r="MTN367" s="326"/>
      <c r="MTO367" s="362"/>
      <c r="MTP367" s="386"/>
      <c r="MTQ367" s="658"/>
      <c r="MTR367" s="388"/>
      <c r="MTS367" s="389"/>
      <c r="MTT367" s="590"/>
      <c r="MTU367" s="266"/>
      <c r="MTV367" s="649"/>
      <c r="MTW367" s="326"/>
      <c r="MTX367" s="362"/>
      <c r="MTY367" s="386"/>
      <c r="MTZ367" s="658"/>
      <c r="MUA367" s="388"/>
      <c r="MUB367" s="389"/>
      <c r="MUC367" s="590"/>
      <c r="MUD367" s="266"/>
      <c r="MUE367" s="649"/>
      <c r="MUF367" s="326"/>
      <c r="MUG367" s="362"/>
      <c r="MUH367" s="386"/>
      <c r="MUI367" s="658"/>
      <c r="MUJ367" s="388"/>
      <c r="MUK367" s="389"/>
      <c r="MUL367" s="590"/>
      <c r="MUM367" s="266"/>
      <c r="MUN367" s="649"/>
      <c r="MUO367" s="326"/>
      <c r="MUP367" s="362"/>
      <c r="MUQ367" s="386"/>
      <c r="MUR367" s="658"/>
      <c r="MUS367" s="388"/>
      <c r="MUT367" s="389"/>
      <c r="MUU367" s="590"/>
      <c r="MUV367" s="266"/>
      <c r="MUW367" s="649"/>
      <c r="MUX367" s="326"/>
      <c r="MUY367" s="362"/>
      <c r="MUZ367" s="386"/>
      <c r="MVA367" s="658"/>
      <c r="MVB367" s="388"/>
      <c r="MVC367" s="389"/>
      <c r="MVD367" s="590"/>
      <c r="MVE367" s="266"/>
      <c r="MVF367" s="649"/>
      <c r="MVG367" s="326"/>
      <c r="MVH367" s="362"/>
      <c r="MVI367" s="386"/>
      <c r="MVJ367" s="658"/>
      <c r="MVK367" s="388"/>
      <c r="MVL367" s="389"/>
      <c r="MVM367" s="590"/>
      <c r="MVN367" s="266"/>
      <c r="MVO367" s="649"/>
      <c r="MVP367" s="326"/>
      <c r="MVQ367" s="362"/>
      <c r="MVR367" s="386"/>
      <c r="MVS367" s="658"/>
      <c r="MVT367" s="388"/>
      <c r="MVU367" s="389"/>
      <c r="MVV367" s="590"/>
      <c r="MVW367" s="266"/>
      <c r="MVX367" s="649"/>
      <c r="MVY367" s="326"/>
      <c r="MVZ367" s="362"/>
      <c r="MWA367" s="386"/>
      <c r="MWB367" s="658"/>
      <c r="MWC367" s="388"/>
      <c r="MWD367" s="389"/>
      <c r="MWE367" s="590"/>
      <c r="MWF367" s="266"/>
      <c r="MWG367" s="649"/>
      <c r="MWH367" s="326"/>
      <c r="MWI367" s="362"/>
      <c r="MWJ367" s="386"/>
      <c r="MWK367" s="658"/>
      <c r="MWL367" s="388"/>
      <c r="MWM367" s="389"/>
      <c r="MWN367" s="590"/>
      <c r="MWO367" s="266"/>
      <c r="MWP367" s="649"/>
      <c r="MWQ367" s="326"/>
      <c r="MWR367" s="362"/>
      <c r="MWS367" s="386"/>
      <c r="MWT367" s="658"/>
      <c r="MWU367" s="388"/>
      <c r="MWV367" s="389"/>
      <c r="MWW367" s="590"/>
      <c r="MWX367" s="266"/>
      <c r="MWY367" s="649"/>
      <c r="MWZ367" s="326"/>
      <c r="MXA367" s="362"/>
      <c r="MXB367" s="386"/>
      <c r="MXC367" s="658"/>
      <c r="MXD367" s="388"/>
      <c r="MXE367" s="389"/>
      <c r="MXF367" s="590"/>
      <c r="MXG367" s="266"/>
      <c r="MXH367" s="649"/>
      <c r="MXI367" s="326"/>
      <c r="MXJ367" s="362"/>
      <c r="MXK367" s="386"/>
      <c r="MXL367" s="658"/>
      <c r="MXM367" s="388"/>
      <c r="MXN367" s="389"/>
      <c r="MXO367" s="590"/>
      <c r="MXP367" s="266"/>
      <c r="MXQ367" s="649"/>
      <c r="MXR367" s="326"/>
      <c r="MXS367" s="362"/>
      <c r="MXT367" s="386"/>
      <c r="MXU367" s="658"/>
      <c r="MXV367" s="388"/>
      <c r="MXW367" s="389"/>
      <c r="MXX367" s="590"/>
      <c r="MXY367" s="266"/>
      <c r="MXZ367" s="649"/>
      <c r="MYA367" s="326"/>
      <c r="MYB367" s="362"/>
      <c r="MYC367" s="386"/>
      <c r="MYD367" s="658"/>
      <c r="MYE367" s="388"/>
      <c r="MYF367" s="389"/>
      <c r="MYG367" s="590"/>
      <c r="MYH367" s="266"/>
      <c r="MYI367" s="649"/>
      <c r="MYJ367" s="326"/>
      <c r="MYK367" s="362"/>
      <c r="MYL367" s="386"/>
      <c r="MYM367" s="658"/>
      <c r="MYN367" s="388"/>
      <c r="MYO367" s="389"/>
      <c r="MYP367" s="590"/>
      <c r="MYQ367" s="266"/>
      <c r="MYR367" s="649"/>
      <c r="MYS367" s="326"/>
      <c r="MYT367" s="362"/>
      <c r="MYU367" s="386"/>
      <c r="MYV367" s="658"/>
      <c r="MYW367" s="388"/>
      <c r="MYX367" s="389"/>
      <c r="MYY367" s="590"/>
      <c r="MYZ367" s="266"/>
      <c r="MZA367" s="649"/>
      <c r="MZB367" s="326"/>
      <c r="MZC367" s="362"/>
      <c r="MZD367" s="386"/>
      <c r="MZE367" s="658"/>
      <c r="MZF367" s="388"/>
      <c r="MZG367" s="389"/>
      <c r="MZH367" s="590"/>
      <c r="MZI367" s="266"/>
      <c r="MZJ367" s="649"/>
      <c r="MZK367" s="326"/>
      <c r="MZL367" s="362"/>
      <c r="MZM367" s="386"/>
      <c r="MZN367" s="658"/>
      <c r="MZO367" s="388"/>
      <c r="MZP367" s="389"/>
      <c r="MZQ367" s="590"/>
      <c r="MZR367" s="266"/>
      <c r="MZS367" s="649"/>
      <c r="MZT367" s="326"/>
      <c r="MZU367" s="362"/>
      <c r="MZV367" s="386"/>
      <c r="MZW367" s="658"/>
      <c r="MZX367" s="388"/>
      <c r="MZY367" s="389"/>
      <c r="MZZ367" s="590"/>
      <c r="NAA367" s="266"/>
      <c r="NAB367" s="649"/>
      <c r="NAC367" s="326"/>
      <c r="NAD367" s="362"/>
      <c r="NAE367" s="386"/>
      <c r="NAF367" s="658"/>
      <c r="NAG367" s="388"/>
      <c r="NAH367" s="389"/>
      <c r="NAI367" s="590"/>
      <c r="NAJ367" s="266"/>
      <c r="NAK367" s="649"/>
      <c r="NAL367" s="326"/>
      <c r="NAM367" s="362"/>
      <c r="NAN367" s="386"/>
      <c r="NAO367" s="658"/>
      <c r="NAP367" s="388"/>
      <c r="NAQ367" s="389"/>
      <c r="NAR367" s="590"/>
      <c r="NAS367" s="266"/>
      <c r="NAT367" s="649"/>
      <c r="NAU367" s="326"/>
      <c r="NAV367" s="362"/>
      <c r="NAW367" s="386"/>
      <c r="NAX367" s="658"/>
      <c r="NAY367" s="388"/>
      <c r="NAZ367" s="389"/>
      <c r="NBA367" s="590"/>
      <c r="NBB367" s="266"/>
      <c r="NBC367" s="649"/>
      <c r="NBD367" s="326"/>
      <c r="NBE367" s="362"/>
      <c r="NBF367" s="386"/>
      <c r="NBG367" s="658"/>
      <c r="NBH367" s="388"/>
      <c r="NBI367" s="389"/>
      <c r="NBJ367" s="590"/>
      <c r="NBK367" s="266"/>
      <c r="NBL367" s="649"/>
      <c r="NBM367" s="326"/>
      <c r="NBN367" s="362"/>
      <c r="NBO367" s="386"/>
      <c r="NBP367" s="658"/>
      <c r="NBQ367" s="388"/>
      <c r="NBR367" s="389"/>
      <c r="NBS367" s="590"/>
      <c r="NBT367" s="266"/>
      <c r="NBU367" s="649"/>
      <c r="NBV367" s="326"/>
      <c r="NBW367" s="362"/>
      <c r="NBX367" s="386"/>
      <c r="NBY367" s="658"/>
      <c r="NBZ367" s="388"/>
      <c r="NCA367" s="389"/>
      <c r="NCB367" s="590"/>
      <c r="NCC367" s="266"/>
      <c r="NCD367" s="649"/>
      <c r="NCE367" s="326"/>
      <c r="NCF367" s="362"/>
      <c r="NCG367" s="386"/>
      <c r="NCH367" s="658"/>
      <c r="NCI367" s="388"/>
      <c r="NCJ367" s="389"/>
      <c r="NCK367" s="590"/>
      <c r="NCL367" s="266"/>
      <c r="NCM367" s="649"/>
      <c r="NCN367" s="326"/>
      <c r="NCO367" s="362"/>
      <c r="NCP367" s="386"/>
      <c r="NCQ367" s="658"/>
      <c r="NCR367" s="388"/>
      <c r="NCS367" s="389"/>
      <c r="NCT367" s="590"/>
      <c r="NCU367" s="266"/>
      <c r="NCV367" s="649"/>
      <c r="NCW367" s="326"/>
      <c r="NCX367" s="362"/>
      <c r="NCY367" s="386"/>
      <c r="NCZ367" s="658"/>
      <c r="NDA367" s="388"/>
      <c r="NDB367" s="389"/>
      <c r="NDC367" s="590"/>
      <c r="NDD367" s="266"/>
      <c r="NDE367" s="649"/>
      <c r="NDF367" s="326"/>
      <c r="NDG367" s="362"/>
      <c r="NDH367" s="386"/>
      <c r="NDI367" s="658"/>
      <c r="NDJ367" s="388"/>
      <c r="NDK367" s="389"/>
      <c r="NDL367" s="590"/>
      <c r="NDM367" s="266"/>
      <c r="NDN367" s="649"/>
      <c r="NDO367" s="326"/>
      <c r="NDP367" s="362"/>
      <c r="NDQ367" s="386"/>
      <c r="NDR367" s="658"/>
      <c r="NDS367" s="388"/>
      <c r="NDT367" s="389"/>
      <c r="NDU367" s="590"/>
      <c r="NDV367" s="266"/>
      <c r="NDW367" s="649"/>
      <c r="NDX367" s="326"/>
      <c r="NDY367" s="362"/>
      <c r="NDZ367" s="386"/>
      <c r="NEA367" s="658"/>
      <c r="NEB367" s="388"/>
      <c r="NEC367" s="389"/>
      <c r="NED367" s="590"/>
      <c r="NEE367" s="266"/>
      <c r="NEF367" s="649"/>
      <c r="NEG367" s="326"/>
      <c r="NEH367" s="362"/>
      <c r="NEI367" s="386"/>
      <c r="NEJ367" s="658"/>
      <c r="NEK367" s="388"/>
      <c r="NEL367" s="389"/>
      <c r="NEM367" s="590"/>
      <c r="NEN367" s="266"/>
      <c r="NEO367" s="649"/>
      <c r="NEP367" s="326"/>
      <c r="NEQ367" s="362"/>
      <c r="NER367" s="386"/>
      <c r="NES367" s="658"/>
      <c r="NET367" s="388"/>
      <c r="NEU367" s="389"/>
      <c r="NEV367" s="590"/>
      <c r="NEW367" s="266"/>
      <c r="NEX367" s="649"/>
      <c r="NEY367" s="326"/>
      <c r="NEZ367" s="362"/>
      <c r="NFA367" s="386"/>
      <c r="NFB367" s="658"/>
      <c r="NFC367" s="388"/>
      <c r="NFD367" s="389"/>
      <c r="NFE367" s="590"/>
      <c r="NFF367" s="266"/>
      <c r="NFG367" s="649"/>
      <c r="NFH367" s="326"/>
      <c r="NFI367" s="362"/>
      <c r="NFJ367" s="386"/>
      <c r="NFK367" s="658"/>
      <c r="NFL367" s="388"/>
      <c r="NFM367" s="389"/>
      <c r="NFN367" s="590"/>
      <c r="NFO367" s="266"/>
      <c r="NFP367" s="649"/>
      <c r="NFQ367" s="326"/>
      <c r="NFR367" s="362"/>
      <c r="NFS367" s="386"/>
      <c r="NFT367" s="658"/>
      <c r="NFU367" s="388"/>
      <c r="NFV367" s="389"/>
      <c r="NFW367" s="590"/>
      <c r="NFX367" s="266"/>
      <c r="NFY367" s="649"/>
      <c r="NFZ367" s="326"/>
      <c r="NGA367" s="362"/>
      <c r="NGB367" s="386"/>
      <c r="NGC367" s="658"/>
      <c r="NGD367" s="388"/>
      <c r="NGE367" s="389"/>
      <c r="NGF367" s="590"/>
      <c r="NGG367" s="266"/>
      <c r="NGH367" s="649"/>
      <c r="NGI367" s="326"/>
      <c r="NGJ367" s="362"/>
      <c r="NGK367" s="386"/>
      <c r="NGL367" s="658"/>
      <c r="NGM367" s="388"/>
      <c r="NGN367" s="389"/>
      <c r="NGO367" s="590"/>
      <c r="NGP367" s="266"/>
      <c r="NGQ367" s="649"/>
      <c r="NGR367" s="326"/>
      <c r="NGS367" s="362"/>
      <c r="NGT367" s="386"/>
      <c r="NGU367" s="658"/>
      <c r="NGV367" s="388"/>
      <c r="NGW367" s="389"/>
      <c r="NGX367" s="590"/>
      <c r="NGY367" s="266"/>
      <c r="NGZ367" s="649"/>
      <c r="NHA367" s="326"/>
      <c r="NHB367" s="362"/>
      <c r="NHC367" s="386"/>
      <c r="NHD367" s="658"/>
      <c r="NHE367" s="388"/>
      <c r="NHF367" s="389"/>
      <c r="NHG367" s="590"/>
      <c r="NHH367" s="266"/>
      <c r="NHI367" s="649"/>
      <c r="NHJ367" s="326"/>
      <c r="NHK367" s="362"/>
      <c r="NHL367" s="386"/>
      <c r="NHM367" s="658"/>
      <c r="NHN367" s="388"/>
      <c r="NHO367" s="389"/>
      <c r="NHP367" s="590"/>
      <c r="NHQ367" s="266"/>
      <c r="NHR367" s="649"/>
      <c r="NHS367" s="326"/>
      <c r="NHT367" s="362"/>
      <c r="NHU367" s="386"/>
      <c r="NHV367" s="658"/>
      <c r="NHW367" s="388"/>
      <c r="NHX367" s="389"/>
      <c r="NHY367" s="590"/>
      <c r="NHZ367" s="266"/>
      <c r="NIA367" s="649"/>
      <c r="NIB367" s="326"/>
      <c r="NIC367" s="362"/>
      <c r="NID367" s="386"/>
      <c r="NIE367" s="658"/>
      <c r="NIF367" s="388"/>
      <c r="NIG367" s="389"/>
      <c r="NIH367" s="590"/>
      <c r="NII367" s="266"/>
      <c r="NIJ367" s="649"/>
      <c r="NIK367" s="326"/>
      <c r="NIL367" s="362"/>
      <c r="NIM367" s="386"/>
      <c r="NIN367" s="658"/>
      <c r="NIO367" s="388"/>
      <c r="NIP367" s="389"/>
      <c r="NIQ367" s="590"/>
      <c r="NIR367" s="266"/>
      <c r="NIS367" s="649"/>
      <c r="NIT367" s="326"/>
      <c r="NIU367" s="362"/>
      <c r="NIV367" s="386"/>
      <c r="NIW367" s="658"/>
      <c r="NIX367" s="388"/>
      <c r="NIY367" s="389"/>
      <c r="NIZ367" s="590"/>
      <c r="NJA367" s="266"/>
      <c r="NJB367" s="649"/>
      <c r="NJC367" s="326"/>
      <c r="NJD367" s="362"/>
      <c r="NJE367" s="386"/>
      <c r="NJF367" s="658"/>
      <c r="NJG367" s="388"/>
      <c r="NJH367" s="389"/>
      <c r="NJI367" s="590"/>
      <c r="NJJ367" s="266"/>
      <c r="NJK367" s="649"/>
      <c r="NJL367" s="326"/>
      <c r="NJM367" s="362"/>
      <c r="NJN367" s="386"/>
      <c r="NJO367" s="658"/>
      <c r="NJP367" s="388"/>
      <c r="NJQ367" s="389"/>
      <c r="NJR367" s="590"/>
      <c r="NJS367" s="266"/>
      <c r="NJT367" s="649"/>
      <c r="NJU367" s="326"/>
      <c r="NJV367" s="362"/>
      <c r="NJW367" s="386"/>
      <c r="NJX367" s="658"/>
      <c r="NJY367" s="388"/>
      <c r="NJZ367" s="389"/>
      <c r="NKA367" s="590"/>
      <c r="NKB367" s="266"/>
      <c r="NKC367" s="649"/>
      <c r="NKD367" s="326"/>
      <c r="NKE367" s="362"/>
      <c r="NKF367" s="386"/>
      <c r="NKG367" s="658"/>
      <c r="NKH367" s="388"/>
      <c r="NKI367" s="389"/>
      <c r="NKJ367" s="590"/>
      <c r="NKK367" s="266"/>
      <c r="NKL367" s="649"/>
      <c r="NKM367" s="326"/>
      <c r="NKN367" s="362"/>
      <c r="NKO367" s="386"/>
      <c r="NKP367" s="658"/>
      <c r="NKQ367" s="388"/>
      <c r="NKR367" s="389"/>
      <c r="NKS367" s="590"/>
      <c r="NKT367" s="266"/>
      <c r="NKU367" s="649"/>
      <c r="NKV367" s="326"/>
      <c r="NKW367" s="362"/>
      <c r="NKX367" s="386"/>
      <c r="NKY367" s="658"/>
      <c r="NKZ367" s="388"/>
      <c r="NLA367" s="389"/>
      <c r="NLB367" s="590"/>
      <c r="NLC367" s="266"/>
      <c r="NLD367" s="649"/>
      <c r="NLE367" s="326"/>
      <c r="NLF367" s="362"/>
      <c r="NLG367" s="386"/>
      <c r="NLH367" s="658"/>
      <c r="NLI367" s="388"/>
      <c r="NLJ367" s="389"/>
      <c r="NLK367" s="590"/>
      <c r="NLL367" s="266"/>
      <c r="NLM367" s="649"/>
      <c r="NLN367" s="326"/>
      <c r="NLO367" s="362"/>
      <c r="NLP367" s="386"/>
      <c r="NLQ367" s="658"/>
      <c r="NLR367" s="388"/>
      <c r="NLS367" s="389"/>
      <c r="NLT367" s="590"/>
      <c r="NLU367" s="266"/>
      <c r="NLV367" s="649"/>
      <c r="NLW367" s="326"/>
      <c r="NLX367" s="362"/>
      <c r="NLY367" s="386"/>
      <c r="NLZ367" s="658"/>
      <c r="NMA367" s="388"/>
      <c r="NMB367" s="389"/>
      <c r="NMC367" s="590"/>
      <c r="NMD367" s="266"/>
      <c r="NME367" s="649"/>
      <c r="NMF367" s="326"/>
      <c r="NMG367" s="362"/>
      <c r="NMH367" s="386"/>
      <c r="NMI367" s="658"/>
      <c r="NMJ367" s="388"/>
      <c r="NMK367" s="389"/>
      <c r="NML367" s="590"/>
      <c r="NMM367" s="266"/>
      <c r="NMN367" s="649"/>
      <c r="NMO367" s="326"/>
      <c r="NMP367" s="362"/>
      <c r="NMQ367" s="386"/>
      <c r="NMR367" s="658"/>
      <c r="NMS367" s="388"/>
      <c r="NMT367" s="389"/>
      <c r="NMU367" s="590"/>
      <c r="NMV367" s="266"/>
      <c r="NMW367" s="649"/>
      <c r="NMX367" s="326"/>
      <c r="NMY367" s="362"/>
      <c r="NMZ367" s="386"/>
      <c r="NNA367" s="658"/>
      <c r="NNB367" s="388"/>
      <c r="NNC367" s="389"/>
      <c r="NND367" s="590"/>
      <c r="NNE367" s="266"/>
      <c r="NNF367" s="649"/>
      <c r="NNG367" s="326"/>
      <c r="NNH367" s="362"/>
      <c r="NNI367" s="386"/>
      <c r="NNJ367" s="658"/>
      <c r="NNK367" s="388"/>
      <c r="NNL367" s="389"/>
      <c r="NNM367" s="590"/>
      <c r="NNN367" s="266"/>
      <c r="NNO367" s="649"/>
      <c r="NNP367" s="326"/>
      <c r="NNQ367" s="362"/>
      <c r="NNR367" s="386"/>
      <c r="NNS367" s="658"/>
      <c r="NNT367" s="388"/>
      <c r="NNU367" s="389"/>
      <c r="NNV367" s="590"/>
      <c r="NNW367" s="266"/>
      <c r="NNX367" s="649"/>
      <c r="NNY367" s="326"/>
      <c r="NNZ367" s="362"/>
      <c r="NOA367" s="386"/>
      <c r="NOB367" s="658"/>
      <c r="NOC367" s="388"/>
      <c r="NOD367" s="389"/>
      <c r="NOE367" s="590"/>
      <c r="NOF367" s="266"/>
      <c r="NOG367" s="649"/>
      <c r="NOH367" s="326"/>
      <c r="NOI367" s="362"/>
      <c r="NOJ367" s="386"/>
      <c r="NOK367" s="658"/>
      <c r="NOL367" s="388"/>
      <c r="NOM367" s="389"/>
      <c r="NON367" s="590"/>
      <c r="NOO367" s="266"/>
      <c r="NOP367" s="649"/>
      <c r="NOQ367" s="326"/>
      <c r="NOR367" s="362"/>
      <c r="NOS367" s="386"/>
      <c r="NOT367" s="658"/>
      <c r="NOU367" s="388"/>
      <c r="NOV367" s="389"/>
      <c r="NOW367" s="590"/>
      <c r="NOX367" s="266"/>
      <c r="NOY367" s="649"/>
      <c r="NOZ367" s="326"/>
      <c r="NPA367" s="362"/>
      <c r="NPB367" s="386"/>
      <c r="NPC367" s="658"/>
      <c r="NPD367" s="388"/>
      <c r="NPE367" s="389"/>
      <c r="NPF367" s="590"/>
      <c r="NPG367" s="266"/>
      <c r="NPH367" s="649"/>
      <c r="NPI367" s="326"/>
      <c r="NPJ367" s="362"/>
      <c r="NPK367" s="386"/>
      <c r="NPL367" s="658"/>
      <c r="NPM367" s="388"/>
      <c r="NPN367" s="389"/>
      <c r="NPO367" s="590"/>
      <c r="NPP367" s="266"/>
      <c r="NPQ367" s="649"/>
      <c r="NPR367" s="326"/>
      <c r="NPS367" s="362"/>
      <c r="NPT367" s="386"/>
      <c r="NPU367" s="658"/>
      <c r="NPV367" s="388"/>
      <c r="NPW367" s="389"/>
      <c r="NPX367" s="590"/>
      <c r="NPY367" s="266"/>
      <c r="NPZ367" s="649"/>
      <c r="NQA367" s="326"/>
      <c r="NQB367" s="362"/>
      <c r="NQC367" s="386"/>
      <c r="NQD367" s="658"/>
      <c r="NQE367" s="388"/>
      <c r="NQF367" s="389"/>
      <c r="NQG367" s="590"/>
      <c r="NQH367" s="266"/>
      <c r="NQI367" s="649"/>
      <c r="NQJ367" s="326"/>
      <c r="NQK367" s="362"/>
      <c r="NQL367" s="386"/>
      <c r="NQM367" s="658"/>
      <c r="NQN367" s="388"/>
      <c r="NQO367" s="389"/>
      <c r="NQP367" s="590"/>
      <c r="NQQ367" s="266"/>
      <c r="NQR367" s="649"/>
      <c r="NQS367" s="326"/>
      <c r="NQT367" s="362"/>
      <c r="NQU367" s="386"/>
      <c r="NQV367" s="658"/>
      <c r="NQW367" s="388"/>
      <c r="NQX367" s="389"/>
      <c r="NQY367" s="590"/>
      <c r="NQZ367" s="266"/>
      <c r="NRA367" s="649"/>
      <c r="NRB367" s="326"/>
      <c r="NRC367" s="362"/>
      <c r="NRD367" s="386"/>
      <c r="NRE367" s="658"/>
      <c r="NRF367" s="388"/>
      <c r="NRG367" s="389"/>
      <c r="NRH367" s="590"/>
      <c r="NRI367" s="266"/>
      <c r="NRJ367" s="649"/>
      <c r="NRK367" s="326"/>
      <c r="NRL367" s="362"/>
      <c r="NRM367" s="386"/>
      <c r="NRN367" s="658"/>
      <c r="NRO367" s="388"/>
      <c r="NRP367" s="389"/>
      <c r="NRQ367" s="590"/>
      <c r="NRR367" s="266"/>
      <c r="NRS367" s="649"/>
      <c r="NRT367" s="326"/>
      <c r="NRU367" s="362"/>
      <c r="NRV367" s="386"/>
      <c r="NRW367" s="658"/>
      <c r="NRX367" s="388"/>
      <c r="NRY367" s="389"/>
      <c r="NRZ367" s="590"/>
      <c r="NSA367" s="266"/>
      <c r="NSB367" s="649"/>
      <c r="NSC367" s="326"/>
      <c r="NSD367" s="362"/>
      <c r="NSE367" s="386"/>
      <c r="NSF367" s="658"/>
      <c r="NSG367" s="388"/>
      <c r="NSH367" s="389"/>
      <c r="NSI367" s="590"/>
      <c r="NSJ367" s="266"/>
      <c r="NSK367" s="649"/>
      <c r="NSL367" s="326"/>
      <c r="NSM367" s="362"/>
      <c r="NSN367" s="386"/>
      <c r="NSO367" s="658"/>
      <c r="NSP367" s="388"/>
      <c r="NSQ367" s="389"/>
      <c r="NSR367" s="590"/>
      <c r="NSS367" s="266"/>
      <c r="NST367" s="649"/>
      <c r="NSU367" s="326"/>
      <c r="NSV367" s="362"/>
      <c r="NSW367" s="386"/>
      <c r="NSX367" s="658"/>
      <c r="NSY367" s="388"/>
      <c r="NSZ367" s="389"/>
      <c r="NTA367" s="590"/>
      <c r="NTB367" s="266"/>
      <c r="NTC367" s="649"/>
      <c r="NTD367" s="326"/>
      <c r="NTE367" s="362"/>
      <c r="NTF367" s="386"/>
      <c r="NTG367" s="658"/>
      <c r="NTH367" s="388"/>
      <c r="NTI367" s="389"/>
      <c r="NTJ367" s="590"/>
      <c r="NTK367" s="266"/>
      <c r="NTL367" s="649"/>
      <c r="NTM367" s="326"/>
      <c r="NTN367" s="362"/>
      <c r="NTO367" s="386"/>
      <c r="NTP367" s="658"/>
      <c r="NTQ367" s="388"/>
      <c r="NTR367" s="389"/>
      <c r="NTS367" s="590"/>
      <c r="NTT367" s="266"/>
      <c r="NTU367" s="649"/>
      <c r="NTV367" s="326"/>
      <c r="NTW367" s="362"/>
      <c r="NTX367" s="386"/>
      <c r="NTY367" s="658"/>
      <c r="NTZ367" s="388"/>
      <c r="NUA367" s="389"/>
      <c r="NUB367" s="590"/>
      <c r="NUC367" s="266"/>
      <c r="NUD367" s="649"/>
      <c r="NUE367" s="326"/>
      <c r="NUF367" s="362"/>
      <c r="NUG367" s="386"/>
      <c r="NUH367" s="658"/>
      <c r="NUI367" s="388"/>
      <c r="NUJ367" s="389"/>
      <c r="NUK367" s="590"/>
      <c r="NUL367" s="266"/>
      <c r="NUM367" s="649"/>
      <c r="NUN367" s="326"/>
      <c r="NUO367" s="362"/>
      <c r="NUP367" s="386"/>
      <c r="NUQ367" s="658"/>
      <c r="NUR367" s="388"/>
      <c r="NUS367" s="389"/>
      <c r="NUT367" s="590"/>
      <c r="NUU367" s="266"/>
      <c r="NUV367" s="649"/>
      <c r="NUW367" s="326"/>
      <c r="NUX367" s="362"/>
      <c r="NUY367" s="386"/>
      <c r="NUZ367" s="658"/>
      <c r="NVA367" s="388"/>
      <c r="NVB367" s="389"/>
      <c r="NVC367" s="590"/>
      <c r="NVD367" s="266"/>
      <c r="NVE367" s="649"/>
      <c r="NVF367" s="326"/>
      <c r="NVG367" s="362"/>
      <c r="NVH367" s="386"/>
      <c r="NVI367" s="658"/>
      <c r="NVJ367" s="388"/>
      <c r="NVK367" s="389"/>
      <c r="NVL367" s="590"/>
      <c r="NVM367" s="266"/>
      <c r="NVN367" s="649"/>
      <c r="NVO367" s="326"/>
      <c r="NVP367" s="362"/>
      <c r="NVQ367" s="386"/>
      <c r="NVR367" s="658"/>
      <c r="NVS367" s="388"/>
      <c r="NVT367" s="389"/>
      <c r="NVU367" s="590"/>
      <c r="NVV367" s="266"/>
      <c r="NVW367" s="649"/>
      <c r="NVX367" s="326"/>
      <c r="NVY367" s="362"/>
      <c r="NVZ367" s="386"/>
      <c r="NWA367" s="658"/>
      <c r="NWB367" s="388"/>
      <c r="NWC367" s="389"/>
      <c r="NWD367" s="590"/>
      <c r="NWE367" s="266"/>
      <c r="NWF367" s="649"/>
      <c r="NWG367" s="326"/>
      <c r="NWH367" s="362"/>
      <c r="NWI367" s="386"/>
      <c r="NWJ367" s="658"/>
      <c r="NWK367" s="388"/>
      <c r="NWL367" s="389"/>
      <c r="NWM367" s="590"/>
      <c r="NWN367" s="266"/>
      <c r="NWO367" s="649"/>
      <c r="NWP367" s="326"/>
      <c r="NWQ367" s="362"/>
      <c r="NWR367" s="386"/>
      <c r="NWS367" s="658"/>
      <c r="NWT367" s="388"/>
      <c r="NWU367" s="389"/>
      <c r="NWV367" s="590"/>
      <c r="NWW367" s="266"/>
      <c r="NWX367" s="649"/>
      <c r="NWY367" s="326"/>
      <c r="NWZ367" s="362"/>
      <c r="NXA367" s="386"/>
      <c r="NXB367" s="658"/>
      <c r="NXC367" s="388"/>
      <c r="NXD367" s="389"/>
      <c r="NXE367" s="590"/>
      <c r="NXF367" s="266"/>
      <c r="NXG367" s="649"/>
      <c r="NXH367" s="326"/>
      <c r="NXI367" s="362"/>
      <c r="NXJ367" s="386"/>
      <c r="NXK367" s="658"/>
      <c r="NXL367" s="388"/>
      <c r="NXM367" s="389"/>
      <c r="NXN367" s="590"/>
      <c r="NXO367" s="266"/>
      <c r="NXP367" s="649"/>
      <c r="NXQ367" s="326"/>
      <c r="NXR367" s="362"/>
      <c r="NXS367" s="386"/>
      <c r="NXT367" s="658"/>
      <c r="NXU367" s="388"/>
      <c r="NXV367" s="389"/>
      <c r="NXW367" s="590"/>
      <c r="NXX367" s="266"/>
      <c r="NXY367" s="649"/>
      <c r="NXZ367" s="326"/>
      <c r="NYA367" s="362"/>
      <c r="NYB367" s="386"/>
      <c r="NYC367" s="658"/>
      <c r="NYD367" s="388"/>
      <c r="NYE367" s="389"/>
      <c r="NYF367" s="590"/>
      <c r="NYG367" s="266"/>
      <c r="NYH367" s="649"/>
      <c r="NYI367" s="326"/>
      <c r="NYJ367" s="362"/>
      <c r="NYK367" s="386"/>
      <c r="NYL367" s="658"/>
      <c r="NYM367" s="388"/>
      <c r="NYN367" s="389"/>
      <c r="NYO367" s="590"/>
      <c r="NYP367" s="266"/>
      <c r="NYQ367" s="649"/>
      <c r="NYR367" s="326"/>
      <c r="NYS367" s="362"/>
      <c r="NYT367" s="386"/>
      <c r="NYU367" s="658"/>
      <c r="NYV367" s="388"/>
      <c r="NYW367" s="389"/>
      <c r="NYX367" s="590"/>
      <c r="NYY367" s="266"/>
      <c r="NYZ367" s="649"/>
      <c r="NZA367" s="326"/>
      <c r="NZB367" s="362"/>
      <c r="NZC367" s="386"/>
      <c r="NZD367" s="658"/>
      <c r="NZE367" s="388"/>
      <c r="NZF367" s="389"/>
      <c r="NZG367" s="590"/>
      <c r="NZH367" s="266"/>
      <c r="NZI367" s="649"/>
      <c r="NZJ367" s="326"/>
      <c r="NZK367" s="362"/>
      <c r="NZL367" s="386"/>
      <c r="NZM367" s="658"/>
      <c r="NZN367" s="388"/>
      <c r="NZO367" s="389"/>
      <c r="NZP367" s="590"/>
      <c r="NZQ367" s="266"/>
      <c r="NZR367" s="649"/>
      <c r="NZS367" s="326"/>
      <c r="NZT367" s="362"/>
      <c r="NZU367" s="386"/>
      <c r="NZV367" s="658"/>
      <c r="NZW367" s="388"/>
      <c r="NZX367" s="389"/>
      <c r="NZY367" s="590"/>
      <c r="NZZ367" s="266"/>
      <c r="OAA367" s="649"/>
      <c r="OAB367" s="326"/>
      <c r="OAC367" s="362"/>
      <c r="OAD367" s="386"/>
      <c r="OAE367" s="658"/>
      <c r="OAF367" s="388"/>
      <c r="OAG367" s="389"/>
      <c r="OAH367" s="590"/>
      <c r="OAI367" s="266"/>
      <c r="OAJ367" s="649"/>
      <c r="OAK367" s="326"/>
      <c r="OAL367" s="362"/>
      <c r="OAM367" s="386"/>
      <c r="OAN367" s="658"/>
      <c r="OAO367" s="388"/>
      <c r="OAP367" s="389"/>
      <c r="OAQ367" s="590"/>
      <c r="OAR367" s="266"/>
      <c r="OAS367" s="649"/>
      <c r="OAT367" s="326"/>
      <c r="OAU367" s="362"/>
      <c r="OAV367" s="386"/>
      <c r="OAW367" s="658"/>
      <c r="OAX367" s="388"/>
      <c r="OAY367" s="389"/>
      <c r="OAZ367" s="590"/>
      <c r="OBA367" s="266"/>
      <c r="OBB367" s="649"/>
      <c r="OBC367" s="326"/>
      <c r="OBD367" s="362"/>
      <c r="OBE367" s="386"/>
      <c r="OBF367" s="658"/>
      <c r="OBG367" s="388"/>
      <c r="OBH367" s="389"/>
      <c r="OBI367" s="590"/>
      <c r="OBJ367" s="266"/>
      <c r="OBK367" s="649"/>
      <c r="OBL367" s="326"/>
      <c r="OBM367" s="362"/>
      <c r="OBN367" s="386"/>
      <c r="OBO367" s="658"/>
      <c r="OBP367" s="388"/>
      <c r="OBQ367" s="389"/>
      <c r="OBR367" s="590"/>
      <c r="OBS367" s="266"/>
      <c r="OBT367" s="649"/>
      <c r="OBU367" s="326"/>
      <c r="OBV367" s="362"/>
      <c r="OBW367" s="386"/>
      <c r="OBX367" s="658"/>
      <c r="OBY367" s="388"/>
      <c r="OBZ367" s="389"/>
      <c r="OCA367" s="590"/>
      <c r="OCB367" s="266"/>
      <c r="OCC367" s="649"/>
      <c r="OCD367" s="326"/>
      <c r="OCE367" s="362"/>
      <c r="OCF367" s="386"/>
      <c r="OCG367" s="658"/>
      <c r="OCH367" s="388"/>
      <c r="OCI367" s="389"/>
      <c r="OCJ367" s="590"/>
      <c r="OCK367" s="266"/>
      <c r="OCL367" s="649"/>
      <c r="OCM367" s="326"/>
      <c r="OCN367" s="362"/>
      <c r="OCO367" s="386"/>
      <c r="OCP367" s="658"/>
      <c r="OCQ367" s="388"/>
      <c r="OCR367" s="389"/>
      <c r="OCS367" s="590"/>
      <c r="OCT367" s="266"/>
      <c r="OCU367" s="649"/>
      <c r="OCV367" s="326"/>
      <c r="OCW367" s="362"/>
      <c r="OCX367" s="386"/>
      <c r="OCY367" s="658"/>
      <c r="OCZ367" s="388"/>
      <c r="ODA367" s="389"/>
      <c r="ODB367" s="590"/>
      <c r="ODC367" s="266"/>
      <c r="ODD367" s="649"/>
      <c r="ODE367" s="326"/>
      <c r="ODF367" s="362"/>
      <c r="ODG367" s="386"/>
      <c r="ODH367" s="658"/>
      <c r="ODI367" s="388"/>
      <c r="ODJ367" s="389"/>
      <c r="ODK367" s="590"/>
      <c r="ODL367" s="266"/>
      <c r="ODM367" s="649"/>
      <c r="ODN367" s="326"/>
      <c r="ODO367" s="362"/>
      <c r="ODP367" s="386"/>
      <c r="ODQ367" s="658"/>
      <c r="ODR367" s="388"/>
      <c r="ODS367" s="389"/>
      <c r="ODT367" s="590"/>
      <c r="ODU367" s="266"/>
      <c r="ODV367" s="649"/>
      <c r="ODW367" s="326"/>
      <c r="ODX367" s="362"/>
      <c r="ODY367" s="386"/>
      <c r="ODZ367" s="658"/>
      <c r="OEA367" s="388"/>
      <c r="OEB367" s="389"/>
      <c r="OEC367" s="590"/>
      <c r="OED367" s="266"/>
      <c r="OEE367" s="649"/>
      <c r="OEF367" s="326"/>
      <c r="OEG367" s="362"/>
      <c r="OEH367" s="386"/>
      <c r="OEI367" s="658"/>
      <c r="OEJ367" s="388"/>
      <c r="OEK367" s="389"/>
      <c r="OEL367" s="590"/>
      <c r="OEM367" s="266"/>
      <c r="OEN367" s="649"/>
      <c r="OEO367" s="326"/>
      <c r="OEP367" s="362"/>
      <c r="OEQ367" s="386"/>
      <c r="OER367" s="658"/>
      <c r="OES367" s="388"/>
      <c r="OET367" s="389"/>
      <c r="OEU367" s="590"/>
      <c r="OEV367" s="266"/>
      <c r="OEW367" s="649"/>
      <c r="OEX367" s="326"/>
      <c r="OEY367" s="362"/>
      <c r="OEZ367" s="386"/>
      <c r="OFA367" s="658"/>
      <c r="OFB367" s="388"/>
      <c r="OFC367" s="389"/>
      <c r="OFD367" s="590"/>
      <c r="OFE367" s="266"/>
      <c r="OFF367" s="649"/>
      <c r="OFG367" s="326"/>
      <c r="OFH367" s="362"/>
      <c r="OFI367" s="386"/>
      <c r="OFJ367" s="658"/>
      <c r="OFK367" s="388"/>
      <c r="OFL367" s="389"/>
      <c r="OFM367" s="590"/>
      <c r="OFN367" s="266"/>
      <c r="OFO367" s="649"/>
      <c r="OFP367" s="326"/>
      <c r="OFQ367" s="362"/>
      <c r="OFR367" s="386"/>
      <c r="OFS367" s="658"/>
      <c r="OFT367" s="388"/>
      <c r="OFU367" s="389"/>
      <c r="OFV367" s="590"/>
      <c r="OFW367" s="266"/>
      <c r="OFX367" s="649"/>
      <c r="OFY367" s="326"/>
      <c r="OFZ367" s="362"/>
      <c r="OGA367" s="386"/>
      <c r="OGB367" s="658"/>
      <c r="OGC367" s="388"/>
      <c r="OGD367" s="389"/>
      <c r="OGE367" s="590"/>
      <c r="OGF367" s="266"/>
      <c r="OGG367" s="649"/>
      <c r="OGH367" s="326"/>
      <c r="OGI367" s="362"/>
      <c r="OGJ367" s="386"/>
      <c r="OGK367" s="658"/>
      <c r="OGL367" s="388"/>
      <c r="OGM367" s="389"/>
      <c r="OGN367" s="590"/>
      <c r="OGO367" s="266"/>
      <c r="OGP367" s="649"/>
      <c r="OGQ367" s="326"/>
      <c r="OGR367" s="362"/>
      <c r="OGS367" s="386"/>
      <c r="OGT367" s="658"/>
      <c r="OGU367" s="388"/>
      <c r="OGV367" s="389"/>
      <c r="OGW367" s="590"/>
      <c r="OGX367" s="266"/>
      <c r="OGY367" s="649"/>
      <c r="OGZ367" s="326"/>
      <c r="OHA367" s="362"/>
      <c r="OHB367" s="386"/>
      <c r="OHC367" s="658"/>
      <c r="OHD367" s="388"/>
      <c r="OHE367" s="389"/>
      <c r="OHF367" s="590"/>
      <c r="OHG367" s="266"/>
      <c r="OHH367" s="649"/>
      <c r="OHI367" s="326"/>
      <c r="OHJ367" s="362"/>
      <c r="OHK367" s="386"/>
      <c r="OHL367" s="658"/>
      <c r="OHM367" s="388"/>
      <c r="OHN367" s="389"/>
      <c r="OHO367" s="590"/>
      <c r="OHP367" s="266"/>
      <c r="OHQ367" s="649"/>
      <c r="OHR367" s="326"/>
      <c r="OHS367" s="362"/>
      <c r="OHT367" s="386"/>
      <c r="OHU367" s="658"/>
      <c r="OHV367" s="388"/>
      <c r="OHW367" s="389"/>
      <c r="OHX367" s="590"/>
      <c r="OHY367" s="266"/>
      <c r="OHZ367" s="649"/>
      <c r="OIA367" s="326"/>
      <c r="OIB367" s="362"/>
      <c r="OIC367" s="386"/>
      <c r="OID367" s="658"/>
      <c r="OIE367" s="388"/>
      <c r="OIF367" s="389"/>
      <c r="OIG367" s="590"/>
      <c r="OIH367" s="266"/>
      <c r="OII367" s="649"/>
      <c r="OIJ367" s="326"/>
      <c r="OIK367" s="362"/>
      <c r="OIL367" s="386"/>
      <c r="OIM367" s="658"/>
      <c r="OIN367" s="388"/>
      <c r="OIO367" s="389"/>
      <c r="OIP367" s="590"/>
      <c r="OIQ367" s="266"/>
      <c r="OIR367" s="649"/>
      <c r="OIS367" s="326"/>
      <c r="OIT367" s="362"/>
      <c r="OIU367" s="386"/>
      <c r="OIV367" s="658"/>
      <c r="OIW367" s="388"/>
      <c r="OIX367" s="389"/>
      <c r="OIY367" s="590"/>
      <c r="OIZ367" s="266"/>
      <c r="OJA367" s="649"/>
      <c r="OJB367" s="326"/>
      <c r="OJC367" s="362"/>
      <c r="OJD367" s="386"/>
      <c r="OJE367" s="658"/>
      <c r="OJF367" s="388"/>
      <c r="OJG367" s="389"/>
      <c r="OJH367" s="590"/>
      <c r="OJI367" s="266"/>
      <c r="OJJ367" s="649"/>
      <c r="OJK367" s="326"/>
      <c r="OJL367" s="362"/>
      <c r="OJM367" s="386"/>
      <c r="OJN367" s="658"/>
      <c r="OJO367" s="388"/>
      <c r="OJP367" s="389"/>
      <c r="OJQ367" s="590"/>
      <c r="OJR367" s="266"/>
      <c r="OJS367" s="649"/>
      <c r="OJT367" s="326"/>
      <c r="OJU367" s="362"/>
      <c r="OJV367" s="386"/>
      <c r="OJW367" s="658"/>
      <c r="OJX367" s="388"/>
      <c r="OJY367" s="389"/>
      <c r="OJZ367" s="590"/>
      <c r="OKA367" s="266"/>
      <c r="OKB367" s="649"/>
      <c r="OKC367" s="326"/>
      <c r="OKD367" s="362"/>
      <c r="OKE367" s="386"/>
      <c r="OKF367" s="658"/>
      <c r="OKG367" s="388"/>
      <c r="OKH367" s="389"/>
      <c r="OKI367" s="590"/>
      <c r="OKJ367" s="266"/>
      <c r="OKK367" s="649"/>
      <c r="OKL367" s="326"/>
      <c r="OKM367" s="362"/>
      <c r="OKN367" s="386"/>
      <c r="OKO367" s="658"/>
      <c r="OKP367" s="388"/>
      <c r="OKQ367" s="389"/>
      <c r="OKR367" s="590"/>
      <c r="OKS367" s="266"/>
      <c r="OKT367" s="649"/>
      <c r="OKU367" s="326"/>
      <c r="OKV367" s="362"/>
      <c r="OKW367" s="386"/>
      <c r="OKX367" s="658"/>
      <c r="OKY367" s="388"/>
      <c r="OKZ367" s="389"/>
      <c r="OLA367" s="590"/>
      <c r="OLB367" s="266"/>
      <c r="OLC367" s="649"/>
      <c r="OLD367" s="326"/>
      <c r="OLE367" s="362"/>
      <c r="OLF367" s="386"/>
      <c r="OLG367" s="658"/>
      <c r="OLH367" s="388"/>
      <c r="OLI367" s="389"/>
      <c r="OLJ367" s="590"/>
      <c r="OLK367" s="266"/>
      <c r="OLL367" s="649"/>
      <c r="OLM367" s="326"/>
      <c r="OLN367" s="362"/>
      <c r="OLO367" s="386"/>
      <c r="OLP367" s="658"/>
      <c r="OLQ367" s="388"/>
      <c r="OLR367" s="389"/>
      <c r="OLS367" s="590"/>
      <c r="OLT367" s="266"/>
      <c r="OLU367" s="649"/>
      <c r="OLV367" s="326"/>
      <c r="OLW367" s="362"/>
      <c r="OLX367" s="386"/>
      <c r="OLY367" s="658"/>
      <c r="OLZ367" s="388"/>
      <c r="OMA367" s="389"/>
      <c r="OMB367" s="590"/>
      <c r="OMC367" s="266"/>
      <c r="OMD367" s="649"/>
      <c r="OME367" s="326"/>
      <c r="OMF367" s="362"/>
      <c r="OMG367" s="386"/>
      <c r="OMH367" s="658"/>
      <c r="OMI367" s="388"/>
      <c r="OMJ367" s="389"/>
      <c r="OMK367" s="590"/>
      <c r="OML367" s="266"/>
      <c r="OMM367" s="649"/>
      <c r="OMN367" s="326"/>
      <c r="OMO367" s="362"/>
      <c r="OMP367" s="386"/>
      <c r="OMQ367" s="658"/>
      <c r="OMR367" s="388"/>
      <c r="OMS367" s="389"/>
      <c r="OMT367" s="590"/>
      <c r="OMU367" s="266"/>
      <c r="OMV367" s="649"/>
      <c r="OMW367" s="326"/>
      <c r="OMX367" s="362"/>
      <c r="OMY367" s="386"/>
      <c r="OMZ367" s="658"/>
      <c r="ONA367" s="388"/>
      <c r="ONB367" s="389"/>
      <c r="ONC367" s="590"/>
      <c r="OND367" s="266"/>
      <c r="ONE367" s="649"/>
      <c r="ONF367" s="326"/>
      <c r="ONG367" s="362"/>
      <c r="ONH367" s="386"/>
      <c r="ONI367" s="658"/>
      <c r="ONJ367" s="388"/>
      <c r="ONK367" s="389"/>
      <c r="ONL367" s="590"/>
      <c r="ONM367" s="266"/>
      <c r="ONN367" s="649"/>
      <c r="ONO367" s="326"/>
      <c r="ONP367" s="362"/>
      <c r="ONQ367" s="386"/>
      <c r="ONR367" s="658"/>
      <c r="ONS367" s="388"/>
      <c r="ONT367" s="389"/>
      <c r="ONU367" s="590"/>
      <c r="ONV367" s="266"/>
      <c r="ONW367" s="649"/>
      <c r="ONX367" s="326"/>
      <c r="ONY367" s="362"/>
      <c r="ONZ367" s="386"/>
      <c r="OOA367" s="658"/>
      <c r="OOB367" s="388"/>
      <c r="OOC367" s="389"/>
      <c r="OOD367" s="590"/>
      <c r="OOE367" s="266"/>
      <c r="OOF367" s="649"/>
      <c r="OOG367" s="326"/>
      <c r="OOH367" s="362"/>
      <c r="OOI367" s="386"/>
      <c r="OOJ367" s="658"/>
      <c r="OOK367" s="388"/>
      <c r="OOL367" s="389"/>
      <c r="OOM367" s="590"/>
      <c r="OON367" s="266"/>
      <c r="OOO367" s="649"/>
      <c r="OOP367" s="326"/>
      <c r="OOQ367" s="362"/>
      <c r="OOR367" s="386"/>
      <c r="OOS367" s="658"/>
      <c r="OOT367" s="388"/>
      <c r="OOU367" s="389"/>
      <c r="OOV367" s="590"/>
      <c r="OOW367" s="266"/>
      <c r="OOX367" s="649"/>
      <c r="OOY367" s="326"/>
      <c r="OOZ367" s="362"/>
      <c r="OPA367" s="386"/>
      <c r="OPB367" s="658"/>
      <c r="OPC367" s="388"/>
      <c r="OPD367" s="389"/>
      <c r="OPE367" s="590"/>
      <c r="OPF367" s="266"/>
      <c r="OPG367" s="649"/>
      <c r="OPH367" s="326"/>
      <c r="OPI367" s="362"/>
      <c r="OPJ367" s="386"/>
      <c r="OPK367" s="658"/>
      <c r="OPL367" s="388"/>
      <c r="OPM367" s="389"/>
      <c r="OPN367" s="590"/>
      <c r="OPO367" s="266"/>
      <c r="OPP367" s="649"/>
      <c r="OPQ367" s="326"/>
      <c r="OPR367" s="362"/>
      <c r="OPS367" s="386"/>
      <c r="OPT367" s="658"/>
      <c r="OPU367" s="388"/>
      <c r="OPV367" s="389"/>
      <c r="OPW367" s="590"/>
      <c r="OPX367" s="266"/>
      <c r="OPY367" s="649"/>
      <c r="OPZ367" s="326"/>
      <c r="OQA367" s="362"/>
      <c r="OQB367" s="386"/>
      <c r="OQC367" s="658"/>
      <c r="OQD367" s="388"/>
      <c r="OQE367" s="389"/>
      <c r="OQF367" s="590"/>
      <c r="OQG367" s="266"/>
      <c r="OQH367" s="649"/>
      <c r="OQI367" s="326"/>
      <c r="OQJ367" s="362"/>
      <c r="OQK367" s="386"/>
      <c r="OQL367" s="658"/>
      <c r="OQM367" s="388"/>
      <c r="OQN367" s="389"/>
      <c r="OQO367" s="590"/>
      <c r="OQP367" s="266"/>
      <c r="OQQ367" s="649"/>
      <c r="OQR367" s="326"/>
      <c r="OQS367" s="362"/>
      <c r="OQT367" s="386"/>
      <c r="OQU367" s="658"/>
      <c r="OQV367" s="388"/>
      <c r="OQW367" s="389"/>
      <c r="OQX367" s="590"/>
      <c r="OQY367" s="266"/>
      <c r="OQZ367" s="649"/>
      <c r="ORA367" s="326"/>
      <c r="ORB367" s="362"/>
      <c r="ORC367" s="386"/>
      <c r="ORD367" s="658"/>
      <c r="ORE367" s="388"/>
      <c r="ORF367" s="389"/>
      <c r="ORG367" s="590"/>
      <c r="ORH367" s="266"/>
      <c r="ORI367" s="649"/>
      <c r="ORJ367" s="326"/>
      <c r="ORK367" s="362"/>
      <c r="ORL367" s="386"/>
      <c r="ORM367" s="658"/>
      <c r="ORN367" s="388"/>
      <c r="ORO367" s="389"/>
      <c r="ORP367" s="590"/>
      <c r="ORQ367" s="266"/>
      <c r="ORR367" s="649"/>
      <c r="ORS367" s="326"/>
      <c r="ORT367" s="362"/>
      <c r="ORU367" s="386"/>
      <c r="ORV367" s="658"/>
      <c r="ORW367" s="388"/>
      <c r="ORX367" s="389"/>
      <c r="ORY367" s="590"/>
      <c r="ORZ367" s="266"/>
      <c r="OSA367" s="649"/>
      <c r="OSB367" s="326"/>
      <c r="OSC367" s="362"/>
      <c r="OSD367" s="386"/>
      <c r="OSE367" s="658"/>
      <c r="OSF367" s="388"/>
      <c r="OSG367" s="389"/>
      <c r="OSH367" s="590"/>
      <c r="OSI367" s="266"/>
      <c r="OSJ367" s="649"/>
      <c r="OSK367" s="326"/>
      <c r="OSL367" s="362"/>
      <c r="OSM367" s="386"/>
      <c r="OSN367" s="658"/>
      <c r="OSO367" s="388"/>
      <c r="OSP367" s="389"/>
      <c r="OSQ367" s="590"/>
      <c r="OSR367" s="266"/>
      <c r="OSS367" s="649"/>
      <c r="OST367" s="326"/>
      <c r="OSU367" s="362"/>
      <c r="OSV367" s="386"/>
      <c r="OSW367" s="658"/>
      <c r="OSX367" s="388"/>
      <c r="OSY367" s="389"/>
      <c r="OSZ367" s="590"/>
      <c r="OTA367" s="266"/>
      <c r="OTB367" s="649"/>
      <c r="OTC367" s="326"/>
      <c r="OTD367" s="362"/>
      <c r="OTE367" s="386"/>
      <c r="OTF367" s="658"/>
      <c r="OTG367" s="388"/>
      <c r="OTH367" s="389"/>
      <c r="OTI367" s="590"/>
      <c r="OTJ367" s="266"/>
      <c r="OTK367" s="649"/>
      <c r="OTL367" s="326"/>
      <c r="OTM367" s="362"/>
      <c r="OTN367" s="386"/>
      <c r="OTO367" s="658"/>
      <c r="OTP367" s="388"/>
      <c r="OTQ367" s="389"/>
      <c r="OTR367" s="590"/>
      <c r="OTS367" s="266"/>
      <c r="OTT367" s="649"/>
      <c r="OTU367" s="326"/>
      <c r="OTV367" s="362"/>
      <c r="OTW367" s="386"/>
      <c r="OTX367" s="658"/>
      <c r="OTY367" s="388"/>
      <c r="OTZ367" s="389"/>
      <c r="OUA367" s="590"/>
      <c r="OUB367" s="266"/>
      <c r="OUC367" s="649"/>
      <c r="OUD367" s="326"/>
      <c r="OUE367" s="362"/>
      <c r="OUF367" s="386"/>
      <c r="OUG367" s="658"/>
      <c r="OUH367" s="388"/>
      <c r="OUI367" s="389"/>
      <c r="OUJ367" s="590"/>
      <c r="OUK367" s="266"/>
      <c r="OUL367" s="649"/>
      <c r="OUM367" s="326"/>
      <c r="OUN367" s="362"/>
      <c r="OUO367" s="386"/>
      <c r="OUP367" s="658"/>
      <c r="OUQ367" s="388"/>
      <c r="OUR367" s="389"/>
      <c r="OUS367" s="590"/>
      <c r="OUT367" s="266"/>
      <c r="OUU367" s="649"/>
      <c r="OUV367" s="326"/>
      <c r="OUW367" s="362"/>
      <c r="OUX367" s="386"/>
      <c r="OUY367" s="658"/>
      <c r="OUZ367" s="388"/>
      <c r="OVA367" s="389"/>
      <c r="OVB367" s="590"/>
      <c r="OVC367" s="266"/>
      <c r="OVD367" s="649"/>
      <c r="OVE367" s="326"/>
      <c r="OVF367" s="362"/>
      <c r="OVG367" s="386"/>
      <c r="OVH367" s="658"/>
      <c r="OVI367" s="388"/>
      <c r="OVJ367" s="389"/>
      <c r="OVK367" s="590"/>
      <c r="OVL367" s="266"/>
      <c r="OVM367" s="649"/>
      <c r="OVN367" s="326"/>
      <c r="OVO367" s="362"/>
      <c r="OVP367" s="386"/>
      <c r="OVQ367" s="658"/>
      <c r="OVR367" s="388"/>
      <c r="OVS367" s="389"/>
      <c r="OVT367" s="590"/>
      <c r="OVU367" s="266"/>
      <c r="OVV367" s="649"/>
      <c r="OVW367" s="326"/>
      <c r="OVX367" s="362"/>
      <c r="OVY367" s="386"/>
      <c r="OVZ367" s="658"/>
      <c r="OWA367" s="388"/>
      <c r="OWB367" s="389"/>
      <c r="OWC367" s="590"/>
      <c r="OWD367" s="266"/>
      <c r="OWE367" s="649"/>
      <c r="OWF367" s="326"/>
      <c r="OWG367" s="362"/>
      <c r="OWH367" s="386"/>
      <c r="OWI367" s="658"/>
      <c r="OWJ367" s="388"/>
      <c r="OWK367" s="389"/>
      <c r="OWL367" s="590"/>
      <c r="OWM367" s="266"/>
      <c r="OWN367" s="649"/>
      <c r="OWO367" s="326"/>
      <c r="OWP367" s="362"/>
      <c r="OWQ367" s="386"/>
      <c r="OWR367" s="658"/>
      <c r="OWS367" s="388"/>
      <c r="OWT367" s="389"/>
      <c r="OWU367" s="590"/>
      <c r="OWV367" s="266"/>
      <c r="OWW367" s="649"/>
      <c r="OWX367" s="326"/>
      <c r="OWY367" s="362"/>
      <c r="OWZ367" s="386"/>
      <c r="OXA367" s="658"/>
      <c r="OXB367" s="388"/>
      <c r="OXC367" s="389"/>
      <c r="OXD367" s="590"/>
      <c r="OXE367" s="266"/>
      <c r="OXF367" s="649"/>
      <c r="OXG367" s="326"/>
      <c r="OXH367" s="362"/>
      <c r="OXI367" s="386"/>
      <c r="OXJ367" s="658"/>
      <c r="OXK367" s="388"/>
      <c r="OXL367" s="389"/>
      <c r="OXM367" s="590"/>
      <c r="OXN367" s="266"/>
      <c r="OXO367" s="649"/>
      <c r="OXP367" s="326"/>
      <c r="OXQ367" s="362"/>
      <c r="OXR367" s="386"/>
      <c r="OXS367" s="658"/>
      <c r="OXT367" s="388"/>
      <c r="OXU367" s="389"/>
      <c r="OXV367" s="590"/>
      <c r="OXW367" s="266"/>
      <c r="OXX367" s="649"/>
      <c r="OXY367" s="326"/>
      <c r="OXZ367" s="362"/>
      <c r="OYA367" s="386"/>
      <c r="OYB367" s="658"/>
      <c r="OYC367" s="388"/>
      <c r="OYD367" s="389"/>
      <c r="OYE367" s="590"/>
      <c r="OYF367" s="266"/>
      <c r="OYG367" s="649"/>
      <c r="OYH367" s="326"/>
      <c r="OYI367" s="362"/>
      <c r="OYJ367" s="386"/>
      <c r="OYK367" s="658"/>
      <c r="OYL367" s="388"/>
      <c r="OYM367" s="389"/>
      <c r="OYN367" s="590"/>
      <c r="OYO367" s="266"/>
      <c r="OYP367" s="649"/>
      <c r="OYQ367" s="326"/>
      <c r="OYR367" s="362"/>
      <c r="OYS367" s="386"/>
      <c r="OYT367" s="658"/>
      <c r="OYU367" s="388"/>
      <c r="OYV367" s="389"/>
      <c r="OYW367" s="590"/>
      <c r="OYX367" s="266"/>
      <c r="OYY367" s="649"/>
      <c r="OYZ367" s="326"/>
      <c r="OZA367" s="362"/>
      <c r="OZB367" s="386"/>
      <c r="OZC367" s="658"/>
      <c r="OZD367" s="388"/>
      <c r="OZE367" s="389"/>
      <c r="OZF367" s="590"/>
      <c r="OZG367" s="266"/>
      <c r="OZH367" s="649"/>
      <c r="OZI367" s="326"/>
      <c r="OZJ367" s="362"/>
      <c r="OZK367" s="386"/>
      <c r="OZL367" s="658"/>
      <c r="OZM367" s="388"/>
      <c r="OZN367" s="389"/>
      <c r="OZO367" s="590"/>
      <c r="OZP367" s="266"/>
      <c r="OZQ367" s="649"/>
      <c r="OZR367" s="326"/>
      <c r="OZS367" s="362"/>
      <c r="OZT367" s="386"/>
      <c r="OZU367" s="658"/>
      <c r="OZV367" s="388"/>
      <c r="OZW367" s="389"/>
      <c r="OZX367" s="590"/>
      <c r="OZY367" s="266"/>
      <c r="OZZ367" s="649"/>
      <c r="PAA367" s="326"/>
      <c r="PAB367" s="362"/>
      <c r="PAC367" s="386"/>
      <c r="PAD367" s="658"/>
      <c r="PAE367" s="388"/>
      <c r="PAF367" s="389"/>
      <c r="PAG367" s="590"/>
      <c r="PAH367" s="266"/>
      <c r="PAI367" s="649"/>
      <c r="PAJ367" s="326"/>
      <c r="PAK367" s="362"/>
      <c r="PAL367" s="386"/>
      <c r="PAM367" s="658"/>
      <c r="PAN367" s="388"/>
      <c r="PAO367" s="389"/>
      <c r="PAP367" s="590"/>
      <c r="PAQ367" s="266"/>
      <c r="PAR367" s="649"/>
      <c r="PAS367" s="326"/>
      <c r="PAT367" s="362"/>
      <c r="PAU367" s="386"/>
      <c r="PAV367" s="658"/>
      <c r="PAW367" s="388"/>
      <c r="PAX367" s="389"/>
      <c r="PAY367" s="590"/>
      <c r="PAZ367" s="266"/>
      <c r="PBA367" s="649"/>
      <c r="PBB367" s="326"/>
      <c r="PBC367" s="362"/>
      <c r="PBD367" s="386"/>
      <c r="PBE367" s="658"/>
      <c r="PBF367" s="388"/>
      <c r="PBG367" s="389"/>
      <c r="PBH367" s="590"/>
      <c r="PBI367" s="266"/>
      <c r="PBJ367" s="649"/>
      <c r="PBK367" s="326"/>
      <c r="PBL367" s="362"/>
      <c r="PBM367" s="386"/>
      <c r="PBN367" s="658"/>
      <c r="PBO367" s="388"/>
      <c r="PBP367" s="389"/>
      <c r="PBQ367" s="590"/>
      <c r="PBR367" s="266"/>
      <c r="PBS367" s="649"/>
      <c r="PBT367" s="326"/>
      <c r="PBU367" s="362"/>
      <c r="PBV367" s="386"/>
      <c r="PBW367" s="658"/>
      <c r="PBX367" s="388"/>
      <c r="PBY367" s="389"/>
      <c r="PBZ367" s="590"/>
      <c r="PCA367" s="266"/>
      <c r="PCB367" s="649"/>
      <c r="PCC367" s="326"/>
      <c r="PCD367" s="362"/>
      <c r="PCE367" s="386"/>
      <c r="PCF367" s="658"/>
      <c r="PCG367" s="388"/>
      <c r="PCH367" s="389"/>
      <c r="PCI367" s="590"/>
      <c r="PCJ367" s="266"/>
      <c r="PCK367" s="649"/>
      <c r="PCL367" s="326"/>
      <c r="PCM367" s="362"/>
      <c r="PCN367" s="386"/>
      <c r="PCO367" s="658"/>
      <c r="PCP367" s="388"/>
      <c r="PCQ367" s="389"/>
      <c r="PCR367" s="590"/>
      <c r="PCS367" s="266"/>
      <c r="PCT367" s="649"/>
      <c r="PCU367" s="326"/>
      <c r="PCV367" s="362"/>
      <c r="PCW367" s="386"/>
      <c r="PCX367" s="658"/>
      <c r="PCY367" s="388"/>
      <c r="PCZ367" s="389"/>
      <c r="PDA367" s="590"/>
      <c r="PDB367" s="266"/>
      <c r="PDC367" s="649"/>
      <c r="PDD367" s="326"/>
      <c r="PDE367" s="362"/>
      <c r="PDF367" s="386"/>
      <c r="PDG367" s="658"/>
      <c r="PDH367" s="388"/>
      <c r="PDI367" s="389"/>
      <c r="PDJ367" s="590"/>
      <c r="PDK367" s="266"/>
      <c r="PDL367" s="649"/>
      <c r="PDM367" s="326"/>
      <c r="PDN367" s="362"/>
      <c r="PDO367" s="386"/>
      <c r="PDP367" s="658"/>
      <c r="PDQ367" s="388"/>
      <c r="PDR367" s="389"/>
      <c r="PDS367" s="590"/>
      <c r="PDT367" s="266"/>
      <c r="PDU367" s="649"/>
      <c r="PDV367" s="326"/>
      <c r="PDW367" s="362"/>
      <c r="PDX367" s="386"/>
      <c r="PDY367" s="658"/>
      <c r="PDZ367" s="388"/>
      <c r="PEA367" s="389"/>
      <c r="PEB367" s="590"/>
      <c r="PEC367" s="266"/>
      <c r="PED367" s="649"/>
      <c r="PEE367" s="326"/>
      <c r="PEF367" s="362"/>
      <c r="PEG367" s="386"/>
      <c r="PEH367" s="658"/>
      <c r="PEI367" s="388"/>
      <c r="PEJ367" s="389"/>
      <c r="PEK367" s="590"/>
      <c r="PEL367" s="266"/>
      <c r="PEM367" s="649"/>
      <c r="PEN367" s="326"/>
      <c r="PEO367" s="362"/>
      <c r="PEP367" s="386"/>
      <c r="PEQ367" s="658"/>
      <c r="PER367" s="388"/>
      <c r="PES367" s="389"/>
      <c r="PET367" s="590"/>
      <c r="PEU367" s="266"/>
      <c r="PEV367" s="649"/>
      <c r="PEW367" s="326"/>
      <c r="PEX367" s="362"/>
      <c r="PEY367" s="386"/>
      <c r="PEZ367" s="658"/>
      <c r="PFA367" s="388"/>
      <c r="PFB367" s="389"/>
      <c r="PFC367" s="590"/>
      <c r="PFD367" s="266"/>
      <c r="PFE367" s="649"/>
      <c r="PFF367" s="326"/>
      <c r="PFG367" s="362"/>
      <c r="PFH367" s="386"/>
      <c r="PFI367" s="658"/>
      <c r="PFJ367" s="388"/>
      <c r="PFK367" s="389"/>
      <c r="PFL367" s="590"/>
      <c r="PFM367" s="266"/>
      <c r="PFN367" s="649"/>
      <c r="PFO367" s="326"/>
      <c r="PFP367" s="362"/>
      <c r="PFQ367" s="386"/>
      <c r="PFR367" s="658"/>
      <c r="PFS367" s="388"/>
      <c r="PFT367" s="389"/>
      <c r="PFU367" s="590"/>
      <c r="PFV367" s="266"/>
      <c r="PFW367" s="649"/>
      <c r="PFX367" s="326"/>
      <c r="PFY367" s="362"/>
      <c r="PFZ367" s="386"/>
      <c r="PGA367" s="658"/>
      <c r="PGB367" s="388"/>
      <c r="PGC367" s="389"/>
      <c r="PGD367" s="590"/>
      <c r="PGE367" s="266"/>
      <c r="PGF367" s="649"/>
      <c r="PGG367" s="326"/>
      <c r="PGH367" s="362"/>
      <c r="PGI367" s="386"/>
      <c r="PGJ367" s="658"/>
      <c r="PGK367" s="388"/>
      <c r="PGL367" s="389"/>
      <c r="PGM367" s="590"/>
      <c r="PGN367" s="266"/>
      <c r="PGO367" s="649"/>
      <c r="PGP367" s="326"/>
      <c r="PGQ367" s="362"/>
      <c r="PGR367" s="386"/>
      <c r="PGS367" s="658"/>
      <c r="PGT367" s="388"/>
      <c r="PGU367" s="389"/>
      <c r="PGV367" s="590"/>
      <c r="PGW367" s="266"/>
      <c r="PGX367" s="649"/>
      <c r="PGY367" s="326"/>
      <c r="PGZ367" s="362"/>
      <c r="PHA367" s="386"/>
      <c r="PHB367" s="658"/>
      <c r="PHC367" s="388"/>
      <c r="PHD367" s="389"/>
      <c r="PHE367" s="590"/>
      <c r="PHF367" s="266"/>
      <c r="PHG367" s="649"/>
      <c r="PHH367" s="326"/>
      <c r="PHI367" s="362"/>
      <c r="PHJ367" s="386"/>
      <c r="PHK367" s="658"/>
      <c r="PHL367" s="388"/>
      <c r="PHM367" s="389"/>
      <c r="PHN367" s="590"/>
      <c r="PHO367" s="266"/>
      <c r="PHP367" s="649"/>
      <c r="PHQ367" s="326"/>
      <c r="PHR367" s="362"/>
      <c r="PHS367" s="386"/>
      <c r="PHT367" s="658"/>
      <c r="PHU367" s="388"/>
      <c r="PHV367" s="389"/>
      <c r="PHW367" s="590"/>
      <c r="PHX367" s="266"/>
      <c r="PHY367" s="649"/>
      <c r="PHZ367" s="326"/>
      <c r="PIA367" s="362"/>
      <c r="PIB367" s="386"/>
      <c r="PIC367" s="658"/>
      <c r="PID367" s="388"/>
      <c r="PIE367" s="389"/>
      <c r="PIF367" s="590"/>
      <c r="PIG367" s="266"/>
      <c r="PIH367" s="649"/>
      <c r="PII367" s="326"/>
      <c r="PIJ367" s="362"/>
      <c r="PIK367" s="386"/>
      <c r="PIL367" s="658"/>
      <c r="PIM367" s="388"/>
      <c r="PIN367" s="389"/>
      <c r="PIO367" s="590"/>
      <c r="PIP367" s="266"/>
      <c r="PIQ367" s="649"/>
      <c r="PIR367" s="326"/>
      <c r="PIS367" s="362"/>
      <c r="PIT367" s="386"/>
      <c r="PIU367" s="658"/>
      <c r="PIV367" s="388"/>
      <c r="PIW367" s="389"/>
      <c r="PIX367" s="590"/>
      <c r="PIY367" s="266"/>
      <c r="PIZ367" s="649"/>
      <c r="PJA367" s="326"/>
      <c r="PJB367" s="362"/>
      <c r="PJC367" s="386"/>
      <c r="PJD367" s="658"/>
      <c r="PJE367" s="388"/>
      <c r="PJF367" s="389"/>
      <c r="PJG367" s="590"/>
      <c r="PJH367" s="266"/>
      <c r="PJI367" s="649"/>
      <c r="PJJ367" s="326"/>
      <c r="PJK367" s="362"/>
      <c r="PJL367" s="386"/>
      <c r="PJM367" s="658"/>
      <c r="PJN367" s="388"/>
      <c r="PJO367" s="389"/>
      <c r="PJP367" s="590"/>
      <c r="PJQ367" s="266"/>
      <c r="PJR367" s="649"/>
      <c r="PJS367" s="326"/>
      <c r="PJT367" s="362"/>
      <c r="PJU367" s="386"/>
      <c r="PJV367" s="658"/>
      <c r="PJW367" s="388"/>
      <c r="PJX367" s="389"/>
      <c r="PJY367" s="590"/>
      <c r="PJZ367" s="266"/>
      <c r="PKA367" s="649"/>
      <c r="PKB367" s="326"/>
      <c r="PKC367" s="362"/>
      <c r="PKD367" s="386"/>
      <c r="PKE367" s="658"/>
      <c r="PKF367" s="388"/>
      <c r="PKG367" s="389"/>
      <c r="PKH367" s="590"/>
      <c r="PKI367" s="266"/>
      <c r="PKJ367" s="649"/>
      <c r="PKK367" s="326"/>
      <c r="PKL367" s="362"/>
      <c r="PKM367" s="386"/>
      <c r="PKN367" s="658"/>
      <c r="PKO367" s="388"/>
      <c r="PKP367" s="389"/>
      <c r="PKQ367" s="590"/>
      <c r="PKR367" s="266"/>
      <c r="PKS367" s="649"/>
      <c r="PKT367" s="326"/>
      <c r="PKU367" s="362"/>
      <c r="PKV367" s="386"/>
      <c r="PKW367" s="658"/>
      <c r="PKX367" s="388"/>
      <c r="PKY367" s="389"/>
      <c r="PKZ367" s="590"/>
      <c r="PLA367" s="266"/>
      <c r="PLB367" s="649"/>
      <c r="PLC367" s="326"/>
      <c r="PLD367" s="362"/>
      <c r="PLE367" s="386"/>
      <c r="PLF367" s="658"/>
      <c r="PLG367" s="388"/>
      <c r="PLH367" s="389"/>
      <c r="PLI367" s="590"/>
      <c r="PLJ367" s="266"/>
      <c r="PLK367" s="649"/>
      <c r="PLL367" s="326"/>
      <c r="PLM367" s="362"/>
      <c r="PLN367" s="386"/>
      <c r="PLO367" s="658"/>
      <c r="PLP367" s="388"/>
      <c r="PLQ367" s="389"/>
      <c r="PLR367" s="590"/>
      <c r="PLS367" s="266"/>
      <c r="PLT367" s="649"/>
      <c r="PLU367" s="326"/>
      <c r="PLV367" s="362"/>
      <c r="PLW367" s="386"/>
      <c r="PLX367" s="658"/>
      <c r="PLY367" s="388"/>
      <c r="PLZ367" s="389"/>
      <c r="PMA367" s="590"/>
      <c r="PMB367" s="266"/>
      <c r="PMC367" s="649"/>
      <c r="PMD367" s="326"/>
      <c r="PME367" s="362"/>
      <c r="PMF367" s="386"/>
      <c r="PMG367" s="658"/>
      <c r="PMH367" s="388"/>
      <c r="PMI367" s="389"/>
      <c r="PMJ367" s="590"/>
      <c r="PMK367" s="266"/>
      <c r="PML367" s="649"/>
      <c r="PMM367" s="326"/>
      <c r="PMN367" s="362"/>
      <c r="PMO367" s="386"/>
      <c r="PMP367" s="658"/>
      <c r="PMQ367" s="388"/>
      <c r="PMR367" s="389"/>
      <c r="PMS367" s="590"/>
      <c r="PMT367" s="266"/>
      <c r="PMU367" s="649"/>
      <c r="PMV367" s="326"/>
      <c r="PMW367" s="362"/>
      <c r="PMX367" s="386"/>
      <c r="PMY367" s="658"/>
      <c r="PMZ367" s="388"/>
      <c r="PNA367" s="389"/>
      <c r="PNB367" s="590"/>
      <c r="PNC367" s="266"/>
      <c r="PND367" s="649"/>
      <c r="PNE367" s="326"/>
      <c r="PNF367" s="362"/>
      <c r="PNG367" s="386"/>
      <c r="PNH367" s="658"/>
      <c r="PNI367" s="388"/>
      <c r="PNJ367" s="389"/>
      <c r="PNK367" s="590"/>
      <c r="PNL367" s="266"/>
      <c r="PNM367" s="649"/>
      <c r="PNN367" s="326"/>
      <c r="PNO367" s="362"/>
      <c r="PNP367" s="386"/>
      <c r="PNQ367" s="658"/>
      <c r="PNR367" s="388"/>
      <c r="PNS367" s="389"/>
      <c r="PNT367" s="590"/>
      <c r="PNU367" s="266"/>
      <c r="PNV367" s="649"/>
      <c r="PNW367" s="326"/>
      <c r="PNX367" s="362"/>
      <c r="PNY367" s="386"/>
      <c r="PNZ367" s="658"/>
      <c r="POA367" s="388"/>
      <c r="POB367" s="389"/>
      <c r="POC367" s="590"/>
      <c r="POD367" s="266"/>
      <c r="POE367" s="649"/>
      <c r="POF367" s="326"/>
      <c r="POG367" s="362"/>
      <c r="POH367" s="386"/>
      <c r="POI367" s="658"/>
      <c r="POJ367" s="388"/>
      <c r="POK367" s="389"/>
      <c r="POL367" s="590"/>
      <c r="POM367" s="266"/>
      <c r="PON367" s="649"/>
      <c r="POO367" s="326"/>
      <c r="POP367" s="362"/>
      <c r="POQ367" s="386"/>
      <c r="POR367" s="658"/>
      <c r="POS367" s="388"/>
      <c r="POT367" s="389"/>
      <c r="POU367" s="590"/>
      <c r="POV367" s="266"/>
      <c r="POW367" s="649"/>
      <c r="POX367" s="326"/>
      <c r="POY367" s="362"/>
      <c r="POZ367" s="386"/>
      <c r="PPA367" s="658"/>
      <c r="PPB367" s="388"/>
      <c r="PPC367" s="389"/>
      <c r="PPD367" s="590"/>
      <c r="PPE367" s="266"/>
      <c r="PPF367" s="649"/>
      <c r="PPG367" s="326"/>
      <c r="PPH367" s="362"/>
      <c r="PPI367" s="386"/>
      <c r="PPJ367" s="658"/>
      <c r="PPK367" s="388"/>
      <c r="PPL367" s="389"/>
      <c r="PPM367" s="590"/>
      <c r="PPN367" s="266"/>
      <c r="PPO367" s="649"/>
      <c r="PPP367" s="326"/>
      <c r="PPQ367" s="362"/>
      <c r="PPR367" s="386"/>
      <c r="PPS367" s="658"/>
      <c r="PPT367" s="388"/>
      <c r="PPU367" s="389"/>
      <c r="PPV367" s="590"/>
      <c r="PPW367" s="266"/>
      <c r="PPX367" s="649"/>
      <c r="PPY367" s="326"/>
      <c r="PPZ367" s="362"/>
      <c r="PQA367" s="386"/>
      <c r="PQB367" s="658"/>
      <c r="PQC367" s="388"/>
      <c r="PQD367" s="389"/>
      <c r="PQE367" s="590"/>
      <c r="PQF367" s="266"/>
      <c r="PQG367" s="649"/>
      <c r="PQH367" s="326"/>
      <c r="PQI367" s="362"/>
      <c r="PQJ367" s="386"/>
      <c r="PQK367" s="658"/>
      <c r="PQL367" s="388"/>
      <c r="PQM367" s="389"/>
      <c r="PQN367" s="590"/>
      <c r="PQO367" s="266"/>
      <c r="PQP367" s="649"/>
      <c r="PQQ367" s="326"/>
      <c r="PQR367" s="362"/>
      <c r="PQS367" s="386"/>
      <c r="PQT367" s="658"/>
      <c r="PQU367" s="388"/>
      <c r="PQV367" s="389"/>
      <c r="PQW367" s="590"/>
      <c r="PQX367" s="266"/>
      <c r="PQY367" s="649"/>
      <c r="PQZ367" s="326"/>
      <c r="PRA367" s="362"/>
      <c r="PRB367" s="386"/>
      <c r="PRC367" s="658"/>
      <c r="PRD367" s="388"/>
      <c r="PRE367" s="389"/>
      <c r="PRF367" s="590"/>
      <c r="PRG367" s="266"/>
      <c r="PRH367" s="649"/>
      <c r="PRI367" s="326"/>
      <c r="PRJ367" s="362"/>
      <c r="PRK367" s="386"/>
      <c r="PRL367" s="658"/>
      <c r="PRM367" s="388"/>
      <c r="PRN367" s="389"/>
      <c r="PRO367" s="590"/>
      <c r="PRP367" s="266"/>
      <c r="PRQ367" s="649"/>
      <c r="PRR367" s="326"/>
      <c r="PRS367" s="362"/>
      <c r="PRT367" s="386"/>
      <c r="PRU367" s="658"/>
      <c r="PRV367" s="388"/>
      <c r="PRW367" s="389"/>
      <c r="PRX367" s="590"/>
      <c r="PRY367" s="266"/>
      <c r="PRZ367" s="649"/>
      <c r="PSA367" s="326"/>
      <c r="PSB367" s="362"/>
      <c r="PSC367" s="386"/>
      <c r="PSD367" s="658"/>
      <c r="PSE367" s="388"/>
      <c r="PSF367" s="389"/>
      <c r="PSG367" s="590"/>
      <c r="PSH367" s="266"/>
      <c r="PSI367" s="649"/>
      <c r="PSJ367" s="326"/>
      <c r="PSK367" s="362"/>
      <c r="PSL367" s="386"/>
      <c r="PSM367" s="658"/>
      <c r="PSN367" s="388"/>
      <c r="PSO367" s="389"/>
      <c r="PSP367" s="590"/>
      <c r="PSQ367" s="266"/>
      <c r="PSR367" s="649"/>
      <c r="PSS367" s="326"/>
      <c r="PST367" s="362"/>
      <c r="PSU367" s="386"/>
      <c r="PSV367" s="658"/>
      <c r="PSW367" s="388"/>
      <c r="PSX367" s="389"/>
      <c r="PSY367" s="590"/>
      <c r="PSZ367" s="266"/>
      <c r="PTA367" s="649"/>
      <c r="PTB367" s="326"/>
      <c r="PTC367" s="362"/>
      <c r="PTD367" s="386"/>
      <c r="PTE367" s="658"/>
      <c r="PTF367" s="388"/>
      <c r="PTG367" s="389"/>
      <c r="PTH367" s="590"/>
      <c r="PTI367" s="266"/>
      <c r="PTJ367" s="649"/>
      <c r="PTK367" s="326"/>
      <c r="PTL367" s="362"/>
      <c r="PTM367" s="386"/>
      <c r="PTN367" s="658"/>
      <c r="PTO367" s="388"/>
      <c r="PTP367" s="389"/>
      <c r="PTQ367" s="590"/>
      <c r="PTR367" s="266"/>
      <c r="PTS367" s="649"/>
      <c r="PTT367" s="326"/>
      <c r="PTU367" s="362"/>
      <c r="PTV367" s="386"/>
      <c r="PTW367" s="658"/>
      <c r="PTX367" s="388"/>
      <c r="PTY367" s="389"/>
      <c r="PTZ367" s="590"/>
      <c r="PUA367" s="266"/>
      <c r="PUB367" s="649"/>
      <c r="PUC367" s="326"/>
      <c r="PUD367" s="362"/>
      <c r="PUE367" s="386"/>
      <c r="PUF367" s="658"/>
      <c r="PUG367" s="388"/>
      <c r="PUH367" s="389"/>
      <c r="PUI367" s="590"/>
      <c r="PUJ367" s="266"/>
      <c r="PUK367" s="649"/>
      <c r="PUL367" s="326"/>
      <c r="PUM367" s="362"/>
      <c r="PUN367" s="386"/>
      <c r="PUO367" s="658"/>
      <c r="PUP367" s="388"/>
      <c r="PUQ367" s="389"/>
      <c r="PUR367" s="590"/>
      <c r="PUS367" s="266"/>
      <c r="PUT367" s="649"/>
      <c r="PUU367" s="326"/>
      <c r="PUV367" s="362"/>
      <c r="PUW367" s="386"/>
      <c r="PUX367" s="658"/>
      <c r="PUY367" s="388"/>
      <c r="PUZ367" s="389"/>
      <c r="PVA367" s="590"/>
      <c r="PVB367" s="266"/>
      <c r="PVC367" s="649"/>
      <c r="PVD367" s="326"/>
      <c r="PVE367" s="362"/>
      <c r="PVF367" s="386"/>
      <c r="PVG367" s="658"/>
      <c r="PVH367" s="388"/>
      <c r="PVI367" s="389"/>
      <c r="PVJ367" s="590"/>
      <c r="PVK367" s="266"/>
      <c r="PVL367" s="649"/>
      <c r="PVM367" s="326"/>
      <c r="PVN367" s="362"/>
      <c r="PVO367" s="386"/>
      <c r="PVP367" s="658"/>
      <c r="PVQ367" s="388"/>
      <c r="PVR367" s="389"/>
      <c r="PVS367" s="590"/>
      <c r="PVT367" s="266"/>
      <c r="PVU367" s="649"/>
      <c r="PVV367" s="326"/>
      <c r="PVW367" s="362"/>
      <c r="PVX367" s="386"/>
      <c r="PVY367" s="658"/>
      <c r="PVZ367" s="388"/>
      <c r="PWA367" s="389"/>
      <c r="PWB367" s="590"/>
      <c r="PWC367" s="266"/>
      <c r="PWD367" s="649"/>
      <c r="PWE367" s="326"/>
      <c r="PWF367" s="362"/>
      <c r="PWG367" s="386"/>
      <c r="PWH367" s="658"/>
      <c r="PWI367" s="388"/>
      <c r="PWJ367" s="389"/>
      <c r="PWK367" s="590"/>
      <c r="PWL367" s="266"/>
      <c r="PWM367" s="649"/>
      <c r="PWN367" s="326"/>
      <c r="PWO367" s="362"/>
      <c r="PWP367" s="386"/>
      <c r="PWQ367" s="658"/>
      <c r="PWR367" s="388"/>
      <c r="PWS367" s="389"/>
      <c r="PWT367" s="590"/>
      <c r="PWU367" s="266"/>
      <c r="PWV367" s="649"/>
      <c r="PWW367" s="326"/>
      <c r="PWX367" s="362"/>
      <c r="PWY367" s="386"/>
      <c r="PWZ367" s="658"/>
      <c r="PXA367" s="388"/>
      <c r="PXB367" s="389"/>
      <c r="PXC367" s="590"/>
      <c r="PXD367" s="266"/>
      <c r="PXE367" s="649"/>
      <c r="PXF367" s="326"/>
      <c r="PXG367" s="362"/>
      <c r="PXH367" s="386"/>
      <c r="PXI367" s="658"/>
      <c r="PXJ367" s="388"/>
      <c r="PXK367" s="389"/>
      <c r="PXL367" s="590"/>
      <c r="PXM367" s="266"/>
      <c r="PXN367" s="649"/>
      <c r="PXO367" s="326"/>
      <c r="PXP367" s="362"/>
      <c r="PXQ367" s="386"/>
      <c r="PXR367" s="658"/>
      <c r="PXS367" s="388"/>
      <c r="PXT367" s="389"/>
      <c r="PXU367" s="590"/>
      <c r="PXV367" s="266"/>
      <c r="PXW367" s="649"/>
      <c r="PXX367" s="326"/>
      <c r="PXY367" s="362"/>
      <c r="PXZ367" s="386"/>
      <c r="PYA367" s="658"/>
      <c r="PYB367" s="388"/>
      <c r="PYC367" s="389"/>
      <c r="PYD367" s="590"/>
      <c r="PYE367" s="266"/>
      <c r="PYF367" s="649"/>
      <c r="PYG367" s="326"/>
      <c r="PYH367" s="362"/>
      <c r="PYI367" s="386"/>
      <c r="PYJ367" s="658"/>
      <c r="PYK367" s="388"/>
      <c r="PYL367" s="389"/>
      <c r="PYM367" s="590"/>
      <c r="PYN367" s="266"/>
      <c r="PYO367" s="649"/>
      <c r="PYP367" s="326"/>
      <c r="PYQ367" s="362"/>
      <c r="PYR367" s="386"/>
      <c r="PYS367" s="658"/>
      <c r="PYT367" s="388"/>
      <c r="PYU367" s="389"/>
      <c r="PYV367" s="590"/>
      <c r="PYW367" s="266"/>
      <c r="PYX367" s="649"/>
      <c r="PYY367" s="326"/>
      <c r="PYZ367" s="362"/>
      <c r="PZA367" s="386"/>
      <c r="PZB367" s="658"/>
      <c r="PZC367" s="388"/>
      <c r="PZD367" s="389"/>
      <c r="PZE367" s="590"/>
      <c r="PZF367" s="266"/>
      <c r="PZG367" s="649"/>
      <c r="PZH367" s="326"/>
      <c r="PZI367" s="362"/>
      <c r="PZJ367" s="386"/>
      <c r="PZK367" s="658"/>
      <c r="PZL367" s="388"/>
      <c r="PZM367" s="389"/>
      <c r="PZN367" s="590"/>
      <c r="PZO367" s="266"/>
      <c r="PZP367" s="649"/>
      <c r="PZQ367" s="326"/>
      <c r="PZR367" s="362"/>
      <c r="PZS367" s="386"/>
      <c r="PZT367" s="658"/>
      <c r="PZU367" s="388"/>
      <c r="PZV367" s="389"/>
      <c r="PZW367" s="590"/>
      <c r="PZX367" s="266"/>
      <c r="PZY367" s="649"/>
      <c r="PZZ367" s="326"/>
      <c r="QAA367" s="362"/>
      <c r="QAB367" s="386"/>
      <c r="QAC367" s="658"/>
      <c r="QAD367" s="388"/>
      <c r="QAE367" s="389"/>
      <c r="QAF367" s="590"/>
      <c r="QAG367" s="266"/>
      <c r="QAH367" s="649"/>
      <c r="QAI367" s="326"/>
      <c r="QAJ367" s="362"/>
      <c r="QAK367" s="386"/>
      <c r="QAL367" s="658"/>
      <c r="QAM367" s="388"/>
      <c r="QAN367" s="389"/>
      <c r="QAO367" s="590"/>
      <c r="QAP367" s="266"/>
      <c r="QAQ367" s="649"/>
      <c r="QAR367" s="326"/>
      <c r="QAS367" s="362"/>
      <c r="QAT367" s="386"/>
      <c r="QAU367" s="658"/>
      <c r="QAV367" s="388"/>
      <c r="QAW367" s="389"/>
      <c r="QAX367" s="590"/>
      <c r="QAY367" s="266"/>
      <c r="QAZ367" s="649"/>
      <c r="QBA367" s="326"/>
      <c r="QBB367" s="362"/>
      <c r="QBC367" s="386"/>
      <c r="QBD367" s="658"/>
      <c r="QBE367" s="388"/>
      <c r="QBF367" s="389"/>
      <c r="QBG367" s="590"/>
      <c r="QBH367" s="266"/>
      <c r="QBI367" s="649"/>
      <c r="QBJ367" s="326"/>
      <c r="QBK367" s="362"/>
      <c r="QBL367" s="386"/>
      <c r="QBM367" s="658"/>
      <c r="QBN367" s="388"/>
      <c r="QBO367" s="389"/>
      <c r="QBP367" s="590"/>
      <c r="QBQ367" s="266"/>
      <c r="QBR367" s="649"/>
      <c r="QBS367" s="326"/>
      <c r="QBT367" s="362"/>
      <c r="QBU367" s="386"/>
      <c r="QBV367" s="658"/>
      <c r="QBW367" s="388"/>
      <c r="QBX367" s="389"/>
      <c r="QBY367" s="590"/>
      <c r="QBZ367" s="266"/>
      <c r="QCA367" s="649"/>
      <c r="QCB367" s="326"/>
      <c r="QCC367" s="362"/>
      <c r="QCD367" s="386"/>
      <c r="QCE367" s="658"/>
      <c r="QCF367" s="388"/>
      <c r="QCG367" s="389"/>
      <c r="QCH367" s="590"/>
      <c r="QCI367" s="266"/>
      <c r="QCJ367" s="649"/>
      <c r="QCK367" s="326"/>
      <c r="QCL367" s="362"/>
      <c r="QCM367" s="386"/>
      <c r="QCN367" s="658"/>
      <c r="QCO367" s="388"/>
      <c r="QCP367" s="389"/>
      <c r="QCQ367" s="590"/>
      <c r="QCR367" s="266"/>
      <c r="QCS367" s="649"/>
      <c r="QCT367" s="326"/>
      <c r="QCU367" s="362"/>
      <c r="QCV367" s="386"/>
      <c r="QCW367" s="658"/>
      <c r="QCX367" s="388"/>
      <c r="QCY367" s="389"/>
      <c r="QCZ367" s="590"/>
      <c r="QDA367" s="266"/>
      <c r="QDB367" s="649"/>
      <c r="QDC367" s="326"/>
      <c r="QDD367" s="362"/>
      <c r="QDE367" s="386"/>
      <c r="QDF367" s="658"/>
      <c r="QDG367" s="388"/>
      <c r="QDH367" s="389"/>
      <c r="QDI367" s="590"/>
      <c r="QDJ367" s="266"/>
      <c r="QDK367" s="649"/>
      <c r="QDL367" s="326"/>
      <c r="QDM367" s="362"/>
      <c r="QDN367" s="386"/>
      <c r="QDO367" s="658"/>
      <c r="QDP367" s="388"/>
      <c r="QDQ367" s="389"/>
      <c r="QDR367" s="590"/>
      <c r="QDS367" s="266"/>
      <c r="QDT367" s="649"/>
      <c r="QDU367" s="326"/>
      <c r="QDV367" s="362"/>
      <c r="QDW367" s="386"/>
      <c r="QDX367" s="658"/>
      <c r="QDY367" s="388"/>
      <c r="QDZ367" s="389"/>
      <c r="QEA367" s="590"/>
      <c r="QEB367" s="266"/>
      <c r="QEC367" s="649"/>
      <c r="QED367" s="326"/>
      <c r="QEE367" s="362"/>
      <c r="QEF367" s="386"/>
      <c r="QEG367" s="658"/>
      <c r="QEH367" s="388"/>
      <c r="QEI367" s="389"/>
      <c r="QEJ367" s="590"/>
      <c r="QEK367" s="266"/>
      <c r="QEL367" s="649"/>
      <c r="QEM367" s="326"/>
      <c r="QEN367" s="362"/>
      <c r="QEO367" s="386"/>
      <c r="QEP367" s="658"/>
      <c r="QEQ367" s="388"/>
      <c r="QER367" s="389"/>
      <c r="QES367" s="590"/>
      <c r="QET367" s="266"/>
      <c r="QEU367" s="649"/>
      <c r="QEV367" s="326"/>
      <c r="QEW367" s="362"/>
      <c r="QEX367" s="386"/>
      <c r="QEY367" s="658"/>
      <c r="QEZ367" s="388"/>
      <c r="QFA367" s="389"/>
      <c r="QFB367" s="590"/>
      <c r="QFC367" s="266"/>
      <c r="QFD367" s="649"/>
      <c r="QFE367" s="326"/>
      <c r="QFF367" s="362"/>
      <c r="QFG367" s="386"/>
      <c r="QFH367" s="658"/>
      <c r="QFI367" s="388"/>
      <c r="QFJ367" s="389"/>
      <c r="QFK367" s="590"/>
      <c r="QFL367" s="266"/>
      <c r="QFM367" s="649"/>
      <c r="QFN367" s="326"/>
      <c r="QFO367" s="362"/>
      <c r="QFP367" s="386"/>
      <c r="QFQ367" s="658"/>
      <c r="QFR367" s="388"/>
      <c r="QFS367" s="389"/>
      <c r="QFT367" s="590"/>
      <c r="QFU367" s="266"/>
      <c r="QFV367" s="649"/>
      <c r="QFW367" s="326"/>
      <c r="QFX367" s="362"/>
      <c r="QFY367" s="386"/>
      <c r="QFZ367" s="658"/>
      <c r="QGA367" s="388"/>
      <c r="QGB367" s="389"/>
      <c r="QGC367" s="590"/>
      <c r="QGD367" s="266"/>
      <c r="QGE367" s="649"/>
      <c r="QGF367" s="326"/>
      <c r="QGG367" s="362"/>
      <c r="QGH367" s="386"/>
      <c r="QGI367" s="658"/>
      <c r="QGJ367" s="388"/>
      <c r="QGK367" s="389"/>
      <c r="QGL367" s="590"/>
      <c r="QGM367" s="266"/>
      <c r="QGN367" s="649"/>
      <c r="QGO367" s="326"/>
      <c r="QGP367" s="362"/>
      <c r="QGQ367" s="386"/>
      <c r="QGR367" s="658"/>
      <c r="QGS367" s="388"/>
      <c r="QGT367" s="389"/>
      <c r="QGU367" s="590"/>
      <c r="QGV367" s="266"/>
      <c r="QGW367" s="649"/>
      <c r="QGX367" s="326"/>
      <c r="QGY367" s="362"/>
      <c r="QGZ367" s="386"/>
      <c r="QHA367" s="658"/>
      <c r="QHB367" s="388"/>
      <c r="QHC367" s="389"/>
      <c r="QHD367" s="590"/>
      <c r="QHE367" s="266"/>
      <c r="QHF367" s="649"/>
      <c r="QHG367" s="326"/>
      <c r="QHH367" s="362"/>
      <c r="QHI367" s="386"/>
      <c r="QHJ367" s="658"/>
      <c r="QHK367" s="388"/>
      <c r="QHL367" s="389"/>
      <c r="QHM367" s="590"/>
      <c r="QHN367" s="266"/>
      <c r="QHO367" s="649"/>
      <c r="QHP367" s="326"/>
      <c r="QHQ367" s="362"/>
      <c r="QHR367" s="386"/>
      <c r="QHS367" s="658"/>
      <c r="QHT367" s="388"/>
      <c r="QHU367" s="389"/>
      <c r="QHV367" s="590"/>
      <c r="QHW367" s="266"/>
      <c r="QHX367" s="649"/>
      <c r="QHY367" s="326"/>
      <c r="QHZ367" s="362"/>
      <c r="QIA367" s="386"/>
      <c r="QIB367" s="658"/>
      <c r="QIC367" s="388"/>
      <c r="QID367" s="389"/>
      <c r="QIE367" s="590"/>
      <c r="QIF367" s="266"/>
      <c r="QIG367" s="649"/>
      <c r="QIH367" s="326"/>
      <c r="QII367" s="362"/>
      <c r="QIJ367" s="386"/>
      <c r="QIK367" s="658"/>
      <c r="QIL367" s="388"/>
      <c r="QIM367" s="389"/>
      <c r="QIN367" s="590"/>
      <c r="QIO367" s="266"/>
      <c r="QIP367" s="649"/>
      <c r="QIQ367" s="326"/>
      <c r="QIR367" s="362"/>
      <c r="QIS367" s="386"/>
      <c r="QIT367" s="658"/>
      <c r="QIU367" s="388"/>
      <c r="QIV367" s="389"/>
      <c r="QIW367" s="590"/>
      <c r="QIX367" s="266"/>
      <c r="QIY367" s="649"/>
      <c r="QIZ367" s="326"/>
      <c r="QJA367" s="362"/>
      <c r="QJB367" s="386"/>
      <c r="QJC367" s="658"/>
      <c r="QJD367" s="388"/>
      <c r="QJE367" s="389"/>
      <c r="QJF367" s="590"/>
      <c r="QJG367" s="266"/>
      <c r="QJH367" s="649"/>
      <c r="QJI367" s="326"/>
      <c r="QJJ367" s="362"/>
      <c r="QJK367" s="386"/>
      <c r="QJL367" s="658"/>
      <c r="QJM367" s="388"/>
      <c r="QJN367" s="389"/>
      <c r="QJO367" s="590"/>
      <c r="QJP367" s="266"/>
      <c r="QJQ367" s="649"/>
      <c r="QJR367" s="326"/>
      <c r="QJS367" s="362"/>
      <c r="QJT367" s="386"/>
      <c r="QJU367" s="658"/>
      <c r="QJV367" s="388"/>
      <c r="QJW367" s="389"/>
      <c r="QJX367" s="590"/>
      <c r="QJY367" s="266"/>
      <c r="QJZ367" s="649"/>
      <c r="QKA367" s="326"/>
      <c r="QKB367" s="362"/>
      <c r="QKC367" s="386"/>
      <c r="QKD367" s="658"/>
      <c r="QKE367" s="388"/>
      <c r="QKF367" s="389"/>
      <c r="QKG367" s="590"/>
      <c r="QKH367" s="266"/>
      <c r="QKI367" s="649"/>
      <c r="QKJ367" s="326"/>
      <c r="QKK367" s="362"/>
      <c r="QKL367" s="386"/>
      <c r="QKM367" s="658"/>
      <c r="QKN367" s="388"/>
      <c r="QKO367" s="389"/>
      <c r="QKP367" s="590"/>
      <c r="QKQ367" s="266"/>
      <c r="QKR367" s="649"/>
      <c r="QKS367" s="326"/>
      <c r="QKT367" s="362"/>
      <c r="QKU367" s="386"/>
      <c r="QKV367" s="658"/>
      <c r="QKW367" s="388"/>
      <c r="QKX367" s="389"/>
      <c r="QKY367" s="590"/>
      <c r="QKZ367" s="266"/>
      <c r="QLA367" s="649"/>
      <c r="QLB367" s="326"/>
      <c r="QLC367" s="362"/>
      <c r="QLD367" s="386"/>
      <c r="QLE367" s="658"/>
      <c r="QLF367" s="388"/>
      <c r="QLG367" s="389"/>
      <c r="QLH367" s="590"/>
      <c r="QLI367" s="266"/>
      <c r="QLJ367" s="649"/>
      <c r="QLK367" s="326"/>
      <c r="QLL367" s="362"/>
      <c r="QLM367" s="386"/>
      <c r="QLN367" s="658"/>
      <c r="QLO367" s="388"/>
      <c r="QLP367" s="389"/>
      <c r="QLQ367" s="590"/>
      <c r="QLR367" s="266"/>
      <c r="QLS367" s="649"/>
      <c r="QLT367" s="326"/>
      <c r="QLU367" s="362"/>
      <c r="QLV367" s="386"/>
      <c r="QLW367" s="658"/>
      <c r="QLX367" s="388"/>
      <c r="QLY367" s="389"/>
      <c r="QLZ367" s="590"/>
      <c r="QMA367" s="266"/>
      <c r="QMB367" s="649"/>
      <c r="QMC367" s="326"/>
      <c r="QMD367" s="362"/>
      <c r="QME367" s="386"/>
      <c r="QMF367" s="658"/>
      <c r="QMG367" s="388"/>
      <c r="QMH367" s="389"/>
      <c r="QMI367" s="590"/>
      <c r="QMJ367" s="266"/>
      <c r="QMK367" s="649"/>
      <c r="QML367" s="326"/>
      <c r="QMM367" s="362"/>
      <c r="QMN367" s="386"/>
      <c r="QMO367" s="658"/>
      <c r="QMP367" s="388"/>
      <c r="QMQ367" s="389"/>
      <c r="QMR367" s="590"/>
      <c r="QMS367" s="266"/>
      <c r="QMT367" s="649"/>
      <c r="QMU367" s="326"/>
      <c r="QMV367" s="362"/>
      <c r="QMW367" s="386"/>
      <c r="QMX367" s="658"/>
      <c r="QMY367" s="388"/>
      <c r="QMZ367" s="389"/>
      <c r="QNA367" s="590"/>
      <c r="QNB367" s="266"/>
      <c r="QNC367" s="649"/>
      <c r="QND367" s="326"/>
      <c r="QNE367" s="362"/>
      <c r="QNF367" s="386"/>
      <c r="QNG367" s="658"/>
      <c r="QNH367" s="388"/>
      <c r="QNI367" s="389"/>
      <c r="QNJ367" s="590"/>
      <c r="QNK367" s="266"/>
      <c r="QNL367" s="649"/>
      <c r="QNM367" s="326"/>
      <c r="QNN367" s="362"/>
      <c r="QNO367" s="386"/>
      <c r="QNP367" s="658"/>
      <c r="QNQ367" s="388"/>
      <c r="QNR367" s="389"/>
      <c r="QNS367" s="590"/>
      <c r="QNT367" s="266"/>
      <c r="QNU367" s="649"/>
      <c r="QNV367" s="326"/>
      <c r="QNW367" s="362"/>
      <c r="QNX367" s="386"/>
      <c r="QNY367" s="658"/>
      <c r="QNZ367" s="388"/>
      <c r="QOA367" s="389"/>
      <c r="QOB367" s="590"/>
      <c r="QOC367" s="266"/>
      <c r="QOD367" s="649"/>
      <c r="QOE367" s="326"/>
      <c r="QOF367" s="362"/>
      <c r="QOG367" s="386"/>
      <c r="QOH367" s="658"/>
      <c r="QOI367" s="388"/>
      <c r="QOJ367" s="389"/>
      <c r="QOK367" s="590"/>
      <c r="QOL367" s="266"/>
      <c r="QOM367" s="649"/>
      <c r="QON367" s="326"/>
      <c r="QOO367" s="362"/>
      <c r="QOP367" s="386"/>
      <c r="QOQ367" s="658"/>
      <c r="QOR367" s="388"/>
      <c r="QOS367" s="389"/>
      <c r="QOT367" s="590"/>
      <c r="QOU367" s="266"/>
      <c r="QOV367" s="649"/>
      <c r="QOW367" s="326"/>
      <c r="QOX367" s="362"/>
      <c r="QOY367" s="386"/>
      <c r="QOZ367" s="658"/>
      <c r="QPA367" s="388"/>
      <c r="QPB367" s="389"/>
      <c r="QPC367" s="590"/>
      <c r="QPD367" s="266"/>
      <c r="QPE367" s="649"/>
      <c r="QPF367" s="326"/>
      <c r="QPG367" s="362"/>
      <c r="QPH367" s="386"/>
      <c r="QPI367" s="658"/>
      <c r="QPJ367" s="388"/>
      <c r="QPK367" s="389"/>
      <c r="QPL367" s="590"/>
      <c r="QPM367" s="266"/>
      <c r="QPN367" s="649"/>
      <c r="QPO367" s="326"/>
      <c r="QPP367" s="362"/>
      <c r="QPQ367" s="386"/>
      <c r="QPR367" s="658"/>
      <c r="QPS367" s="388"/>
      <c r="QPT367" s="389"/>
      <c r="QPU367" s="590"/>
      <c r="QPV367" s="266"/>
      <c r="QPW367" s="649"/>
      <c r="QPX367" s="326"/>
      <c r="QPY367" s="362"/>
      <c r="QPZ367" s="386"/>
      <c r="QQA367" s="658"/>
      <c r="QQB367" s="388"/>
      <c r="QQC367" s="389"/>
      <c r="QQD367" s="590"/>
      <c r="QQE367" s="266"/>
      <c r="QQF367" s="649"/>
      <c r="QQG367" s="326"/>
      <c r="QQH367" s="362"/>
      <c r="QQI367" s="386"/>
      <c r="QQJ367" s="658"/>
      <c r="QQK367" s="388"/>
      <c r="QQL367" s="389"/>
      <c r="QQM367" s="590"/>
      <c r="QQN367" s="266"/>
      <c r="QQO367" s="649"/>
      <c r="QQP367" s="326"/>
      <c r="QQQ367" s="362"/>
      <c r="QQR367" s="386"/>
      <c r="QQS367" s="658"/>
      <c r="QQT367" s="388"/>
      <c r="QQU367" s="389"/>
      <c r="QQV367" s="590"/>
      <c r="QQW367" s="266"/>
      <c r="QQX367" s="649"/>
      <c r="QQY367" s="326"/>
      <c r="QQZ367" s="362"/>
      <c r="QRA367" s="386"/>
      <c r="QRB367" s="658"/>
      <c r="QRC367" s="388"/>
      <c r="QRD367" s="389"/>
      <c r="QRE367" s="590"/>
      <c r="QRF367" s="266"/>
      <c r="QRG367" s="649"/>
      <c r="QRH367" s="326"/>
      <c r="QRI367" s="362"/>
      <c r="QRJ367" s="386"/>
      <c r="QRK367" s="658"/>
      <c r="QRL367" s="388"/>
      <c r="QRM367" s="389"/>
      <c r="QRN367" s="590"/>
      <c r="QRO367" s="266"/>
      <c r="QRP367" s="649"/>
      <c r="QRQ367" s="326"/>
      <c r="QRR367" s="362"/>
      <c r="QRS367" s="386"/>
      <c r="QRT367" s="658"/>
      <c r="QRU367" s="388"/>
      <c r="QRV367" s="389"/>
      <c r="QRW367" s="590"/>
      <c r="QRX367" s="266"/>
      <c r="QRY367" s="649"/>
      <c r="QRZ367" s="326"/>
      <c r="QSA367" s="362"/>
      <c r="QSB367" s="386"/>
      <c r="QSC367" s="658"/>
      <c r="QSD367" s="388"/>
      <c r="QSE367" s="389"/>
      <c r="QSF367" s="590"/>
      <c r="QSG367" s="266"/>
      <c r="QSH367" s="649"/>
      <c r="QSI367" s="326"/>
      <c r="QSJ367" s="362"/>
      <c r="QSK367" s="386"/>
      <c r="QSL367" s="658"/>
      <c r="QSM367" s="388"/>
      <c r="QSN367" s="389"/>
      <c r="QSO367" s="590"/>
      <c r="QSP367" s="266"/>
      <c r="QSQ367" s="649"/>
      <c r="QSR367" s="326"/>
      <c r="QSS367" s="362"/>
      <c r="QST367" s="386"/>
      <c r="QSU367" s="658"/>
      <c r="QSV367" s="388"/>
      <c r="QSW367" s="389"/>
      <c r="QSX367" s="590"/>
      <c r="QSY367" s="266"/>
      <c r="QSZ367" s="649"/>
      <c r="QTA367" s="326"/>
      <c r="QTB367" s="362"/>
      <c r="QTC367" s="386"/>
      <c r="QTD367" s="658"/>
      <c r="QTE367" s="388"/>
      <c r="QTF367" s="389"/>
      <c r="QTG367" s="590"/>
      <c r="QTH367" s="266"/>
      <c r="QTI367" s="649"/>
      <c r="QTJ367" s="326"/>
      <c r="QTK367" s="362"/>
      <c r="QTL367" s="386"/>
      <c r="QTM367" s="658"/>
      <c r="QTN367" s="388"/>
      <c r="QTO367" s="389"/>
      <c r="QTP367" s="590"/>
      <c r="QTQ367" s="266"/>
      <c r="QTR367" s="649"/>
      <c r="QTS367" s="326"/>
      <c r="QTT367" s="362"/>
      <c r="QTU367" s="386"/>
      <c r="QTV367" s="658"/>
      <c r="QTW367" s="388"/>
      <c r="QTX367" s="389"/>
      <c r="QTY367" s="590"/>
      <c r="QTZ367" s="266"/>
      <c r="QUA367" s="649"/>
      <c r="QUB367" s="326"/>
      <c r="QUC367" s="362"/>
      <c r="QUD367" s="386"/>
      <c r="QUE367" s="658"/>
      <c r="QUF367" s="388"/>
      <c r="QUG367" s="389"/>
      <c r="QUH367" s="590"/>
      <c r="QUI367" s="266"/>
      <c r="QUJ367" s="649"/>
      <c r="QUK367" s="326"/>
      <c r="QUL367" s="362"/>
      <c r="QUM367" s="386"/>
      <c r="QUN367" s="658"/>
      <c r="QUO367" s="388"/>
      <c r="QUP367" s="389"/>
      <c r="QUQ367" s="590"/>
      <c r="QUR367" s="266"/>
      <c r="QUS367" s="649"/>
      <c r="QUT367" s="326"/>
      <c r="QUU367" s="362"/>
      <c r="QUV367" s="386"/>
      <c r="QUW367" s="658"/>
      <c r="QUX367" s="388"/>
      <c r="QUY367" s="389"/>
      <c r="QUZ367" s="590"/>
      <c r="QVA367" s="266"/>
      <c r="QVB367" s="649"/>
      <c r="QVC367" s="326"/>
      <c r="QVD367" s="362"/>
      <c r="QVE367" s="386"/>
      <c r="QVF367" s="658"/>
      <c r="QVG367" s="388"/>
      <c r="QVH367" s="389"/>
      <c r="QVI367" s="590"/>
      <c r="QVJ367" s="266"/>
      <c r="QVK367" s="649"/>
      <c r="QVL367" s="326"/>
      <c r="QVM367" s="362"/>
      <c r="QVN367" s="386"/>
      <c r="QVO367" s="658"/>
      <c r="QVP367" s="388"/>
      <c r="QVQ367" s="389"/>
      <c r="QVR367" s="590"/>
      <c r="QVS367" s="266"/>
      <c r="QVT367" s="649"/>
      <c r="QVU367" s="326"/>
      <c r="QVV367" s="362"/>
      <c r="QVW367" s="386"/>
      <c r="QVX367" s="658"/>
      <c r="QVY367" s="388"/>
      <c r="QVZ367" s="389"/>
      <c r="QWA367" s="590"/>
      <c r="QWB367" s="266"/>
      <c r="QWC367" s="649"/>
      <c r="QWD367" s="326"/>
      <c r="QWE367" s="362"/>
      <c r="QWF367" s="386"/>
      <c r="QWG367" s="658"/>
      <c r="QWH367" s="388"/>
      <c r="QWI367" s="389"/>
      <c r="QWJ367" s="590"/>
      <c r="QWK367" s="266"/>
      <c r="QWL367" s="649"/>
      <c r="QWM367" s="326"/>
      <c r="QWN367" s="362"/>
      <c r="QWO367" s="386"/>
      <c r="QWP367" s="658"/>
      <c r="QWQ367" s="388"/>
      <c r="QWR367" s="389"/>
      <c r="QWS367" s="590"/>
      <c r="QWT367" s="266"/>
      <c r="QWU367" s="649"/>
      <c r="QWV367" s="326"/>
      <c r="QWW367" s="362"/>
      <c r="QWX367" s="386"/>
      <c r="QWY367" s="658"/>
      <c r="QWZ367" s="388"/>
      <c r="QXA367" s="389"/>
      <c r="QXB367" s="590"/>
      <c r="QXC367" s="266"/>
      <c r="QXD367" s="649"/>
      <c r="QXE367" s="326"/>
      <c r="QXF367" s="362"/>
      <c r="QXG367" s="386"/>
      <c r="QXH367" s="658"/>
      <c r="QXI367" s="388"/>
      <c r="QXJ367" s="389"/>
      <c r="QXK367" s="590"/>
      <c r="QXL367" s="266"/>
      <c r="QXM367" s="649"/>
      <c r="QXN367" s="326"/>
      <c r="QXO367" s="362"/>
      <c r="QXP367" s="386"/>
      <c r="QXQ367" s="658"/>
      <c r="QXR367" s="388"/>
      <c r="QXS367" s="389"/>
      <c r="QXT367" s="590"/>
      <c r="QXU367" s="266"/>
      <c r="QXV367" s="649"/>
      <c r="QXW367" s="326"/>
      <c r="QXX367" s="362"/>
      <c r="QXY367" s="386"/>
      <c r="QXZ367" s="658"/>
      <c r="QYA367" s="388"/>
      <c r="QYB367" s="389"/>
      <c r="QYC367" s="590"/>
      <c r="QYD367" s="266"/>
      <c r="QYE367" s="649"/>
      <c r="QYF367" s="326"/>
      <c r="QYG367" s="362"/>
      <c r="QYH367" s="386"/>
      <c r="QYI367" s="658"/>
      <c r="QYJ367" s="388"/>
      <c r="QYK367" s="389"/>
      <c r="QYL367" s="590"/>
      <c r="QYM367" s="266"/>
      <c r="QYN367" s="649"/>
      <c r="QYO367" s="326"/>
      <c r="QYP367" s="362"/>
      <c r="QYQ367" s="386"/>
      <c r="QYR367" s="658"/>
      <c r="QYS367" s="388"/>
      <c r="QYT367" s="389"/>
      <c r="QYU367" s="590"/>
      <c r="QYV367" s="266"/>
      <c r="QYW367" s="649"/>
      <c r="QYX367" s="326"/>
      <c r="QYY367" s="362"/>
      <c r="QYZ367" s="386"/>
      <c r="QZA367" s="658"/>
      <c r="QZB367" s="388"/>
      <c r="QZC367" s="389"/>
      <c r="QZD367" s="590"/>
      <c r="QZE367" s="266"/>
      <c r="QZF367" s="649"/>
      <c r="QZG367" s="326"/>
      <c r="QZH367" s="362"/>
      <c r="QZI367" s="386"/>
      <c r="QZJ367" s="658"/>
      <c r="QZK367" s="388"/>
      <c r="QZL367" s="389"/>
      <c r="QZM367" s="590"/>
      <c r="QZN367" s="266"/>
      <c r="QZO367" s="649"/>
      <c r="QZP367" s="326"/>
      <c r="QZQ367" s="362"/>
      <c r="QZR367" s="386"/>
      <c r="QZS367" s="658"/>
      <c r="QZT367" s="388"/>
      <c r="QZU367" s="389"/>
      <c r="QZV367" s="590"/>
      <c r="QZW367" s="266"/>
      <c r="QZX367" s="649"/>
      <c r="QZY367" s="326"/>
      <c r="QZZ367" s="362"/>
      <c r="RAA367" s="386"/>
      <c r="RAB367" s="658"/>
      <c r="RAC367" s="388"/>
      <c r="RAD367" s="389"/>
      <c r="RAE367" s="590"/>
      <c r="RAF367" s="266"/>
      <c r="RAG367" s="649"/>
      <c r="RAH367" s="326"/>
      <c r="RAI367" s="362"/>
      <c r="RAJ367" s="386"/>
      <c r="RAK367" s="658"/>
      <c r="RAL367" s="388"/>
      <c r="RAM367" s="389"/>
      <c r="RAN367" s="590"/>
      <c r="RAO367" s="266"/>
      <c r="RAP367" s="649"/>
      <c r="RAQ367" s="326"/>
      <c r="RAR367" s="362"/>
      <c r="RAS367" s="386"/>
      <c r="RAT367" s="658"/>
      <c r="RAU367" s="388"/>
      <c r="RAV367" s="389"/>
      <c r="RAW367" s="590"/>
      <c r="RAX367" s="266"/>
      <c r="RAY367" s="649"/>
      <c r="RAZ367" s="326"/>
      <c r="RBA367" s="362"/>
      <c r="RBB367" s="386"/>
      <c r="RBC367" s="658"/>
      <c r="RBD367" s="388"/>
      <c r="RBE367" s="389"/>
      <c r="RBF367" s="590"/>
      <c r="RBG367" s="266"/>
      <c r="RBH367" s="649"/>
      <c r="RBI367" s="326"/>
      <c r="RBJ367" s="362"/>
      <c r="RBK367" s="386"/>
      <c r="RBL367" s="658"/>
      <c r="RBM367" s="388"/>
      <c r="RBN367" s="389"/>
      <c r="RBO367" s="590"/>
      <c r="RBP367" s="266"/>
      <c r="RBQ367" s="649"/>
      <c r="RBR367" s="326"/>
      <c r="RBS367" s="362"/>
      <c r="RBT367" s="386"/>
      <c r="RBU367" s="658"/>
      <c r="RBV367" s="388"/>
      <c r="RBW367" s="389"/>
      <c r="RBX367" s="590"/>
      <c r="RBY367" s="266"/>
      <c r="RBZ367" s="649"/>
      <c r="RCA367" s="326"/>
      <c r="RCB367" s="362"/>
      <c r="RCC367" s="386"/>
      <c r="RCD367" s="658"/>
      <c r="RCE367" s="388"/>
      <c r="RCF367" s="389"/>
      <c r="RCG367" s="590"/>
      <c r="RCH367" s="266"/>
      <c r="RCI367" s="649"/>
      <c r="RCJ367" s="326"/>
      <c r="RCK367" s="362"/>
      <c r="RCL367" s="386"/>
      <c r="RCM367" s="658"/>
      <c r="RCN367" s="388"/>
      <c r="RCO367" s="389"/>
      <c r="RCP367" s="590"/>
      <c r="RCQ367" s="266"/>
      <c r="RCR367" s="649"/>
      <c r="RCS367" s="326"/>
      <c r="RCT367" s="362"/>
      <c r="RCU367" s="386"/>
      <c r="RCV367" s="658"/>
      <c r="RCW367" s="388"/>
      <c r="RCX367" s="389"/>
      <c r="RCY367" s="590"/>
      <c r="RCZ367" s="266"/>
      <c r="RDA367" s="649"/>
      <c r="RDB367" s="326"/>
      <c r="RDC367" s="362"/>
      <c r="RDD367" s="386"/>
      <c r="RDE367" s="658"/>
      <c r="RDF367" s="388"/>
      <c r="RDG367" s="389"/>
      <c r="RDH367" s="590"/>
      <c r="RDI367" s="266"/>
      <c r="RDJ367" s="649"/>
      <c r="RDK367" s="326"/>
      <c r="RDL367" s="362"/>
      <c r="RDM367" s="386"/>
      <c r="RDN367" s="658"/>
      <c r="RDO367" s="388"/>
      <c r="RDP367" s="389"/>
      <c r="RDQ367" s="590"/>
      <c r="RDR367" s="266"/>
      <c r="RDS367" s="649"/>
      <c r="RDT367" s="326"/>
      <c r="RDU367" s="362"/>
      <c r="RDV367" s="386"/>
      <c r="RDW367" s="658"/>
      <c r="RDX367" s="388"/>
      <c r="RDY367" s="389"/>
      <c r="RDZ367" s="590"/>
      <c r="REA367" s="266"/>
      <c r="REB367" s="649"/>
      <c r="REC367" s="326"/>
      <c r="RED367" s="362"/>
      <c r="REE367" s="386"/>
      <c r="REF367" s="658"/>
      <c r="REG367" s="388"/>
      <c r="REH367" s="389"/>
      <c r="REI367" s="590"/>
      <c r="REJ367" s="266"/>
      <c r="REK367" s="649"/>
      <c r="REL367" s="326"/>
      <c r="REM367" s="362"/>
      <c r="REN367" s="386"/>
      <c r="REO367" s="658"/>
      <c r="REP367" s="388"/>
      <c r="REQ367" s="389"/>
      <c r="RER367" s="590"/>
      <c r="RES367" s="266"/>
      <c r="RET367" s="649"/>
      <c r="REU367" s="326"/>
      <c r="REV367" s="362"/>
      <c r="REW367" s="386"/>
      <c r="REX367" s="658"/>
      <c r="REY367" s="388"/>
      <c r="REZ367" s="389"/>
      <c r="RFA367" s="590"/>
      <c r="RFB367" s="266"/>
      <c r="RFC367" s="649"/>
      <c r="RFD367" s="326"/>
      <c r="RFE367" s="362"/>
      <c r="RFF367" s="386"/>
      <c r="RFG367" s="658"/>
      <c r="RFH367" s="388"/>
      <c r="RFI367" s="389"/>
      <c r="RFJ367" s="590"/>
      <c r="RFK367" s="266"/>
      <c r="RFL367" s="649"/>
      <c r="RFM367" s="326"/>
      <c r="RFN367" s="362"/>
      <c r="RFO367" s="386"/>
      <c r="RFP367" s="658"/>
      <c r="RFQ367" s="388"/>
      <c r="RFR367" s="389"/>
      <c r="RFS367" s="590"/>
      <c r="RFT367" s="266"/>
      <c r="RFU367" s="649"/>
      <c r="RFV367" s="326"/>
      <c r="RFW367" s="362"/>
      <c r="RFX367" s="386"/>
      <c r="RFY367" s="658"/>
      <c r="RFZ367" s="388"/>
      <c r="RGA367" s="389"/>
      <c r="RGB367" s="590"/>
      <c r="RGC367" s="266"/>
      <c r="RGD367" s="649"/>
      <c r="RGE367" s="326"/>
      <c r="RGF367" s="362"/>
      <c r="RGG367" s="386"/>
      <c r="RGH367" s="658"/>
      <c r="RGI367" s="388"/>
      <c r="RGJ367" s="389"/>
      <c r="RGK367" s="590"/>
      <c r="RGL367" s="266"/>
      <c r="RGM367" s="649"/>
      <c r="RGN367" s="326"/>
      <c r="RGO367" s="362"/>
      <c r="RGP367" s="386"/>
      <c r="RGQ367" s="658"/>
      <c r="RGR367" s="388"/>
      <c r="RGS367" s="389"/>
      <c r="RGT367" s="590"/>
      <c r="RGU367" s="266"/>
      <c r="RGV367" s="649"/>
      <c r="RGW367" s="326"/>
      <c r="RGX367" s="362"/>
      <c r="RGY367" s="386"/>
      <c r="RGZ367" s="658"/>
      <c r="RHA367" s="388"/>
      <c r="RHB367" s="389"/>
      <c r="RHC367" s="590"/>
      <c r="RHD367" s="266"/>
      <c r="RHE367" s="649"/>
      <c r="RHF367" s="326"/>
      <c r="RHG367" s="362"/>
      <c r="RHH367" s="386"/>
      <c r="RHI367" s="658"/>
      <c r="RHJ367" s="388"/>
      <c r="RHK367" s="389"/>
      <c r="RHL367" s="590"/>
      <c r="RHM367" s="266"/>
      <c r="RHN367" s="649"/>
      <c r="RHO367" s="326"/>
      <c r="RHP367" s="362"/>
      <c r="RHQ367" s="386"/>
      <c r="RHR367" s="658"/>
      <c r="RHS367" s="388"/>
      <c r="RHT367" s="389"/>
      <c r="RHU367" s="590"/>
      <c r="RHV367" s="266"/>
      <c r="RHW367" s="649"/>
      <c r="RHX367" s="326"/>
      <c r="RHY367" s="362"/>
      <c r="RHZ367" s="386"/>
      <c r="RIA367" s="658"/>
      <c r="RIB367" s="388"/>
      <c r="RIC367" s="389"/>
      <c r="RID367" s="590"/>
      <c r="RIE367" s="266"/>
      <c r="RIF367" s="649"/>
      <c r="RIG367" s="326"/>
      <c r="RIH367" s="362"/>
      <c r="RII367" s="386"/>
      <c r="RIJ367" s="658"/>
      <c r="RIK367" s="388"/>
      <c r="RIL367" s="389"/>
      <c r="RIM367" s="590"/>
      <c r="RIN367" s="266"/>
      <c r="RIO367" s="649"/>
      <c r="RIP367" s="326"/>
      <c r="RIQ367" s="362"/>
      <c r="RIR367" s="386"/>
      <c r="RIS367" s="658"/>
      <c r="RIT367" s="388"/>
      <c r="RIU367" s="389"/>
      <c r="RIV367" s="590"/>
      <c r="RIW367" s="266"/>
      <c r="RIX367" s="649"/>
      <c r="RIY367" s="326"/>
      <c r="RIZ367" s="362"/>
      <c r="RJA367" s="386"/>
      <c r="RJB367" s="658"/>
      <c r="RJC367" s="388"/>
      <c r="RJD367" s="389"/>
      <c r="RJE367" s="590"/>
      <c r="RJF367" s="266"/>
      <c r="RJG367" s="649"/>
      <c r="RJH367" s="326"/>
      <c r="RJI367" s="362"/>
      <c r="RJJ367" s="386"/>
      <c r="RJK367" s="658"/>
      <c r="RJL367" s="388"/>
      <c r="RJM367" s="389"/>
      <c r="RJN367" s="590"/>
      <c r="RJO367" s="266"/>
      <c r="RJP367" s="649"/>
      <c r="RJQ367" s="326"/>
      <c r="RJR367" s="362"/>
      <c r="RJS367" s="386"/>
      <c r="RJT367" s="658"/>
      <c r="RJU367" s="388"/>
      <c r="RJV367" s="389"/>
      <c r="RJW367" s="590"/>
      <c r="RJX367" s="266"/>
      <c r="RJY367" s="649"/>
      <c r="RJZ367" s="326"/>
      <c r="RKA367" s="362"/>
      <c r="RKB367" s="386"/>
      <c r="RKC367" s="658"/>
      <c r="RKD367" s="388"/>
      <c r="RKE367" s="389"/>
      <c r="RKF367" s="590"/>
      <c r="RKG367" s="266"/>
      <c r="RKH367" s="649"/>
      <c r="RKI367" s="326"/>
      <c r="RKJ367" s="362"/>
      <c r="RKK367" s="386"/>
      <c r="RKL367" s="658"/>
      <c r="RKM367" s="388"/>
      <c r="RKN367" s="389"/>
      <c r="RKO367" s="590"/>
      <c r="RKP367" s="266"/>
      <c r="RKQ367" s="649"/>
      <c r="RKR367" s="326"/>
      <c r="RKS367" s="362"/>
      <c r="RKT367" s="386"/>
      <c r="RKU367" s="658"/>
      <c r="RKV367" s="388"/>
      <c r="RKW367" s="389"/>
      <c r="RKX367" s="590"/>
      <c r="RKY367" s="266"/>
      <c r="RKZ367" s="649"/>
      <c r="RLA367" s="326"/>
      <c r="RLB367" s="362"/>
      <c r="RLC367" s="386"/>
      <c r="RLD367" s="658"/>
      <c r="RLE367" s="388"/>
      <c r="RLF367" s="389"/>
      <c r="RLG367" s="590"/>
      <c r="RLH367" s="266"/>
      <c r="RLI367" s="649"/>
      <c r="RLJ367" s="326"/>
      <c r="RLK367" s="362"/>
      <c r="RLL367" s="386"/>
      <c r="RLM367" s="658"/>
      <c r="RLN367" s="388"/>
      <c r="RLO367" s="389"/>
      <c r="RLP367" s="590"/>
      <c r="RLQ367" s="266"/>
      <c r="RLR367" s="649"/>
      <c r="RLS367" s="326"/>
      <c r="RLT367" s="362"/>
      <c r="RLU367" s="386"/>
      <c r="RLV367" s="658"/>
      <c r="RLW367" s="388"/>
      <c r="RLX367" s="389"/>
      <c r="RLY367" s="590"/>
      <c r="RLZ367" s="266"/>
      <c r="RMA367" s="649"/>
      <c r="RMB367" s="326"/>
      <c r="RMC367" s="362"/>
      <c r="RMD367" s="386"/>
      <c r="RME367" s="658"/>
      <c r="RMF367" s="388"/>
      <c r="RMG367" s="389"/>
      <c r="RMH367" s="590"/>
      <c r="RMI367" s="266"/>
      <c r="RMJ367" s="649"/>
      <c r="RMK367" s="326"/>
      <c r="RML367" s="362"/>
      <c r="RMM367" s="386"/>
      <c r="RMN367" s="658"/>
      <c r="RMO367" s="388"/>
      <c r="RMP367" s="389"/>
      <c r="RMQ367" s="590"/>
      <c r="RMR367" s="266"/>
      <c r="RMS367" s="649"/>
      <c r="RMT367" s="326"/>
      <c r="RMU367" s="362"/>
      <c r="RMV367" s="386"/>
      <c r="RMW367" s="658"/>
      <c r="RMX367" s="388"/>
      <c r="RMY367" s="389"/>
      <c r="RMZ367" s="590"/>
      <c r="RNA367" s="266"/>
      <c r="RNB367" s="649"/>
      <c r="RNC367" s="326"/>
      <c r="RND367" s="362"/>
      <c r="RNE367" s="386"/>
      <c r="RNF367" s="658"/>
      <c r="RNG367" s="388"/>
      <c r="RNH367" s="389"/>
      <c r="RNI367" s="590"/>
      <c r="RNJ367" s="266"/>
      <c r="RNK367" s="649"/>
      <c r="RNL367" s="326"/>
      <c r="RNM367" s="362"/>
      <c r="RNN367" s="386"/>
      <c r="RNO367" s="658"/>
      <c r="RNP367" s="388"/>
      <c r="RNQ367" s="389"/>
      <c r="RNR367" s="590"/>
      <c r="RNS367" s="266"/>
      <c r="RNT367" s="649"/>
      <c r="RNU367" s="326"/>
      <c r="RNV367" s="362"/>
      <c r="RNW367" s="386"/>
      <c r="RNX367" s="658"/>
      <c r="RNY367" s="388"/>
      <c r="RNZ367" s="389"/>
      <c r="ROA367" s="590"/>
      <c r="ROB367" s="266"/>
      <c r="ROC367" s="649"/>
      <c r="ROD367" s="326"/>
      <c r="ROE367" s="362"/>
      <c r="ROF367" s="386"/>
      <c r="ROG367" s="658"/>
      <c r="ROH367" s="388"/>
      <c r="ROI367" s="389"/>
      <c r="ROJ367" s="590"/>
      <c r="ROK367" s="266"/>
      <c r="ROL367" s="649"/>
      <c r="ROM367" s="326"/>
      <c r="RON367" s="362"/>
      <c r="ROO367" s="386"/>
      <c r="ROP367" s="658"/>
      <c r="ROQ367" s="388"/>
      <c r="ROR367" s="389"/>
      <c r="ROS367" s="590"/>
      <c r="ROT367" s="266"/>
      <c r="ROU367" s="649"/>
      <c r="ROV367" s="326"/>
      <c r="ROW367" s="362"/>
      <c r="ROX367" s="386"/>
      <c r="ROY367" s="658"/>
      <c r="ROZ367" s="388"/>
      <c r="RPA367" s="389"/>
      <c r="RPB367" s="590"/>
      <c r="RPC367" s="266"/>
      <c r="RPD367" s="649"/>
      <c r="RPE367" s="326"/>
      <c r="RPF367" s="362"/>
      <c r="RPG367" s="386"/>
      <c r="RPH367" s="658"/>
      <c r="RPI367" s="388"/>
      <c r="RPJ367" s="389"/>
      <c r="RPK367" s="590"/>
      <c r="RPL367" s="266"/>
      <c r="RPM367" s="649"/>
      <c r="RPN367" s="326"/>
      <c r="RPO367" s="362"/>
      <c r="RPP367" s="386"/>
      <c r="RPQ367" s="658"/>
      <c r="RPR367" s="388"/>
      <c r="RPS367" s="389"/>
      <c r="RPT367" s="590"/>
      <c r="RPU367" s="266"/>
      <c r="RPV367" s="649"/>
      <c r="RPW367" s="326"/>
      <c r="RPX367" s="362"/>
      <c r="RPY367" s="386"/>
      <c r="RPZ367" s="658"/>
      <c r="RQA367" s="388"/>
      <c r="RQB367" s="389"/>
      <c r="RQC367" s="590"/>
      <c r="RQD367" s="266"/>
      <c r="RQE367" s="649"/>
      <c r="RQF367" s="326"/>
      <c r="RQG367" s="362"/>
      <c r="RQH367" s="386"/>
      <c r="RQI367" s="658"/>
      <c r="RQJ367" s="388"/>
      <c r="RQK367" s="389"/>
      <c r="RQL367" s="590"/>
      <c r="RQM367" s="266"/>
      <c r="RQN367" s="649"/>
      <c r="RQO367" s="326"/>
      <c r="RQP367" s="362"/>
      <c r="RQQ367" s="386"/>
      <c r="RQR367" s="658"/>
      <c r="RQS367" s="388"/>
      <c r="RQT367" s="389"/>
      <c r="RQU367" s="590"/>
      <c r="RQV367" s="266"/>
      <c r="RQW367" s="649"/>
      <c r="RQX367" s="326"/>
      <c r="RQY367" s="362"/>
      <c r="RQZ367" s="386"/>
      <c r="RRA367" s="658"/>
      <c r="RRB367" s="388"/>
      <c r="RRC367" s="389"/>
      <c r="RRD367" s="590"/>
      <c r="RRE367" s="266"/>
      <c r="RRF367" s="649"/>
      <c r="RRG367" s="326"/>
      <c r="RRH367" s="362"/>
      <c r="RRI367" s="386"/>
      <c r="RRJ367" s="658"/>
      <c r="RRK367" s="388"/>
      <c r="RRL367" s="389"/>
      <c r="RRM367" s="590"/>
      <c r="RRN367" s="266"/>
      <c r="RRO367" s="649"/>
      <c r="RRP367" s="326"/>
      <c r="RRQ367" s="362"/>
      <c r="RRR367" s="386"/>
      <c r="RRS367" s="658"/>
      <c r="RRT367" s="388"/>
      <c r="RRU367" s="389"/>
      <c r="RRV367" s="590"/>
      <c r="RRW367" s="266"/>
      <c r="RRX367" s="649"/>
      <c r="RRY367" s="326"/>
      <c r="RRZ367" s="362"/>
      <c r="RSA367" s="386"/>
      <c r="RSB367" s="658"/>
      <c r="RSC367" s="388"/>
      <c r="RSD367" s="389"/>
      <c r="RSE367" s="590"/>
      <c r="RSF367" s="266"/>
      <c r="RSG367" s="649"/>
      <c r="RSH367" s="326"/>
      <c r="RSI367" s="362"/>
      <c r="RSJ367" s="386"/>
      <c r="RSK367" s="658"/>
      <c r="RSL367" s="388"/>
      <c r="RSM367" s="389"/>
      <c r="RSN367" s="590"/>
      <c r="RSO367" s="266"/>
      <c r="RSP367" s="649"/>
      <c r="RSQ367" s="326"/>
      <c r="RSR367" s="362"/>
      <c r="RSS367" s="386"/>
      <c r="RST367" s="658"/>
      <c r="RSU367" s="388"/>
      <c r="RSV367" s="389"/>
      <c r="RSW367" s="590"/>
      <c r="RSX367" s="266"/>
      <c r="RSY367" s="649"/>
      <c r="RSZ367" s="326"/>
      <c r="RTA367" s="362"/>
      <c r="RTB367" s="386"/>
      <c r="RTC367" s="658"/>
      <c r="RTD367" s="388"/>
      <c r="RTE367" s="389"/>
      <c r="RTF367" s="590"/>
      <c r="RTG367" s="266"/>
      <c r="RTH367" s="649"/>
      <c r="RTI367" s="326"/>
      <c r="RTJ367" s="362"/>
      <c r="RTK367" s="386"/>
      <c r="RTL367" s="658"/>
      <c r="RTM367" s="388"/>
      <c r="RTN367" s="389"/>
      <c r="RTO367" s="590"/>
      <c r="RTP367" s="266"/>
      <c r="RTQ367" s="649"/>
      <c r="RTR367" s="326"/>
      <c r="RTS367" s="362"/>
      <c r="RTT367" s="386"/>
      <c r="RTU367" s="658"/>
      <c r="RTV367" s="388"/>
      <c r="RTW367" s="389"/>
      <c r="RTX367" s="590"/>
      <c r="RTY367" s="266"/>
      <c r="RTZ367" s="649"/>
      <c r="RUA367" s="326"/>
      <c r="RUB367" s="362"/>
      <c r="RUC367" s="386"/>
      <c r="RUD367" s="658"/>
      <c r="RUE367" s="388"/>
      <c r="RUF367" s="389"/>
      <c r="RUG367" s="590"/>
      <c r="RUH367" s="266"/>
      <c r="RUI367" s="649"/>
      <c r="RUJ367" s="326"/>
      <c r="RUK367" s="362"/>
      <c r="RUL367" s="386"/>
      <c r="RUM367" s="658"/>
      <c r="RUN367" s="388"/>
      <c r="RUO367" s="389"/>
      <c r="RUP367" s="590"/>
      <c r="RUQ367" s="266"/>
      <c r="RUR367" s="649"/>
      <c r="RUS367" s="326"/>
      <c r="RUT367" s="362"/>
      <c r="RUU367" s="386"/>
      <c r="RUV367" s="658"/>
      <c r="RUW367" s="388"/>
      <c r="RUX367" s="389"/>
      <c r="RUY367" s="590"/>
      <c r="RUZ367" s="266"/>
      <c r="RVA367" s="649"/>
      <c r="RVB367" s="326"/>
      <c r="RVC367" s="362"/>
      <c r="RVD367" s="386"/>
      <c r="RVE367" s="658"/>
      <c r="RVF367" s="388"/>
      <c r="RVG367" s="389"/>
      <c r="RVH367" s="590"/>
      <c r="RVI367" s="266"/>
      <c r="RVJ367" s="649"/>
      <c r="RVK367" s="326"/>
      <c r="RVL367" s="362"/>
      <c r="RVM367" s="386"/>
      <c r="RVN367" s="658"/>
      <c r="RVO367" s="388"/>
      <c r="RVP367" s="389"/>
      <c r="RVQ367" s="590"/>
      <c r="RVR367" s="266"/>
      <c r="RVS367" s="649"/>
      <c r="RVT367" s="326"/>
      <c r="RVU367" s="362"/>
      <c r="RVV367" s="386"/>
      <c r="RVW367" s="658"/>
      <c r="RVX367" s="388"/>
      <c r="RVY367" s="389"/>
      <c r="RVZ367" s="590"/>
      <c r="RWA367" s="266"/>
      <c r="RWB367" s="649"/>
      <c r="RWC367" s="326"/>
      <c r="RWD367" s="362"/>
      <c r="RWE367" s="386"/>
      <c r="RWF367" s="658"/>
      <c r="RWG367" s="388"/>
      <c r="RWH367" s="389"/>
      <c r="RWI367" s="590"/>
      <c r="RWJ367" s="266"/>
      <c r="RWK367" s="649"/>
      <c r="RWL367" s="326"/>
      <c r="RWM367" s="362"/>
      <c r="RWN367" s="386"/>
      <c r="RWO367" s="658"/>
      <c r="RWP367" s="388"/>
      <c r="RWQ367" s="389"/>
      <c r="RWR367" s="590"/>
      <c r="RWS367" s="266"/>
      <c r="RWT367" s="649"/>
      <c r="RWU367" s="326"/>
      <c r="RWV367" s="362"/>
      <c r="RWW367" s="386"/>
      <c r="RWX367" s="658"/>
      <c r="RWY367" s="388"/>
      <c r="RWZ367" s="389"/>
      <c r="RXA367" s="590"/>
      <c r="RXB367" s="266"/>
      <c r="RXC367" s="649"/>
      <c r="RXD367" s="326"/>
      <c r="RXE367" s="362"/>
      <c r="RXF367" s="386"/>
      <c r="RXG367" s="658"/>
      <c r="RXH367" s="388"/>
      <c r="RXI367" s="389"/>
      <c r="RXJ367" s="590"/>
      <c r="RXK367" s="266"/>
      <c r="RXL367" s="649"/>
      <c r="RXM367" s="326"/>
      <c r="RXN367" s="362"/>
      <c r="RXO367" s="386"/>
      <c r="RXP367" s="658"/>
      <c r="RXQ367" s="388"/>
      <c r="RXR367" s="389"/>
      <c r="RXS367" s="590"/>
      <c r="RXT367" s="266"/>
      <c r="RXU367" s="649"/>
      <c r="RXV367" s="326"/>
      <c r="RXW367" s="362"/>
      <c r="RXX367" s="386"/>
      <c r="RXY367" s="658"/>
      <c r="RXZ367" s="388"/>
      <c r="RYA367" s="389"/>
      <c r="RYB367" s="590"/>
      <c r="RYC367" s="266"/>
      <c r="RYD367" s="649"/>
      <c r="RYE367" s="326"/>
      <c r="RYF367" s="362"/>
      <c r="RYG367" s="386"/>
      <c r="RYH367" s="658"/>
      <c r="RYI367" s="388"/>
      <c r="RYJ367" s="389"/>
      <c r="RYK367" s="590"/>
      <c r="RYL367" s="266"/>
      <c r="RYM367" s="649"/>
      <c r="RYN367" s="326"/>
      <c r="RYO367" s="362"/>
      <c r="RYP367" s="386"/>
      <c r="RYQ367" s="658"/>
      <c r="RYR367" s="388"/>
      <c r="RYS367" s="389"/>
      <c r="RYT367" s="590"/>
      <c r="RYU367" s="266"/>
      <c r="RYV367" s="649"/>
      <c r="RYW367" s="326"/>
      <c r="RYX367" s="362"/>
      <c r="RYY367" s="386"/>
      <c r="RYZ367" s="658"/>
      <c r="RZA367" s="388"/>
      <c r="RZB367" s="389"/>
      <c r="RZC367" s="590"/>
      <c r="RZD367" s="266"/>
      <c r="RZE367" s="649"/>
      <c r="RZF367" s="326"/>
      <c r="RZG367" s="362"/>
      <c r="RZH367" s="386"/>
      <c r="RZI367" s="658"/>
      <c r="RZJ367" s="388"/>
      <c r="RZK367" s="389"/>
      <c r="RZL367" s="590"/>
      <c r="RZM367" s="266"/>
      <c r="RZN367" s="649"/>
      <c r="RZO367" s="326"/>
      <c r="RZP367" s="362"/>
      <c r="RZQ367" s="386"/>
      <c r="RZR367" s="658"/>
      <c r="RZS367" s="388"/>
      <c r="RZT367" s="389"/>
      <c r="RZU367" s="590"/>
      <c r="RZV367" s="266"/>
      <c r="RZW367" s="649"/>
      <c r="RZX367" s="326"/>
      <c r="RZY367" s="362"/>
      <c r="RZZ367" s="386"/>
      <c r="SAA367" s="658"/>
      <c r="SAB367" s="388"/>
      <c r="SAC367" s="389"/>
      <c r="SAD367" s="590"/>
      <c r="SAE367" s="266"/>
      <c r="SAF367" s="649"/>
      <c r="SAG367" s="326"/>
      <c r="SAH367" s="362"/>
      <c r="SAI367" s="386"/>
      <c r="SAJ367" s="658"/>
      <c r="SAK367" s="388"/>
      <c r="SAL367" s="389"/>
      <c r="SAM367" s="590"/>
      <c r="SAN367" s="266"/>
      <c r="SAO367" s="649"/>
      <c r="SAP367" s="326"/>
      <c r="SAQ367" s="362"/>
      <c r="SAR367" s="386"/>
      <c r="SAS367" s="658"/>
      <c r="SAT367" s="388"/>
      <c r="SAU367" s="389"/>
      <c r="SAV367" s="590"/>
      <c r="SAW367" s="266"/>
      <c r="SAX367" s="649"/>
      <c r="SAY367" s="326"/>
      <c r="SAZ367" s="362"/>
      <c r="SBA367" s="386"/>
      <c r="SBB367" s="658"/>
      <c r="SBC367" s="388"/>
      <c r="SBD367" s="389"/>
      <c r="SBE367" s="590"/>
      <c r="SBF367" s="266"/>
      <c r="SBG367" s="649"/>
      <c r="SBH367" s="326"/>
      <c r="SBI367" s="362"/>
      <c r="SBJ367" s="386"/>
      <c r="SBK367" s="658"/>
      <c r="SBL367" s="388"/>
      <c r="SBM367" s="389"/>
      <c r="SBN367" s="590"/>
      <c r="SBO367" s="266"/>
      <c r="SBP367" s="649"/>
      <c r="SBQ367" s="326"/>
      <c r="SBR367" s="362"/>
      <c r="SBS367" s="386"/>
      <c r="SBT367" s="658"/>
      <c r="SBU367" s="388"/>
      <c r="SBV367" s="389"/>
      <c r="SBW367" s="590"/>
      <c r="SBX367" s="266"/>
      <c r="SBY367" s="649"/>
      <c r="SBZ367" s="326"/>
      <c r="SCA367" s="362"/>
      <c r="SCB367" s="386"/>
      <c r="SCC367" s="658"/>
      <c r="SCD367" s="388"/>
      <c r="SCE367" s="389"/>
      <c r="SCF367" s="590"/>
      <c r="SCG367" s="266"/>
      <c r="SCH367" s="649"/>
      <c r="SCI367" s="326"/>
      <c r="SCJ367" s="362"/>
      <c r="SCK367" s="386"/>
      <c r="SCL367" s="658"/>
      <c r="SCM367" s="388"/>
      <c r="SCN367" s="389"/>
      <c r="SCO367" s="590"/>
      <c r="SCP367" s="266"/>
      <c r="SCQ367" s="649"/>
      <c r="SCR367" s="326"/>
      <c r="SCS367" s="362"/>
      <c r="SCT367" s="386"/>
      <c r="SCU367" s="658"/>
      <c r="SCV367" s="388"/>
      <c r="SCW367" s="389"/>
      <c r="SCX367" s="590"/>
      <c r="SCY367" s="266"/>
      <c r="SCZ367" s="649"/>
      <c r="SDA367" s="326"/>
      <c r="SDB367" s="362"/>
      <c r="SDC367" s="386"/>
      <c r="SDD367" s="658"/>
      <c r="SDE367" s="388"/>
      <c r="SDF367" s="389"/>
      <c r="SDG367" s="590"/>
      <c r="SDH367" s="266"/>
      <c r="SDI367" s="649"/>
      <c r="SDJ367" s="326"/>
      <c r="SDK367" s="362"/>
      <c r="SDL367" s="386"/>
      <c r="SDM367" s="658"/>
      <c r="SDN367" s="388"/>
      <c r="SDO367" s="389"/>
      <c r="SDP367" s="590"/>
      <c r="SDQ367" s="266"/>
      <c r="SDR367" s="649"/>
      <c r="SDS367" s="326"/>
      <c r="SDT367" s="362"/>
      <c r="SDU367" s="386"/>
      <c r="SDV367" s="658"/>
      <c r="SDW367" s="388"/>
      <c r="SDX367" s="389"/>
      <c r="SDY367" s="590"/>
      <c r="SDZ367" s="266"/>
      <c r="SEA367" s="649"/>
      <c r="SEB367" s="326"/>
      <c r="SEC367" s="362"/>
      <c r="SED367" s="386"/>
      <c r="SEE367" s="658"/>
      <c r="SEF367" s="388"/>
      <c r="SEG367" s="389"/>
      <c r="SEH367" s="590"/>
      <c r="SEI367" s="266"/>
      <c r="SEJ367" s="649"/>
      <c r="SEK367" s="326"/>
      <c r="SEL367" s="362"/>
      <c r="SEM367" s="386"/>
      <c r="SEN367" s="658"/>
      <c r="SEO367" s="388"/>
      <c r="SEP367" s="389"/>
      <c r="SEQ367" s="590"/>
      <c r="SER367" s="266"/>
      <c r="SES367" s="649"/>
      <c r="SET367" s="326"/>
      <c r="SEU367" s="362"/>
      <c r="SEV367" s="386"/>
      <c r="SEW367" s="658"/>
      <c r="SEX367" s="388"/>
      <c r="SEY367" s="389"/>
      <c r="SEZ367" s="590"/>
      <c r="SFA367" s="266"/>
      <c r="SFB367" s="649"/>
      <c r="SFC367" s="326"/>
      <c r="SFD367" s="362"/>
      <c r="SFE367" s="386"/>
      <c r="SFF367" s="658"/>
      <c r="SFG367" s="388"/>
      <c r="SFH367" s="389"/>
      <c r="SFI367" s="590"/>
      <c r="SFJ367" s="266"/>
      <c r="SFK367" s="649"/>
      <c r="SFL367" s="326"/>
      <c r="SFM367" s="362"/>
      <c r="SFN367" s="386"/>
      <c r="SFO367" s="658"/>
      <c r="SFP367" s="388"/>
      <c r="SFQ367" s="389"/>
      <c r="SFR367" s="590"/>
      <c r="SFS367" s="266"/>
      <c r="SFT367" s="649"/>
      <c r="SFU367" s="326"/>
      <c r="SFV367" s="362"/>
      <c r="SFW367" s="386"/>
      <c r="SFX367" s="658"/>
      <c r="SFY367" s="388"/>
      <c r="SFZ367" s="389"/>
      <c r="SGA367" s="590"/>
      <c r="SGB367" s="266"/>
      <c r="SGC367" s="649"/>
      <c r="SGD367" s="326"/>
      <c r="SGE367" s="362"/>
      <c r="SGF367" s="386"/>
      <c r="SGG367" s="658"/>
      <c r="SGH367" s="388"/>
      <c r="SGI367" s="389"/>
      <c r="SGJ367" s="590"/>
      <c r="SGK367" s="266"/>
      <c r="SGL367" s="649"/>
      <c r="SGM367" s="326"/>
      <c r="SGN367" s="362"/>
      <c r="SGO367" s="386"/>
      <c r="SGP367" s="658"/>
      <c r="SGQ367" s="388"/>
      <c r="SGR367" s="389"/>
      <c r="SGS367" s="590"/>
      <c r="SGT367" s="266"/>
      <c r="SGU367" s="649"/>
      <c r="SGV367" s="326"/>
      <c r="SGW367" s="362"/>
      <c r="SGX367" s="386"/>
      <c r="SGY367" s="658"/>
      <c r="SGZ367" s="388"/>
      <c r="SHA367" s="389"/>
      <c r="SHB367" s="590"/>
      <c r="SHC367" s="266"/>
      <c r="SHD367" s="649"/>
      <c r="SHE367" s="326"/>
      <c r="SHF367" s="362"/>
      <c r="SHG367" s="386"/>
      <c r="SHH367" s="658"/>
      <c r="SHI367" s="388"/>
      <c r="SHJ367" s="389"/>
      <c r="SHK367" s="590"/>
      <c r="SHL367" s="266"/>
      <c r="SHM367" s="649"/>
      <c r="SHN367" s="326"/>
      <c r="SHO367" s="362"/>
      <c r="SHP367" s="386"/>
      <c r="SHQ367" s="658"/>
      <c r="SHR367" s="388"/>
      <c r="SHS367" s="389"/>
      <c r="SHT367" s="590"/>
      <c r="SHU367" s="266"/>
      <c r="SHV367" s="649"/>
      <c r="SHW367" s="326"/>
      <c r="SHX367" s="362"/>
      <c r="SHY367" s="386"/>
      <c r="SHZ367" s="658"/>
      <c r="SIA367" s="388"/>
      <c r="SIB367" s="389"/>
      <c r="SIC367" s="590"/>
      <c r="SID367" s="266"/>
      <c r="SIE367" s="649"/>
      <c r="SIF367" s="326"/>
      <c r="SIG367" s="362"/>
      <c r="SIH367" s="386"/>
      <c r="SII367" s="658"/>
      <c r="SIJ367" s="388"/>
      <c r="SIK367" s="389"/>
      <c r="SIL367" s="590"/>
      <c r="SIM367" s="266"/>
      <c r="SIN367" s="649"/>
      <c r="SIO367" s="326"/>
      <c r="SIP367" s="362"/>
      <c r="SIQ367" s="386"/>
      <c r="SIR367" s="658"/>
      <c r="SIS367" s="388"/>
      <c r="SIT367" s="389"/>
      <c r="SIU367" s="590"/>
      <c r="SIV367" s="266"/>
      <c r="SIW367" s="649"/>
      <c r="SIX367" s="326"/>
      <c r="SIY367" s="362"/>
      <c r="SIZ367" s="386"/>
      <c r="SJA367" s="658"/>
      <c r="SJB367" s="388"/>
      <c r="SJC367" s="389"/>
      <c r="SJD367" s="590"/>
      <c r="SJE367" s="266"/>
      <c r="SJF367" s="649"/>
      <c r="SJG367" s="326"/>
      <c r="SJH367" s="362"/>
      <c r="SJI367" s="386"/>
      <c r="SJJ367" s="658"/>
      <c r="SJK367" s="388"/>
      <c r="SJL367" s="389"/>
      <c r="SJM367" s="590"/>
      <c r="SJN367" s="266"/>
      <c r="SJO367" s="649"/>
      <c r="SJP367" s="326"/>
      <c r="SJQ367" s="362"/>
      <c r="SJR367" s="386"/>
      <c r="SJS367" s="658"/>
      <c r="SJT367" s="388"/>
      <c r="SJU367" s="389"/>
      <c r="SJV367" s="590"/>
      <c r="SJW367" s="266"/>
      <c r="SJX367" s="649"/>
      <c r="SJY367" s="326"/>
      <c r="SJZ367" s="362"/>
      <c r="SKA367" s="386"/>
      <c r="SKB367" s="658"/>
      <c r="SKC367" s="388"/>
      <c r="SKD367" s="389"/>
      <c r="SKE367" s="590"/>
      <c r="SKF367" s="266"/>
      <c r="SKG367" s="649"/>
      <c r="SKH367" s="326"/>
      <c r="SKI367" s="362"/>
      <c r="SKJ367" s="386"/>
      <c r="SKK367" s="658"/>
      <c r="SKL367" s="388"/>
      <c r="SKM367" s="389"/>
      <c r="SKN367" s="590"/>
      <c r="SKO367" s="266"/>
      <c r="SKP367" s="649"/>
      <c r="SKQ367" s="326"/>
      <c r="SKR367" s="362"/>
      <c r="SKS367" s="386"/>
      <c r="SKT367" s="658"/>
      <c r="SKU367" s="388"/>
      <c r="SKV367" s="389"/>
      <c r="SKW367" s="590"/>
      <c r="SKX367" s="266"/>
      <c r="SKY367" s="649"/>
      <c r="SKZ367" s="326"/>
      <c r="SLA367" s="362"/>
      <c r="SLB367" s="386"/>
      <c r="SLC367" s="658"/>
      <c r="SLD367" s="388"/>
      <c r="SLE367" s="389"/>
      <c r="SLF367" s="590"/>
      <c r="SLG367" s="266"/>
      <c r="SLH367" s="649"/>
      <c r="SLI367" s="326"/>
      <c r="SLJ367" s="362"/>
      <c r="SLK367" s="386"/>
      <c r="SLL367" s="658"/>
      <c r="SLM367" s="388"/>
      <c r="SLN367" s="389"/>
      <c r="SLO367" s="590"/>
      <c r="SLP367" s="266"/>
      <c r="SLQ367" s="649"/>
      <c r="SLR367" s="326"/>
      <c r="SLS367" s="362"/>
      <c r="SLT367" s="386"/>
      <c r="SLU367" s="658"/>
      <c r="SLV367" s="388"/>
      <c r="SLW367" s="389"/>
      <c r="SLX367" s="590"/>
      <c r="SLY367" s="266"/>
      <c r="SLZ367" s="649"/>
      <c r="SMA367" s="326"/>
      <c r="SMB367" s="362"/>
      <c r="SMC367" s="386"/>
      <c r="SMD367" s="658"/>
      <c r="SME367" s="388"/>
      <c r="SMF367" s="389"/>
      <c r="SMG367" s="590"/>
      <c r="SMH367" s="266"/>
      <c r="SMI367" s="649"/>
      <c r="SMJ367" s="326"/>
      <c r="SMK367" s="362"/>
      <c r="SML367" s="386"/>
      <c r="SMM367" s="658"/>
      <c r="SMN367" s="388"/>
      <c r="SMO367" s="389"/>
      <c r="SMP367" s="590"/>
      <c r="SMQ367" s="266"/>
      <c r="SMR367" s="649"/>
      <c r="SMS367" s="326"/>
      <c r="SMT367" s="362"/>
      <c r="SMU367" s="386"/>
      <c r="SMV367" s="658"/>
      <c r="SMW367" s="388"/>
      <c r="SMX367" s="389"/>
      <c r="SMY367" s="590"/>
      <c r="SMZ367" s="266"/>
      <c r="SNA367" s="649"/>
      <c r="SNB367" s="326"/>
      <c r="SNC367" s="362"/>
      <c r="SND367" s="386"/>
      <c r="SNE367" s="658"/>
      <c r="SNF367" s="388"/>
      <c r="SNG367" s="389"/>
      <c r="SNH367" s="590"/>
      <c r="SNI367" s="266"/>
      <c r="SNJ367" s="649"/>
      <c r="SNK367" s="326"/>
      <c r="SNL367" s="362"/>
      <c r="SNM367" s="386"/>
      <c r="SNN367" s="658"/>
      <c r="SNO367" s="388"/>
      <c r="SNP367" s="389"/>
      <c r="SNQ367" s="590"/>
      <c r="SNR367" s="266"/>
      <c r="SNS367" s="649"/>
      <c r="SNT367" s="326"/>
      <c r="SNU367" s="362"/>
      <c r="SNV367" s="386"/>
      <c r="SNW367" s="658"/>
      <c r="SNX367" s="388"/>
      <c r="SNY367" s="389"/>
      <c r="SNZ367" s="590"/>
      <c r="SOA367" s="266"/>
      <c r="SOB367" s="649"/>
      <c r="SOC367" s="326"/>
      <c r="SOD367" s="362"/>
      <c r="SOE367" s="386"/>
      <c r="SOF367" s="658"/>
      <c r="SOG367" s="388"/>
      <c r="SOH367" s="389"/>
      <c r="SOI367" s="590"/>
      <c r="SOJ367" s="266"/>
      <c r="SOK367" s="649"/>
      <c r="SOL367" s="326"/>
      <c r="SOM367" s="362"/>
      <c r="SON367" s="386"/>
      <c r="SOO367" s="658"/>
      <c r="SOP367" s="388"/>
      <c r="SOQ367" s="389"/>
      <c r="SOR367" s="590"/>
      <c r="SOS367" s="266"/>
      <c r="SOT367" s="649"/>
      <c r="SOU367" s="326"/>
      <c r="SOV367" s="362"/>
      <c r="SOW367" s="386"/>
      <c r="SOX367" s="658"/>
      <c r="SOY367" s="388"/>
      <c r="SOZ367" s="389"/>
      <c r="SPA367" s="590"/>
      <c r="SPB367" s="266"/>
      <c r="SPC367" s="649"/>
      <c r="SPD367" s="326"/>
      <c r="SPE367" s="362"/>
      <c r="SPF367" s="386"/>
      <c r="SPG367" s="658"/>
      <c r="SPH367" s="388"/>
      <c r="SPI367" s="389"/>
      <c r="SPJ367" s="590"/>
      <c r="SPK367" s="266"/>
      <c r="SPL367" s="649"/>
      <c r="SPM367" s="326"/>
      <c r="SPN367" s="362"/>
      <c r="SPO367" s="386"/>
      <c r="SPP367" s="658"/>
      <c r="SPQ367" s="388"/>
      <c r="SPR367" s="389"/>
      <c r="SPS367" s="590"/>
      <c r="SPT367" s="266"/>
      <c r="SPU367" s="649"/>
      <c r="SPV367" s="326"/>
      <c r="SPW367" s="362"/>
      <c r="SPX367" s="386"/>
      <c r="SPY367" s="658"/>
      <c r="SPZ367" s="388"/>
      <c r="SQA367" s="389"/>
      <c r="SQB367" s="590"/>
      <c r="SQC367" s="266"/>
      <c r="SQD367" s="649"/>
      <c r="SQE367" s="326"/>
      <c r="SQF367" s="362"/>
      <c r="SQG367" s="386"/>
      <c r="SQH367" s="658"/>
      <c r="SQI367" s="388"/>
      <c r="SQJ367" s="389"/>
      <c r="SQK367" s="590"/>
      <c r="SQL367" s="266"/>
      <c r="SQM367" s="649"/>
      <c r="SQN367" s="326"/>
      <c r="SQO367" s="362"/>
      <c r="SQP367" s="386"/>
      <c r="SQQ367" s="658"/>
      <c r="SQR367" s="388"/>
      <c r="SQS367" s="389"/>
      <c r="SQT367" s="590"/>
      <c r="SQU367" s="266"/>
      <c r="SQV367" s="649"/>
      <c r="SQW367" s="326"/>
      <c r="SQX367" s="362"/>
      <c r="SQY367" s="386"/>
      <c r="SQZ367" s="658"/>
      <c r="SRA367" s="388"/>
      <c r="SRB367" s="389"/>
      <c r="SRC367" s="590"/>
      <c r="SRD367" s="266"/>
      <c r="SRE367" s="649"/>
      <c r="SRF367" s="326"/>
      <c r="SRG367" s="362"/>
      <c r="SRH367" s="386"/>
      <c r="SRI367" s="658"/>
      <c r="SRJ367" s="388"/>
      <c r="SRK367" s="389"/>
      <c r="SRL367" s="590"/>
      <c r="SRM367" s="266"/>
      <c r="SRN367" s="649"/>
      <c r="SRO367" s="326"/>
      <c r="SRP367" s="362"/>
      <c r="SRQ367" s="386"/>
      <c r="SRR367" s="658"/>
      <c r="SRS367" s="388"/>
      <c r="SRT367" s="389"/>
      <c r="SRU367" s="590"/>
      <c r="SRV367" s="266"/>
      <c r="SRW367" s="649"/>
      <c r="SRX367" s="326"/>
      <c r="SRY367" s="362"/>
      <c r="SRZ367" s="386"/>
      <c r="SSA367" s="658"/>
      <c r="SSB367" s="388"/>
      <c r="SSC367" s="389"/>
      <c r="SSD367" s="590"/>
      <c r="SSE367" s="266"/>
      <c r="SSF367" s="649"/>
      <c r="SSG367" s="326"/>
      <c r="SSH367" s="362"/>
      <c r="SSI367" s="386"/>
      <c r="SSJ367" s="658"/>
      <c r="SSK367" s="388"/>
      <c r="SSL367" s="389"/>
      <c r="SSM367" s="590"/>
      <c r="SSN367" s="266"/>
      <c r="SSO367" s="649"/>
      <c r="SSP367" s="326"/>
      <c r="SSQ367" s="362"/>
      <c r="SSR367" s="386"/>
      <c r="SSS367" s="658"/>
      <c r="SST367" s="388"/>
      <c r="SSU367" s="389"/>
      <c r="SSV367" s="590"/>
      <c r="SSW367" s="266"/>
      <c r="SSX367" s="649"/>
      <c r="SSY367" s="326"/>
      <c r="SSZ367" s="362"/>
      <c r="STA367" s="386"/>
      <c r="STB367" s="658"/>
      <c r="STC367" s="388"/>
      <c r="STD367" s="389"/>
      <c r="STE367" s="590"/>
      <c r="STF367" s="266"/>
      <c r="STG367" s="649"/>
      <c r="STH367" s="326"/>
      <c r="STI367" s="362"/>
      <c r="STJ367" s="386"/>
      <c r="STK367" s="658"/>
      <c r="STL367" s="388"/>
      <c r="STM367" s="389"/>
      <c r="STN367" s="590"/>
      <c r="STO367" s="266"/>
      <c r="STP367" s="649"/>
      <c r="STQ367" s="326"/>
      <c r="STR367" s="362"/>
      <c r="STS367" s="386"/>
      <c r="STT367" s="658"/>
      <c r="STU367" s="388"/>
      <c r="STV367" s="389"/>
      <c r="STW367" s="590"/>
      <c r="STX367" s="266"/>
      <c r="STY367" s="649"/>
      <c r="STZ367" s="326"/>
      <c r="SUA367" s="362"/>
      <c r="SUB367" s="386"/>
      <c r="SUC367" s="658"/>
      <c r="SUD367" s="388"/>
      <c r="SUE367" s="389"/>
      <c r="SUF367" s="590"/>
      <c r="SUG367" s="266"/>
      <c r="SUH367" s="649"/>
      <c r="SUI367" s="326"/>
      <c r="SUJ367" s="362"/>
      <c r="SUK367" s="386"/>
      <c r="SUL367" s="658"/>
      <c r="SUM367" s="388"/>
      <c r="SUN367" s="389"/>
      <c r="SUO367" s="590"/>
      <c r="SUP367" s="266"/>
      <c r="SUQ367" s="649"/>
      <c r="SUR367" s="326"/>
      <c r="SUS367" s="362"/>
      <c r="SUT367" s="386"/>
      <c r="SUU367" s="658"/>
      <c r="SUV367" s="388"/>
      <c r="SUW367" s="389"/>
      <c r="SUX367" s="590"/>
      <c r="SUY367" s="266"/>
      <c r="SUZ367" s="649"/>
      <c r="SVA367" s="326"/>
      <c r="SVB367" s="362"/>
      <c r="SVC367" s="386"/>
      <c r="SVD367" s="658"/>
      <c r="SVE367" s="388"/>
      <c r="SVF367" s="389"/>
      <c r="SVG367" s="590"/>
      <c r="SVH367" s="266"/>
      <c r="SVI367" s="649"/>
      <c r="SVJ367" s="326"/>
      <c r="SVK367" s="362"/>
      <c r="SVL367" s="386"/>
      <c r="SVM367" s="658"/>
      <c r="SVN367" s="388"/>
      <c r="SVO367" s="389"/>
      <c r="SVP367" s="590"/>
      <c r="SVQ367" s="266"/>
      <c r="SVR367" s="649"/>
      <c r="SVS367" s="326"/>
      <c r="SVT367" s="362"/>
      <c r="SVU367" s="386"/>
      <c r="SVV367" s="658"/>
      <c r="SVW367" s="388"/>
      <c r="SVX367" s="389"/>
      <c r="SVY367" s="590"/>
      <c r="SVZ367" s="266"/>
      <c r="SWA367" s="649"/>
      <c r="SWB367" s="326"/>
      <c r="SWC367" s="362"/>
      <c r="SWD367" s="386"/>
      <c r="SWE367" s="658"/>
      <c r="SWF367" s="388"/>
      <c r="SWG367" s="389"/>
      <c r="SWH367" s="590"/>
      <c r="SWI367" s="266"/>
      <c r="SWJ367" s="649"/>
      <c r="SWK367" s="326"/>
      <c r="SWL367" s="362"/>
      <c r="SWM367" s="386"/>
      <c r="SWN367" s="658"/>
      <c r="SWO367" s="388"/>
      <c r="SWP367" s="389"/>
      <c r="SWQ367" s="590"/>
      <c r="SWR367" s="266"/>
      <c r="SWS367" s="649"/>
      <c r="SWT367" s="326"/>
      <c r="SWU367" s="362"/>
      <c r="SWV367" s="386"/>
      <c r="SWW367" s="658"/>
      <c r="SWX367" s="388"/>
      <c r="SWY367" s="389"/>
      <c r="SWZ367" s="590"/>
      <c r="SXA367" s="266"/>
      <c r="SXB367" s="649"/>
      <c r="SXC367" s="326"/>
      <c r="SXD367" s="362"/>
      <c r="SXE367" s="386"/>
      <c r="SXF367" s="658"/>
      <c r="SXG367" s="388"/>
      <c r="SXH367" s="389"/>
      <c r="SXI367" s="590"/>
      <c r="SXJ367" s="266"/>
      <c r="SXK367" s="649"/>
      <c r="SXL367" s="326"/>
      <c r="SXM367" s="362"/>
      <c r="SXN367" s="386"/>
      <c r="SXO367" s="658"/>
      <c r="SXP367" s="388"/>
      <c r="SXQ367" s="389"/>
      <c r="SXR367" s="590"/>
      <c r="SXS367" s="266"/>
      <c r="SXT367" s="649"/>
      <c r="SXU367" s="326"/>
      <c r="SXV367" s="362"/>
      <c r="SXW367" s="386"/>
      <c r="SXX367" s="658"/>
      <c r="SXY367" s="388"/>
      <c r="SXZ367" s="389"/>
      <c r="SYA367" s="590"/>
      <c r="SYB367" s="266"/>
      <c r="SYC367" s="649"/>
      <c r="SYD367" s="326"/>
      <c r="SYE367" s="362"/>
      <c r="SYF367" s="386"/>
      <c r="SYG367" s="658"/>
      <c r="SYH367" s="388"/>
      <c r="SYI367" s="389"/>
      <c r="SYJ367" s="590"/>
      <c r="SYK367" s="266"/>
      <c r="SYL367" s="649"/>
      <c r="SYM367" s="326"/>
      <c r="SYN367" s="362"/>
      <c r="SYO367" s="386"/>
      <c r="SYP367" s="658"/>
      <c r="SYQ367" s="388"/>
      <c r="SYR367" s="389"/>
      <c r="SYS367" s="590"/>
      <c r="SYT367" s="266"/>
      <c r="SYU367" s="649"/>
      <c r="SYV367" s="326"/>
      <c r="SYW367" s="362"/>
      <c r="SYX367" s="386"/>
      <c r="SYY367" s="658"/>
      <c r="SYZ367" s="388"/>
      <c r="SZA367" s="389"/>
      <c r="SZB367" s="590"/>
      <c r="SZC367" s="266"/>
      <c r="SZD367" s="649"/>
      <c r="SZE367" s="326"/>
      <c r="SZF367" s="362"/>
      <c r="SZG367" s="386"/>
      <c r="SZH367" s="658"/>
      <c r="SZI367" s="388"/>
      <c r="SZJ367" s="389"/>
      <c r="SZK367" s="590"/>
      <c r="SZL367" s="266"/>
      <c r="SZM367" s="649"/>
      <c r="SZN367" s="326"/>
      <c r="SZO367" s="362"/>
      <c r="SZP367" s="386"/>
      <c r="SZQ367" s="658"/>
      <c r="SZR367" s="388"/>
      <c r="SZS367" s="389"/>
      <c r="SZT367" s="590"/>
      <c r="SZU367" s="266"/>
      <c r="SZV367" s="649"/>
      <c r="SZW367" s="326"/>
      <c r="SZX367" s="362"/>
      <c r="SZY367" s="386"/>
      <c r="SZZ367" s="658"/>
      <c r="TAA367" s="388"/>
      <c r="TAB367" s="389"/>
      <c r="TAC367" s="590"/>
      <c r="TAD367" s="266"/>
      <c r="TAE367" s="649"/>
      <c r="TAF367" s="326"/>
      <c r="TAG367" s="362"/>
      <c r="TAH367" s="386"/>
      <c r="TAI367" s="658"/>
      <c r="TAJ367" s="388"/>
      <c r="TAK367" s="389"/>
      <c r="TAL367" s="590"/>
      <c r="TAM367" s="266"/>
      <c r="TAN367" s="649"/>
      <c r="TAO367" s="326"/>
      <c r="TAP367" s="362"/>
      <c r="TAQ367" s="386"/>
      <c r="TAR367" s="658"/>
      <c r="TAS367" s="388"/>
      <c r="TAT367" s="389"/>
      <c r="TAU367" s="590"/>
      <c r="TAV367" s="266"/>
      <c r="TAW367" s="649"/>
      <c r="TAX367" s="326"/>
      <c r="TAY367" s="362"/>
      <c r="TAZ367" s="386"/>
      <c r="TBA367" s="658"/>
      <c r="TBB367" s="388"/>
      <c r="TBC367" s="389"/>
      <c r="TBD367" s="590"/>
      <c r="TBE367" s="266"/>
      <c r="TBF367" s="649"/>
      <c r="TBG367" s="326"/>
      <c r="TBH367" s="362"/>
      <c r="TBI367" s="386"/>
      <c r="TBJ367" s="658"/>
      <c r="TBK367" s="388"/>
      <c r="TBL367" s="389"/>
      <c r="TBM367" s="590"/>
      <c r="TBN367" s="266"/>
      <c r="TBO367" s="649"/>
      <c r="TBP367" s="326"/>
      <c r="TBQ367" s="362"/>
      <c r="TBR367" s="386"/>
      <c r="TBS367" s="658"/>
      <c r="TBT367" s="388"/>
      <c r="TBU367" s="389"/>
      <c r="TBV367" s="590"/>
      <c r="TBW367" s="266"/>
      <c r="TBX367" s="649"/>
      <c r="TBY367" s="326"/>
      <c r="TBZ367" s="362"/>
      <c r="TCA367" s="386"/>
      <c r="TCB367" s="658"/>
      <c r="TCC367" s="388"/>
      <c r="TCD367" s="389"/>
      <c r="TCE367" s="590"/>
      <c r="TCF367" s="266"/>
      <c r="TCG367" s="649"/>
      <c r="TCH367" s="326"/>
      <c r="TCI367" s="362"/>
      <c r="TCJ367" s="386"/>
      <c r="TCK367" s="658"/>
      <c r="TCL367" s="388"/>
      <c r="TCM367" s="389"/>
      <c r="TCN367" s="590"/>
      <c r="TCO367" s="266"/>
      <c r="TCP367" s="649"/>
      <c r="TCQ367" s="326"/>
      <c r="TCR367" s="362"/>
      <c r="TCS367" s="386"/>
      <c r="TCT367" s="658"/>
      <c r="TCU367" s="388"/>
      <c r="TCV367" s="389"/>
      <c r="TCW367" s="590"/>
      <c r="TCX367" s="266"/>
      <c r="TCY367" s="649"/>
      <c r="TCZ367" s="326"/>
      <c r="TDA367" s="362"/>
      <c r="TDB367" s="386"/>
      <c r="TDC367" s="658"/>
      <c r="TDD367" s="388"/>
      <c r="TDE367" s="389"/>
      <c r="TDF367" s="590"/>
      <c r="TDG367" s="266"/>
      <c r="TDH367" s="649"/>
      <c r="TDI367" s="326"/>
      <c r="TDJ367" s="362"/>
      <c r="TDK367" s="386"/>
      <c r="TDL367" s="658"/>
      <c r="TDM367" s="388"/>
      <c r="TDN367" s="389"/>
      <c r="TDO367" s="590"/>
      <c r="TDP367" s="266"/>
      <c r="TDQ367" s="649"/>
      <c r="TDR367" s="326"/>
      <c r="TDS367" s="362"/>
      <c r="TDT367" s="386"/>
      <c r="TDU367" s="658"/>
      <c r="TDV367" s="388"/>
      <c r="TDW367" s="389"/>
      <c r="TDX367" s="590"/>
      <c r="TDY367" s="266"/>
      <c r="TDZ367" s="649"/>
      <c r="TEA367" s="326"/>
      <c r="TEB367" s="362"/>
      <c r="TEC367" s="386"/>
      <c r="TED367" s="658"/>
      <c r="TEE367" s="388"/>
      <c r="TEF367" s="389"/>
      <c r="TEG367" s="590"/>
      <c r="TEH367" s="266"/>
      <c r="TEI367" s="649"/>
      <c r="TEJ367" s="326"/>
      <c r="TEK367" s="362"/>
      <c r="TEL367" s="386"/>
      <c r="TEM367" s="658"/>
      <c r="TEN367" s="388"/>
      <c r="TEO367" s="389"/>
      <c r="TEP367" s="590"/>
      <c r="TEQ367" s="266"/>
      <c r="TER367" s="649"/>
      <c r="TES367" s="326"/>
      <c r="TET367" s="362"/>
      <c r="TEU367" s="386"/>
      <c r="TEV367" s="658"/>
      <c r="TEW367" s="388"/>
      <c r="TEX367" s="389"/>
      <c r="TEY367" s="590"/>
      <c r="TEZ367" s="266"/>
      <c r="TFA367" s="649"/>
      <c r="TFB367" s="326"/>
      <c r="TFC367" s="362"/>
      <c r="TFD367" s="386"/>
      <c r="TFE367" s="658"/>
      <c r="TFF367" s="388"/>
      <c r="TFG367" s="389"/>
      <c r="TFH367" s="590"/>
      <c r="TFI367" s="266"/>
      <c r="TFJ367" s="649"/>
      <c r="TFK367" s="326"/>
      <c r="TFL367" s="362"/>
      <c r="TFM367" s="386"/>
      <c r="TFN367" s="658"/>
      <c r="TFO367" s="388"/>
      <c r="TFP367" s="389"/>
      <c r="TFQ367" s="590"/>
      <c r="TFR367" s="266"/>
      <c r="TFS367" s="649"/>
      <c r="TFT367" s="326"/>
      <c r="TFU367" s="362"/>
      <c r="TFV367" s="386"/>
      <c r="TFW367" s="658"/>
      <c r="TFX367" s="388"/>
      <c r="TFY367" s="389"/>
      <c r="TFZ367" s="590"/>
      <c r="TGA367" s="266"/>
      <c r="TGB367" s="649"/>
      <c r="TGC367" s="326"/>
      <c r="TGD367" s="362"/>
      <c r="TGE367" s="386"/>
      <c r="TGF367" s="658"/>
      <c r="TGG367" s="388"/>
      <c r="TGH367" s="389"/>
      <c r="TGI367" s="590"/>
      <c r="TGJ367" s="266"/>
      <c r="TGK367" s="649"/>
      <c r="TGL367" s="326"/>
      <c r="TGM367" s="362"/>
      <c r="TGN367" s="386"/>
      <c r="TGO367" s="658"/>
      <c r="TGP367" s="388"/>
      <c r="TGQ367" s="389"/>
      <c r="TGR367" s="590"/>
      <c r="TGS367" s="266"/>
      <c r="TGT367" s="649"/>
      <c r="TGU367" s="326"/>
      <c r="TGV367" s="362"/>
      <c r="TGW367" s="386"/>
      <c r="TGX367" s="658"/>
      <c r="TGY367" s="388"/>
      <c r="TGZ367" s="389"/>
      <c r="THA367" s="590"/>
      <c r="THB367" s="266"/>
      <c r="THC367" s="649"/>
      <c r="THD367" s="326"/>
      <c r="THE367" s="362"/>
      <c r="THF367" s="386"/>
      <c r="THG367" s="658"/>
      <c r="THH367" s="388"/>
      <c r="THI367" s="389"/>
      <c r="THJ367" s="590"/>
      <c r="THK367" s="266"/>
      <c r="THL367" s="649"/>
      <c r="THM367" s="326"/>
      <c r="THN367" s="362"/>
      <c r="THO367" s="386"/>
      <c r="THP367" s="658"/>
      <c r="THQ367" s="388"/>
      <c r="THR367" s="389"/>
      <c r="THS367" s="590"/>
      <c r="THT367" s="266"/>
      <c r="THU367" s="649"/>
      <c r="THV367" s="326"/>
      <c r="THW367" s="362"/>
      <c r="THX367" s="386"/>
      <c r="THY367" s="658"/>
      <c r="THZ367" s="388"/>
      <c r="TIA367" s="389"/>
      <c r="TIB367" s="590"/>
      <c r="TIC367" s="266"/>
      <c r="TID367" s="649"/>
      <c r="TIE367" s="326"/>
      <c r="TIF367" s="362"/>
      <c r="TIG367" s="386"/>
      <c r="TIH367" s="658"/>
      <c r="TII367" s="388"/>
      <c r="TIJ367" s="389"/>
      <c r="TIK367" s="590"/>
      <c r="TIL367" s="266"/>
      <c r="TIM367" s="649"/>
      <c r="TIN367" s="326"/>
      <c r="TIO367" s="362"/>
      <c r="TIP367" s="386"/>
      <c r="TIQ367" s="658"/>
      <c r="TIR367" s="388"/>
      <c r="TIS367" s="389"/>
      <c r="TIT367" s="590"/>
      <c r="TIU367" s="266"/>
      <c r="TIV367" s="649"/>
      <c r="TIW367" s="326"/>
      <c r="TIX367" s="362"/>
      <c r="TIY367" s="386"/>
      <c r="TIZ367" s="658"/>
      <c r="TJA367" s="388"/>
      <c r="TJB367" s="389"/>
      <c r="TJC367" s="590"/>
      <c r="TJD367" s="266"/>
      <c r="TJE367" s="649"/>
      <c r="TJF367" s="326"/>
      <c r="TJG367" s="362"/>
      <c r="TJH367" s="386"/>
      <c r="TJI367" s="658"/>
      <c r="TJJ367" s="388"/>
      <c r="TJK367" s="389"/>
      <c r="TJL367" s="590"/>
      <c r="TJM367" s="266"/>
      <c r="TJN367" s="649"/>
      <c r="TJO367" s="326"/>
      <c r="TJP367" s="362"/>
      <c r="TJQ367" s="386"/>
      <c r="TJR367" s="658"/>
      <c r="TJS367" s="388"/>
      <c r="TJT367" s="389"/>
      <c r="TJU367" s="590"/>
      <c r="TJV367" s="266"/>
      <c r="TJW367" s="649"/>
      <c r="TJX367" s="326"/>
      <c r="TJY367" s="362"/>
      <c r="TJZ367" s="386"/>
      <c r="TKA367" s="658"/>
      <c r="TKB367" s="388"/>
      <c r="TKC367" s="389"/>
      <c r="TKD367" s="590"/>
      <c r="TKE367" s="266"/>
      <c r="TKF367" s="649"/>
      <c r="TKG367" s="326"/>
      <c r="TKH367" s="362"/>
      <c r="TKI367" s="386"/>
      <c r="TKJ367" s="658"/>
      <c r="TKK367" s="388"/>
      <c r="TKL367" s="389"/>
      <c r="TKM367" s="590"/>
      <c r="TKN367" s="266"/>
      <c r="TKO367" s="649"/>
      <c r="TKP367" s="326"/>
      <c r="TKQ367" s="362"/>
      <c r="TKR367" s="386"/>
      <c r="TKS367" s="658"/>
      <c r="TKT367" s="388"/>
      <c r="TKU367" s="389"/>
      <c r="TKV367" s="590"/>
      <c r="TKW367" s="266"/>
      <c r="TKX367" s="649"/>
      <c r="TKY367" s="326"/>
      <c r="TKZ367" s="362"/>
      <c r="TLA367" s="386"/>
      <c r="TLB367" s="658"/>
      <c r="TLC367" s="388"/>
      <c r="TLD367" s="389"/>
      <c r="TLE367" s="590"/>
      <c r="TLF367" s="266"/>
      <c r="TLG367" s="649"/>
      <c r="TLH367" s="326"/>
      <c r="TLI367" s="362"/>
      <c r="TLJ367" s="386"/>
      <c r="TLK367" s="658"/>
      <c r="TLL367" s="388"/>
      <c r="TLM367" s="389"/>
      <c r="TLN367" s="590"/>
      <c r="TLO367" s="266"/>
      <c r="TLP367" s="649"/>
      <c r="TLQ367" s="326"/>
      <c r="TLR367" s="362"/>
      <c r="TLS367" s="386"/>
      <c r="TLT367" s="658"/>
      <c r="TLU367" s="388"/>
      <c r="TLV367" s="389"/>
      <c r="TLW367" s="590"/>
      <c r="TLX367" s="266"/>
      <c r="TLY367" s="649"/>
      <c r="TLZ367" s="326"/>
      <c r="TMA367" s="362"/>
      <c r="TMB367" s="386"/>
      <c r="TMC367" s="658"/>
      <c r="TMD367" s="388"/>
      <c r="TME367" s="389"/>
      <c r="TMF367" s="590"/>
      <c r="TMG367" s="266"/>
      <c r="TMH367" s="649"/>
      <c r="TMI367" s="326"/>
      <c r="TMJ367" s="362"/>
      <c r="TMK367" s="386"/>
      <c r="TML367" s="658"/>
      <c r="TMM367" s="388"/>
      <c r="TMN367" s="389"/>
      <c r="TMO367" s="590"/>
      <c r="TMP367" s="266"/>
      <c r="TMQ367" s="649"/>
      <c r="TMR367" s="326"/>
      <c r="TMS367" s="362"/>
      <c r="TMT367" s="386"/>
      <c r="TMU367" s="658"/>
      <c r="TMV367" s="388"/>
      <c r="TMW367" s="389"/>
      <c r="TMX367" s="590"/>
      <c r="TMY367" s="266"/>
      <c r="TMZ367" s="649"/>
      <c r="TNA367" s="326"/>
      <c r="TNB367" s="362"/>
      <c r="TNC367" s="386"/>
      <c r="TND367" s="658"/>
      <c r="TNE367" s="388"/>
      <c r="TNF367" s="389"/>
      <c r="TNG367" s="590"/>
      <c r="TNH367" s="266"/>
      <c r="TNI367" s="649"/>
      <c r="TNJ367" s="326"/>
      <c r="TNK367" s="362"/>
      <c r="TNL367" s="386"/>
      <c r="TNM367" s="658"/>
      <c r="TNN367" s="388"/>
      <c r="TNO367" s="389"/>
      <c r="TNP367" s="590"/>
      <c r="TNQ367" s="266"/>
      <c r="TNR367" s="649"/>
      <c r="TNS367" s="326"/>
      <c r="TNT367" s="362"/>
      <c r="TNU367" s="386"/>
      <c r="TNV367" s="658"/>
      <c r="TNW367" s="388"/>
      <c r="TNX367" s="389"/>
      <c r="TNY367" s="590"/>
      <c r="TNZ367" s="266"/>
      <c r="TOA367" s="649"/>
      <c r="TOB367" s="326"/>
      <c r="TOC367" s="362"/>
      <c r="TOD367" s="386"/>
      <c r="TOE367" s="658"/>
      <c r="TOF367" s="388"/>
      <c r="TOG367" s="389"/>
      <c r="TOH367" s="590"/>
      <c r="TOI367" s="266"/>
      <c r="TOJ367" s="649"/>
      <c r="TOK367" s="326"/>
      <c r="TOL367" s="362"/>
      <c r="TOM367" s="386"/>
      <c r="TON367" s="658"/>
      <c r="TOO367" s="388"/>
      <c r="TOP367" s="389"/>
      <c r="TOQ367" s="590"/>
      <c r="TOR367" s="266"/>
      <c r="TOS367" s="649"/>
      <c r="TOT367" s="326"/>
      <c r="TOU367" s="362"/>
      <c r="TOV367" s="386"/>
      <c r="TOW367" s="658"/>
      <c r="TOX367" s="388"/>
      <c r="TOY367" s="389"/>
      <c r="TOZ367" s="590"/>
      <c r="TPA367" s="266"/>
      <c r="TPB367" s="649"/>
      <c r="TPC367" s="326"/>
      <c r="TPD367" s="362"/>
      <c r="TPE367" s="386"/>
      <c r="TPF367" s="658"/>
      <c r="TPG367" s="388"/>
      <c r="TPH367" s="389"/>
      <c r="TPI367" s="590"/>
      <c r="TPJ367" s="266"/>
      <c r="TPK367" s="649"/>
      <c r="TPL367" s="326"/>
      <c r="TPM367" s="362"/>
      <c r="TPN367" s="386"/>
      <c r="TPO367" s="658"/>
      <c r="TPP367" s="388"/>
      <c r="TPQ367" s="389"/>
      <c r="TPR367" s="590"/>
      <c r="TPS367" s="266"/>
      <c r="TPT367" s="649"/>
      <c r="TPU367" s="326"/>
      <c r="TPV367" s="362"/>
      <c r="TPW367" s="386"/>
      <c r="TPX367" s="658"/>
      <c r="TPY367" s="388"/>
      <c r="TPZ367" s="389"/>
      <c r="TQA367" s="590"/>
      <c r="TQB367" s="266"/>
      <c r="TQC367" s="649"/>
      <c r="TQD367" s="326"/>
      <c r="TQE367" s="362"/>
      <c r="TQF367" s="386"/>
      <c r="TQG367" s="658"/>
      <c r="TQH367" s="388"/>
      <c r="TQI367" s="389"/>
      <c r="TQJ367" s="590"/>
      <c r="TQK367" s="266"/>
      <c r="TQL367" s="649"/>
      <c r="TQM367" s="326"/>
      <c r="TQN367" s="362"/>
      <c r="TQO367" s="386"/>
      <c r="TQP367" s="658"/>
      <c r="TQQ367" s="388"/>
      <c r="TQR367" s="389"/>
      <c r="TQS367" s="590"/>
      <c r="TQT367" s="266"/>
      <c r="TQU367" s="649"/>
      <c r="TQV367" s="326"/>
      <c r="TQW367" s="362"/>
      <c r="TQX367" s="386"/>
      <c r="TQY367" s="658"/>
      <c r="TQZ367" s="388"/>
      <c r="TRA367" s="389"/>
      <c r="TRB367" s="590"/>
      <c r="TRC367" s="266"/>
      <c r="TRD367" s="649"/>
      <c r="TRE367" s="326"/>
      <c r="TRF367" s="362"/>
      <c r="TRG367" s="386"/>
      <c r="TRH367" s="658"/>
      <c r="TRI367" s="388"/>
      <c r="TRJ367" s="389"/>
      <c r="TRK367" s="590"/>
      <c r="TRL367" s="266"/>
      <c r="TRM367" s="649"/>
      <c r="TRN367" s="326"/>
      <c r="TRO367" s="362"/>
      <c r="TRP367" s="386"/>
      <c r="TRQ367" s="658"/>
      <c r="TRR367" s="388"/>
      <c r="TRS367" s="389"/>
      <c r="TRT367" s="590"/>
      <c r="TRU367" s="266"/>
      <c r="TRV367" s="649"/>
      <c r="TRW367" s="326"/>
      <c r="TRX367" s="362"/>
      <c r="TRY367" s="386"/>
      <c r="TRZ367" s="658"/>
      <c r="TSA367" s="388"/>
      <c r="TSB367" s="389"/>
      <c r="TSC367" s="590"/>
      <c r="TSD367" s="266"/>
      <c r="TSE367" s="649"/>
      <c r="TSF367" s="326"/>
      <c r="TSG367" s="362"/>
      <c r="TSH367" s="386"/>
      <c r="TSI367" s="658"/>
      <c r="TSJ367" s="388"/>
      <c r="TSK367" s="389"/>
      <c r="TSL367" s="590"/>
      <c r="TSM367" s="266"/>
      <c r="TSN367" s="649"/>
      <c r="TSO367" s="326"/>
      <c r="TSP367" s="362"/>
      <c r="TSQ367" s="386"/>
      <c r="TSR367" s="658"/>
      <c r="TSS367" s="388"/>
      <c r="TST367" s="389"/>
      <c r="TSU367" s="590"/>
      <c r="TSV367" s="266"/>
      <c r="TSW367" s="649"/>
      <c r="TSX367" s="326"/>
      <c r="TSY367" s="362"/>
      <c r="TSZ367" s="386"/>
      <c r="TTA367" s="658"/>
      <c r="TTB367" s="388"/>
      <c r="TTC367" s="389"/>
      <c r="TTD367" s="590"/>
      <c r="TTE367" s="266"/>
      <c r="TTF367" s="649"/>
      <c r="TTG367" s="326"/>
      <c r="TTH367" s="362"/>
      <c r="TTI367" s="386"/>
      <c r="TTJ367" s="658"/>
      <c r="TTK367" s="388"/>
      <c r="TTL367" s="389"/>
      <c r="TTM367" s="590"/>
      <c r="TTN367" s="266"/>
      <c r="TTO367" s="649"/>
      <c r="TTP367" s="326"/>
      <c r="TTQ367" s="362"/>
      <c r="TTR367" s="386"/>
      <c r="TTS367" s="658"/>
      <c r="TTT367" s="388"/>
      <c r="TTU367" s="389"/>
      <c r="TTV367" s="590"/>
      <c r="TTW367" s="266"/>
      <c r="TTX367" s="649"/>
      <c r="TTY367" s="326"/>
      <c r="TTZ367" s="362"/>
      <c r="TUA367" s="386"/>
      <c r="TUB367" s="658"/>
      <c r="TUC367" s="388"/>
      <c r="TUD367" s="389"/>
      <c r="TUE367" s="590"/>
      <c r="TUF367" s="266"/>
      <c r="TUG367" s="649"/>
      <c r="TUH367" s="326"/>
      <c r="TUI367" s="362"/>
      <c r="TUJ367" s="386"/>
      <c r="TUK367" s="658"/>
      <c r="TUL367" s="388"/>
      <c r="TUM367" s="389"/>
      <c r="TUN367" s="590"/>
      <c r="TUO367" s="266"/>
      <c r="TUP367" s="649"/>
      <c r="TUQ367" s="326"/>
      <c r="TUR367" s="362"/>
      <c r="TUS367" s="386"/>
      <c r="TUT367" s="658"/>
      <c r="TUU367" s="388"/>
      <c r="TUV367" s="389"/>
      <c r="TUW367" s="590"/>
      <c r="TUX367" s="266"/>
      <c r="TUY367" s="649"/>
      <c r="TUZ367" s="326"/>
      <c r="TVA367" s="362"/>
      <c r="TVB367" s="386"/>
      <c r="TVC367" s="658"/>
      <c r="TVD367" s="388"/>
      <c r="TVE367" s="389"/>
      <c r="TVF367" s="590"/>
      <c r="TVG367" s="266"/>
      <c r="TVH367" s="649"/>
      <c r="TVI367" s="326"/>
      <c r="TVJ367" s="362"/>
      <c r="TVK367" s="386"/>
      <c r="TVL367" s="658"/>
      <c r="TVM367" s="388"/>
      <c r="TVN367" s="389"/>
      <c r="TVO367" s="590"/>
      <c r="TVP367" s="266"/>
      <c r="TVQ367" s="649"/>
      <c r="TVR367" s="326"/>
      <c r="TVS367" s="362"/>
      <c r="TVT367" s="386"/>
      <c r="TVU367" s="658"/>
      <c r="TVV367" s="388"/>
      <c r="TVW367" s="389"/>
      <c r="TVX367" s="590"/>
      <c r="TVY367" s="266"/>
      <c r="TVZ367" s="649"/>
      <c r="TWA367" s="326"/>
      <c r="TWB367" s="362"/>
      <c r="TWC367" s="386"/>
      <c r="TWD367" s="658"/>
      <c r="TWE367" s="388"/>
      <c r="TWF367" s="389"/>
      <c r="TWG367" s="590"/>
      <c r="TWH367" s="266"/>
      <c r="TWI367" s="649"/>
      <c r="TWJ367" s="326"/>
      <c r="TWK367" s="362"/>
      <c r="TWL367" s="386"/>
      <c r="TWM367" s="658"/>
      <c r="TWN367" s="388"/>
      <c r="TWO367" s="389"/>
      <c r="TWP367" s="590"/>
      <c r="TWQ367" s="266"/>
      <c r="TWR367" s="649"/>
      <c r="TWS367" s="326"/>
      <c r="TWT367" s="362"/>
      <c r="TWU367" s="386"/>
      <c r="TWV367" s="658"/>
      <c r="TWW367" s="388"/>
      <c r="TWX367" s="389"/>
      <c r="TWY367" s="590"/>
      <c r="TWZ367" s="266"/>
      <c r="TXA367" s="649"/>
      <c r="TXB367" s="326"/>
      <c r="TXC367" s="362"/>
      <c r="TXD367" s="386"/>
      <c r="TXE367" s="658"/>
      <c r="TXF367" s="388"/>
      <c r="TXG367" s="389"/>
      <c r="TXH367" s="590"/>
      <c r="TXI367" s="266"/>
      <c r="TXJ367" s="649"/>
      <c r="TXK367" s="326"/>
      <c r="TXL367" s="362"/>
      <c r="TXM367" s="386"/>
      <c r="TXN367" s="658"/>
      <c r="TXO367" s="388"/>
      <c r="TXP367" s="389"/>
      <c r="TXQ367" s="590"/>
      <c r="TXR367" s="266"/>
      <c r="TXS367" s="649"/>
      <c r="TXT367" s="326"/>
      <c r="TXU367" s="362"/>
      <c r="TXV367" s="386"/>
      <c r="TXW367" s="658"/>
      <c r="TXX367" s="388"/>
      <c r="TXY367" s="389"/>
      <c r="TXZ367" s="590"/>
      <c r="TYA367" s="266"/>
      <c r="TYB367" s="649"/>
      <c r="TYC367" s="326"/>
      <c r="TYD367" s="362"/>
      <c r="TYE367" s="386"/>
      <c r="TYF367" s="658"/>
      <c r="TYG367" s="388"/>
      <c r="TYH367" s="389"/>
      <c r="TYI367" s="590"/>
      <c r="TYJ367" s="266"/>
      <c r="TYK367" s="649"/>
      <c r="TYL367" s="326"/>
      <c r="TYM367" s="362"/>
      <c r="TYN367" s="386"/>
      <c r="TYO367" s="658"/>
      <c r="TYP367" s="388"/>
      <c r="TYQ367" s="389"/>
      <c r="TYR367" s="590"/>
      <c r="TYS367" s="266"/>
      <c r="TYT367" s="649"/>
      <c r="TYU367" s="326"/>
      <c r="TYV367" s="362"/>
      <c r="TYW367" s="386"/>
      <c r="TYX367" s="658"/>
      <c r="TYY367" s="388"/>
      <c r="TYZ367" s="389"/>
      <c r="TZA367" s="590"/>
      <c r="TZB367" s="266"/>
      <c r="TZC367" s="649"/>
      <c r="TZD367" s="326"/>
      <c r="TZE367" s="362"/>
      <c r="TZF367" s="386"/>
      <c r="TZG367" s="658"/>
      <c r="TZH367" s="388"/>
      <c r="TZI367" s="389"/>
      <c r="TZJ367" s="590"/>
      <c r="TZK367" s="266"/>
      <c r="TZL367" s="649"/>
      <c r="TZM367" s="326"/>
      <c r="TZN367" s="362"/>
      <c r="TZO367" s="386"/>
      <c r="TZP367" s="658"/>
      <c r="TZQ367" s="388"/>
      <c r="TZR367" s="389"/>
      <c r="TZS367" s="590"/>
      <c r="TZT367" s="266"/>
      <c r="TZU367" s="649"/>
      <c r="TZV367" s="326"/>
      <c r="TZW367" s="362"/>
      <c r="TZX367" s="386"/>
      <c r="TZY367" s="658"/>
      <c r="TZZ367" s="388"/>
      <c r="UAA367" s="389"/>
      <c r="UAB367" s="590"/>
      <c r="UAC367" s="266"/>
      <c r="UAD367" s="649"/>
      <c r="UAE367" s="326"/>
      <c r="UAF367" s="362"/>
      <c r="UAG367" s="386"/>
      <c r="UAH367" s="658"/>
      <c r="UAI367" s="388"/>
      <c r="UAJ367" s="389"/>
      <c r="UAK367" s="590"/>
      <c r="UAL367" s="266"/>
      <c r="UAM367" s="649"/>
      <c r="UAN367" s="326"/>
      <c r="UAO367" s="362"/>
      <c r="UAP367" s="386"/>
      <c r="UAQ367" s="658"/>
      <c r="UAR367" s="388"/>
      <c r="UAS367" s="389"/>
      <c r="UAT367" s="590"/>
      <c r="UAU367" s="266"/>
      <c r="UAV367" s="649"/>
      <c r="UAW367" s="326"/>
      <c r="UAX367" s="362"/>
      <c r="UAY367" s="386"/>
      <c r="UAZ367" s="658"/>
      <c r="UBA367" s="388"/>
      <c r="UBB367" s="389"/>
      <c r="UBC367" s="590"/>
      <c r="UBD367" s="266"/>
      <c r="UBE367" s="649"/>
      <c r="UBF367" s="326"/>
      <c r="UBG367" s="362"/>
      <c r="UBH367" s="386"/>
      <c r="UBI367" s="658"/>
      <c r="UBJ367" s="388"/>
      <c r="UBK367" s="389"/>
      <c r="UBL367" s="590"/>
      <c r="UBM367" s="266"/>
      <c r="UBN367" s="649"/>
      <c r="UBO367" s="326"/>
      <c r="UBP367" s="362"/>
      <c r="UBQ367" s="386"/>
      <c r="UBR367" s="658"/>
      <c r="UBS367" s="388"/>
      <c r="UBT367" s="389"/>
      <c r="UBU367" s="590"/>
      <c r="UBV367" s="266"/>
      <c r="UBW367" s="649"/>
      <c r="UBX367" s="326"/>
      <c r="UBY367" s="362"/>
      <c r="UBZ367" s="386"/>
      <c r="UCA367" s="658"/>
      <c r="UCB367" s="388"/>
      <c r="UCC367" s="389"/>
      <c r="UCD367" s="590"/>
      <c r="UCE367" s="266"/>
      <c r="UCF367" s="649"/>
      <c r="UCG367" s="326"/>
      <c r="UCH367" s="362"/>
      <c r="UCI367" s="386"/>
      <c r="UCJ367" s="658"/>
      <c r="UCK367" s="388"/>
      <c r="UCL367" s="389"/>
      <c r="UCM367" s="590"/>
      <c r="UCN367" s="266"/>
      <c r="UCO367" s="649"/>
      <c r="UCP367" s="326"/>
      <c r="UCQ367" s="362"/>
      <c r="UCR367" s="386"/>
      <c r="UCS367" s="658"/>
      <c r="UCT367" s="388"/>
      <c r="UCU367" s="389"/>
      <c r="UCV367" s="590"/>
      <c r="UCW367" s="266"/>
      <c r="UCX367" s="649"/>
      <c r="UCY367" s="326"/>
      <c r="UCZ367" s="362"/>
      <c r="UDA367" s="386"/>
      <c r="UDB367" s="658"/>
      <c r="UDC367" s="388"/>
      <c r="UDD367" s="389"/>
      <c r="UDE367" s="590"/>
      <c r="UDF367" s="266"/>
      <c r="UDG367" s="649"/>
      <c r="UDH367" s="326"/>
      <c r="UDI367" s="362"/>
      <c r="UDJ367" s="386"/>
      <c r="UDK367" s="658"/>
      <c r="UDL367" s="388"/>
      <c r="UDM367" s="389"/>
      <c r="UDN367" s="590"/>
      <c r="UDO367" s="266"/>
      <c r="UDP367" s="649"/>
      <c r="UDQ367" s="326"/>
      <c r="UDR367" s="362"/>
      <c r="UDS367" s="386"/>
      <c r="UDT367" s="658"/>
      <c r="UDU367" s="388"/>
      <c r="UDV367" s="389"/>
      <c r="UDW367" s="590"/>
      <c r="UDX367" s="266"/>
      <c r="UDY367" s="649"/>
      <c r="UDZ367" s="326"/>
      <c r="UEA367" s="362"/>
      <c r="UEB367" s="386"/>
      <c r="UEC367" s="658"/>
      <c r="UED367" s="388"/>
      <c r="UEE367" s="389"/>
      <c r="UEF367" s="590"/>
      <c r="UEG367" s="266"/>
      <c r="UEH367" s="649"/>
      <c r="UEI367" s="326"/>
      <c r="UEJ367" s="362"/>
      <c r="UEK367" s="386"/>
      <c r="UEL367" s="658"/>
      <c r="UEM367" s="388"/>
      <c r="UEN367" s="389"/>
      <c r="UEO367" s="590"/>
      <c r="UEP367" s="266"/>
      <c r="UEQ367" s="649"/>
      <c r="UER367" s="326"/>
      <c r="UES367" s="362"/>
      <c r="UET367" s="386"/>
      <c r="UEU367" s="658"/>
      <c r="UEV367" s="388"/>
      <c r="UEW367" s="389"/>
      <c r="UEX367" s="590"/>
      <c r="UEY367" s="266"/>
      <c r="UEZ367" s="649"/>
      <c r="UFA367" s="326"/>
      <c r="UFB367" s="362"/>
      <c r="UFC367" s="386"/>
      <c r="UFD367" s="658"/>
      <c r="UFE367" s="388"/>
      <c r="UFF367" s="389"/>
      <c r="UFG367" s="590"/>
      <c r="UFH367" s="266"/>
      <c r="UFI367" s="649"/>
      <c r="UFJ367" s="326"/>
      <c r="UFK367" s="362"/>
      <c r="UFL367" s="386"/>
      <c r="UFM367" s="658"/>
      <c r="UFN367" s="388"/>
      <c r="UFO367" s="389"/>
      <c r="UFP367" s="590"/>
      <c r="UFQ367" s="266"/>
      <c r="UFR367" s="649"/>
      <c r="UFS367" s="326"/>
      <c r="UFT367" s="362"/>
      <c r="UFU367" s="386"/>
      <c r="UFV367" s="658"/>
      <c r="UFW367" s="388"/>
      <c r="UFX367" s="389"/>
      <c r="UFY367" s="590"/>
      <c r="UFZ367" s="266"/>
      <c r="UGA367" s="649"/>
      <c r="UGB367" s="326"/>
      <c r="UGC367" s="362"/>
      <c r="UGD367" s="386"/>
      <c r="UGE367" s="658"/>
      <c r="UGF367" s="388"/>
      <c r="UGG367" s="389"/>
      <c r="UGH367" s="590"/>
      <c r="UGI367" s="266"/>
      <c r="UGJ367" s="649"/>
      <c r="UGK367" s="326"/>
      <c r="UGL367" s="362"/>
      <c r="UGM367" s="386"/>
      <c r="UGN367" s="658"/>
      <c r="UGO367" s="388"/>
      <c r="UGP367" s="389"/>
      <c r="UGQ367" s="590"/>
      <c r="UGR367" s="266"/>
      <c r="UGS367" s="649"/>
      <c r="UGT367" s="326"/>
      <c r="UGU367" s="362"/>
      <c r="UGV367" s="386"/>
      <c r="UGW367" s="658"/>
      <c r="UGX367" s="388"/>
      <c r="UGY367" s="389"/>
      <c r="UGZ367" s="590"/>
      <c r="UHA367" s="266"/>
      <c r="UHB367" s="649"/>
      <c r="UHC367" s="326"/>
      <c r="UHD367" s="362"/>
      <c r="UHE367" s="386"/>
      <c r="UHF367" s="658"/>
      <c r="UHG367" s="388"/>
      <c r="UHH367" s="389"/>
      <c r="UHI367" s="590"/>
      <c r="UHJ367" s="266"/>
      <c r="UHK367" s="649"/>
      <c r="UHL367" s="326"/>
      <c r="UHM367" s="362"/>
      <c r="UHN367" s="386"/>
      <c r="UHO367" s="658"/>
      <c r="UHP367" s="388"/>
      <c r="UHQ367" s="389"/>
      <c r="UHR367" s="590"/>
      <c r="UHS367" s="266"/>
      <c r="UHT367" s="649"/>
      <c r="UHU367" s="326"/>
      <c r="UHV367" s="362"/>
      <c r="UHW367" s="386"/>
      <c r="UHX367" s="658"/>
      <c r="UHY367" s="388"/>
      <c r="UHZ367" s="389"/>
      <c r="UIA367" s="590"/>
      <c r="UIB367" s="266"/>
      <c r="UIC367" s="649"/>
      <c r="UID367" s="326"/>
      <c r="UIE367" s="362"/>
      <c r="UIF367" s="386"/>
      <c r="UIG367" s="658"/>
      <c r="UIH367" s="388"/>
      <c r="UII367" s="389"/>
      <c r="UIJ367" s="590"/>
      <c r="UIK367" s="266"/>
      <c r="UIL367" s="649"/>
      <c r="UIM367" s="326"/>
      <c r="UIN367" s="362"/>
      <c r="UIO367" s="386"/>
      <c r="UIP367" s="658"/>
      <c r="UIQ367" s="388"/>
      <c r="UIR367" s="389"/>
      <c r="UIS367" s="590"/>
      <c r="UIT367" s="266"/>
      <c r="UIU367" s="649"/>
      <c r="UIV367" s="326"/>
      <c r="UIW367" s="362"/>
      <c r="UIX367" s="386"/>
      <c r="UIY367" s="658"/>
      <c r="UIZ367" s="388"/>
      <c r="UJA367" s="389"/>
      <c r="UJB367" s="590"/>
      <c r="UJC367" s="266"/>
      <c r="UJD367" s="649"/>
      <c r="UJE367" s="326"/>
      <c r="UJF367" s="362"/>
      <c r="UJG367" s="386"/>
      <c r="UJH367" s="658"/>
      <c r="UJI367" s="388"/>
      <c r="UJJ367" s="389"/>
      <c r="UJK367" s="590"/>
      <c r="UJL367" s="266"/>
      <c r="UJM367" s="649"/>
      <c r="UJN367" s="326"/>
      <c r="UJO367" s="362"/>
      <c r="UJP367" s="386"/>
      <c r="UJQ367" s="658"/>
      <c r="UJR367" s="388"/>
      <c r="UJS367" s="389"/>
      <c r="UJT367" s="590"/>
      <c r="UJU367" s="266"/>
      <c r="UJV367" s="649"/>
      <c r="UJW367" s="326"/>
      <c r="UJX367" s="362"/>
      <c r="UJY367" s="386"/>
      <c r="UJZ367" s="658"/>
      <c r="UKA367" s="388"/>
      <c r="UKB367" s="389"/>
      <c r="UKC367" s="590"/>
      <c r="UKD367" s="266"/>
      <c r="UKE367" s="649"/>
      <c r="UKF367" s="326"/>
      <c r="UKG367" s="362"/>
      <c r="UKH367" s="386"/>
      <c r="UKI367" s="658"/>
      <c r="UKJ367" s="388"/>
      <c r="UKK367" s="389"/>
      <c r="UKL367" s="590"/>
      <c r="UKM367" s="266"/>
      <c r="UKN367" s="649"/>
      <c r="UKO367" s="326"/>
      <c r="UKP367" s="362"/>
      <c r="UKQ367" s="386"/>
      <c r="UKR367" s="658"/>
      <c r="UKS367" s="388"/>
      <c r="UKT367" s="389"/>
      <c r="UKU367" s="590"/>
      <c r="UKV367" s="266"/>
      <c r="UKW367" s="649"/>
      <c r="UKX367" s="326"/>
      <c r="UKY367" s="362"/>
      <c r="UKZ367" s="386"/>
      <c r="ULA367" s="658"/>
      <c r="ULB367" s="388"/>
      <c r="ULC367" s="389"/>
      <c r="ULD367" s="590"/>
      <c r="ULE367" s="266"/>
      <c r="ULF367" s="649"/>
      <c r="ULG367" s="326"/>
      <c r="ULH367" s="362"/>
      <c r="ULI367" s="386"/>
      <c r="ULJ367" s="658"/>
      <c r="ULK367" s="388"/>
      <c r="ULL367" s="389"/>
      <c r="ULM367" s="590"/>
      <c r="ULN367" s="266"/>
      <c r="ULO367" s="649"/>
      <c r="ULP367" s="326"/>
      <c r="ULQ367" s="362"/>
      <c r="ULR367" s="386"/>
      <c r="ULS367" s="658"/>
      <c r="ULT367" s="388"/>
      <c r="ULU367" s="389"/>
      <c r="ULV367" s="590"/>
      <c r="ULW367" s="266"/>
      <c r="ULX367" s="649"/>
      <c r="ULY367" s="326"/>
      <c r="ULZ367" s="362"/>
      <c r="UMA367" s="386"/>
      <c r="UMB367" s="658"/>
      <c r="UMC367" s="388"/>
      <c r="UMD367" s="389"/>
      <c r="UME367" s="590"/>
      <c r="UMF367" s="266"/>
      <c r="UMG367" s="649"/>
      <c r="UMH367" s="326"/>
      <c r="UMI367" s="362"/>
      <c r="UMJ367" s="386"/>
      <c r="UMK367" s="658"/>
      <c r="UML367" s="388"/>
      <c r="UMM367" s="389"/>
      <c r="UMN367" s="590"/>
      <c r="UMO367" s="266"/>
      <c r="UMP367" s="649"/>
      <c r="UMQ367" s="326"/>
      <c r="UMR367" s="362"/>
      <c r="UMS367" s="386"/>
      <c r="UMT367" s="658"/>
      <c r="UMU367" s="388"/>
      <c r="UMV367" s="389"/>
      <c r="UMW367" s="590"/>
      <c r="UMX367" s="266"/>
      <c r="UMY367" s="649"/>
      <c r="UMZ367" s="326"/>
      <c r="UNA367" s="362"/>
      <c r="UNB367" s="386"/>
      <c r="UNC367" s="658"/>
      <c r="UND367" s="388"/>
      <c r="UNE367" s="389"/>
      <c r="UNF367" s="590"/>
      <c r="UNG367" s="266"/>
      <c r="UNH367" s="649"/>
      <c r="UNI367" s="326"/>
      <c r="UNJ367" s="362"/>
      <c r="UNK367" s="386"/>
      <c r="UNL367" s="658"/>
      <c r="UNM367" s="388"/>
      <c r="UNN367" s="389"/>
      <c r="UNO367" s="590"/>
      <c r="UNP367" s="266"/>
      <c r="UNQ367" s="649"/>
      <c r="UNR367" s="326"/>
      <c r="UNS367" s="362"/>
      <c r="UNT367" s="386"/>
      <c r="UNU367" s="658"/>
      <c r="UNV367" s="388"/>
      <c r="UNW367" s="389"/>
      <c r="UNX367" s="590"/>
      <c r="UNY367" s="266"/>
      <c r="UNZ367" s="649"/>
      <c r="UOA367" s="326"/>
      <c r="UOB367" s="362"/>
      <c r="UOC367" s="386"/>
      <c r="UOD367" s="658"/>
      <c r="UOE367" s="388"/>
      <c r="UOF367" s="389"/>
      <c r="UOG367" s="590"/>
      <c r="UOH367" s="266"/>
      <c r="UOI367" s="649"/>
      <c r="UOJ367" s="326"/>
      <c r="UOK367" s="362"/>
      <c r="UOL367" s="386"/>
      <c r="UOM367" s="658"/>
      <c r="UON367" s="388"/>
      <c r="UOO367" s="389"/>
      <c r="UOP367" s="590"/>
      <c r="UOQ367" s="266"/>
      <c r="UOR367" s="649"/>
      <c r="UOS367" s="326"/>
      <c r="UOT367" s="362"/>
      <c r="UOU367" s="386"/>
      <c r="UOV367" s="658"/>
      <c r="UOW367" s="388"/>
      <c r="UOX367" s="389"/>
      <c r="UOY367" s="590"/>
      <c r="UOZ367" s="266"/>
      <c r="UPA367" s="649"/>
      <c r="UPB367" s="326"/>
      <c r="UPC367" s="362"/>
      <c r="UPD367" s="386"/>
      <c r="UPE367" s="658"/>
      <c r="UPF367" s="388"/>
      <c r="UPG367" s="389"/>
      <c r="UPH367" s="590"/>
      <c r="UPI367" s="266"/>
      <c r="UPJ367" s="649"/>
      <c r="UPK367" s="326"/>
      <c r="UPL367" s="362"/>
      <c r="UPM367" s="386"/>
      <c r="UPN367" s="658"/>
      <c r="UPO367" s="388"/>
      <c r="UPP367" s="389"/>
      <c r="UPQ367" s="590"/>
      <c r="UPR367" s="266"/>
      <c r="UPS367" s="649"/>
      <c r="UPT367" s="326"/>
      <c r="UPU367" s="362"/>
      <c r="UPV367" s="386"/>
      <c r="UPW367" s="658"/>
      <c r="UPX367" s="388"/>
      <c r="UPY367" s="389"/>
      <c r="UPZ367" s="590"/>
      <c r="UQA367" s="266"/>
      <c r="UQB367" s="649"/>
      <c r="UQC367" s="326"/>
      <c r="UQD367" s="362"/>
      <c r="UQE367" s="386"/>
      <c r="UQF367" s="658"/>
      <c r="UQG367" s="388"/>
      <c r="UQH367" s="389"/>
      <c r="UQI367" s="590"/>
      <c r="UQJ367" s="266"/>
      <c r="UQK367" s="649"/>
      <c r="UQL367" s="326"/>
      <c r="UQM367" s="362"/>
      <c r="UQN367" s="386"/>
      <c r="UQO367" s="658"/>
      <c r="UQP367" s="388"/>
      <c r="UQQ367" s="389"/>
      <c r="UQR367" s="590"/>
      <c r="UQS367" s="266"/>
      <c r="UQT367" s="649"/>
      <c r="UQU367" s="326"/>
      <c r="UQV367" s="362"/>
      <c r="UQW367" s="386"/>
      <c r="UQX367" s="658"/>
      <c r="UQY367" s="388"/>
      <c r="UQZ367" s="389"/>
      <c r="URA367" s="590"/>
      <c r="URB367" s="266"/>
      <c r="URC367" s="649"/>
      <c r="URD367" s="326"/>
      <c r="URE367" s="362"/>
      <c r="URF367" s="386"/>
      <c r="URG367" s="658"/>
      <c r="URH367" s="388"/>
      <c r="URI367" s="389"/>
      <c r="URJ367" s="590"/>
      <c r="URK367" s="266"/>
      <c r="URL367" s="649"/>
      <c r="URM367" s="326"/>
      <c r="URN367" s="362"/>
      <c r="URO367" s="386"/>
      <c r="URP367" s="658"/>
      <c r="URQ367" s="388"/>
      <c r="URR367" s="389"/>
      <c r="URS367" s="590"/>
      <c r="URT367" s="266"/>
      <c r="URU367" s="649"/>
      <c r="URV367" s="326"/>
      <c r="URW367" s="362"/>
      <c r="URX367" s="386"/>
      <c r="URY367" s="658"/>
      <c r="URZ367" s="388"/>
      <c r="USA367" s="389"/>
      <c r="USB367" s="590"/>
      <c r="USC367" s="266"/>
      <c r="USD367" s="649"/>
      <c r="USE367" s="326"/>
      <c r="USF367" s="362"/>
      <c r="USG367" s="386"/>
      <c r="USH367" s="658"/>
      <c r="USI367" s="388"/>
      <c r="USJ367" s="389"/>
      <c r="USK367" s="590"/>
      <c r="USL367" s="266"/>
      <c r="USM367" s="649"/>
      <c r="USN367" s="326"/>
      <c r="USO367" s="362"/>
      <c r="USP367" s="386"/>
      <c r="USQ367" s="658"/>
      <c r="USR367" s="388"/>
      <c r="USS367" s="389"/>
      <c r="UST367" s="590"/>
      <c r="USU367" s="266"/>
      <c r="USV367" s="649"/>
      <c r="USW367" s="326"/>
      <c r="USX367" s="362"/>
      <c r="USY367" s="386"/>
      <c r="USZ367" s="658"/>
      <c r="UTA367" s="388"/>
      <c r="UTB367" s="389"/>
      <c r="UTC367" s="590"/>
      <c r="UTD367" s="266"/>
      <c r="UTE367" s="649"/>
      <c r="UTF367" s="326"/>
      <c r="UTG367" s="362"/>
      <c r="UTH367" s="386"/>
      <c r="UTI367" s="658"/>
      <c r="UTJ367" s="388"/>
      <c r="UTK367" s="389"/>
      <c r="UTL367" s="590"/>
      <c r="UTM367" s="266"/>
      <c r="UTN367" s="649"/>
      <c r="UTO367" s="326"/>
      <c r="UTP367" s="362"/>
      <c r="UTQ367" s="386"/>
      <c r="UTR367" s="658"/>
      <c r="UTS367" s="388"/>
      <c r="UTT367" s="389"/>
      <c r="UTU367" s="590"/>
      <c r="UTV367" s="266"/>
      <c r="UTW367" s="649"/>
      <c r="UTX367" s="326"/>
      <c r="UTY367" s="362"/>
      <c r="UTZ367" s="386"/>
      <c r="UUA367" s="658"/>
      <c r="UUB367" s="388"/>
      <c r="UUC367" s="389"/>
      <c r="UUD367" s="590"/>
      <c r="UUE367" s="266"/>
      <c r="UUF367" s="649"/>
      <c r="UUG367" s="326"/>
      <c r="UUH367" s="362"/>
      <c r="UUI367" s="386"/>
      <c r="UUJ367" s="658"/>
      <c r="UUK367" s="388"/>
      <c r="UUL367" s="389"/>
      <c r="UUM367" s="590"/>
      <c r="UUN367" s="266"/>
      <c r="UUO367" s="649"/>
      <c r="UUP367" s="326"/>
      <c r="UUQ367" s="362"/>
      <c r="UUR367" s="386"/>
      <c r="UUS367" s="658"/>
      <c r="UUT367" s="388"/>
      <c r="UUU367" s="389"/>
      <c r="UUV367" s="590"/>
      <c r="UUW367" s="266"/>
      <c r="UUX367" s="649"/>
      <c r="UUY367" s="326"/>
      <c r="UUZ367" s="362"/>
      <c r="UVA367" s="386"/>
      <c r="UVB367" s="658"/>
      <c r="UVC367" s="388"/>
      <c r="UVD367" s="389"/>
      <c r="UVE367" s="590"/>
      <c r="UVF367" s="266"/>
      <c r="UVG367" s="649"/>
      <c r="UVH367" s="326"/>
      <c r="UVI367" s="362"/>
      <c r="UVJ367" s="386"/>
      <c r="UVK367" s="658"/>
      <c r="UVL367" s="388"/>
      <c r="UVM367" s="389"/>
      <c r="UVN367" s="590"/>
      <c r="UVO367" s="266"/>
      <c r="UVP367" s="649"/>
      <c r="UVQ367" s="326"/>
      <c r="UVR367" s="362"/>
      <c r="UVS367" s="386"/>
      <c r="UVT367" s="658"/>
      <c r="UVU367" s="388"/>
      <c r="UVV367" s="389"/>
      <c r="UVW367" s="590"/>
      <c r="UVX367" s="266"/>
      <c r="UVY367" s="649"/>
      <c r="UVZ367" s="326"/>
      <c r="UWA367" s="362"/>
      <c r="UWB367" s="386"/>
      <c r="UWC367" s="658"/>
      <c r="UWD367" s="388"/>
      <c r="UWE367" s="389"/>
      <c r="UWF367" s="590"/>
      <c r="UWG367" s="266"/>
      <c r="UWH367" s="649"/>
      <c r="UWI367" s="326"/>
      <c r="UWJ367" s="362"/>
      <c r="UWK367" s="386"/>
      <c r="UWL367" s="658"/>
      <c r="UWM367" s="388"/>
      <c r="UWN367" s="389"/>
      <c r="UWO367" s="590"/>
      <c r="UWP367" s="266"/>
      <c r="UWQ367" s="649"/>
      <c r="UWR367" s="326"/>
      <c r="UWS367" s="362"/>
      <c r="UWT367" s="386"/>
      <c r="UWU367" s="658"/>
      <c r="UWV367" s="388"/>
      <c r="UWW367" s="389"/>
      <c r="UWX367" s="590"/>
      <c r="UWY367" s="266"/>
      <c r="UWZ367" s="649"/>
      <c r="UXA367" s="326"/>
      <c r="UXB367" s="362"/>
      <c r="UXC367" s="386"/>
      <c r="UXD367" s="658"/>
      <c r="UXE367" s="388"/>
      <c r="UXF367" s="389"/>
      <c r="UXG367" s="590"/>
      <c r="UXH367" s="266"/>
      <c r="UXI367" s="649"/>
      <c r="UXJ367" s="326"/>
      <c r="UXK367" s="362"/>
      <c r="UXL367" s="386"/>
      <c r="UXM367" s="658"/>
      <c r="UXN367" s="388"/>
      <c r="UXO367" s="389"/>
      <c r="UXP367" s="590"/>
      <c r="UXQ367" s="266"/>
      <c r="UXR367" s="649"/>
      <c r="UXS367" s="326"/>
      <c r="UXT367" s="362"/>
      <c r="UXU367" s="386"/>
      <c r="UXV367" s="658"/>
      <c r="UXW367" s="388"/>
      <c r="UXX367" s="389"/>
      <c r="UXY367" s="590"/>
      <c r="UXZ367" s="266"/>
      <c r="UYA367" s="649"/>
      <c r="UYB367" s="326"/>
      <c r="UYC367" s="362"/>
      <c r="UYD367" s="386"/>
      <c r="UYE367" s="658"/>
      <c r="UYF367" s="388"/>
      <c r="UYG367" s="389"/>
      <c r="UYH367" s="590"/>
      <c r="UYI367" s="266"/>
      <c r="UYJ367" s="649"/>
      <c r="UYK367" s="326"/>
      <c r="UYL367" s="362"/>
      <c r="UYM367" s="386"/>
      <c r="UYN367" s="658"/>
      <c r="UYO367" s="388"/>
      <c r="UYP367" s="389"/>
      <c r="UYQ367" s="590"/>
      <c r="UYR367" s="266"/>
      <c r="UYS367" s="649"/>
      <c r="UYT367" s="326"/>
      <c r="UYU367" s="362"/>
      <c r="UYV367" s="386"/>
      <c r="UYW367" s="658"/>
      <c r="UYX367" s="388"/>
      <c r="UYY367" s="389"/>
      <c r="UYZ367" s="590"/>
      <c r="UZA367" s="266"/>
      <c r="UZB367" s="649"/>
      <c r="UZC367" s="326"/>
      <c r="UZD367" s="362"/>
      <c r="UZE367" s="386"/>
      <c r="UZF367" s="658"/>
      <c r="UZG367" s="388"/>
      <c r="UZH367" s="389"/>
      <c r="UZI367" s="590"/>
      <c r="UZJ367" s="266"/>
      <c r="UZK367" s="649"/>
      <c r="UZL367" s="326"/>
      <c r="UZM367" s="362"/>
      <c r="UZN367" s="386"/>
      <c r="UZO367" s="658"/>
      <c r="UZP367" s="388"/>
      <c r="UZQ367" s="389"/>
      <c r="UZR367" s="590"/>
      <c r="UZS367" s="266"/>
      <c r="UZT367" s="649"/>
      <c r="UZU367" s="326"/>
      <c r="UZV367" s="362"/>
      <c r="UZW367" s="386"/>
      <c r="UZX367" s="658"/>
      <c r="UZY367" s="388"/>
      <c r="UZZ367" s="389"/>
      <c r="VAA367" s="590"/>
      <c r="VAB367" s="266"/>
      <c r="VAC367" s="649"/>
      <c r="VAD367" s="326"/>
      <c r="VAE367" s="362"/>
      <c r="VAF367" s="386"/>
      <c r="VAG367" s="658"/>
      <c r="VAH367" s="388"/>
      <c r="VAI367" s="389"/>
      <c r="VAJ367" s="590"/>
      <c r="VAK367" s="266"/>
      <c r="VAL367" s="649"/>
      <c r="VAM367" s="326"/>
      <c r="VAN367" s="362"/>
      <c r="VAO367" s="386"/>
      <c r="VAP367" s="658"/>
      <c r="VAQ367" s="388"/>
      <c r="VAR367" s="389"/>
      <c r="VAS367" s="590"/>
      <c r="VAT367" s="266"/>
      <c r="VAU367" s="649"/>
      <c r="VAV367" s="326"/>
      <c r="VAW367" s="362"/>
      <c r="VAX367" s="386"/>
      <c r="VAY367" s="658"/>
      <c r="VAZ367" s="388"/>
      <c r="VBA367" s="389"/>
      <c r="VBB367" s="590"/>
      <c r="VBC367" s="266"/>
      <c r="VBD367" s="649"/>
      <c r="VBE367" s="326"/>
      <c r="VBF367" s="362"/>
      <c r="VBG367" s="386"/>
      <c r="VBH367" s="658"/>
      <c r="VBI367" s="388"/>
      <c r="VBJ367" s="389"/>
      <c r="VBK367" s="590"/>
      <c r="VBL367" s="266"/>
      <c r="VBM367" s="649"/>
      <c r="VBN367" s="326"/>
      <c r="VBO367" s="362"/>
      <c r="VBP367" s="386"/>
      <c r="VBQ367" s="658"/>
      <c r="VBR367" s="388"/>
      <c r="VBS367" s="389"/>
      <c r="VBT367" s="590"/>
      <c r="VBU367" s="266"/>
      <c r="VBV367" s="649"/>
      <c r="VBW367" s="326"/>
      <c r="VBX367" s="362"/>
      <c r="VBY367" s="386"/>
      <c r="VBZ367" s="658"/>
      <c r="VCA367" s="388"/>
      <c r="VCB367" s="389"/>
      <c r="VCC367" s="590"/>
      <c r="VCD367" s="266"/>
      <c r="VCE367" s="649"/>
      <c r="VCF367" s="326"/>
      <c r="VCG367" s="362"/>
      <c r="VCH367" s="386"/>
      <c r="VCI367" s="658"/>
      <c r="VCJ367" s="388"/>
      <c r="VCK367" s="389"/>
      <c r="VCL367" s="590"/>
      <c r="VCM367" s="266"/>
      <c r="VCN367" s="649"/>
      <c r="VCO367" s="326"/>
      <c r="VCP367" s="362"/>
      <c r="VCQ367" s="386"/>
      <c r="VCR367" s="658"/>
      <c r="VCS367" s="388"/>
      <c r="VCT367" s="389"/>
      <c r="VCU367" s="590"/>
      <c r="VCV367" s="266"/>
      <c r="VCW367" s="649"/>
      <c r="VCX367" s="326"/>
      <c r="VCY367" s="362"/>
      <c r="VCZ367" s="386"/>
      <c r="VDA367" s="658"/>
      <c r="VDB367" s="388"/>
      <c r="VDC367" s="389"/>
      <c r="VDD367" s="590"/>
      <c r="VDE367" s="266"/>
      <c r="VDF367" s="649"/>
      <c r="VDG367" s="326"/>
      <c r="VDH367" s="362"/>
      <c r="VDI367" s="386"/>
      <c r="VDJ367" s="658"/>
      <c r="VDK367" s="388"/>
      <c r="VDL367" s="389"/>
      <c r="VDM367" s="590"/>
      <c r="VDN367" s="266"/>
      <c r="VDO367" s="649"/>
      <c r="VDP367" s="326"/>
      <c r="VDQ367" s="362"/>
      <c r="VDR367" s="386"/>
      <c r="VDS367" s="658"/>
      <c r="VDT367" s="388"/>
      <c r="VDU367" s="389"/>
      <c r="VDV367" s="590"/>
      <c r="VDW367" s="266"/>
      <c r="VDX367" s="649"/>
      <c r="VDY367" s="326"/>
      <c r="VDZ367" s="362"/>
      <c r="VEA367" s="386"/>
      <c r="VEB367" s="658"/>
      <c r="VEC367" s="388"/>
      <c r="VED367" s="389"/>
      <c r="VEE367" s="590"/>
      <c r="VEF367" s="266"/>
      <c r="VEG367" s="649"/>
      <c r="VEH367" s="326"/>
      <c r="VEI367" s="362"/>
      <c r="VEJ367" s="386"/>
      <c r="VEK367" s="658"/>
      <c r="VEL367" s="388"/>
      <c r="VEM367" s="389"/>
      <c r="VEN367" s="590"/>
      <c r="VEO367" s="266"/>
      <c r="VEP367" s="649"/>
      <c r="VEQ367" s="326"/>
      <c r="VER367" s="362"/>
      <c r="VES367" s="386"/>
      <c r="VET367" s="658"/>
      <c r="VEU367" s="388"/>
      <c r="VEV367" s="389"/>
      <c r="VEW367" s="590"/>
      <c r="VEX367" s="266"/>
      <c r="VEY367" s="649"/>
      <c r="VEZ367" s="326"/>
      <c r="VFA367" s="362"/>
      <c r="VFB367" s="386"/>
      <c r="VFC367" s="658"/>
      <c r="VFD367" s="388"/>
      <c r="VFE367" s="389"/>
      <c r="VFF367" s="590"/>
      <c r="VFG367" s="266"/>
      <c r="VFH367" s="649"/>
      <c r="VFI367" s="326"/>
      <c r="VFJ367" s="362"/>
      <c r="VFK367" s="386"/>
      <c r="VFL367" s="658"/>
      <c r="VFM367" s="388"/>
      <c r="VFN367" s="389"/>
      <c r="VFO367" s="590"/>
      <c r="VFP367" s="266"/>
      <c r="VFQ367" s="649"/>
      <c r="VFR367" s="326"/>
      <c r="VFS367" s="362"/>
      <c r="VFT367" s="386"/>
      <c r="VFU367" s="658"/>
      <c r="VFV367" s="388"/>
      <c r="VFW367" s="389"/>
      <c r="VFX367" s="590"/>
      <c r="VFY367" s="266"/>
      <c r="VFZ367" s="649"/>
      <c r="VGA367" s="326"/>
      <c r="VGB367" s="362"/>
      <c r="VGC367" s="386"/>
      <c r="VGD367" s="658"/>
      <c r="VGE367" s="388"/>
      <c r="VGF367" s="389"/>
      <c r="VGG367" s="590"/>
      <c r="VGH367" s="266"/>
      <c r="VGI367" s="649"/>
      <c r="VGJ367" s="326"/>
      <c r="VGK367" s="362"/>
      <c r="VGL367" s="386"/>
      <c r="VGM367" s="658"/>
      <c r="VGN367" s="388"/>
      <c r="VGO367" s="389"/>
      <c r="VGP367" s="590"/>
      <c r="VGQ367" s="266"/>
      <c r="VGR367" s="649"/>
      <c r="VGS367" s="326"/>
      <c r="VGT367" s="362"/>
      <c r="VGU367" s="386"/>
      <c r="VGV367" s="658"/>
      <c r="VGW367" s="388"/>
      <c r="VGX367" s="389"/>
      <c r="VGY367" s="590"/>
      <c r="VGZ367" s="266"/>
      <c r="VHA367" s="649"/>
      <c r="VHB367" s="326"/>
      <c r="VHC367" s="362"/>
      <c r="VHD367" s="386"/>
      <c r="VHE367" s="658"/>
      <c r="VHF367" s="388"/>
      <c r="VHG367" s="389"/>
      <c r="VHH367" s="590"/>
      <c r="VHI367" s="266"/>
      <c r="VHJ367" s="649"/>
      <c r="VHK367" s="326"/>
      <c r="VHL367" s="362"/>
      <c r="VHM367" s="386"/>
      <c r="VHN367" s="658"/>
      <c r="VHO367" s="388"/>
      <c r="VHP367" s="389"/>
      <c r="VHQ367" s="590"/>
      <c r="VHR367" s="266"/>
      <c r="VHS367" s="649"/>
      <c r="VHT367" s="326"/>
      <c r="VHU367" s="362"/>
      <c r="VHV367" s="386"/>
      <c r="VHW367" s="658"/>
      <c r="VHX367" s="388"/>
      <c r="VHY367" s="389"/>
      <c r="VHZ367" s="590"/>
      <c r="VIA367" s="266"/>
      <c r="VIB367" s="649"/>
      <c r="VIC367" s="326"/>
      <c r="VID367" s="362"/>
      <c r="VIE367" s="386"/>
      <c r="VIF367" s="658"/>
      <c r="VIG367" s="388"/>
      <c r="VIH367" s="389"/>
      <c r="VII367" s="590"/>
      <c r="VIJ367" s="266"/>
      <c r="VIK367" s="649"/>
      <c r="VIL367" s="326"/>
      <c r="VIM367" s="362"/>
      <c r="VIN367" s="386"/>
      <c r="VIO367" s="658"/>
      <c r="VIP367" s="388"/>
      <c r="VIQ367" s="389"/>
      <c r="VIR367" s="590"/>
      <c r="VIS367" s="266"/>
      <c r="VIT367" s="649"/>
      <c r="VIU367" s="326"/>
      <c r="VIV367" s="362"/>
      <c r="VIW367" s="386"/>
      <c r="VIX367" s="658"/>
      <c r="VIY367" s="388"/>
      <c r="VIZ367" s="389"/>
      <c r="VJA367" s="590"/>
      <c r="VJB367" s="266"/>
      <c r="VJC367" s="649"/>
      <c r="VJD367" s="326"/>
      <c r="VJE367" s="362"/>
      <c r="VJF367" s="386"/>
      <c r="VJG367" s="658"/>
      <c r="VJH367" s="388"/>
      <c r="VJI367" s="389"/>
      <c r="VJJ367" s="590"/>
      <c r="VJK367" s="266"/>
      <c r="VJL367" s="649"/>
      <c r="VJM367" s="326"/>
      <c r="VJN367" s="362"/>
      <c r="VJO367" s="386"/>
      <c r="VJP367" s="658"/>
      <c r="VJQ367" s="388"/>
      <c r="VJR367" s="389"/>
      <c r="VJS367" s="590"/>
      <c r="VJT367" s="266"/>
      <c r="VJU367" s="649"/>
      <c r="VJV367" s="326"/>
      <c r="VJW367" s="362"/>
      <c r="VJX367" s="386"/>
      <c r="VJY367" s="658"/>
      <c r="VJZ367" s="388"/>
      <c r="VKA367" s="389"/>
      <c r="VKB367" s="590"/>
      <c r="VKC367" s="266"/>
      <c r="VKD367" s="649"/>
      <c r="VKE367" s="326"/>
      <c r="VKF367" s="362"/>
      <c r="VKG367" s="386"/>
      <c r="VKH367" s="658"/>
      <c r="VKI367" s="388"/>
      <c r="VKJ367" s="389"/>
      <c r="VKK367" s="590"/>
      <c r="VKL367" s="266"/>
      <c r="VKM367" s="649"/>
      <c r="VKN367" s="326"/>
      <c r="VKO367" s="362"/>
      <c r="VKP367" s="386"/>
      <c r="VKQ367" s="658"/>
      <c r="VKR367" s="388"/>
      <c r="VKS367" s="389"/>
      <c r="VKT367" s="590"/>
      <c r="VKU367" s="266"/>
      <c r="VKV367" s="649"/>
      <c r="VKW367" s="326"/>
      <c r="VKX367" s="362"/>
      <c r="VKY367" s="386"/>
      <c r="VKZ367" s="658"/>
      <c r="VLA367" s="388"/>
      <c r="VLB367" s="389"/>
      <c r="VLC367" s="590"/>
      <c r="VLD367" s="266"/>
      <c r="VLE367" s="649"/>
      <c r="VLF367" s="326"/>
      <c r="VLG367" s="362"/>
      <c r="VLH367" s="386"/>
      <c r="VLI367" s="658"/>
      <c r="VLJ367" s="388"/>
      <c r="VLK367" s="389"/>
      <c r="VLL367" s="590"/>
      <c r="VLM367" s="266"/>
      <c r="VLN367" s="649"/>
      <c r="VLO367" s="326"/>
      <c r="VLP367" s="362"/>
      <c r="VLQ367" s="386"/>
      <c r="VLR367" s="658"/>
      <c r="VLS367" s="388"/>
      <c r="VLT367" s="389"/>
      <c r="VLU367" s="590"/>
      <c r="VLV367" s="266"/>
      <c r="VLW367" s="649"/>
      <c r="VLX367" s="326"/>
      <c r="VLY367" s="362"/>
      <c r="VLZ367" s="386"/>
      <c r="VMA367" s="658"/>
      <c r="VMB367" s="388"/>
      <c r="VMC367" s="389"/>
      <c r="VMD367" s="590"/>
      <c r="VME367" s="266"/>
      <c r="VMF367" s="649"/>
      <c r="VMG367" s="326"/>
      <c r="VMH367" s="362"/>
      <c r="VMI367" s="386"/>
      <c r="VMJ367" s="658"/>
      <c r="VMK367" s="388"/>
      <c r="VML367" s="389"/>
      <c r="VMM367" s="590"/>
      <c r="VMN367" s="266"/>
      <c r="VMO367" s="649"/>
      <c r="VMP367" s="326"/>
      <c r="VMQ367" s="362"/>
      <c r="VMR367" s="386"/>
      <c r="VMS367" s="658"/>
      <c r="VMT367" s="388"/>
      <c r="VMU367" s="389"/>
      <c r="VMV367" s="590"/>
      <c r="VMW367" s="266"/>
      <c r="VMX367" s="649"/>
      <c r="VMY367" s="326"/>
      <c r="VMZ367" s="362"/>
      <c r="VNA367" s="386"/>
      <c r="VNB367" s="658"/>
      <c r="VNC367" s="388"/>
      <c r="VND367" s="389"/>
      <c r="VNE367" s="590"/>
      <c r="VNF367" s="266"/>
      <c r="VNG367" s="649"/>
      <c r="VNH367" s="326"/>
      <c r="VNI367" s="362"/>
      <c r="VNJ367" s="386"/>
      <c r="VNK367" s="658"/>
      <c r="VNL367" s="388"/>
      <c r="VNM367" s="389"/>
      <c r="VNN367" s="590"/>
      <c r="VNO367" s="266"/>
      <c r="VNP367" s="649"/>
      <c r="VNQ367" s="326"/>
      <c r="VNR367" s="362"/>
      <c r="VNS367" s="386"/>
      <c r="VNT367" s="658"/>
      <c r="VNU367" s="388"/>
      <c r="VNV367" s="389"/>
      <c r="VNW367" s="590"/>
      <c r="VNX367" s="266"/>
      <c r="VNY367" s="649"/>
      <c r="VNZ367" s="326"/>
      <c r="VOA367" s="362"/>
      <c r="VOB367" s="386"/>
      <c r="VOC367" s="658"/>
      <c r="VOD367" s="388"/>
      <c r="VOE367" s="389"/>
      <c r="VOF367" s="590"/>
      <c r="VOG367" s="266"/>
      <c r="VOH367" s="649"/>
      <c r="VOI367" s="326"/>
      <c r="VOJ367" s="362"/>
      <c r="VOK367" s="386"/>
      <c r="VOL367" s="658"/>
      <c r="VOM367" s="388"/>
      <c r="VON367" s="389"/>
      <c r="VOO367" s="590"/>
      <c r="VOP367" s="266"/>
      <c r="VOQ367" s="649"/>
      <c r="VOR367" s="326"/>
      <c r="VOS367" s="362"/>
      <c r="VOT367" s="386"/>
      <c r="VOU367" s="658"/>
      <c r="VOV367" s="388"/>
      <c r="VOW367" s="389"/>
      <c r="VOX367" s="590"/>
      <c r="VOY367" s="266"/>
      <c r="VOZ367" s="649"/>
      <c r="VPA367" s="326"/>
      <c r="VPB367" s="362"/>
      <c r="VPC367" s="386"/>
      <c r="VPD367" s="658"/>
      <c r="VPE367" s="388"/>
      <c r="VPF367" s="389"/>
      <c r="VPG367" s="590"/>
      <c r="VPH367" s="266"/>
      <c r="VPI367" s="649"/>
      <c r="VPJ367" s="326"/>
      <c r="VPK367" s="362"/>
      <c r="VPL367" s="386"/>
      <c r="VPM367" s="658"/>
      <c r="VPN367" s="388"/>
      <c r="VPO367" s="389"/>
      <c r="VPP367" s="590"/>
      <c r="VPQ367" s="266"/>
      <c r="VPR367" s="649"/>
      <c r="VPS367" s="326"/>
      <c r="VPT367" s="362"/>
      <c r="VPU367" s="386"/>
      <c r="VPV367" s="658"/>
      <c r="VPW367" s="388"/>
      <c r="VPX367" s="389"/>
      <c r="VPY367" s="590"/>
      <c r="VPZ367" s="266"/>
      <c r="VQA367" s="649"/>
      <c r="VQB367" s="326"/>
      <c r="VQC367" s="362"/>
      <c r="VQD367" s="386"/>
      <c r="VQE367" s="658"/>
      <c r="VQF367" s="388"/>
      <c r="VQG367" s="389"/>
      <c r="VQH367" s="590"/>
      <c r="VQI367" s="266"/>
      <c r="VQJ367" s="649"/>
      <c r="VQK367" s="326"/>
      <c r="VQL367" s="362"/>
      <c r="VQM367" s="386"/>
      <c r="VQN367" s="658"/>
      <c r="VQO367" s="388"/>
      <c r="VQP367" s="389"/>
      <c r="VQQ367" s="590"/>
      <c r="VQR367" s="266"/>
      <c r="VQS367" s="649"/>
      <c r="VQT367" s="326"/>
      <c r="VQU367" s="362"/>
      <c r="VQV367" s="386"/>
      <c r="VQW367" s="658"/>
      <c r="VQX367" s="388"/>
      <c r="VQY367" s="389"/>
      <c r="VQZ367" s="590"/>
      <c r="VRA367" s="266"/>
      <c r="VRB367" s="649"/>
      <c r="VRC367" s="326"/>
      <c r="VRD367" s="362"/>
      <c r="VRE367" s="386"/>
      <c r="VRF367" s="658"/>
      <c r="VRG367" s="388"/>
      <c r="VRH367" s="389"/>
      <c r="VRI367" s="590"/>
      <c r="VRJ367" s="266"/>
      <c r="VRK367" s="649"/>
      <c r="VRL367" s="326"/>
      <c r="VRM367" s="362"/>
      <c r="VRN367" s="386"/>
      <c r="VRO367" s="658"/>
      <c r="VRP367" s="388"/>
      <c r="VRQ367" s="389"/>
      <c r="VRR367" s="590"/>
      <c r="VRS367" s="266"/>
      <c r="VRT367" s="649"/>
      <c r="VRU367" s="326"/>
      <c r="VRV367" s="362"/>
      <c r="VRW367" s="386"/>
      <c r="VRX367" s="658"/>
      <c r="VRY367" s="388"/>
      <c r="VRZ367" s="389"/>
      <c r="VSA367" s="590"/>
      <c r="VSB367" s="266"/>
      <c r="VSC367" s="649"/>
      <c r="VSD367" s="326"/>
      <c r="VSE367" s="362"/>
      <c r="VSF367" s="386"/>
      <c r="VSG367" s="658"/>
      <c r="VSH367" s="388"/>
      <c r="VSI367" s="389"/>
      <c r="VSJ367" s="590"/>
      <c r="VSK367" s="266"/>
      <c r="VSL367" s="649"/>
      <c r="VSM367" s="326"/>
      <c r="VSN367" s="362"/>
      <c r="VSO367" s="386"/>
      <c r="VSP367" s="658"/>
      <c r="VSQ367" s="388"/>
      <c r="VSR367" s="389"/>
      <c r="VSS367" s="590"/>
      <c r="VST367" s="266"/>
      <c r="VSU367" s="649"/>
      <c r="VSV367" s="326"/>
      <c r="VSW367" s="362"/>
      <c r="VSX367" s="386"/>
      <c r="VSY367" s="658"/>
      <c r="VSZ367" s="388"/>
      <c r="VTA367" s="389"/>
      <c r="VTB367" s="590"/>
      <c r="VTC367" s="266"/>
      <c r="VTD367" s="649"/>
      <c r="VTE367" s="326"/>
      <c r="VTF367" s="362"/>
      <c r="VTG367" s="386"/>
      <c r="VTH367" s="658"/>
      <c r="VTI367" s="388"/>
      <c r="VTJ367" s="389"/>
      <c r="VTK367" s="590"/>
      <c r="VTL367" s="266"/>
      <c r="VTM367" s="649"/>
      <c r="VTN367" s="326"/>
      <c r="VTO367" s="362"/>
      <c r="VTP367" s="386"/>
      <c r="VTQ367" s="658"/>
      <c r="VTR367" s="388"/>
      <c r="VTS367" s="389"/>
      <c r="VTT367" s="590"/>
      <c r="VTU367" s="266"/>
      <c r="VTV367" s="649"/>
      <c r="VTW367" s="326"/>
      <c r="VTX367" s="362"/>
      <c r="VTY367" s="386"/>
      <c r="VTZ367" s="658"/>
      <c r="VUA367" s="388"/>
      <c r="VUB367" s="389"/>
      <c r="VUC367" s="590"/>
      <c r="VUD367" s="266"/>
      <c r="VUE367" s="649"/>
      <c r="VUF367" s="326"/>
      <c r="VUG367" s="362"/>
      <c r="VUH367" s="386"/>
      <c r="VUI367" s="658"/>
      <c r="VUJ367" s="388"/>
      <c r="VUK367" s="389"/>
      <c r="VUL367" s="590"/>
      <c r="VUM367" s="266"/>
      <c r="VUN367" s="649"/>
      <c r="VUO367" s="326"/>
      <c r="VUP367" s="362"/>
      <c r="VUQ367" s="386"/>
      <c r="VUR367" s="658"/>
      <c r="VUS367" s="388"/>
      <c r="VUT367" s="389"/>
      <c r="VUU367" s="590"/>
      <c r="VUV367" s="266"/>
      <c r="VUW367" s="649"/>
      <c r="VUX367" s="326"/>
      <c r="VUY367" s="362"/>
      <c r="VUZ367" s="386"/>
      <c r="VVA367" s="658"/>
      <c r="VVB367" s="388"/>
      <c r="VVC367" s="389"/>
      <c r="VVD367" s="590"/>
      <c r="VVE367" s="266"/>
      <c r="VVF367" s="649"/>
      <c r="VVG367" s="326"/>
      <c r="VVH367" s="362"/>
      <c r="VVI367" s="386"/>
      <c r="VVJ367" s="658"/>
      <c r="VVK367" s="388"/>
      <c r="VVL367" s="389"/>
      <c r="VVM367" s="590"/>
      <c r="VVN367" s="266"/>
      <c r="VVO367" s="649"/>
      <c r="VVP367" s="326"/>
      <c r="VVQ367" s="362"/>
      <c r="VVR367" s="386"/>
      <c r="VVS367" s="658"/>
      <c r="VVT367" s="388"/>
      <c r="VVU367" s="389"/>
      <c r="VVV367" s="590"/>
      <c r="VVW367" s="266"/>
      <c r="VVX367" s="649"/>
      <c r="VVY367" s="326"/>
      <c r="VVZ367" s="362"/>
      <c r="VWA367" s="386"/>
      <c r="VWB367" s="658"/>
      <c r="VWC367" s="388"/>
      <c r="VWD367" s="389"/>
      <c r="VWE367" s="590"/>
      <c r="VWF367" s="266"/>
      <c r="VWG367" s="649"/>
      <c r="VWH367" s="326"/>
      <c r="VWI367" s="362"/>
      <c r="VWJ367" s="386"/>
      <c r="VWK367" s="658"/>
      <c r="VWL367" s="388"/>
      <c r="VWM367" s="389"/>
      <c r="VWN367" s="590"/>
      <c r="VWO367" s="266"/>
      <c r="VWP367" s="649"/>
      <c r="VWQ367" s="326"/>
      <c r="VWR367" s="362"/>
      <c r="VWS367" s="386"/>
      <c r="VWT367" s="658"/>
      <c r="VWU367" s="388"/>
      <c r="VWV367" s="389"/>
      <c r="VWW367" s="590"/>
      <c r="VWX367" s="266"/>
      <c r="VWY367" s="649"/>
      <c r="VWZ367" s="326"/>
      <c r="VXA367" s="362"/>
      <c r="VXB367" s="386"/>
      <c r="VXC367" s="658"/>
      <c r="VXD367" s="388"/>
      <c r="VXE367" s="389"/>
      <c r="VXF367" s="590"/>
      <c r="VXG367" s="266"/>
      <c r="VXH367" s="649"/>
      <c r="VXI367" s="326"/>
      <c r="VXJ367" s="362"/>
      <c r="VXK367" s="386"/>
      <c r="VXL367" s="658"/>
      <c r="VXM367" s="388"/>
      <c r="VXN367" s="389"/>
      <c r="VXO367" s="590"/>
      <c r="VXP367" s="266"/>
      <c r="VXQ367" s="649"/>
      <c r="VXR367" s="326"/>
      <c r="VXS367" s="362"/>
      <c r="VXT367" s="386"/>
      <c r="VXU367" s="658"/>
      <c r="VXV367" s="388"/>
      <c r="VXW367" s="389"/>
      <c r="VXX367" s="590"/>
      <c r="VXY367" s="266"/>
      <c r="VXZ367" s="649"/>
      <c r="VYA367" s="326"/>
      <c r="VYB367" s="362"/>
      <c r="VYC367" s="386"/>
      <c r="VYD367" s="658"/>
      <c r="VYE367" s="388"/>
      <c r="VYF367" s="389"/>
      <c r="VYG367" s="590"/>
      <c r="VYH367" s="266"/>
      <c r="VYI367" s="649"/>
      <c r="VYJ367" s="326"/>
      <c r="VYK367" s="362"/>
      <c r="VYL367" s="386"/>
      <c r="VYM367" s="658"/>
      <c r="VYN367" s="388"/>
      <c r="VYO367" s="389"/>
      <c r="VYP367" s="590"/>
      <c r="VYQ367" s="266"/>
      <c r="VYR367" s="649"/>
      <c r="VYS367" s="326"/>
      <c r="VYT367" s="362"/>
      <c r="VYU367" s="386"/>
      <c r="VYV367" s="658"/>
      <c r="VYW367" s="388"/>
      <c r="VYX367" s="389"/>
      <c r="VYY367" s="590"/>
      <c r="VYZ367" s="266"/>
      <c r="VZA367" s="649"/>
      <c r="VZB367" s="326"/>
      <c r="VZC367" s="362"/>
      <c r="VZD367" s="386"/>
      <c r="VZE367" s="658"/>
      <c r="VZF367" s="388"/>
      <c r="VZG367" s="389"/>
      <c r="VZH367" s="590"/>
      <c r="VZI367" s="266"/>
      <c r="VZJ367" s="649"/>
      <c r="VZK367" s="326"/>
      <c r="VZL367" s="362"/>
      <c r="VZM367" s="386"/>
      <c r="VZN367" s="658"/>
      <c r="VZO367" s="388"/>
      <c r="VZP367" s="389"/>
      <c r="VZQ367" s="590"/>
      <c r="VZR367" s="266"/>
      <c r="VZS367" s="649"/>
      <c r="VZT367" s="326"/>
      <c r="VZU367" s="362"/>
      <c r="VZV367" s="386"/>
      <c r="VZW367" s="658"/>
      <c r="VZX367" s="388"/>
      <c r="VZY367" s="389"/>
      <c r="VZZ367" s="590"/>
      <c r="WAA367" s="266"/>
      <c r="WAB367" s="649"/>
      <c r="WAC367" s="326"/>
      <c r="WAD367" s="362"/>
      <c r="WAE367" s="386"/>
      <c r="WAF367" s="658"/>
      <c r="WAG367" s="388"/>
      <c r="WAH367" s="389"/>
      <c r="WAI367" s="590"/>
      <c r="WAJ367" s="266"/>
      <c r="WAK367" s="649"/>
      <c r="WAL367" s="326"/>
      <c r="WAM367" s="362"/>
      <c r="WAN367" s="386"/>
      <c r="WAO367" s="658"/>
      <c r="WAP367" s="388"/>
      <c r="WAQ367" s="389"/>
      <c r="WAR367" s="590"/>
      <c r="WAS367" s="266"/>
      <c r="WAT367" s="649"/>
      <c r="WAU367" s="326"/>
      <c r="WAV367" s="362"/>
      <c r="WAW367" s="386"/>
      <c r="WAX367" s="658"/>
      <c r="WAY367" s="388"/>
      <c r="WAZ367" s="389"/>
      <c r="WBA367" s="590"/>
      <c r="WBB367" s="266"/>
      <c r="WBC367" s="649"/>
      <c r="WBD367" s="326"/>
      <c r="WBE367" s="362"/>
      <c r="WBF367" s="386"/>
      <c r="WBG367" s="658"/>
      <c r="WBH367" s="388"/>
      <c r="WBI367" s="389"/>
      <c r="WBJ367" s="590"/>
      <c r="WBK367" s="266"/>
      <c r="WBL367" s="649"/>
      <c r="WBM367" s="326"/>
      <c r="WBN367" s="362"/>
      <c r="WBO367" s="386"/>
      <c r="WBP367" s="658"/>
      <c r="WBQ367" s="388"/>
      <c r="WBR367" s="389"/>
      <c r="WBS367" s="590"/>
      <c r="WBT367" s="266"/>
      <c r="WBU367" s="649"/>
      <c r="WBV367" s="326"/>
      <c r="WBW367" s="362"/>
      <c r="WBX367" s="386"/>
      <c r="WBY367" s="658"/>
      <c r="WBZ367" s="388"/>
      <c r="WCA367" s="389"/>
      <c r="WCB367" s="590"/>
      <c r="WCC367" s="266"/>
      <c r="WCD367" s="649"/>
      <c r="WCE367" s="326"/>
      <c r="WCF367" s="362"/>
      <c r="WCG367" s="386"/>
      <c r="WCH367" s="658"/>
      <c r="WCI367" s="388"/>
      <c r="WCJ367" s="389"/>
      <c r="WCK367" s="590"/>
      <c r="WCL367" s="266"/>
      <c r="WCM367" s="649"/>
      <c r="WCN367" s="326"/>
      <c r="WCO367" s="362"/>
      <c r="WCP367" s="386"/>
      <c r="WCQ367" s="658"/>
      <c r="WCR367" s="388"/>
      <c r="WCS367" s="389"/>
      <c r="WCT367" s="590"/>
      <c r="WCU367" s="266"/>
      <c r="WCV367" s="649"/>
      <c r="WCW367" s="326"/>
      <c r="WCX367" s="362"/>
      <c r="WCY367" s="386"/>
      <c r="WCZ367" s="658"/>
      <c r="WDA367" s="388"/>
      <c r="WDB367" s="389"/>
      <c r="WDC367" s="590"/>
      <c r="WDD367" s="266"/>
      <c r="WDE367" s="649"/>
      <c r="WDF367" s="326"/>
      <c r="WDG367" s="362"/>
      <c r="WDH367" s="386"/>
      <c r="WDI367" s="658"/>
      <c r="WDJ367" s="388"/>
      <c r="WDK367" s="389"/>
      <c r="WDL367" s="590"/>
      <c r="WDM367" s="266"/>
      <c r="WDN367" s="649"/>
      <c r="WDO367" s="326"/>
      <c r="WDP367" s="362"/>
      <c r="WDQ367" s="386"/>
      <c r="WDR367" s="658"/>
      <c r="WDS367" s="388"/>
      <c r="WDT367" s="389"/>
      <c r="WDU367" s="590"/>
      <c r="WDV367" s="266"/>
      <c r="WDW367" s="649"/>
      <c r="WDX367" s="326"/>
      <c r="WDY367" s="362"/>
      <c r="WDZ367" s="386"/>
      <c r="WEA367" s="658"/>
      <c r="WEB367" s="388"/>
      <c r="WEC367" s="389"/>
      <c r="WED367" s="590"/>
      <c r="WEE367" s="266"/>
      <c r="WEF367" s="649"/>
      <c r="WEG367" s="326"/>
      <c r="WEH367" s="362"/>
      <c r="WEI367" s="386"/>
      <c r="WEJ367" s="658"/>
      <c r="WEK367" s="388"/>
      <c r="WEL367" s="389"/>
      <c r="WEM367" s="590"/>
      <c r="WEN367" s="266"/>
      <c r="WEO367" s="649"/>
      <c r="WEP367" s="326"/>
      <c r="WEQ367" s="362"/>
      <c r="WER367" s="386"/>
      <c r="WES367" s="658"/>
      <c r="WET367" s="388"/>
      <c r="WEU367" s="389"/>
      <c r="WEV367" s="590"/>
      <c r="WEW367" s="266"/>
      <c r="WEX367" s="649"/>
      <c r="WEY367" s="326"/>
      <c r="WEZ367" s="362"/>
      <c r="WFA367" s="386"/>
      <c r="WFB367" s="658"/>
      <c r="WFC367" s="388"/>
      <c r="WFD367" s="389"/>
      <c r="WFE367" s="590"/>
      <c r="WFF367" s="266"/>
      <c r="WFG367" s="649"/>
      <c r="WFH367" s="326"/>
      <c r="WFI367" s="362"/>
      <c r="WFJ367" s="386"/>
      <c r="WFK367" s="658"/>
      <c r="WFL367" s="388"/>
      <c r="WFM367" s="389"/>
      <c r="WFN367" s="590"/>
      <c r="WFO367" s="266"/>
      <c r="WFP367" s="649"/>
      <c r="WFQ367" s="326"/>
      <c r="WFR367" s="362"/>
      <c r="WFS367" s="386"/>
      <c r="WFT367" s="658"/>
      <c r="WFU367" s="388"/>
      <c r="WFV367" s="389"/>
      <c r="WFW367" s="590"/>
      <c r="WFX367" s="266"/>
      <c r="WFY367" s="649"/>
      <c r="WFZ367" s="326"/>
      <c r="WGA367" s="362"/>
      <c r="WGB367" s="386"/>
      <c r="WGC367" s="658"/>
      <c r="WGD367" s="388"/>
      <c r="WGE367" s="389"/>
      <c r="WGF367" s="590"/>
      <c r="WGG367" s="266"/>
      <c r="WGH367" s="649"/>
      <c r="WGI367" s="326"/>
      <c r="WGJ367" s="362"/>
      <c r="WGK367" s="386"/>
      <c r="WGL367" s="658"/>
      <c r="WGM367" s="388"/>
      <c r="WGN367" s="389"/>
      <c r="WGO367" s="590"/>
      <c r="WGP367" s="266"/>
      <c r="WGQ367" s="649"/>
      <c r="WGR367" s="326"/>
      <c r="WGS367" s="362"/>
      <c r="WGT367" s="386"/>
      <c r="WGU367" s="658"/>
      <c r="WGV367" s="388"/>
      <c r="WGW367" s="389"/>
      <c r="WGX367" s="590"/>
      <c r="WGY367" s="266"/>
      <c r="WGZ367" s="649"/>
      <c r="WHA367" s="326"/>
      <c r="WHB367" s="362"/>
      <c r="WHC367" s="386"/>
      <c r="WHD367" s="658"/>
      <c r="WHE367" s="388"/>
      <c r="WHF367" s="389"/>
      <c r="WHG367" s="590"/>
      <c r="WHH367" s="266"/>
      <c r="WHI367" s="649"/>
      <c r="WHJ367" s="326"/>
      <c r="WHK367" s="362"/>
      <c r="WHL367" s="386"/>
      <c r="WHM367" s="658"/>
      <c r="WHN367" s="388"/>
      <c r="WHO367" s="389"/>
      <c r="WHP367" s="590"/>
      <c r="WHQ367" s="266"/>
      <c r="WHR367" s="649"/>
      <c r="WHS367" s="326"/>
      <c r="WHT367" s="362"/>
      <c r="WHU367" s="386"/>
      <c r="WHV367" s="658"/>
      <c r="WHW367" s="388"/>
      <c r="WHX367" s="389"/>
      <c r="WHY367" s="590"/>
      <c r="WHZ367" s="266"/>
      <c r="WIA367" s="649"/>
      <c r="WIB367" s="326"/>
      <c r="WIC367" s="362"/>
      <c r="WID367" s="386"/>
      <c r="WIE367" s="658"/>
      <c r="WIF367" s="388"/>
      <c r="WIG367" s="389"/>
      <c r="WIH367" s="590"/>
      <c r="WII367" s="266"/>
      <c r="WIJ367" s="649"/>
      <c r="WIK367" s="326"/>
      <c r="WIL367" s="362"/>
      <c r="WIM367" s="386"/>
      <c r="WIN367" s="658"/>
      <c r="WIO367" s="388"/>
      <c r="WIP367" s="389"/>
      <c r="WIQ367" s="590"/>
      <c r="WIR367" s="266"/>
      <c r="WIS367" s="649"/>
      <c r="WIT367" s="326"/>
      <c r="WIU367" s="362"/>
      <c r="WIV367" s="386"/>
      <c r="WIW367" s="658"/>
      <c r="WIX367" s="388"/>
      <c r="WIY367" s="389"/>
      <c r="WIZ367" s="590"/>
      <c r="WJA367" s="266"/>
      <c r="WJB367" s="649"/>
      <c r="WJC367" s="326"/>
      <c r="WJD367" s="362"/>
      <c r="WJE367" s="386"/>
      <c r="WJF367" s="658"/>
      <c r="WJG367" s="388"/>
      <c r="WJH367" s="389"/>
      <c r="WJI367" s="590"/>
      <c r="WJJ367" s="266"/>
      <c r="WJK367" s="649"/>
      <c r="WJL367" s="326"/>
      <c r="WJM367" s="362"/>
      <c r="WJN367" s="386"/>
      <c r="WJO367" s="658"/>
      <c r="WJP367" s="388"/>
      <c r="WJQ367" s="389"/>
      <c r="WJR367" s="590"/>
      <c r="WJS367" s="266"/>
      <c r="WJT367" s="649"/>
      <c r="WJU367" s="326"/>
      <c r="WJV367" s="362"/>
      <c r="WJW367" s="386"/>
      <c r="WJX367" s="658"/>
      <c r="WJY367" s="388"/>
      <c r="WJZ367" s="389"/>
      <c r="WKA367" s="590"/>
      <c r="WKB367" s="266"/>
      <c r="WKC367" s="649"/>
      <c r="WKD367" s="326"/>
      <c r="WKE367" s="362"/>
      <c r="WKF367" s="386"/>
      <c r="WKG367" s="658"/>
      <c r="WKH367" s="388"/>
      <c r="WKI367" s="389"/>
      <c r="WKJ367" s="590"/>
      <c r="WKK367" s="266"/>
      <c r="WKL367" s="649"/>
      <c r="WKM367" s="326"/>
      <c r="WKN367" s="362"/>
      <c r="WKO367" s="386"/>
      <c r="WKP367" s="658"/>
      <c r="WKQ367" s="388"/>
      <c r="WKR367" s="389"/>
      <c r="WKS367" s="590"/>
      <c r="WKT367" s="266"/>
      <c r="WKU367" s="649"/>
      <c r="WKV367" s="326"/>
      <c r="WKW367" s="362"/>
      <c r="WKX367" s="386"/>
      <c r="WKY367" s="658"/>
      <c r="WKZ367" s="388"/>
      <c r="WLA367" s="389"/>
      <c r="WLB367" s="590"/>
      <c r="WLC367" s="266"/>
      <c r="WLD367" s="649"/>
      <c r="WLE367" s="326"/>
      <c r="WLF367" s="362"/>
      <c r="WLG367" s="386"/>
      <c r="WLH367" s="658"/>
      <c r="WLI367" s="388"/>
      <c r="WLJ367" s="389"/>
      <c r="WLK367" s="590"/>
      <c r="WLL367" s="266"/>
      <c r="WLM367" s="649"/>
      <c r="WLN367" s="326"/>
      <c r="WLO367" s="362"/>
      <c r="WLP367" s="386"/>
      <c r="WLQ367" s="658"/>
      <c r="WLR367" s="388"/>
      <c r="WLS367" s="389"/>
      <c r="WLT367" s="590"/>
      <c r="WLU367" s="266"/>
      <c r="WLV367" s="649"/>
      <c r="WLW367" s="326"/>
      <c r="WLX367" s="362"/>
      <c r="WLY367" s="386"/>
      <c r="WLZ367" s="658"/>
      <c r="WMA367" s="388"/>
      <c r="WMB367" s="389"/>
      <c r="WMC367" s="590"/>
      <c r="WMD367" s="266"/>
      <c r="WME367" s="649"/>
      <c r="WMF367" s="326"/>
      <c r="WMG367" s="362"/>
      <c r="WMH367" s="386"/>
      <c r="WMI367" s="658"/>
      <c r="WMJ367" s="388"/>
      <c r="WMK367" s="389"/>
      <c r="WML367" s="590"/>
      <c r="WMM367" s="266"/>
      <c r="WMN367" s="649"/>
      <c r="WMO367" s="326"/>
      <c r="WMP367" s="362"/>
      <c r="WMQ367" s="386"/>
      <c r="WMR367" s="658"/>
      <c r="WMS367" s="388"/>
      <c r="WMT367" s="389"/>
      <c r="WMU367" s="590"/>
      <c r="WMV367" s="266"/>
      <c r="WMW367" s="649"/>
      <c r="WMX367" s="326"/>
      <c r="WMY367" s="362"/>
      <c r="WMZ367" s="386"/>
      <c r="WNA367" s="658"/>
      <c r="WNB367" s="388"/>
      <c r="WNC367" s="389"/>
      <c r="WND367" s="590"/>
      <c r="WNE367" s="266"/>
      <c r="WNF367" s="649"/>
      <c r="WNG367" s="326"/>
      <c r="WNH367" s="362"/>
      <c r="WNI367" s="386"/>
      <c r="WNJ367" s="658"/>
      <c r="WNK367" s="388"/>
      <c r="WNL367" s="389"/>
      <c r="WNM367" s="590"/>
      <c r="WNN367" s="266"/>
      <c r="WNO367" s="649"/>
      <c r="WNP367" s="326"/>
      <c r="WNQ367" s="362"/>
      <c r="WNR367" s="386"/>
      <c r="WNS367" s="658"/>
      <c r="WNT367" s="388"/>
      <c r="WNU367" s="389"/>
      <c r="WNV367" s="590"/>
      <c r="WNW367" s="266"/>
      <c r="WNX367" s="649"/>
      <c r="WNY367" s="326"/>
      <c r="WNZ367" s="362"/>
      <c r="WOA367" s="386"/>
      <c r="WOB367" s="658"/>
      <c r="WOC367" s="388"/>
      <c r="WOD367" s="389"/>
      <c r="WOE367" s="590"/>
      <c r="WOF367" s="266"/>
      <c r="WOG367" s="649"/>
      <c r="WOH367" s="326"/>
      <c r="WOI367" s="362"/>
      <c r="WOJ367" s="386"/>
      <c r="WOK367" s="658"/>
      <c r="WOL367" s="388"/>
      <c r="WOM367" s="389"/>
      <c r="WON367" s="590"/>
      <c r="WOO367" s="266"/>
      <c r="WOP367" s="649"/>
      <c r="WOQ367" s="326"/>
      <c r="WOR367" s="362"/>
      <c r="WOS367" s="386"/>
      <c r="WOT367" s="658"/>
      <c r="WOU367" s="388"/>
      <c r="WOV367" s="389"/>
      <c r="WOW367" s="590"/>
      <c r="WOX367" s="266"/>
      <c r="WOY367" s="649"/>
      <c r="WOZ367" s="326"/>
      <c r="WPA367" s="362"/>
      <c r="WPB367" s="386"/>
      <c r="WPC367" s="658"/>
      <c r="WPD367" s="388"/>
      <c r="WPE367" s="389"/>
      <c r="WPF367" s="590"/>
      <c r="WPG367" s="266"/>
      <c r="WPH367" s="649"/>
      <c r="WPI367" s="326"/>
      <c r="WPJ367" s="362"/>
      <c r="WPK367" s="386"/>
      <c r="WPL367" s="658"/>
      <c r="WPM367" s="388"/>
      <c r="WPN367" s="389"/>
      <c r="WPO367" s="590"/>
      <c r="WPP367" s="266"/>
      <c r="WPQ367" s="649"/>
      <c r="WPR367" s="326"/>
      <c r="WPS367" s="362"/>
      <c r="WPT367" s="386"/>
      <c r="WPU367" s="658"/>
      <c r="WPV367" s="388"/>
      <c r="WPW367" s="389"/>
      <c r="WPX367" s="590"/>
      <c r="WPY367" s="266"/>
      <c r="WPZ367" s="649"/>
      <c r="WQA367" s="326"/>
      <c r="WQB367" s="362"/>
      <c r="WQC367" s="386"/>
      <c r="WQD367" s="658"/>
      <c r="WQE367" s="388"/>
      <c r="WQF367" s="389"/>
      <c r="WQG367" s="590"/>
      <c r="WQH367" s="266"/>
      <c r="WQI367" s="649"/>
      <c r="WQJ367" s="326"/>
      <c r="WQK367" s="362"/>
      <c r="WQL367" s="386"/>
      <c r="WQM367" s="658"/>
      <c r="WQN367" s="388"/>
      <c r="WQO367" s="389"/>
      <c r="WQP367" s="590"/>
      <c r="WQQ367" s="266"/>
      <c r="WQR367" s="649"/>
      <c r="WQS367" s="326"/>
      <c r="WQT367" s="362"/>
      <c r="WQU367" s="386"/>
      <c r="WQV367" s="658"/>
      <c r="WQW367" s="388"/>
      <c r="WQX367" s="389"/>
      <c r="WQY367" s="590"/>
      <c r="WQZ367" s="266"/>
      <c r="WRA367" s="649"/>
      <c r="WRB367" s="326"/>
      <c r="WRC367" s="362"/>
      <c r="WRD367" s="386"/>
      <c r="WRE367" s="658"/>
      <c r="WRF367" s="388"/>
      <c r="WRG367" s="389"/>
      <c r="WRH367" s="590"/>
      <c r="WRI367" s="266"/>
      <c r="WRJ367" s="649"/>
      <c r="WRK367" s="326"/>
      <c r="WRL367" s="362"/>
      <c r="WRM367" s="386"/>
      <c r="WRN367" s="658"/>
      <c r="WRO367" s="388"/>
      <c r="WRP367" s="389"/>
      <c r="WRQ367" s="590"/>
      <c r="WRR367" s="266"/>
      <c r="WRS367" s="649"/>
      <c r="WRT367" s="326"/>
      <c r="WRU367" s="362"/>
      <c r="WRV367" s="386"/>
      <c r="WRW367" s="658"/>
      <c r="WRX367" s="388"/>
      <c r="WRY367" s="389"/>
      <c r="WRZ367" s="590"/>
      <c r="WSA367" s="266"/>
      <c r="WSB367" s="649"/>
      <c r="WSC367" s="326"/>
      <c r="WSD367" s="362"/>
      <c r="WSE367" s="386"/>
      <c r="WSF367" s="658"/>
      <c r="WSG367" s="388"/>
      <c r="WSH367" s="389"/>
      <c r="WSI367" s="590"/>
      <c r="WSJ367" s="266"/>
      <c r="WSK367" s="649"/>
      <c r="WSL367" s="326"/>
      <c r="WSM367" s="362"/>
      <c r="WSN367" s="386"/>
      <c r="WSO367" s="658"/>
      <c r="WSP367" s="388"/>
      <c r="WSQ367" s="389"/>
      <c r="WSR367" s="590"/>
      <c r="WSS367" s="266"/>
      <c r="WST367" s="649"/>
      <c r="WSU367" s="326"/>
      <c r="WSV367" s="362"/>
      <c r="WSW367" s="386"/>
      <c r="WSX367" s="658"/>
      <c r="WSY367" s="388"/>
      <c r="WSZ367" s="389"/>
      <c r="WTA367" s="590"/>
      <c r="WTB367" s="266"/>
      <c r="WTC367" s="649"/>
      <c r="WTD367" s="326"/>
      <c r="WTE367" s="362"/>
      <c r="WTF367" s="386"/>
      <c r="WTG367" s="658"/>
      <c r="WTH367" s="388"/>
      <c r="WTI367" s="389"/>
      <c r="WTJ367" s="590"/>
      <c r="WTK367" s="266"/>
      <c r="WTL367" s="649"/>
      <c r="WTM367" s="326"/>
      <c r="WTN367" s="362"/>
      <c r="WTO367" s="386"/>
      <c r="WTP367" s="658"/>
      <c r="WTQ367" s="388"/>
      <c r="WTR367" s="389"/>
      <c r="WTS367" s="590"/>
      <c r="WTT367" s="266"/>
      <c r="WTU367" s="649"/>
      <c r="WTV367" s="326"/>
      <c r="WTW367" s="362"/>
      <c r="WTX367" s="386"/>
      <c r="WTY367" s="658"/>
      <c r="WTZ367" s="388"/>
      <c r="WUA367" s="389"/>
      <c r="WUB367" s="590"/>
      <c r="WUC367" s="266"/>
      <c r="WUD367" s="649"/>
      <c r="WUE367" s="326"/>
      <c r="WUF367" s="362"/>
      <c r="WUG367" s="386"/>
      <c r="WUH367" s="658"/>
      <c r="WUI367" s="388"/>
      <c r="WUJ367" s="389"/>
      <c r="WUK367" s="590"/>
      <c r="WUL367" s="266"/>
      <c r="WUM367" s="649"/>
      <c r="WUN367" s="326"/>
      <c r="WUO367" s="362"/>
      <c r="WUP367" s="386"/>
      <c r="WUQ367" s="658"/>
      <c r="WUR367" s="388"/>
      <c r="WUS367" s="389"/>
      <c r="WUT367" s="590"/>
      <c r="WUU367" s="266"/>
      <c r="WUV367" s="649"/>
      <c r="WUW367" s="326"/>
      <c r="WUX367" s="362"/>
      <c r="WUY367" s="386"/>
      <c r="WUZ367" s="658"/>
      <c r="WVA367" s="388"/>
      <c r="WVB367" s="389"/>
      <c r="WVC367" s="590"/>
      <c r="WVD367" s="266"/>
      <c r="WVE367" s="649"/>
      <c r="WVF367" s="326"/>
      <c r="WVG367" s="362"/>
      <c r="WVH367" s="386"/>
      <c r="WVI367" s="658"/>
      <c r="WVJ367" s="388"/>
      <c r="WVK367" s="389"/>
      <c r="WVL367" s="590"/>
      <c r="WVM367" s="266"/>
      <c r="WVN367" s="649"/>
      <c r="WVO367" s="326"/>
      <c r="WVP367" s="362"/>
      <c r="WVQ367" s="386"/>
      <c r="WVR367" s="658"/>
      <c r="WVS367" s="388"/>
      <c r="WVT367" s="389"/>
      <c r="WVU367" s="590"/>
      <c r="WVV367" s="266"/>
      <c r="WVW367" s="649"/>
      <c r="WVX367" s="326"/>
      <c r="WVY367" s="362"/>
      <c r="WVZ367" s="386"/>
      <c r="WWA367" s="658"/>
      <c r="WWB367" s="388"/>
      <c r="WWC367" s="389"/>
      <c r="WWD367" s="590"/>
      <c r="WWE367" s="266"/>
      <c r="WWF367" s="649"/>
      <c r="WWG367" s="326"/>
      <c r="WWH367" s="362"/>
      <c r="WWI367" s="386"/>
      <c r="WWJ367" s="658"/>
      <c r="WWK367" s="388"/>
      <c r="WWL367" s="389"/>
      <c r="WWM367" s="590"/>
      <c r="WWN367" s="266"/>
      <c r="WWO367" s="649"/>
      <c r="WWP367" s="326"/>
      <c r="WWQ367" s="362"/>
      <c r="WWR367" s="386"/>
      <c r="WWS367" s="658"/>
      <c r="WWT367" s="388"/>
      <c r="WWU367" s="389"/>
      <c r="WWV367" s="590"/>
      <c r="WWW367" s="266"/>
      <c r="WWX367" s="649"/>
      <c r="WWY367" s="326"/>
      <c r="WWZ367" s="362"/>
      <c r="WXA367" s="386"/>
      <c r="WXB367" s="658"/>
      <c r="WXC367" s="388"/>
      <c r="WXD367" s="389"/>
      <c r="WXE367" s="590"/>
      <c r="WXF367" s="266"/>
      <c r="WXG367" s="649"/>
      <c r="WXH367" s="326"/>
      <c r="WXI367" s="362"/>
      <c r="WXJ367" s="386"/>
      <c r="WXK367" s="658"/>
      <c r="WXL367" s="388"/>
      <c r="WXM367" s="389"/>
      <c r="WXN367" s="590"/>
      <c r="WXO367" s="266"/>
      <c r="WXP367" s="649"/>
      <c r="WXQ367" s="326"/>
      <c r="WXR367" s="362"/>
      <c r="WXS367" s="386"/>
      <c r="WXT367" s="658"/>
      <c r="WXU367" s="388"/>
      <c r="WXV367" s="389"/>
      <c r="WXW367" s="590"/>
      <c r="WXX367" s="266"/>
      <c r="WXY367" s="649"/>
      <c r="WXZ367" s="326"/>
      <c r="WYA367" s="362"/>
      <c r="WYB367" s="386"/>
      <c r="WYC367" s="658"/>
      <c r="WYD367" s="388"/>
      <c r="WYE367" s="389"/>
      <c r="WYF367" s="590"/>
      <c r="WYG367" s="266"/>
      <c r="WYH367" s="649"/>
      <c r="WYI367" s="326"/>
      <c r="WYJ367" s="362"/>
      <c r="WYK367" s="386"/>
      <c r="WYL367" s="658"/>
      <c r="WYM367" s="388"/>
      <c r="WYN367" s="389"/>
      <c r="WYO367" s="590"/>
      <c r="WYP367" s="266"/>
      <c r="WYQ367" s="649"/>
      <c r="WYR367" s="326"/>
      <c r="WYS367" s="362"/>
      <c r="WYT367" s="386"/>
      <c r="WYU367" s="658"/>
      <c r="WYV367" s="388"/>
      <c r="WYW367" s="389"/>
      <c r="WYX367" s="590"/>
      <c r="WYY367" s="266"/>
      <c r="WYZ367" s="649"/>
      <c r="WZA367" s="326"/>
      <c r="WZB367" s="362"/>
      <c r="WZC367" s="386"/>
      <c r="WZD367" s="658"/>
      <c r="WZE367" s="388"/>
      <c r="WZF367" s="389"/>
      <c r="WZG367" s="590"/>
      <c r="WZH367" s="266"/>
      <c r="WZI367" s="649"/>
      <c r="WZJ367" s="326"/>
      <c r="WZK367" s="362"/>
      <c r="WZL367" s="386"/>
      <c r="WZM367" s="658"/>
      <c r="WZN367" s="388"/>
      <c r="WZO367" s="389"/>
      <c r="WZP367" s="590"/>
      <c r="WZQ367" s="266"/>
      <c r="WZR367" s="649"/>
      <c r="WZS367" s="326"/>
      <c r="WZT367" s="362"/>
      <c r="WZU367" s="386"/>
      <c r="WZV367" s="658"/>
      <c r="WZW367" s="388"/>
      <c r="WZX367" s="389"/>
      <c r="WZY367" s="590"/>
      <c r="WZZ367" s="266"/>
      <c r="XAA367" s="649"/>
      <c r="XAB367" s="326"/>
      <c r="XAC367" s="362"/>
      <c r="XAD367" s="386"/>
      <c r="XAE367" s="658"/>
      <c r="XAF367" s="388"/>
      <c r="XAG367" s="389"/>
      <c r="XAH367" s="590"/>
      <c r="XAI367" s="266"/>
      <c r="XAJ367" s="649"/>
      <c r="XAK367" s="326"/>
      <c r="XAL367" s="362"/>
      <c r="XAM367" s="386"/>
      <c r="XAN367" s="658"/>
      <c r="XAO367" s="388"/>
      <c r="XAP367" s="389"/>
      <c r="XAQ367" s="590"/>
      <c r="XAR367" s="266"/>
      <c r="XAS367" s="649"/>
      <c r="XAT367" s="326"/>
      <c r="XAU367" s="362"/>
      <c r="XAV367" s="386"/>
      <c r="XAW367" s="658"/>
      <c r="XAX367" s="388"/>
      <c r="XAY367" s="389"/>
      <c r="XAZ367" s="590"/>
      <c r="XBA367" s="266"/>
      <c r="XBB367" s="649"/>
      <c r="XBC367" s="326"/>
      <c r="XBD367" s="362"/>
      <c r="XBE367" s="386"/>
      <c r="XBF367" s="658"/>
      <c r="XBG367" s="388"/>
      <c r="XBH367" s="389"/>
      <c r="XBI367" s="590"/>
      <c r="XBJ367" s="266"/>
      <c r="XBK367" s="649"/>
      <c r="XBL367" s="326"/>
      <c r="XBM367" s="362"/>
      <c r="XBN367" s="386"/>
      <c r="XBO367" s="658"/>
      <c r="XBP367" s="388"/>
      <c r="XBQ367" s="389"/>
      <c r="XBR367" s="590"/>
      <c r="XBS367" s="266"/>
      <c r="XBT367" s="649"/>
      <c r="XBU367" s="326"/>
      <c r="XBV367" s="362"/>
      <c r="XBW367" s="386"/>
      <c r="XBX367" s="658"/>
      <c r="XBY367" s="388"/>
      <c r="XBZ367" s="389"/>
      <c r="XCA367" s="590"/>
      <c r="XCB367" s="266"/>
      <c r="XCC367" s="649"/>
      <c r="XCD367" s="326"/>
      <c r="XCE367" s="362"/>
      <c r="XCF367" s="386"/>
      <c r="XCG367" s="658"/>
      <c r="XCH367" s="388"/>
      <c r="XCI367" s="389"/>
      <c r="XCJ367" s="590"/>
      <c r="XCK367" s="266"/>
      <c r="XCL367" s="649"/>
      <c r="XCM367" s="326"/>
      <c r="XCN367" s="362"/>
      <c r="XCO367" s="386"/>
      <c r="XCP367" s="658"/>
      <c r="XCQ367" s="388"/>
      <c r="XCR367" s="389"/>
      <c r="XCS367" s="590"/>
      <c r="XCT367" s="266"/>
      <c r="XCU367" s="649"/>
      <c r="XCV367" s="326"/>
      <c r="XCW367" s="362"/>
      <c r="XCX367" s="386"/>
      <c r="XCY367" s="658"/>
      <c r="XCZ367" s="388"/>
      <c r="XDA367" s="389"/>
      <c r="XDB367" s="590"/>
      <c r="XDC367" s="266"/>
      <c r="XDD367" s="649"/>
      <c r="XDE367" s="326"/>
      <c r="XDF367" s="362"/>
      <c r="XDG367" s="386"/>
      <c r="XDH367" s="658"/>
      <c r="XDI367" s="388"/>
      <c r="XDJ367" s="389"/>
      <c r="XDK367" s="590"/>
      <c r="XDL367" s="266"/>
      <c r="XDM367" s="649"/>
      <c r="XDN367" s="326"/>
      <c r="XDO367" s="362"/>
      <c r="XDP367" s="386"/>
      <c r="XDQ367" s="658"/>
      <c r="XDR367" s="388"/>
      <c r="XDS367" s="389"/>
      <c r="XDT367" s="590"/>
      <c r="XDU367" s="266"/>
      <c r="XDV367" s="649"/>
      <c r="XDW367" s="326"/>
      <c r="XDX367" s="362"/>
      <c r="XDY367" s="386"/>
      <c r="XDZ367" s="658"/>
      <c r="XEA367" s="388"/>
      <c r="XEB367" s="389"/>
      <c r="XEC367" s="590"/>
      <c r="XED367" s="266"/>
      <c r="XEE367" s="649"/>
      <c r="XEF367" s="326"/>
      <c r="XEG367" s="362"/>
      <c r="XEH367" s="386"/>
      <c r="XEI367" s="658"/>
      <c r="XEJ367" s="388"/>
      <c r="XEK367" s="389"/>
      <c r="XEL367" s="590"/>
      <c r="XEM367" s="266"/>
      <c r="XEN367" s="649"/>
      <c r="XEO367" s="326"/>
      <c r="XEP367" s="362"/>
      <c r="XEQ367" s="386"/>
      <c r="XER367" s="658"/>
      <c r="XES367" s="388"/>
      <c r="XET367" s="389"/>
      <c r="XEU367" s="590"/>
      <c r="XEV367" s="266"/>
      <c r="XEW367" s="649"/>
      <c r="XEX367" s="326"/>
      <c r="XEY367" s="362"/>
      <c r="XEZ367" s="386"/>
      <c r="XFA367" s="658"/>
      <c r="XFB367" s="388"/>
      <c r="XFC367" s="389"/>
    </row>
    <row r="368" spans="1:16383" hidden="1" outlineLevel="2" x14ac:dyDescent="0.35">
      <c r="A368" s="295" t="s">
        <v>104</v>
      </c>
      <c r="B368" s="285">
        <v>153</v>
      </c>
      <c r="C368" s="286">
        <v>76.14</v>
      </c>
      <c r="D368" s="287">
        <f t="shared" si="26"/>
        <v>11649.42</v>
      </c>
      <c r="E368" s="296">
        <f>(C368-C356)/C368</f>
        <v>-4.8200682952456025E-2</v>
      </c>
      <c r="F368" s="645">
        <f>D368/D372</f>
        <v>4.5272658483830545E-2</v>
      </c>
      <c r="G368" s="659">
        <v>36</v>
      </c>
      <c r="H368" s="521">
        <v>0.23</v>
      </c>
      <c r="I368" s="542">
        <f>D368-D356</f>
        <v>-561.51000000000022</v>
      </c>
      <c r="J368" s="95"/>
      <c r="K368" s="595"/>
      <c r="L368" s="633"/>
      <c r="M368" s="634"/>
      <c r="N368" s="635"/>
      <c r="O368" s="622"/>
      <c r="P368" s="660"/>
      <c r="Q368" s="637"/>
      <c r="R368" s="638"/>
      <c r="S368" s="95"/>
      <c r="T368" s="595"/>
      <c r="U368" s="633"/>
      <c r="V368" s="634"/>
      <c r="W368" s="635"/>
      <c r="X368" s="622"/>
      <c r="Y368" s="660"/>
      <c r="Z368" s="637"/>
      <c r="AA368" s="95"/>
      <c r="AB368" s="595"/>
      <c r="AC368" s="633"/>
      <c r="AD368" s="634"/>
      <c r="AE368" s="635"/>
      <c r="AF368" s="622"/>
      <c r="AG368" s="660"/>
      <c r="AH368" s="637"/>
      <c r="AI368" s="638"/>
      <c r="AJ368" s="95"/>
      <c r="AK368" s="595"/>
      <c r="AL368" s="633"/>
      <c r="AM368" s="634"/>
      <c r="AN368" s="635"/>
      <c r="AO368" s="622"/>
      <c r="AP368" s="660"/>
      <c r="AQ368" s="637"/>
      <c r="AR368" s="638"/>
      <c r="AS368" s="95"/>
      <c r="AT368" s="595"/>
      <c r="AU368" s="633"/>
      <c r="AV368" s="634"/>
      <c r="AW368" s="635"/>
      <c r="AX368" s="622"/>
      <c r="AY368" s="660"/>
      <c r="AZ368" s="637"/>
      <c r="BA368" s="638"/>
      <c r="BB368" s="95"/>
      <c r="BC368" s="595"/>
      <c r="BD368" s="633"/>
      <c r="BE368" s="634"/>
      <c r="BF368" s="635"/>
      <c r="BG368" s="622"/>
      <c r="BH368" s="660"/>
      <c r="BI368" s="637"/>
      <c r="BJ368" s="638"/>
      <c r="BK368" s="95"/>
      <c r="BL368" s="595"/>
      <c r="BM368" s="633"/>
      <c r="BN368" s="634"/>
      <c r="BO368" s="635"/>
      <c r="BP368" s="622"/>
      <c r="BQ368" s="660"/>
      <c r="BR368" s="637"/>
      <c r="BS368" s="638"/>
      <c r="BT368" s="95"/>
      <c r="BU368" s="595"/>
      <c r="BV368" s="633"/>
      <c r="BW368" s="634"/>
      <c r="BX368" s="635"/>
      <c r="BY368" s="622"/>
      <c r="BZ368" s="660"/>
      <c r="CA368" s="637"/>
      <c r="CB368" s="638"/>
      <c r="CC368" s="95"/>
      <c r="CD368" s="595"/>
      <c r="CE368" s="633"/>
      <c r="CF368" s="634"/>
      <c r="CG368" s="635"/>
      <c r="CH368" s="622"/>
      <c r="CI368" s="660"/>
      <c r="CJ368" s="637"/>
      <c r="CK368" s="638"/>
      <c r="CL368" s="95"/>
      <c r="CM368" s="595"/>
      <c r="CN368" s="633"/>
      <c r="CO368" s="634"/>
      <c r="CP368" s="635"/>
      <c r="CQ368" s="622"/>
      <c r="CR368" s="660"/>
      <c r="CS368" s="637"/>
      <c r="CT368" s="638"/>
      <c r="CU368" s="95"/>
      <c r="CV368" s="595"/>
      <c r="CW368" s="633"/>
      <c r="CX368" s="634"/>
      <c r="CY368" s="635"/>
      <c r="CZ368" s="622"/>
      <c r="DA368" s="660"/>
      <c r="DB368" s="637"/>
      <c r="DC368" s="638"/>
      <c r="DD368" s="95"/>
      <c r="DE368" s="595"/>
      <c r="DF368" s="633"/>
      <c r="DG368" s="634"/>
      <c r="DH368" s="635"/>
      <c r="DI368" s="622"/>
      <c r="DJ368" s="660"/>
      <c r="DK368" s="637"/>
      <c r="DL368" s="638"/>
      <c r="DM368" s="95"/>
      <c r="DN368" s="595"/>
      <c r="DO368" s="633"/>
      <c r="DP368" s="634"/>
      <c r="DQ368" s="635"/>
      <c r="DR368" s="622"/>
      <c r="DS368" s="660"/>
      <c r="DT368" s="637"/>
      <c r="DU368" s="638"/>
      <c r="DV368" s="95"/>
      <c r="DW368" s="595"/>
      <c r="DX368" s="633"/>
      <c r="DY368" s="634"/>
      <c r="DZ368" s="635"/>
      <c r="EA368" s="622"/>
      <c r="EB368" s="660"/>
      <c r="EC368" s="637"/>
      <c r="ED368" s="638"/>
      <c r="EE368" s="95"/>
      <c r="EF368" s="595"/>
      <c r="EG368" s="633"/>
      <c r="EH368" s="634"/>
      <c r="EI368" s="635"/>
      <c r="EJ368" s="622"/>
      <c r="EK368" s="660"/>
      <c r="EL368" s="637"/>
      <c r="EM368" s="638"/>
      <c r="EN368" s="95"/>
      <c r="EO368" s="595"/>
      <c r="EP368" s="633"/>
      <c r="EQ368" s="634"/>
      <c r="ER368" s="635"/>
      <c r="ES368" s="622"/>
      <c r="ET368" s="660"/>
      <c r="EU368" s="637"/>
      <c r="EV368" s="638"/>
      <c r="EW368" s="95"/>
      <c r="EX368" s="595"/>
      <c r="EY368" s="633"/>
      <c r="EZ368" s="634"/>
      <c r="FA368" s="635"/>
      <c r="FB368" s="622"/>
      <c r="FC368" s="660"/>
      <c r="FD368" s="637"/>
      <c r="FE368" s="638"/>
      <c r="FF368" s="95"/>
      <c r="FG368" s="595"/>
      <c r="FH368" s="633"/>
      <c r="FI368" s="634"/>
      <c r="FJ368" s="635"/>
      <c r="FK368" s="622"/>
      <c r="FL368" s="660"/>
      <c r="FM368" s="637"/>
      <c r="FN368" s="638"/>
      <c r="FO368" s="95"/>
      <c r="FP368" s="595"/>
      <c r="FQ368" s="633"/>
      <c r="FR368" s="634"/>
      <c r="FS368" s="652"/>
      <c r="FT368" s="626"/>
      <c r="FU368" s="661"/>
      <c r="FV368" s="641"/>
      <c r="FW368" s="653"/>
      <c r="FY368" s="118"/>
      <c r="FZ368" s="219"/>
      <c r="GA368" s="247"/>
      <c r="GB368" s="652"/>
      <c r="GC368" s="626"/>
      <c r="GD368" s="661"/>
      <c r="GE368" s="641"/>
      <c r="GF368" s="653"/>
      <c r="GH368" s="118"/>
      <c r="GI368" s="219"/>
      <c r="GJ368" s="247"/>
      <c r="GK368" s="652"/>
      <c r="GL368" s="626"/>
      <c r="GM368" s="661"/>
      <c r="GN368" s="641"/>
      <c r="GO368" s="653"/>
      <c r="GQ368" s="118"/>
      <c r="GR368" s="219"/>
      <c r="GS368" s="247"/>
      <c r="GT368" s="652"/>
      <c r="GU368" s="626"/>
      <c r="GV368" s="661"/>
      <c r="GW368" s="641"/>
      <c r="GX368" s="653"/>
      <c r="GZ368" s="118"/>
      <c r="HA368" s="219"/>
      <c r="HB368" s="247"/>
      <c r="HC368" s="652"/>
      <c r="HD368" s="626"/>
      <c r="HE368" s="661"/>
      <c r="HF368" s="641"/>
      <c r="HG368" s="653"/>
      <c r="HI368" s="118"/>
      <c r="HJ368" s="219"/>
      <c r="HK368" s="247"/>
      <c r="HL368" s="652"/>
      <c r="HM368" s="626"/>
      <c r="HN368" s="661"/>
      <c r="HO368" s="641"/>
      <c r="HP368" s="653"/>
      <c r="HR368" s="118"/>
      <c r="HS368" s="219"/>
      <c r="HT368" s="247"/>
      <c r="HU368" s="652"/>
      <c r="HV368" s="626"/>
      <c r="HW368" s="661"/>
      <c r="HX368" s="641"/>
      <c r="HY368" s="653"/>
      <c r="IA368" s="118"/>
      <c r="IB368" s="219"/>
      <c r="IC368" s="247"/>
      <c r="ID368" s="652"/>
      <c r="IE368" s="626"/>
      <c r="IF368" s="661"/>
      <c r="IG368" s="641"/>
      <c r="IH368" s="653"/>
      <c r="IJ368" s="118"/>
      <c r="IK368" s="219"/>
      <c r="IL368" s="247"/>
      <c r="IM368" s="652"/>
      <c r="IN368" s="626"/>
      <c r="IO368" s="661"/>
      <c r="IP368" s="641"/>
      <c r="IQ368" s="653"/>
      <c r="IS368" s="118"/>
      <c r="IT368" s="219"/>
      <c r="IU368" s="247"/>
      <c r="IV368" s="652"/>
      <c r="IW368" s="626"/>
      <c r="IX368" s="661"/>
      <c r="IY368" s="641"/>
      <c r="IZ368" s="653"/>
      <c r="JB368" s="118"/>
      <c r="JC368" s="219"/>
      <c r="JD368" s="247"/>
      <c r="JE368" s="652"/>
      <c r="JF368" s="626"/>
      <c r="JG368" s="661"/>
      <c r="JH368" s="641"/>
      <c r="JI368" s="653"/>
      <c r="JK368" s="118"/>
      <c r="JL368" s="219"/>
      <c r="JM368" s="247"/>
      <c r="JN368" s="652"/>
      <c r="JO368" s="626"/>
      <c r="JP368" s="661"/>
      <c r="JQ368" s="641"/>
      <c r="JR368" s="653"/>
      <c r="JT368" s="118"/>
      <c r="JU368" s="219"/>
      <c r="JV368" s="247"/>
      <c r="JW368" s="652"/>
      <c r="JX368" s="626"/>
      <c r="JY368" s="661"/>
      <c r="JZ368" s="641"/>
      <c r="KA368" s="653"/>
      <c r="KC368" s="118"/>
      <c r="KD368" s="219"/>
      <c r="KE368" s="247"/>
      <c r="KF368" s="652"/>
      <c r="KG368" s="626"/>
      <c r="KH368" s="661"/>
      <c r="KI368" s="641"/>
      <c r="KJ368" s="653"/>
      <c r="KL368" s="118"/>
      <c r="KM368" s="219"/>
      <c r="KN368" s="247"/>
      <c r="KO368" s="652"/>
      <c r="KP368" s="626"/>
      <c r="KQ368" s="661"/>
      <c r="KR368" s="641"/>
      <c r="KS368" s="653"/>
      <c r="KU368" s="118"/>
      <c r="KV368" s="219"/>
      <c r="KW368" s="247"/>
      <c r="KX368" s="652"/>
      <c r="KY368" s="626"/>
      <c r="KZ368" s="661"/>
      <c r="LA368" s="641"/>
      <c r="LB368" s="653"/>
      <c r="LD368" s="118"/>
      <c r="LE368" s="219"/>
      <c r="LF368" s="247"/>
      <c r="LG368" s="652"/>
      <c r="LH368" s="626"/>
      <c r="LI368" s="661"/>
      <c r="LJ368" s="641"/>
      <c r="LK368" s="653"/>
      <c r="LM368" s="118"/>
      <c r="LN368" s="219"/>
      <c r="LO368" s="247"/>
      <c r="LP368" s="652"/>
      <c r="LQ368" s="626"/>
      <c r="LR368" s="661"/>
      <c r="LS368" s="641"/>
      <c r="LT368" s="653"/>
      <c r="LV368" s="118"/>
      <c r="LW368" s="219"/>
      <c r="LX368" s="247"/>
      <c r="LY368" s="652"/>
      <c r="LZ368" s="626"/>
      <c r="MA368" s="661"/>
      <c r="MB368" s="641"/>
      <c r="MC368" s="653"/>
      <c r="ME368" s="118"/>
      <c r="MF368" s="219"/>
      <c r="MG368" s="247"/>
      <c r="MH368" s="652"/>
      <c r="MI368" s="626"/>
      <c r="MJ368" s="661"/>
      <c r="MK368" s="641"/>
      <c r="ML368" s="653"/>
      <c r="MN368" s="118"/>
      <c r="MO368" s="219"/>
      <c r="MP368" s="247"/>
      <c r="MQ368" s="652"/>
      <c r="MR368" s="626"/>
      <c r="MS368" s="661"/>
      <c r="MT368" s="641"/>
      <c r="MU368" s="653"/>
      <c r="MW368" s="118"/>
      <c r="MX368" s="219"/>
      <c r="MY368" s="247"/>
      <c r="MZ368" s="652"/>
      <c r="NA368" s="626"/>
      <c r="NB368" s="661"/>
      <c r="NC368" s="641"/>
      <c r="ND368" s="653"/>
      <c r="NF368" s="118"/>
      <c r="NG368" s="219"/>
      <c r="NH368" s="247"/>
      <c r="NI368" s="652"/>
      <c r="NJ368" s="626"/>
      <c r="NK368" s="661"/>
      <c r="NL368" s="641"/>
      <c r="NM368" s="653"/>
      <c r="NO368" s="118"/>
      <c r="NP368" s="219"/>
      <c r="NQ368" s="247"/>
      <c r="NR368" s="652"/>
      <c r="NS368" s="626"/>
      <c r="NT368" s="661"/>
      <c r="NU368" s="641"/>
      <c r="NV368" s="653"/>
      <c r="NX368" s="118"/>
      <c r="NY368" s="219"/>
      <c r="NZ368" s="247"/>
      <c r="OA368" s="652"/>
      <c r="OB368" s="626"/>
      <c r="OC368" s="661"/>
      <c r="OD368" s="641"/>
      <c r="OE368" s="653"/>
      <c r="OG368" s="118"/>
      <c r="OH368" s="219"/>
      <c r="OI368" s="247"/>
      <c r="OJ368" s="652"/>
      <c r="OK368" s="626"/>
      <c r="OL368" s="661"/>
      <c r="OM368" s="641"/>
      <c r="ON368" s="653"/>
      <c r="OP368" s="118"/>
      <c r="OQ368" s="219"/>
      <c r="OR368" s="247"/>
      <c r="OS368" s="652"/>
      <c r="OT368" s="626"/>
      <c r="OU368" s="661"/>
      <c r="OV368" s="641"/>
      <c r="OW368" s="653"/>
      <c r="OY368" s="118"/>
      <c r="OZ368" s="219"/>
      <c r="PA368" s="247"/>
      <c r="PB368" s="652"/>
      <c r="PC368" s="626"/>
      <c r="PD368" s="661"/>
      <c r="PE368" s="641"/>
      <c r="PF368" s="653"/>
      <c r="PH368" s="118"/>
      <c r="PI368" s="219"/>
      <c r="PJ368" s="247"/>
      <c r="PK368" s="652"/>
      <c r="PL368" s="626"/>
      <c r="PM368" s="661"/>
      <c r="PN368" s="641"/>
      <c r="PO368" s="653"/>
      <c r="PQ368" s="118"/>
      <c r="PR368" s="219"/>
      <c r="PS368" s="247"/>
      <c r="PT368" s="652"/>
      <c r="PU368" s="626"/>
      <c r="PV368" s="661"/>
      <c r="PW368" s="641"/>
      <c r="PX368" s="653"/>
      <c r="PZ368" s="118"/>
      <c r="QA368" s="219"/>
      <c r="QB368" s="247"/>
      <c r="QC368" s="652"/>
      <c r="QD368" s="626"/>
      <c r="QE368" s="661"/>
      <c r="QF368" s="641"/>
      <c r="QG368" s="653"/>
      <c r="QI368" s="118"/>
      <c r="QJ368" s="219"/>
      <c r="QK368" s="247"/>
      <c r="QL368" s="652"/>
      <c r="QM368" s="626"/>
      <c r="QN368" s="661"/>
      <c r="QO368" s="641"/>
      <c r="QP368" s="653"/>
      <c r="QR368" s="118"/>
      <c r="QS368" s="219"/>
      <c r="QT368" s="247"/>
      <c r="QU368" s="652"/>
      <c r="QV368" s="626"/>
      <c r="QW368" s="661"/>
      <c r="QX368" s="641"/>
      <c r="QY368" s="653"/>
      <c r="RA368" s="118"/>
      <c r="RB368" s="219"/>
      <c r="RC368" s="247"/>
      <c r="RD368" s="652"/>
      <c r="RE368" s="626"/>
      <c r="RF368" s="661"/>
      <c r="RG368" s="641"/>
      <c r="RH368" s="653"/>
      <c r="RJ368" s="118"/>
      <c r="RK368" s="219"/>
      <c r="RL368" s="247"/>
      <c r="RM368" s="652"/>
      <c r="RN368" s="626"/>
      <c r="RO368" s="661"/>
      <c r="RP368" s="641"/>
      <c r="RQ368" s="653"/>
      <c r="RS368" s="118"/>
      <c r="RT368" s="219"/>
      <c r="RU368" s="247"/>
      <c r="RV368" s="652"/>
      <c r="RW368" s="626"/>
      <c r="RX368" s="661"/>
      <c r="RY368" s="641"/>
      <c r="RZ368" s="653"/>
      <c r="SB368" s="118"/>
      <c r="SC368" s="219"/>
      <c r="SD368" s="247"/>
      <c r="SE368" s="652"/>
      <c r="SF368" s="626"/>
      <c r="SG368" s="661"/>
      <c r="SH368" s="641"/>
      <c r="SI368" s="653"/>
      <c r="SK368" s="118"/>
      <c r="SL368" s="219"/>
      <c r="SM368" s="247"/>
      <c r="SN368" s="652"/>
      <c r="SO368" s="626"/>
      <c r="SP368" s="661"/>
      <c r="SQ368" s="641"/>
      <c r="SR368" s="653"/>
      <c r="ST368" s="118"/>
      <c r="SU368" s="219"/>
      <c r="SV368" s="247"/>
      <c r="SW368" s="652"/>
      <c r="SX368" s="626"/>
      <c r="SY368" s="661"/>
      <c r="SZ368" s="641"/>
      <c r="TA368" s="653"/>
      <c r="TC368" s="118"/>
      <c r="TD368" s="219"/>
      <c r="TE368" s="247"/>
      <c r="TF368" s="652"/>
      <c r="TG368" s="626"/>
      <c r="TH368" s="661"/>
      <c r="TI368" s="641"/>
      <c r="TJ368" s="653"/>
      <c r="TL368" s="118"/>
      <c r="TM368" s="219"/>
      <c r="TN368" s="247"/>
      <c r="TO368" s="652"/>
      <c r="TP368" s="626"/>
      <c r="TQ368" s="661"/>
      <c r="TR368" s="641"/>
      <c r="TS368" s="653"/>
      <c r="TU368" s="118"/>
      <c r="TV368" s="219"/>
      <c r="TW368" s="247"/>
      <c r="TX368" s="652"/>
      <c r="TY368" s="626"/>
      <c r="TZ368" s="661"/>
      <c r="UA368" s="641"/>
      <c r="UB368" s="653"/>
      <c r="UD368" s="118"/>
      <c r="UE368" s="219"/>
      <c r="UF368" s="247"/>
      <c r="UG368" s="652"/>
      <c r="UH368" s="626"/>
      <c r="UI368" s="661"/>
      <c r="UJ368" s="641"/>
      <c r="UK368" s="653"/>
      <c r="UM368" s="118"/>
      <c r="UN368" s="219"/>
      <c r="UO368" s="247"/>
      <c r="UP368" s="652"/>
      <c r="UQ368" s="626"/>
      <c r="UR368" s="661"/>
      <c r="US368" s="641"/>
      <c r="UT368" s="653"/>
      <c r="UV368" s="118"/>
      <c r="UW368" s="219"/>
      <c r="UX368" s="247"/>
      <c r="UY368" s="652"/>
      <c r="UZ368" s="626"/>
      <c r="VA368" s="661"/>
      <c r="VB368" s="641"/>
      <c r="VC368" s="653"/>
      <c r="VE368" s="118"/>
      <c r="VF368" s="219"/>
      <c r="VG368" s="247"/>
      <c r="VH368" s="652"/>
      <c r="VI368" s="626"/>
      <c r="VJ368" s="661"/>
      <c r="VK368" s="641"/>
      <c r="VL368" s="653"/>
      <c r="VN368" s="118"/>
      <c r="VO368" s="219"/>
      <c r="VP368" s="247"/>
      <c r="VQ368" s="652"/>
      <c r="VR368" s="626"/>
      <c r="VS368" s="661"/>
      <c r="VT368" s="641"/>
      <c r="VU368" s="653"/>
      <c r="VW368" s="118"/>
      <c r="VX368" s="219"/>
      <c r="VY368" s="247"/>
      <c r="VZ368" s="652"/>
      <c r="WA368" s="626"/>
      <c r="WB368" s="661"/>
      <c r="WC368" s="641"/>
      <c r="WD368" s="653"/>
      <c r="WF368" s="118"/>
      <c r="WG368" s="219"/>
      <c r="WH368" s="247"/>
      <c r="WI368" s="652"/>
      <c r="WJ368" s="626"/>
      <c r="WK368" s="661"/>
      <c r="WL368" s="641"/>
      <c r="WM368" s="653"/>
      <c r="WO368" s="118"/>
      <c r="WP368" s="219"/>
      <c r="WQ368" s="247"/>
      <c r="WR368" s="652"/>
      <c r="WS368" s="626"/>
      <c r="WT368" s="661"/>
      <c r="WU368" s="641"/>
      <c r="WV368" s="653"/>
      <c r="WX368" s="118"/>
      <c r="WY368" s="219"/>
      <c r="WZ368" s="247"/>
      <c r="XA368" s="652"/>
      <c r="XB368" s="626"/>
      <c r="XC368" s="661"/>
      <c r="XD368" s="641"/>
      <c r="XE368" s="653"/>
      <c r="XG368" s="118"/>
      <c r="XH368" s="219"/>
      <c r="XI368" s="247"/>
      <c r="XJ368" s="652"/>
      <c r="XK368" s="626"/>
      <c r="XL368" s="661"/>
      <c r="XM368" s="641"/>
      <c r="XN368" s="653"/>
      <c r="XP368" s="118"/>
      <c r="XQ368" s="219"/>
      <c r="XR368" s="247"/>
      <c r="XS368" s="652"/>
      <c r="XT368" s="626"/>
      <c r="XU368" s="661"/>
      <c r="XV368" s="641"/>
      <c r="XW368" s="653"/>
      <c r="XY368" s="118"/>
      <c r="XZ368" s="219"/>
      <c r="YA368" s="247"/>
      <c r="YB368" s="652"/>
      <c r="YC368" s="626"/>
      <c r="YD368" s="661"/>
      <c r="YE368" s="641"/>
      <c r="YF368" s="653"/>
      <c r="YH368" s="118"/>
      <c r="YI368" s="219"/>
      <c r="YJ368" s="247"/>
      <c r="YK368" s="652"/>
      <c r="YL368" s="626"/>
      <c r="YM368" s="661"/>
      <c r="YN368" s="641"/>
      <c r="YO368" s="653"/>
      <c r="YQ368" s="118"/>
      <c r="YR368" s="219"/>
      <c r="YS368" s="247"/>
      <c r="YT368" s="652"/>
      <c r="YU368" s="626"/>
      <c r="YV368" s="661"/>
      <c r="YW368" s="641"/>
      <c r="YX368" s="653"/>
      <c r="YZ368" s="118"/>
      <c r="ZA368" s="219"/>
      <c r="ZB368" s="247"/>
      <c r="ZC368" s="652"/>
      <c r="ZD368" s="626"/>
      <c r="ZE368" s="661"/>
      <c r="ZF368" s="641"/>
      <c r="ZG368" s="653"/>
      <c r="ZI368" s="118"/>
      <c r="ZJ368" s="219"/>
      <c r="ZK368" s="247"/>
      <c r="ZL368" s="652"/>
      <c r="ZM368" s="626"/>
      <c r="ZN368" s="661"/>
      <c r="ZO368" s="641"/>
      <c r="ZP368" s="653"/>
      <c r="ZR368" s="118"/>
      <c r="ZS368" s="219"/>
      <c r="ZT368" s="247"/>
      <c r="ZU368" s="652"/>
      <c r="ZV368" s="626"/>
      <c r="ZW368" s="661"/>
      <c r="ZX368" s="641"/>
      <c r="ZY368" s="653"/>
      <c r="AAA368" s="118"/>
      <c r="AAB368" s="219"/>
      <c r="AAC368" s="247"/>
      <c r="AAD368" s="652"/>
      <c r="AAE368" s="626"/>
      <c r="AAF368" s="661"/>
      <c r="AAG368" s="641"/>
      <c r="AAH368" s="653"/>
      <c r="AAJ368" s="118"/>
      <c r="AAK368" s="219"/>
      <c r="AAL368" s="247"/>
      <c r="AAM368" s="652"/>
      <c r="AAN368" s="626"/>
      <c r="AAO368" s="661"/>
      <c r="AAP368" s="641"/>
      <c r="AAQ368" s="653"/>
      <c r="AAS368" s="118"/>
      <c r="AAT368" s="219"/>
      <c r="AAU368" s="247"/>
      <c r="AAV368" s="652"/>
      <c r="AAW368" s="626"/>
      <c r="AAX368" s="661"/>
      <c r="AAY368" s="641"/>
      <c r="AAZ368" s="653"/>
      <c r="ABB368" s="118"/>
      <c r="ABC368" s="219"/>
      <c r="ABD368" s="247"/>
      <c r="ABE368" s="652"/>
      <c r="ABF368" s="626"/>
      <c r="ABG368" s="661"/>
      <c r="ABH368" s="641"/>
      <c r="ABI368" s="653"/>
      <c r="ABK368" s="118"/>
      <c r="ABL368" s="219"/>
      <c r="ABM368" s="247"/>
      <c r="ABN368" s="652"/>
      <c r="ABO368" s="626"/>
      <c r="ABP368" s="661"/>
      <c r="ABQ368" s="641"/>
      <c r="ABR368" s="653"/>
      <c r="ABT368" s="118"/>
      <c r="ABU368" s="219"/>
      <c r="ABV368" s="247"/>
      <c r="ABW368" s="652"/>
      <c r="ABX368" s="626"/>
      <c r="ABY368" s="661"/>
      <c r="ABZ368" s="641"/>
      <c r="ACA368" s="653"/>
      <c r="ACC368" s="118"/>
      <c r="ACD368" s="219"/>
      <c r="ACE368" s="247"/>
      <c r="ACF368" s="652"/>
      <c r="ACG368" s="626"/>
      <c r="ACH368" s="661"/>
      <c r="ACI368" s="641"/>
      <c r="ACJ368" s="653"/>
      <c r="ACL368" s="118"/>
      <c r="ACM368" s="219"/>
      <c r="ACN368" s="247"/>
      <c r="ACO368" s="652"/>
      <c r="ACP368" s="626"/>
      <c r="ACQ368" s="661"/>
      <c r="ACR368" s="641"/>
      <c r="ACS368" s="653"/>
      <c r="ACU368" s="118"/>
      <c r="ACV368" s="219"/>
      <c r="ACW368" s="247"/>
      <c r="ACX368" s="652"/>
      <c r="ACY368" s="626"/>
      <c r="ACZ368" s="661"/>
      <c r="ADA368" s="641"/>
      <c r="ADB368" s="653"/>
      <c r="ADD368" s="118"/>
      <c r="ADE368" s="219"/>
      <c r="ADF368" s="247"/>
      <c r="ADG368" s="652"/>
      <c r="ADH368" s="626"/>
      <c r="ADI368" s="661"/>
      <c r="ADJ368" s="641"/>
      <c r="ADK368" s="653"/>
      <c r="ADM368" s="118"/>
      <c r="ADN368" s="219"/>
      <c r="ADO368" s="247"/>
      <c r="ADP368" s="652"/>
      <c r="ADQ368" s="626"/>
      <c r="ADR368" s="661"/>
      <c r="ADS368" s="641"/>
      <c r="ADT368" s="653"/>
      <c r="ADV368" s="118"/>
      <c r="ADW368" s="219"/>
      <c r="ADX368" s="247"/>
      <c r="ADY368" s="652"/>
      <c r="ADZ368" s="626"/>
      <c r="AEA368" s="661"/>
      <c r="AEB368" s="641"/>
      <c r="AEC368" s="653"/>
      <c r="AEE368" s="118"/>
      <c r="AEF368" s="219"/>
      <c r="AEG368" s="247"/>
      <c r="AEH368" s="652"/>
      <c r="AEI368" s="626"/>
      <c r="AEJ368" s="661"/>
      <c r="AEK368" s="641"/>
      <c r="AEL368" s="653"/>
      <c r="AEN368" s="118"/>
      <c r="AEO368" s="219"/>
      <c r="AEP368" s="247"/>
      <c r="AEQ368" s="652"/>
      <c r="AER368" s="626"/>
      <c r="AES368" s="661"/>
      <c r="AET368" s="641"/>
      <c r="AEU368" s="653"/>
      <c r="AEW368" s="118"/>
      <c r="AEX368" s="219"/>
      <c r="AEY368" s="247"/>
      <c r="AEZ368" s="652"/>
      <c r="AFA368" s="626"/>
      <c r="AFB368" s="661"/>
      <c r="AFC368" s="641"/>
      <c r="AFD368" s="653"/>
      <c r="AFF368" s="118"/>
      <c r="AFG368" s="219"/>
      <c r="AFH368" s="247"/>
      <c r="AFI368" s="652"/>
      <c r="AFJ368" s="626"/>
      <c r="AFK368" s="661"/>
      <c r="AFL368" s="641"/>
      <c r="AFM368" s="653"/>
      <c r="AFO368" s="118"/>
      <c r="AFP368" s="219"/>
      <c r="AFQ368" s="247"/>
      <c r="AFR368" s="652"/>
      <c r="AFS368" s="626"/>
      <c r="AFT368" s="661"/>
      <c r="AFU368" s="641"/>
      <c r="AFV368" s="653"/>
      <c r="AFX368" s="118"/>
      <c r="AFY368" s="219"/>
      <c r="AFZ368" s="247"/>
      <c r="AGA368" s="652"/>
      <c r="AGB368" s="626"/>
      <c r="AGC368" s="661"/>
      <c r="AGD368" s="641"/>
      <c r="AGE368" s="653"/>
      <c r="AGG368" s="118"/>
      <c r="AGH368" s="219"/>
      <c r="AGI368" s="247"/>
      <c r="AGJ368" s="652"/>
      <c r="AGK368" s="626"/>
      <c r="AGL368" s="661"/>
      <c r="AGM368" s="641"/>
      <c r="AGN368" s="653"/>
      <c r="AGP368" s="118"/>
      <c r="AGQ368" s="219"/>
      <c r="AGR368" s="247"/>
      <c r="AGS368" s="652"/>
      <c r="AGT368" s="626"/>
      <c r="AGU368" s="661"/>
      <c r="AGV368" s="641"/>
      <c r="AGW368" s="653"/>
      <c r="AGY368" s="118"/>
      <c r="AGZ368" s="219"/>
      <c r="AHA368" s="247"/>
      <c r="AHB368" s="652"/>
      <c r="AHC368" s="626"/>
      <c r="AHD368" s="661"/>
      <c r="AHE368" s="641"/>
      <c r="AHF368" s="653"/>
      <c r="AHH368" s="118"/>
      <c r="AHI368" s="219"/>
      <c r="AHJ368" s="247"/>
      <c r="AHK368" s="652"/>
      <c r="AHL368" s="626"/>
      <c r="AHM368" s="661"/>
      <c r="AHN368" s="641"/>
      <c r="AHO368" s="653"/>
      <c r="AHQ368" s="118"/>
      <c r="AHR368" s="219"/>
      <c r="AHS368" s="247"/>
      <c r="AHT368" s="652"/>
      <c r="AHU368" s="626"/>
      <c r="AHV368" s="661"/>
      <c r="AHW368" s="641"/>
      <c r="AHX368" s="653"/>
      <c r="AHZ368" s="118"/>
      <c r="AIA368" s="219"/>
      <c r="AIB368" s="247"/>
      <c r="AIC368" s="652"/>
      <c r="AID368" s="626"/>
      <c r="AIE368" s="661"/>
      <c r="AIF368" s="641"/>
      <c r="AIG368" s="653"/>
      <c r="AII368" s="118"/>
      <c r="AIJ368" s="219"/>
      <c r="AIK368" s="247"/>
      <c r="AIL368" s="652"/>
      <c r="AIM368" s="626"/>
      <c r="AIN368" s="661"/>
      <c r="AIO368" s="641"/>
      <c r="AIP368" s="653"/>
      <c r="AIR368" s="118"/>
      <c r="AIS368" s="219"/>
      <c r="AIT368" s="247"/>
      <c r="AIU368" s="652"/>
      <c r="AIV368" s="626"/>
      <c r="AIW368" s="661"/>
      <c r="AIX368" s="641"/>
      <c r="AIY368" s="653"/>
      <c r="AJA368" s="118"/>
      <c r="AJB368" s="219"/>
      <c r="AJC368" s="247"/>
      <c r="AJD368" s="652"/>
      <c r="AJE368" s="626"/>
      <c r="AJF368" s="661"/>
      <c r="AJG368" s="641"/>
      <c r="AJH368" s="653"/>
      <c r="AJJ368" s="118"/>
      <c r="AJK368" s="219"/>
      <c r="AJL368" s="247"/>
      <c r="AJM368" s="652"/>
      <c r="AJN368" s="626"/>
      <c r="AJO368" s="661"/>
      <c r="AJP368" s="641"/>
      <c r="AJQ368" s="653"/>
      <c r="AJS368" s="118"/>
      <c r="AJT368" s="219"/>
      <c r="AJU368" s="247"/>
      <c r="AJV368" s="652"/>
      <c r="AJW368" s="626"/>
      <c r="AJX368" s="661"/>
      <c r="AJY368" s="641"/>
      <c r="AJZ368" s="653"/>
      <c r="AKB368" s="118"/>
      <c r="AKC368" s="219"/>
      <c r="AKD368" s="247"/>
      <c r="AKE368" s="652"/>
      <c r="AKF368" s="626"/>
      <c r="AKG368" s="661"/>
      <c r="AKH368" s="641"/>
      <c r="AKI368" s="653"/>
      <c r="AKK368" s="118"/>
      <c r="AKL368" s="219"/>
      <c r="AKM368" s="247"/>
      <c r="AKN368" s="652"/>
      <c r="AKO368" s="626"/>
      <c r="AKP368" s="661"/>
      <c r="AKQ368" s="641"/>
      <c r="AKR368" s="653"/>
      <c r="AKT368" s="118"/>
      <c r="AKU368" s="219"/>
      <c r="AKV368" s="247"/>
      <c r="AKW368" s="652"/>
      <c r="AKX368" s="626"/>
      <c r="AKY368" s="661"/>
      <c r="AKZ368" s="641"/>
      <c r="ALA368" s="653"/>
      <c r="ALC368" s="118"/>
      <c r="ALD368" s="219"/>
      <c r="ALE368" s="247"/>
      <c r="ALF368" s="652"/>
      <c r="ALG368" s="626"/>
      <c r="ALH368" s="661"/>
      <c r="ALI368" s="641"/>
      <c r="ALJ368" s="653"/>
      <c r="ALL368" s="118"/>
      <c r="ALM368" s="219"/>
      <c r="ALN368" s="247"/>
      <c r="ALO368" s="652"/>
      <c r="ALP368" s="626"/>
      <c r="ALQ368" s="661"/>
      <c r="ALR368" s="641"/>
      <c r="ALS368" s="653"/>
      <c r="ALU368" s="118"/>
      <c r="ALV368" s="219"/>
      <c r="ALW368" s="247"/>
      <c r="ALX368" s="652"/>
      <c r="ALY368" s="626"/>
      <c r="ALZ368" s="661"/>
      <c r="AMA368" s="641"/>
      <c r="AMB368" s="653"/>
      <c r="AMD368" s="118"/>
      <c r="AME368" s="219"/>
      <c r="AMF368" s="247"/>
      <c r="AMG368" s="652"/>
      <c r="AMH368" s="626"/>
      <c r="AMI368" s="661"/>
      <c r="AMJ368" s="641"/>
      <c r="AMK368" s="653"/>
      <c r="AMM368" s="118"/>
      <c r="AMN368" s="219"/>
      <c r="AMO368" s="247"/>
      <c r="AMP368" s="652"/>
      <c r="AMQ368" s="626"/>
      <c r="AMR368" s="661"/>
      <c r="AMS368" s="641"/>
      <c r="AMT368" s="653"/>
      <c r="AMV368" s="118"/>
      <c r="AMW368" s="219"/>
      <c r="AMX368" s="247"/>
      <c r="AMY368" s="652"/>
      <c r="AMZ368" s="626"/>
      <c r="ANA368" s="661"/>
      <c r="ANB368" s="641"/>
      <c r="ANC368" s="653"/>
      <c r="ANE368" s="118"/>
      <c r="ANF368" s="219"/>
      <c r="ANG368" s="247"/>
      <c r="ANH368" s="652"/>
      <c r="ANI368" s="626"/>
      <c r="ANJ368" s="661"/>
      <c r="ANK368" s="641"/>
      <c r="ANL368" s="653"/>
      <c r="ANN368" s="118"/>
      <c r="ANO368" s="219"/>
      <c r="ANP368" s="247"/>
      <c r="ANQ368" s="652"/>
      <c r="ANR368" s="626"/>
      <c r="ANS368" s="661"/>
      <c r="ANT368" s="641"/>
      <c r="ANU368" s="653"/>
      <c r="ANW368" s="118"/>
      <c r="ANX368" s="219"/>
      <c r="ANY368" s="247"/>
      <c r="ANZ368" s="652"/>
      <c r="AOA368" s="626"/>
      <c r="AOB368" s="661"/>
      <c r="AOC368" s="641"/>
      <c r="AOD368" s="653"/>
      <c r="AOF368" s="118"/>
      <c r="AOG368" s="219"/>
      <c r="AOH368" s="247"/>
      <c r="AOI368" s="652"/>
      <c r="AOJ368" s="626"/>
      <c r="AOK368" s="661"/>
      <c r="AOL368" s="641"/>
      <c r="AOM368" s="653"/>
      <c r="AOO368" s="118"/>
      <c r="AOP368" s="219"/>
      <c r="AOQ368" s="247"/>
      <c r="AOR368" s="652"/>
      <c r="AOS368" s="626"/>
      <c r="AOT368" s="661"/>
      <c r="AOU368" s="641"/>
      <c r="AOV368" s="653"/>
      <c r="AOX368" s="118"/>
      <c r="AOY368" s="219"/>
      <c r="AOZ368" s="247"/>
      <c r="APA368" s="652"/>
      <c r="APB368" s="626"/>
      <c r="APC368" s="661"/>
      <c r="APD368" s="641"/>
      <c r="APE368" s="653"/>
      <c r="APG368" s="118"/>
      <c r="APH368" s="219"/>
      <c r="API368" s="247"/>
      <c r="APJ368" s="652"/>
      <c r="APK368" s="626"/>
      <c r="APL368" s="661"/>
      <c r="APM368" s="641"/>
      <c r="APN368" s="653"/>
      <c r="APP368" s="118"/>
      <c r="APQ368" s="219"/>
      <c r="APR368" s="247"/>
      <c r="APS368" s="652"/>
      <c r="APT368" s="626"/>
      <c r="APU368" s="661"/>
      <c r="APV368" s="641"/>
      <c r="APW368" s="653"/>
      <c r="APY368" s="118"/>
      <c r="APZ368" s="219"/>
      <c r="AQA368" s="247"/>
      <c r="AQB368" s="652"/>
      <c r="AQC368" s="626"/>
      <c r="AQD368" s="661"/>
      <c r="AQE368" s="641"/>
      <c r="AQF368" s="653"/>
      <c r="AQH368" s="118"/>
      <c r="AQI368" s="219"/>
      <c r="AQJ368" s="247"/>
      <c r="AQK368" s="652"/>
      <c r="AQL368" s="626"/>
      <c r="AQM368" s="661"/>
      <c r="AQN368" s="641"/>
      <c r="AQO368" s="653"/>
      <c r="AQQ368" s="118"/>
      <c r="AQR368" s="219"/>
      <c r="AQS368" s="247"/>
      <c r="AQT368" s="652"/>
      <c r="AQU368" s="626"/>
      <c r="AQV368" s="661"/>
      <c r="AQW368" s="641"/>
      <c r="AQX368" s="653"/>
      <c r="AQZ368" s="118"/>
      <c r="ARA368" s="219"/>
      <c r="ARB368" s="247"/>
      <c r="ARC368" s="652"/>
      <c r="ARD368" s="626"/>
      <c r="ARE368" s="661"/>
      <c r="ARF368" s="641"/>
      <c r="ARG368" s="653"/>
      <c r="ARI368" s="118"/>
      <c r="ARJ368" s="219"/>
      <c r="ARK368" s="247"/>
      <c r="ARL368" s="652"/>
      <c r="ARM368" s="626"/>
      <c r="ARN368" s="661"/>
      <c r="ARO368" s="641"/>
      <c r="ARP368" s="653"/>
      <c r="ARR368" s="118"/>
      <c r="ARS368" s="219"/>
      <c r="ART368" s="247"/>
      <c r="ARU368" s="652"/>
      <c r="ARV368" s="626"/>
      <c r="ARW368" s="661"/>
      <c r="ARX368" s="641"/>
      <c r="ARY368" s="653"/>
      <c r="ASA368" s="118"/>
      <c r="ASB368" s="219"/>
      <c r="ASC368" s="247"/>
      <c r="ASD368" s="652"/>
      <c r="ASE368" s="626"/>
      <c r="ASF368" s="661"/>
      <c r="ASG368" s="641"/>
      <c r="ASH368" s="653"/>
      <c r="ASJ368" s="118"/>
      <c r="ASK368" s="219"/>
      <c r="ASL368" s="247"/>
      <c r="ASM368" s="652"/>
      <c r="ASN368" s="626"/>
      <c r="ASO368" s="661"/>
      <c r="ASP368" s="641"/>
      <c r="ASQ368" s="653"/>
      <c r="ASS368" s="118"/>
      <c r="AST368" s="219"/>
      <c r="ASU368" s="247"/>
      <c r="ASV368" s="652"/>
      <c r="ASW368" s="626"/>
      <c r="ASX368" s="661"/>
      <c r="ASY368" s="641"/>
      <c r="ASZ368" s="653"/>
      <c r="ATB368" s="118"/>
      <c r="ATC368" s="219"/>
      <c r="ATD368" s="247"/>
      <c r="ATE368" s="652"/>
      <c r="ATF368" s="626"/>
      <c r="ATG368" s="661"/>
      <c r="ATH368" s="641"/>
      <c r="ATI368" s="653"/>
      <c r="ATK368" s="118"/>
      <c r="ATL368" s="219"/>
      <c r="ATM368" s="247"/>
      <c r="ATN368" s="652"/>
      <c r="ATO368" s="626"/>
      <c r="ATP368" s="661"/>
      <c r="ATQ368" s="641"/>
      <c r="ATR368" s="653"/>
      <c r="ATT368" s="118"/>
      <c r="ATU368" s="219"/>
      <c r="ATV368" s="247"/>
      <c r="ATW368" s="652"/>
      <c r="ATX368" s="626"/>
      <c r="ATY368" s="661"/>
      <c r="ATZ368" s="641"/>
      <c r="AUA368" s="653"/>
      <c r="AUC368" s="118"/>
      <c r="AUD368" s="219"/>
      <c r="AUE368" s="247"/>
      <c r="AUF368" s="652"/>
      <c r="AUG368" s="626"/>
      <c r="AUH368" s="661"/>
      <c r="AUI368" s="641"/>
      <c r="AUJ368" s="653"/>
      <c r="AUL368" s="118"/>
      <c r="AUM368" s="219"/>
      <c r="AUN368" s="247"/>
      <c r="AUO368" s="652"/>
      <c r="AUP368" s="626"/>
      <c r="AUQ368" s="661"/>
      <c r="AUR368" s="641"/>
      <c r="AUS368" s="653"/>
      <c r="AUU368" s="118"/>
      <c r="AUV368" s="219"/>
      <c r="AUW368" s="247"/>
      <c r="AUX368" s="652"/>
      <c r="AUY368" s="626"/>
      <c r="AUZ368" s="661"/>
      <c r="AVA368" s="641"/>
      <c r="AVB368" s="653"/>
      <c r="AVD368" s="118"/>
      <c r="AVE368" s="219"/>
      <c r="AVF368" s="247"/>
      <c r="AVG368" s="652"/>
      <c r="AVH368" s="626"/>
      <c r="AVI368" s="661"/>
      <c r="AVJ368" s="641"/>
      <c r="AVK368" s="653"/>
      <c r="AVM368" s="118"/>
      <c r="AVN368" s="219"/>
      <c r="AVO368" s="247"/>
      <c r="AVP368" s="652"/>
      <c r="AVQ368" s="626"/>
      <c r="AVR368" s="661"/>
      <c r="AVS368" s="641"/>
      <c r="AVT368" s="653"/>
      <c r="AVV368" s="118"/>
      <c r="AVW368" s="219"/>
      <c r="AVX368" s="247"/>
      <c r="AVY368" s="652"/>
      <c r="AVZ368" s="626"/>
      <c r="AWA368" s="661"/>
      <c r="AWB368" s="641"/>
      <c r="AWC368" s="653"/>
      <c r="AWE368" s="118"/>
      <c r="AWF368" s="219"/>
      <c r="AWG368" s="247"/>
      <c r="AWH368" s="652"/>
      <c r="AWI368" s="626"/>
      <c r="AWJ368" s="661"/>
      <c r="AWK368" s="641"/>
      <c r="AWL368" s="653"/>
      <c r="AWN368" s="118"/>
      <c r="AWO368" s="219"/>
      <c r="AWP368" s="247"/>
      <c r="AWQ368" s="652"/>
      <c r="AWR368" s="626"/>
      <c r="AWS368" s="661"/>
      <c r="AWT368" s="641"/>
      <c r="AWU368" s="653"/>
      <c r="AWW368" s="118"/>
      <c r="AWX368" s="219"/>
      <c r="AWY368" s="247"/>
      <c r="AWZ368" s="652"/>
      <c r="AXA368" s="626"/>
      <c r="AXB368" s="661"/>
      <c r="AXC368" s="641"/>
      <c r="AXD368" s="653"/>
      <c r="AXF368" s="118"/>
      <c r="AXG368" s="219"/>
      <c r="AXH368" s="247"/>
      <c r="AXI368" s="652"/>
      <c r="AXJ368" s="626"/>
      <c r="AXK368" s="661"/>
      <c r="AXL368" s="641"/>
      <c r="AXM368" s="653"/>
      <c r="AXO368" s="118"/>
      <c r="AXP368" s="219"/>
      <c r="AXQ368" s="247"/>
      <c r="AXR368" s="652"/>
      <c r="AXS368" s="626"/>
      <c r="AXT368" s="661"/>
      <c r="AXU368" s="641"/>
      <c r="AXV368" s="653"/>
      <c r="AXX368" s="118"/>
      <c r="AXY368" s="219"/>
      <c r="AXZ368" s="247"/>
      <c r="AYA368" s="652"/>
      <c r="AYB368" s="626"/>
      <c r="AYC368" s="661"/>
      <c r="AYD368" s="641"/>
      <c r="AYE368" s="653"/>
      <c r="AYG368" s="118"/>
      <c r="AYH368" s="219"/>
      <c r="AYI368" s="247"/>
      <c r="AYJ368" s="652"/>
      <c r="AYK368" s="626"/>
      <c r="AYL368" s="661"/>
      <c r="AYM368" s="641"/>
      <c r="AYN368" s="653"/>
      <c r="AYP368" s="118"/>
      <c r="AYQ368" s="219"/>
      <c r="AYR368" s="247"/>
      <c r="AYS368" s="652"/>
      <c r="AYT368" s="626"/>
      <c r="AYU368" s="661"/>
      <c r="AYV368" s="641"/>
      <c r="AYW368" s="653"/>
      <c r="AYY368" s="118"/>
      <c r="AYZ368" s="219"/>
      <c r="AZA368" s="247"/>
      <c r="AZB368" s="652"/>
      <c r="AZC368" s="626"/>
      <c r="AZD368" s="661"/>
      <c r="AZE368" s="641"/>
      <c r="AZF368" s="653"/>
      <c r="AZH368" s="118"/>
      <c r="AZI368" s="219"/>
      <c r="AZJ368" s="247"/>
      <c r="AZK368" s="652"/>
      <c r="AZL368" s="626"/>
      <c r="AZM368" s="661"/>
      <c r="AZN368" s="641"/>
      <c r="AZO368" s="653"/>
      <c r="AZQ368" s="118"/>
      <c r="AZR368" s="219"/>
      <c r="AZS368" s="247"/>
      <c r="AZT368" s="652"/>
      <c r="AZU368" s="626"/>
      <c r="AZV368" s="661"/>
      <c r="AZW368" s="641"/>
      <c r="AZX368" s="653"/>
      <c r="AZZ368" s="118"/>
      <c r="BAA368" s="219"/>
      <c r="BAB368" s="247"/>
      <c r="BAC368" s="652"/>
      <c r="BAD368" s="626"/>
      <c r="BAE368" s="661"/>
      <c r="BAF368" s="641"/>
      <c r="BAG368" s="653"/>
      <c r="BAI368" s="118"/>
      <c r="BAJ368" s="219"/>
      <c r="BAK368" s="247"/>
      <c r="BAL368" s="652"/>
      <c r="BAM368" s="626"/>
      <c r="BAN368" s="661"/>
      <c r="BAO368" s="641"/>
      <c r="BAP368" s="653"/>
      <c r="BAR368" s="118"/>
      <c r="BAS368" s="219"/>
      <c r="BAT368" s="247"/>
      <c r="BAU368" s="652"/>
      <c r="BAV368" s="626"/>
      <c r="BAW368" s="661"/>
      <c r="BAX368" s="641"/>
      <c r="BAY368" s="653"/>
      <c r="BBA368" s="118"/>
      <c r="BBB368" s="219"/>
      <c r="BBC368" s="247"/>
      <c r="BBD368" s="652"/>
      <c r="BBE368" s="626"/>
      <c r="BBF368" s="661"/>
      <c r="BBG368" s="641"/>
      <c r="BBH368" s="653"/>
      <c r="BBJ368" s="118"/>
      <c r="BBK368" s="219"/>
      <c r="BBL368" s="247"/>
      <c r="BBM368" s="652"/>
      <c r="BBN368" s="626"/>
      <c r="BBO368" s="661"/>
      <c r="BBP368" s="641"/>
      <c r="BBQ368" s="653"/>
      <c r="BBS368" s="118"/>
      <c r="BBT368" s="219"/>
      <c r="BBU368" s="247"/>
      <c r="BBV368" s="652"/>
      <c r="BBW368" s="626"/>
      <c r="BBX368" s="661"/>
      <c r="BBY368" s="641"/>
      <c r="BBZ368" s="653"/>
      <c r="BCB368" s="118"/>
      <c r="BCC368" s="219"/>
      <c r="BCD368" s="247"/>
      <c r="BCE368" s="652"/>
      <c r="BCF368" s="626"/>
      <c r="BCG368" s="661"/>
      <c r="BCH368" s="641"/>
      <c r="BCI368" s="653"/>
      <c r="BCK368" s="118"/>
      <c r="BCL368" s="219"/>
      <c r="BCM368" s="247"/>
      <c r="BCN368" s="652"/>
      <c r="BCO368" s="626"/>
      <c r="BCP368" s="661"/>
      <c r="BCQ368" s="641"/>
      <c r="BCR368" s="653"/>
      <c r="BCT368" s="118"/>
      <c r="BCU368" s="219"/>
      <c r="BCV368" s="247"/>
      <c r="BCW368" s="652"/>
      <c r="BCX368" s="626"/>
      <c r="BCY368" s="661"/>
      <c r="BCZ368" s="641"/>
      <c r="BDA368" s="653"/>
      <c r="BDC368" s="118"/>
      <c r="BDD368" s="219"/>
      <c r="BDE368" s="247"/>
      <c r="BDF368" s="652"/>
      <c r="BDG368" s="626"/>
      <c r="BDH368" s="661"/>
      <c r="BDI368" s="641"/>
      <c r="BDJ368" s="653"/>
      <c r="BDL368" s="118"/>
      <c r="BDM368" s="219"/>
      <c r="BDN368" s="247"/>
      <c r="BDO368" s="652"/>
      <c r="BDP368" s="626"/>
      <c r="BDQ368" s="661"/>
      <c r="BDR368" s="641"/>
      <c r="BDS368" s="653"/>
      <c r="BDU368" s="118"/>
      <c r="BDV368" s="219"/>
      <c r="BDW368" s="247"/>
      <c r="BDX368" s="652"/>
      <c r="BDY368" s="626"/>
      <c r="BDZ368" s="661"/>
      <c r="BEA368" s="641"/>
      <c r="BEB368" s="653"/>
      <c r="BED368" s="118"/>
      <c r="BEE368" s="219"/>
      <c r="BEF368" s="247"/>
      <c r="BEG368" s="652"/>
      <c r="BEH368" s="626"/>
      <c r="BEI368" s="661"/>
      <c r="BEJ368" s="641"/>
      <c r="BEK368" s="653"/>
      <c r="BEM368" s="118"/>
      <c r="BEN368" s="219"/>
      <c r="BEO368" s="247"/>
      <c r="BEP368" s="652"/>
      <c r="BEQ368" s="626"/>
      <c r="BER368" s="661"/>
      <c r="BES368" s="641"/>
      <c r="BET368" s="653"/>
      <c r="BEV368" s="118"/>
      <c r="BEW368" s="219"/>
      <c r="BEX368" s="247"/>
      <c r="BEY368" s="652"/>
      <c r="BEZ368" s="626"/>
      <c r="BFA368" s="661"/>
      <c r="BFB368" s="641"/>
      <c r="BFC368" s="653"/>
      <c r="BFE368" s="118"/>
      <c r="BFF368" s="219"/>
      <c r="BFG368" s="247"/>
      <c r="BFH368" s="652"/>
      <c r="BFI368" s="626"/>
      <c r="BFJ368" s="661"/>
      <c r="BFK368" s="641"/>
      <c r="BFL368" s="653"/>
      <c r="BFN368" s="118"/>
      <c r="BFO368" s="219"/>
      <c r="BFP368" s="247"/>
      <c r="BFQ368" s="652"/>
      <c r="BFR368" s="626"/>
      <c r="BFS368" s="661"/>
      <c r="BFT368" s="641"/>
      <c r="BFU368" s="653"/>
      <c r="BFW368" s="118"/>
      <c r="BFX368" s="219"/>
      <c r="BFY368" s="247"/>
      <c r="BFZ368" s="652"/>
      <c r="BGA368" s="626"/>
      <c r="BGB368" s="661"/>
      <c r="BGC368" s="641"/>
      <c r="BGD368" s="653"/>
      <c r="BGF368" s="118"/>
      <c r="BGG368" s="219"/>
      <c r="BGH368" s="247"/>
      <c r="BGI368" s="652"/>
      <c r="BGJ368" s="626"/>
      <c r="BGK368" s="661"/>
      <c r="BGL368" s="641"/>
      <c r="BGM368" s="653"/>
      <c r="BGO368" s="118"/>
      <c r="BGP368" s="219"/>
      <c r="BGQ368" s="247"/>
      <c r="BGR368" s="652"/>
      <c r="BGS368" s="626"/>
      <c r="BGT368" s="661"/>
      <c r="BGU368" s="641"/>
      <c r="BGV368" s="653"/>
      <c r="BGX368" s="118"/>
      <c r="BGY368" s="219"/>
      <c r="BGZ368" s="247"/>
      <c r="BHA368" s="652"/>
      <c r="BHB368" s="626"/>
      <c r="BHC368" s="661"/>
      <c r="BHD368" s="641"/>
      <c r="BHE368" s="653"/>
      <c r="BHG368" s="118"/>
      <c r="BHH368" s="219"/>
      <c r="BHI368" s="247"/>
      <c r="BHJ368" s="652"/>
      <c r="BHK368" s="626"/>
      <c r="BHL368" s="661"/>
      <c r="BHM368" s="641"/>
      <c r="BHN368" s="653"/>
      <c r="BHP368" s="118"/>
      <c r="BHQ368" s="219"/>
      <c r="BHR368" s="247"/>
      <c r="BHS368" s="652"/>
      <c r="BHT368" s="626"/>
      <c r="BHU368" s="661"/>
      <c r="BHV368" s="641"/>
      <c r="BHW368" s="653"/>
      <c r="BHY368" s="118"/>
      <c r="BHZ368" s="219"/>
      <c r="BIA368" s="247"/>
      <c r="BIB368" s="652"/>
      <c r="BIC368" s="626"/>
      <c r="BID368" s="661"/>
      <c r="BIE368" s="641"/>
      <c r="BIF368" s="653"/>
      <c r="BIH368" s="118"/>
      <c r="BII368" s="219"/>
      <c r="BIJ368" s="247"/>
      <c r="BIK368" s="652"/>
      <c r="BIL368" s="626"/>
      <c r="BIM368" s="661"/>
      <c r="BIN368" s="641"/>
      <c r="BIO368" s="653"/>
      <c r="BIQ368" s="118"/>
      <c r="BIR368" s="219"/>
      <c r="BIS368" s="247"/>
      <c r="BIT368" s="652"/>
      <c r="BIU368" s="626"/>
      <c r="BIV368" s="661"/>
      <c r="BIW368" s="641"/>
      <c r="BIX368" s="653"/>
      <c r="BIZ368" s="118"/>
      <c r="BJA368" s="219"/>
      <c r="BJB368" s="247"/>
      <c r="BJC368" s="652"/>
      <c r="BJD368" s="626"/>
      <c r="BJE368" s="661"/>
      <c r="BJF368" s="641"/>
      <c r="BJG368" s="653"/>
      <c r="BJI368" s="118"/>
      <c r="BJJ368" s="219"/>
      <c r="BJK368" s="247"/>
      <c r="BJL368" s="652"/>
      <c r="BJM368" s="626"/>
      <c r="BJN368" s="661"/>
      <c r="BJO368" s="641"/>
      <c r="BJP368" s="653"/>
      <c r="BJR368" s="118"/>
      <c r="BJS368" s="219"/>
      <c r="BJT368" s="247"/>
      <c r="BJU368" s="652"/>
      <c r="BJV368" s="626"/>
      <c r="BJW368" s="661"/>
      <c r="BJX368" s="641"/>
      <c r="BJY368" s="653"/>
      <c r="BKA368" s="118"/>
      <c r="BKB368" s="219"/>
      <c r="BKC368" s="247"/>
      <c r="BKD368" s="652"/>
      <c r="BKE368" s="626"/>
      <c r="BKF368" s="661"/>
      <c r="BKG368" s="641"/>
      <c r="BKH368" s="653"/>
      <c r="BKJ368" s="118"/>
      <c r="BKK368" s="219"/>
      <c r="BKL368" s="247"/>
      <c r="BKM368" s="652"/>
      <c r="BKN368" s="626"/>
      <c r="BKO368" s="661"/>
      <c r="BKP368" s="641"/>
      <c r="BKQ368" s="653"/>
      <c r="BKS368" s="118"/>
      <c r="BKT368" s="219"/>
      <c r="BKU368" s="247"/>
      <c r="BKV368" s="652"/>
      <c r="BKW368" s="626"/>
      <c r="BKX368" s="661"/>
      <c r="BKY368" s="641"/>
      <c r="BKZ368" s="653"/>
      <c r="BLB368" s="118"/>
      <c r="BLC368" s="219"/>
      <c r="BLD368" s="247"/>
      <c r="BLE368" s="652"/>
      <c r="BLF368" s="626"/>
      <c r="BLG368" s="661"/>
      <c r="BLH368" s="641"/>
      <c r="BLI368" s="653"/>
      <c r="BLK368" s="118"/>
      <c r="BLL368" s="219"/>
      <c r="BLM368" s="247"/>
      <c r="BLN368" s="652"/>
      <c r="BLO368" s="626"/>
      <c r="BLP368" s="661"/>
      <c r="BLQ368" s="641"/>
      <c r="BLR368" s="653"/>
      <c r="BLT368" s="118"/>
      <c r="BLU368" s="219"/>
      <c r="BLV368" s="247"/>
      <c r="BLW368" s="652"/>
      <c r="BLX368" s="626"/>
      <c r="BLY368" s="661"/>
      <c r="BLZ368" s="641"/>
      <c r="BMA368" s="653"/>
      <c r="BMC368" s="118"/>
      <c r="BMD368" s="219"/>
      <c r="BME368" s="247"/>
      <c r="BMF368" s="652"/>
      <c r="BMG368" s="626"/>
      <c r="BMH368" s="661"/>
      <c r="BMI368" s="641"/>
      <c r="BMJ368" s="653"/>
      <c r="BML368" s="118"/>
      <c r="BMM368" s="219"/>
      <c r="BMN368" s="247"/>
      <c r="BMO368" s="652"/>
      <c r="BMP368" s="626"/>
      <c r="BMQ368" s="661"/>
      <c r="BMR368" s="641"/>
      <c r="BMS368" s="653"/>
      <c r="BMU368" s="118"/>
      <c r="BMV368" s="219"/>
      <c r="BMW368" s="247"/>
      <c r="BMX368" s="652"/>
      <c r="BMY368" s="626"/>
      <c r="BMZ368" s="661"/>
      <c r="BNA368" s="641"/>
      <c r="BNB368" s="653"/>
      <c r="BND368" s="118"/>
      <c r="BNE368" s="219"/>
      <c r="BNF368" s="247"/>
      <c r="BNG368" s="652"/>
      <c r="BNH368" s="626"/>
      <c r="BNI368" s="661"/>
      <c r="BNJ368" s="641"/>
      <c r="BNK368" s="653"/>
      <c r="BNM368" s="118"/>
      <c r="BNN368" s="219"/>
      <c r="BNO368" s="247"/>
      <c r="BNP368" s="652"/>
      <c r="BNQ368" s="626"/>
      <c r="BNR368" s="661"/>
      <c r="BNS368" s="641"/>
      <c r="BNT368" s="653"/>
      <c r="BNV368" s="118"/>
      <c r="BNW368" s="219"/>
      <c r="BNX368" s="247"/>
      <c r="BNY368" s="652"/>
      <c r="BNZ368" s="626"/>
      <c r="BOA368" s="661"/>
      <c r="BOB368" s="641"/>
      <c r="BOC368" s="653"/>
      <c r="BOE368" s="118"/>
      <c r="BOF368" s="219"/>
      <c r="BOG368" s="247"/>
      <c r="BOH368" s="652"/>
      <c r="BOI368" s="626"/>
      <c r="BOJ368" s="661"/>
      <c r="BOK368" s="641"/>
      <c r="BOL368" s="653"/>
      <c r="BON368" s="118"/>
      <c r="BOO368" s="219"/>
      <c r="BOP368" s="247"/>
      <c r="BOQ368" s="652"/>
      <c r="BOR368" s="626"/>
      <c r="BOS368" s="661"/>
      <c r="BOT368" s="641"/>
      <c r="BOU368" s="653"/>
      <c r="BOW368" s="118"/>
      <c r="BOX368" s="219"/>
      <c r="BOY368" s="247"/>
      <c r="BOZ368" s="652"/>
      <c r="BPA368" s="626"/>
      <c r="BPB368" s="661"/>
      <c r="BPC368" s="641"/>
      <c r="BPD368" s="653"/>
      <c r="BPF368" s="118"/>
      <c r="BPG368" s="219"/>
      <c r="BPH368" s="247"/>
      <c r="BPI368" s="652"/>
      <c r="BPJ368" s="626"/>
      <c r="BPK368" s="661"/>
      <c r="BPL368" s="641"/>
      <c r="BPM368" s="653"/>
      <c r="BPO368" s="118"/>
      <c r="BPP368" s="219"/>
      <c r="BPQ368" s="247"/>
      <c r="BPR368" s="652"/>
      <c r="BPS368" s="626"/>
      <c r="BPT368" s="661"/>
      <c r="BPU368" s="641"/>
      <c r="BPV368" s="653"/>
      <c r="BPX368" s="118"/>
      <c r="BPY368" s="219"/>
      <c r="BPZ368" s="247"/>
      <c r="BQA368" s="652"/>
      <c r="BQB368" s="626"/>
      <c r="BQC368" s="661"/>
      <c r="BQD368" s="641"/>
      <c r="BQE368" s="653"/>
      <c r="BQG368" s="118"/>
      <c r="BQH368" s="219"/>
      <c r="BQI368" s="247"/>
      <c r="BQJ368" s="652"/>
      <c r="BQK368" s="626"/>
      <c r="BQL368" s="661"/>
      <c r="BQM368" s="641"/>
      <c r="BQN368" s="653"/>
      <c r="BQP368" s="118"/>
      <c r="BQQ368" s="219"/>
      <c r="BQR368" s="247"/>
      <c r="BQS368" s="652"/>
      <c r="BQT368" s="626"/>
      <c r="BQU368" s="661"/>
      <c r="BQV368" s="641"/>
      <c r="BQW368" s="653"/>
      <c r="BQY368" s="118"/>
      <c r="BQZ368" s="219"/>
      <c r="BRA368" s="247"/>
      <c r="BRB368" s="652"/>
      <c r="BRC368" s="626"/>
      <c r="BRD368" s="661"/>
      <c r="BRE368" s="641"/>
      <c r="BRF368" s="653"/>
      <c r="BRH368" s="118"/>
      <c r="BRI368" s="219"/>
      <c r="BRJ368" s="247"/>
      <c r="BRK368" s="652"/>
      <c r="BRL368" s="626"/>
      <c r="BRM368" s="661"/>
      <c r="BRN368" s="641"/>
      <c r="BRO368" s="653"/>
      <c r="BRQ368" s="118"/>
      <c r="BRR368" s="219"/>
      <c r="BRS368" s="247"/>
      <c r="BRT368" s="652"/>
      <c r="BRU368" s="626"/>
      <c r="BRV368" s="661"/>
      <c r="BRW368" s="641"/>
      <c r="BRX368" s="653"/>
      <c r="BRZ368" s="118"/>
      <c r="BSA368" s="219"/>
      <c r="BSB368" s="247"/>
      <c r="BSC368" s="652"/>
      <c r="BSD368" s="626"/>
      <c r="BSE368" s="661"/>
      <c r="BSF368" s="641"/>
      <c r="BSG368" s="653"/>
      <c r="BSI368" s="118"/>
      <c r="BSJ368" s="219"/>
      <c r="BSK368" s="247"/>
      <c r="BSL368" s="652"/>
      <c r="BSM368" s="626"/>
      <c r="BSN368" s="661"/>
      <c r="BSO368" s="641"/>
      <c r="BSP368" s="653"/>
      <c r="BSR368" s="118"/>
      <c r="BSS368" s="219"/>
      <c r="BST368" s="247"/>
      <c r="BSU368" s="652"/>
      <c r="BSV368" s="626"/>
      <c r="BSW368" s="661"/>
      <c r="BSX368" s="641"/>
      <c r="BSY368" s="653"/>
      <c r="BTA368" s="118"/>
      <c r="BTB368" s="219"/>
      <c r="BTC368" s="247"/>
      <c r="BTD368" s="652"/>
      <c r="BTE368" s="626"/>
      <c r="BTF368" s="661"/>
      <c r="BTG368" s="641"/>
      <c r="BTH368" s="653"/>
      <c r="BTJ368" s="118"/>
      <c r="BTK368" s="219"/>
      <c r="BTL368" s="247"/>
      <c r="BTM368" s="652"/>
      <c r="BTN368" s="626"/>
      <c r="BTO368" s="661"/>
      <c r="BTP368" s="641"/>
      <c r="BTQ368" s="653"/>
      <c r="BTS368" s="118"/>
      <c r="BTT368" s="219"/>
      <c r="BTU368" s="247"/>
      <c r="BTV368" s="652"/>
      <c r="BTW368" s="626"/>
      <c r="BTX368" s="661"/>
      <c r="BTY368" s="641"/>
      <c r="BTZ368" s="653"/>
      <c r="BUB368" s="118"/>
      <c r="BUC368" s="219"/>
      <c r="BUD368" s="247"/>
      <c r="BUE368" s="652"/>
      <c r="BUF368" s="626"/>
      <c r="BUG368" s="661"/>
      <c r="BUH368" s="641"/>
      <c r="BUI368" s="653"/>
      <c r="BUK368" s="118"/>
      <c r="BUL368" s="219"/>
      <c r="BUM368" s="247"/>
      <c r="BUN368" s="652"/>
      <c r="BUO368" s="626"/>
      <c r="BUP368" s="661"/>
      <c r="BUQ368" s="641"/>
      <c r="BUR368" s="653"/>
      <c r="BUT368" s="118"/>
      <c r="BUU368" s="219"/>
      <c r="BUV368" s="247"/>
      <c r="BUW368" s="652"/>
      <c r="BUX368" s="626"/>
      <c r="BUY368" s="661"/>
      <c r="BUZ368" s="641"/>
      <c r="BVA368" s="653"/>
      <c r="BVC368" s="118"/>
      <c r="BVD368" s="219"/>
      <c r="BVE368" s="247"/>
      <c r="BVF368" s="652"/>
      <c r="BVG368" s="626"/>
      <c r="BVH368" s="661"/>
      <c r="BVI368" s="641"/>
      <c r="BVJ368" s="653"/>
      <c r="BVL368" s="118"/>
      <c r="BVM368" s="219"/>
      <c r="BVN368" s="247"/>
      <c r="BVO368" s="652"/>
      <c r="BVP368" s="626"/>
      <c r="BVQ368" s="661"/>
      <c r="BVR368" s="641"/>
      <c r="BVS368" s="653"/>
      <c r="BVU368" s="118"/>
      <c r="BVV368" s="219"/>
      <c r="BVW368" s="247"/>
      <c r="BVX368" s="652"/>
      <c r="BVY368" s="626"/>
      <c r="BVZ368" s="661"/>
      <c r="BWA368" s="641"/>
      <c r="BWB368" s="653"/>
      <c r="BWD368" s="118"/>
      <c r="BWE368" s="219"/>
      <c r="BWF368" s="247"/>
      <c r="BWG368" s="652"/>
      <c r="BWH368" s="626"/>
      <c r="BWI368" s="661"/>
      <c r="BWJ368" s="641"/>
      <c r="BWK368" s="653"/>
      <c r="BWM368" s="118"/>
      <c r="BWN368" s="219"/>
      <c r="BWO368" s="247"/>
      <c r="BWP368" s="652"/>
      <c r="BWQ368" s="626"/>
      <c r="BWR368" s="661"/>
      <c r="BWS368" s="641"/>
      <c r="BWT368" s="653"/>
      <c r="BWV368" s="118"/>
      <c r="BWW368" s="219"/>
      <c r="BWX368" s="247"/>
      <c r="BWY368" s="652"/>
      <c r="BWZ368" s="626"/>
      <c r="BXA368" s="661"/>
      <c r="BXB368" s="641"/>
      <c r="BXC368" s="653"/>
      <c r="BXE368" s="118"/>
      <c r="BXF368" s="219"/>
      <c r="BXG368" s="247"/>
      <c r="BXH368" s="652"/>
      <c r="BXI368" s="626"/>
      <c r="BXJ368" s="661"/>
      <c r="BXK368" s="641"/>
      <c r="BXL368" s="653"/>
      <c r="BXN368" s="118"/>
      <c r="BXO368" s="219"/>
      <c r="BXP368" s="247"/>
      <c r="BXQ368" s="652"/>
      <c r="BXR368" s="626"/>
      <c r="BXS368" s="661"/>
      <c r="BXT368" s="641"/>
      <c r="BXU368" s="653"/>
      <c r="BXW368" s="118"/>
      <c r="BXX368" s="219"/>
      <c r="BXY368" s="247"/>
      <c r="BXZ368" s="652"/>
      <c r="BYA368" s="626"/>
      <c r="BYB368" s="661"/>
      <c r="BYC368" s="641"/>
      <c r="BYD368" s="653"/>
      <c r="BYF368" s="118"/>
      <c r="BYG368" s="219"/>
      <c r="BYH368" s="247"/>
      <c r="BYI368" s="652"/>
      <c r="BYJ368" s="626"/>
      <c r="BYK368" s="661"/>
      <c r="BYL368" s="641"/>
      <c r="BYM368" s="653"/>
      <c r="BYO368" s="118"/>
      <c r="BYP368" s="219"/>
      <c r="BYQ368" s="247"/>
      <c r="BYR368" s="652"/>
      <c r="BYS368" s="626"/>
      <c r="BYT368" s="661"/>
      <c r="BYU368" s="641"/>
      <c r="BYV368" s="653"/>
      <c r="BYX368" s="118"/>
      <c r="BYY368" s="219"/>
      <c r="BYZ368" s="247"/>
      <c r="BZA368" s="652"/>
      <c r="BZB368" s="626"/>
      <c r="BZC368" s="661"/>
      <c r="BZD368" s="641"/>
      <c r="BZE368" s="653"/>
      <c r="BZG368" s="118"/>
      <c r="BZH368" s="219"/>
      <c r="BZI368" s="247"/>
      <c r="BZJ368" s="652"/>
      <c r="BZK368" s="626"/>
      <c r="BZL368" s="661"/>
      <c r="BZM368" s="641"/>
      <c r="BZN368" s="653"/>
      <c r="BZP368" s="118"/>
      <c r="BZQ368" s="219"/>
      <c r="BZR368" s="247"/>
      <c r="BZS368" s="652"/>
      <c r="BZT368" s="626"/>
      <c r="BZU368" s="661"/>
      <c r="BZV368" s="641"/>
      <c r="BZW368" s="653"/>
      <c r="BZY368" s="118"/>
      <c r="BZZ368" s="219"/>
      <c r="CAA368" s="247"/>
      <c r="CAB368" s="652"/>
      <c r="CAC368" s="626"/>
      <c r="CAD368" s="661"/>
      <c r="CAE368" s="641"/>
      <c r="CAF368" s="653"/>
      <c r="CAH368" s="118"/>
      <c r="CAI368" s="219"/>
      <c r="CAJ368" s="247"/>
      <c r="CAK368" s="652"/>
      <c r="CAL368" s="626"/>
      <c r="CAM368" s="661"/>
      <c r="CAN368" s="641"/>
      <c r="CAO368" s="653"/>
      <c r="CAQ368" s="118"/>
      <c r="CAR368" s="219"/>
      <c r="CAS368" s="247"/>
      <c r="CAT368" s="652"/>
      <c r="CAU368" s="626"/>
      <c r="CAV368" s="661"/>
      <c r="CAW368" s="641"/>
      <c r="CAX368" s="653"/>
      <c r="CAZ368" s="118"/>
      <c r="CBA368" s="219"/>
      <c r="CBB368" s="247"/>
      <c r="CBC368" s="652"/>
      <c r="CBD368" s="626"/>
      <c r="CBE368" s="661"/>
      <c r="CBF368" s="641"/>
      <c r="CBG368" s="653"/>
      <c r="CBI368" s="118"/>
      <c r="CBJ368" s="219"/>
      <c r="CBK368" s="247"/>
      <c r="CBL368" s="652"/>
      <c r="CBM368" s="626"/>
      <c r="CBN368" s="661"/>
      <c r="CBO368" s="641"/>
      <c r="CBP368" s="653"/>
      <c r="CBR368" s="118"/>
      <c r="CBS368" s="219"/>
      <c r="CBT368" s="247"/>
      <c r="CBU368" s="652"/>
      <c r="CBV368" s="626"/>
      <c r="CBW368" s="661"/>
      <c r="CBX368" s="641"/>
      <c r="CBY368" s="653"/>
      <c r="CCA368" s="118"/>
      <c r="CCB368" s="219"/>
      <c r="CCC368" s="247"/>
      <c r="CCD368" s="652"/>
      <c r="CCE368" s="626"/>
      <c r="CCF368" s="661"/>
      <c r="CCG368" s="641"/>
      <c r="CCH368" s="653"/>
      <c r="CCJ368" s="118"/>
      <c r="CCK368" s="219"/>
      <c r="CCL368" s="247"/>
      <c r="CCM368" s="652"/>
      <c r="CCN368" s="626"/>
      <c r="CCO368" s="661"/>
      <c r="CCP368" s="641"/>
      <c r="CCQ368" s="653"/>
      <c r="CCS368" s="118"/>
      <c r="CCT368" s="219"/>
      <c r="CCU368" s="247"/>
      <c r="CCV368" s="652"/>
      <c r="CCW368" s="626"/>
      <c r="CCX368" s="661"/>
      <c r="CCY368" s="641"/>
      <c r="CCZ368" s="653"/>
      <c r="CDB368" s="118"/>
      <c r="CDC368" s="219"/>
      <c r="CDD368" s="247"/>
      <c r="CDE368" s="652"/>
      <c r="CDF368" s="626"/>
      <c r="CDG368" s="661"/>
      <c r="CDH368" s="641"/>
      <c r="CDI368" s="653"/>
      <c r="CDK368" s="118"/>
      <c r="CDL368" s="219"/>
      <c r="CDM368" s="247"/>
      <c r="CDN368" s="652"/>
      <c r="CDO368" s="626"/>
      <c r="CDP368" s="661"/>
      <c r="CDQ368" s="641"/>
      <c r="CDR368" s="653"/>
      <c r="CDT368" s="118"/>
      <c r="CDU368" s="219"/>
      <c r="CDV368" s="247"/>
      <c r="CDW368" s="652"/>
      <c r="CDX368" s="626"/>
      <c r="CDY368" s="661"/>
      <c r="CDZ368" s="641"/>
      <c r="CEA368" s="653"/>
      <c r="CEC368" s="118"/>
      <c r="CED368" s="219"/>
      <c r="CEE368" s="247"/>
      <c r="CEF368" s="652"/>
      <c r="CEG368" s="626"/>
      <c r="CEH368" s="661"/>
      <c r="CEI368" s="641"/>
      <c r="CEJ368" s="653"/>
      <c r="CEL368" s="118"/>
      <c r="CEM368" s="219"/>
      <c r="CEN368" s="247"/>
      <c r="CEO368" s="652"/>
      <c r="CEP368" s="626"/>
      <c r="CEQ368" s="661"/>
      <c r="CER368" s="641"/>
      <c r="CES368" s="653"/>
      <c r="CEU368" s="118"/>
      <c r="CEV368" s="219"/>
      <c r="CEW368" s="247"/>
      <c r="CEX368" s="652"/>
      <c r="CEY368" s="626"/>
      <c r="CEZ368" s="661"/>
      <c r="CFA368" s="641"/>
      <c r="CFB368" s="653"/>
      <c r="CFD368" s="118"/>
      <c r="CFE368" s="219"/>
      <c r="CFF368" s="247"/>
      <c r="CFG368" s="652"/>
      <c r="CFH368" s="626"/>
      <c r="CFI368" s="661"/>
      <c r="CFJ368" s="641"/>
      <c r="CFK368" s="653"/>
      <c r="CFM368" s="118"/>
      <c r="CFN368" s="219"/>
      <c r="CFO368" s="247"/>
      <c r="CFP368" s="652"/>
      <c r="CFQ368" s="626"/>
      <c r="CFR368" s="661"/>
      <c r="CFS368" s="641"/>
      <c r="CFT368" s="653"/>
      <c r="CFV368" s="118"/>
      <c r="CFW368" s="219"/>
      <c r="CFX368" s="247"/>
      <c r="CFY368" s="652"/>
      <c r="CFZ368" s="626"/>
      <c r="CGA368" s="661"/>
      <c r="CGB368" s="641"/>
      <c r="CGC368" s="653"/>
      <c r="CGE368" s="118"/>
      <c r="CGF368" s="219"/>
      <c r="CGG368" s="247"/>
      <c r="CGH368" s="652"/>
      <c r="CGI368" s="626"/>
      <c r="CGJ368" s="661"/>
      <c r="CGK368" s="641"/>
      <c r="CGL368" s="653"/>
      <c r="CGN368" s="118"/>
      <c r="CGO368" s="219"/>
      <c r="CGP368" s="247"/>
      <c r="CGQ368" s="652"/>
      <c r="CGR368" s="626"/>
      <c r="CGS368" s="661"/>
      <c r="CGT368" s="641"/>
      <c r="CGU368" s="653"/>
      <c r="CGW368" s="118"/>
      <c r="CGX368" s="219"/>
      <c r="CGY368" s="247"/>
      <c r="CGZ368" s="652"/>
      <c r="CHA368" s="626"/>
      <c r="CHB368" s="661"/>
      <c r="CHC368" s="641"/>
      <c r="CHD368" s="653"/>
      <c r="CHF368" s="118"/>
      <c r="CHG368" s="219"/>
      <c r="CHH368" s="247"/>
      <c r="CHI368" s="652"/>
      <c r="CHJ368" s="626"/>
      <c r="CHK368" s="661"/>
      <c r="CHL368" s="641"/>
      <c r="CHM368" s="653"/>
      <c r="CHO368" s="118"/>
      <c r="CHP368" s="219"/>
      <c r="CHQ368" s="247"/>
      <c r="CHR368" s="652"/>
      <c r="CHS368" s="626"/>
      <c r="CHT368" s="661"/>
      <c r="CHU368" s="641"/>
      <c r="CHV368" s="653"/>
      <c r="CHX368" s="118"/>
      <c r="CHY368" s="219"/>
      <c r="CHZ368" s="247"/>
      <c r="CIA368" s="652"/>
      <c r="CIB368" s="626"/>
      <c r="CIC368" s="661"/>
      <c r="CID368" s="641"/>
      <c r="CIE368" s="653"/>
      <c r="CIG368" s="118"/>
      <c r="CIH368" s="219"/>
      <c r="CII368" s="247"/>
      <c r="CIJ368" s="652"/>
      <c r="CIK368" s="626"/>
      <c r="CIL368" s="661"/>
      <c r="CIM368" s="641"/>
      <c r="CIN368" s="653"/>
      <c r="CIP368" s="118"/>
      <c r="CIQ368" s="219"/>
      <c r="CIR368" s="247"/>
      <c r="CIS368" s="652"/>
      <c r="CIT368" s="626"/>
      <c r="CIU368" s="661"/>
      <c r="CIV368" s="641"/>
      <c r="CIW368" s="653"/>
      <c r="CIY368" s="118"/>
      <c r="CIZ368" s="219"/>
      <c r="CJA368" s="247"/>
      <c r="CJB368" s="652"/>
      <c r="CJC368" s="626"/>
      <c r="CJD368" s="661"/>
      <c r="CJE368" s="641"/>
      <c r="CJF368" s="653"/>
      <c r="CJH368" s="118"/>
      <c r="CJI368" s="219"/>
      <c r="CJJ368" s="247"/>
      <c r="CJK368" s="652"/>
      <c r="CJL368" s="626"/>
      <c r="CJM368" s="661"/>
      <c r="CJN368" s="641"/>
      <c r="CJO368" s="653"/>
      <c r="CJQ368" s="118"/>
      <c r="CJR368" s="219"/>
      <c r="CJS368" s="247"/>
      <c r="CJT368" s="652"/>
      <c r="CJU368" s="626"/>
      <c r="CJV368" s="661"/>
      <c r="CJW368" s="641"/>
      <c r="CJX368" s="653"/>
      <c r="CJZ368" s="118"/>
      <c r="CKA368" s="219"/>
      <c r="CKB368" s="247"/>
      <c r="CKC368" s="652"/>
      <c r="CKD368" s="626"/>
      <c r="CKE368" s="661"/>
      <c r="CKF368" s="641"/>
      <c r="CKG368" s="653"/>
      <c r="CKI368" s="118"/>
      <c r="CKJ368" s="219"/>
      <c r="CKK368" s="247"/>
      <c r="CKL368" s="652"/>
      <c r="CKM368" s="626"/>
      <c r="CKN368" s="661"/>
      <c r="CKO368" s="641"/>
      <c r="CKP368" s="653"/>
      <c r="CKR368" s="118"/>
      <c r="CKS368" s="219"/>
      <c r="CKT368" s="247"/>
      <c r="CKU368" s="652"/>
      <c r="CKV368" s="626"/>
      <c r="CKW368" s="661"/>
      <c r="CKX368" s="641"/>
      <c r="CKY368" s="653"/>
      <c r="CLA368" s="118"/>
      <c r="CLB368" s="219"/>
      <c r="CLC368" s="247"/>
      <c r="CLD368" s="652"/>
      <c r="CLE368" s="626"/>
      <c r="CLF368" s="661"/>
      <c r="CLG368" s="641"/>
      <c r="CLH368" s="653"/>
      <c r="CLJ368" s="118"/>
      <c r="CLK368" s="219"/>
      <c r="CLL368" s="247"/>
      <c r="CLM368" s="652"/>
      <c r="CLN368" s="626"/>
      <c r="CLO368" s="661"/>
      <c r="CLP368" s="641"/>
      <c r="CLQ368" s="653"/>
      <c r="CLS368" s="118"/>
      <c r="CLT368" s="219"/>
      <c r="CLU368" s="247"/>
      <c r="CLV368" s="652"/>
      <c r="CLW368" s="626"/>
      <c r="CLX368" s="661"/>
      <c r="CLY368" s="641"/>
      <c r="CLZ368" s="653"/>
      <c r="CMB368" s="118"/>
      <c r="CMC368" s="219"/>
      <c r="CMD368" s="247"/>
      <c r="CME368" s="652"/>
      <c r="CMF368" s="626"/>
      <c r="CMG368" s="661"/>
      <c r="CMH368" s="641"/>
      <c r="CMI368" s="653"/>
      <c r="CMK368" s="118"/>
      <c r="CML368" s="219"/>
      <c r="CMM368" s="247"/>
      <c r="CMN368" s="652"/>
      <c r="CMO368" s="626"/>
      <c r="CMP368" s="661"/>
      <c r="CMQ368" s="641"/>
      <c r="CMR368" s="653"/>
      <c r="CMT368" s="118"/>
      <c r="CMU368" s="219"/>
      <c r="CMV368" s="247"/>
      <c r="CMW368" s="652"/>
      <c r="CMX368" s="626"/>
      <c r="CMY368" s="661"/>
      <c r="CMZ368" s="641"/>
      <c r="CNA368" s="653"/>
      <c r="CNC368" s="118"/>
      <c r="CND368" s="219"/>
      <c r="CNE368" s="247"/>
      <c r="CNF368" s="652"/>
      <c r="CNG368" s="626"/>
      <c r="CNH368" s="661"/>
      <c r="CNI368" s="641"/>
      <c r="CNJ368" s="653"/>
      <c r="CNL368" s="118"/>
      <c r="CNM368" s="219"/>
      <c r="CNN368" s="247"/>
      <c r="CNO368" s="652"/>
      <c r="CNP368" s="626"/>
      <c r="CNQ368" s="661"/>
      <c r="CNR368" s="641"/>
      <c r="CNS368" s="653"/>
      <c r="CNU368" s="118"/>
      <c r="CNV368" s="219"/>
      <c r="CNW368" s="247"/>
      <c r="CNX368" s="652"/>
      <c r="CNY368" s="626"/>
      <c r="CNZ368" s="661"/>
      <c r="COA368" s="641"/>
      <c r="COB368" s="653"/>
      <c r="COD368" s="118"/>
      <c r="COE368" s="219"/>
      <c r="COF368" s="247"/>
      <c r="COG368" s="652"/>
      <c r="COH368" s="626"/>
      <c r="COI368" s="661"/>
      <c r="COJ368" s="641"/>
      <c r="COK368" s="653"/>
      <c r="COM368" s="118"/>
      <c r="CON368" s="219"/>
      <c r="COO368" s="247"/>
      <c r="COP368" s="652"/>
      <c r="COQ368" s="626"/>
      <c r="COR368" s="661"/>
      <c r="COS368" s="641"/>
      <c r="COT368" s="653"/>
      <c r="COV368" s="118"/>
      <c r="COW368" s="219"/>
      <c r="COX368" s="247"/>
      <c r="COY368" s="652"/>
      <c r="COZ368" s="626"/>
      <c r="CPA368" s="661"/>
      <c r="CPB368" s="641"/>
      <c r="CPC368" s="653"/>
      <c r="CPE368" s="118"/>
      <c r="CPF368" s="219"/>
      <c r="CPG368" s="247"/>
      <c r="CPH368" s="652"/>
      <c r="CPI368" s="626"/>
      <c r="CPJ368" s="661"/>
      <c r="CPK368" s="641"/>
      <c r="CPL368" s="653"/>
      <c r="CPN368" s="118"/>
      <c r="CPO368" s="219"/>
      <c r="CPP368" s="247"/>
      <c r="CPQ368" s="652"/>
      <c r="CPR368" s="626"/>
      <c r="CPS368" s="661"/>
      <c r="CPT368" s="641"/>
      <c r="CPU368" s="653"/>
      <c r="CPW368" s="118"/>
      <c r="CPX368" s="219"/>
      <c r="CPY368" s="247"/>
      <c r="CPZ368" s="652"/>
      <c r="CQA368" s="626"/>
      <c r="CQB368" s="661"/>
      <c r="CQC368" s="641"/>
      <c r="CQD368" s="653"/>
      <c r="CQF368" s="118"/>
      <c r="CQG368" s="219"/>
      <c r="CQH368" s="247"/>
      <c r="CQI368" s="652"/>
      <c r="CQJ368" s="626"/>
      <c r="CQK368" s="661"/>
      <c r="CQL368" s="641"/>
      <c r="CQM368" s="653"/>
      <c r="CQO368" s="118"/>
      <c r="CQP368" s="219"/>
      <c r="CQQ368" s="247"/>
      <c r="CQR368" s="652"/>
      <c r="CQS368" s="626"/>
      <c r="CQT368" s="661"/>
      <c r="CQU368" s="641"/>
      <c r="CQV368" s="653"/>
      <c r="CQX368" s="118"/>
      <c r="CQY368" s="219"/>
      <c r="CQZ368" s="247"/>
      <c r="CRA368" s="652"/>
      <c r="CRB368" s="626"/>
      <c r="CRC368" s="661"/>
      <c r="CRD368" s="641"/>
      <c r="CRE368" s="653"/>
      <c r="CRG368" s="118"/>
      <c r="CRH368" s="219"/>
      <c r="CRI368" s="247"/>
      <c r="CRJ368" s="652"/>
      <c r="CRK368" s="626"/>
      <c r="CRL368" s="661"/>
      <c r="CRM368" s="641"/>
      <c r="CRN368" s="653"/>
      <c r="CRP368" s="118"/>
      <c r="CRQ368" s="219"/>
      <c r="CRR368" s="247"/>
      <c r="CRS368" s="652"/>
      <c r="CRT368" s="626"/>
      <c r="CRU368" s="661"/>
      <c r="CRV368" s="641"/>
      <c r="CRW368" s="653"/>
      <c r="CRY368" s="118"/>
      <c r="CRZ368" s="219"/>
      <c r="CSA368" s="247"/>
      <c r="CSB368" s="652"/>
      <c r="CSC368" s="626"/>
      <c r="CSD368" s="661"/>
      <c r="CSE368" s="641"/>
      <c r="CSF368" s="653"/>
      <c r="CSH368" s="118"/>
      <c r="CSI368" s="219"/>
      <c r="CSJ368" s="247"/>
      <c r="CSK368" s="652"/>
      <c r="CSL368" s="626"/>
      <c r="CSM368" s="661"/>
      <c r="CSN368" s="641"/>
      <c r="CSO368" s="653"/>
      <c r="CSQ368" s="118"/>
      <c r="CSR368" s="219"/>
      <c r="CSS368" s="247"/>
      <c r="CST368" s="652"/>
      <c r="CSU368" s="626"/>
      <c r="CSV368" s="661"/>
      <c r="CSW368" s="641"/>
      <c r="CSX368" s="653"/>
      <c r="CSZ368" s="118"/>
      <c r="CTA368" s="219"/>
      <c r="CTB368" s="247"/>
      <c r="CTC368" s="652"/>
      <c r="CTD368" s="626"/>
      <c r="CTE368" s="661"/>
      <c r="CTF368" s="641"/>
      <c r="CTG368" s="653"/>
      <c r="CTI368" s="118"/>
      <c r="CTJ368" s="219"/>
      <c r="CTK368" s="247"/>
      <c r="CTL368" s="652"/>
      <c r="CTM368" s="626"/>
      <c r="CTN368" s="661"/>
      <c r="CTO368" s="641"/>
      <c r="CTP368" s="653"/>
      <c r="CTR368" s="118"/>
      <c r="CTS368" s="219"/>
      <c r="CTT368" s="247"/>
      <c r="CTU368" s="652"/>
      <c r="CTV368" s="626"/>
      <c r="CTW368" s="661"/>
      <c r="CTX368" s="641"/>
      <c r="CTY368" s="653"/>
      <c r="CUA368" s="118"/>
      <c r="CUB368" s="219"/>
      <c r="CUC368" s="247"/>
      <c r="CUD368" s="652"/>
      <c r="CUE368" s="626"/>
      <c r="CUF368" s="661"/>
      <c r="CUG368" s="641"/>
      <c r="CUH368" s="653"/>
      <c r="CUJ368" s="118"/>
      <c r="CUK368" s="219"/>
      <c r="CUL368" s="247"/>
      <c r="CUM368" s="652"/>
      <c r="CUN368" s="626"/>
      <c r="CUO368" s="661"/>
      <c r="CUP368" s="641"/>
      <c r="CUQ368" s="653"/>
      <c r="CUS368" s="118"/>
      <c r="CUT368" s="219"/>
      <c r="CUU368" s="247"/>
      <c r="CUV368" s="652"/>
      <c r="CUW368" s="626"/>
      <c r="CUX368" s="661"/>
      <c r="CUY368" s="641"/>
      <c r="CUZ368" s="653"/>
      <c r="CVB368" s="118"/>
      <c r="CVC368" s="219"/>
      <c r="CVD368" s="247"/>
      <c r="CVE368" s="652"/>
      <c r="CVF368" s="626"/>
      <c r="CVG368" s="661"/>
      <c r="CVH368" s="641"/>
      <c r="CVI368" s="653"/>
      <c r="CVK368" s="118"/>
      <c r="CVL368" s="219"/>
      <c r="CVM368" s="247"/>
      <c r="CVN368" s="652"/>
      <c r="CVO368" s="626"/>
      <c r="CVP368" s="661"/>
      <c r="CVQ368" s="641"/>
      <c r="CVR368" s="653"/>
      <c r="CVT368" s="118"/>
      <c r="CVU368" s="219"/>
      <c r="CVV368" s="247"/>
      <c r="CVW368" s="652"/>
      <c r="CVX368" s="626"/>
      <c r="CVY368" s="661"/>
      <c r="CVZ368" s="641"/>
      <c r="CWA368" s="653"/>
      <c r="CWC368" s="118"/>
      <c r="CWD368" s="219"/>
      <c r="CWE368" s="247"/>
      <c r="CWF368" s="652"/>
      <c r="CWG368" s="626"/>
      <c r="CWH368" s="661"/>
      <c r="CWI368" s="641"/>
      <c r="CWJ368" s="653"/>
      <c r="CWL368" s="118"/>
      <c r="CWM368" s="219"/>
      <c r="CWN368" s="247"/>
      <c r="CWO368" s="652"/>
      <c r="CWP368" s="626"/>
      <c r="CWQ368" s="661"/>
      <c r="CWR368" s="641"/>
      <c r="CWS368" s="653"/>
      <c r="CWU368" s="118"/>
      <c r="CWV368" s="219"/>
      <c r="CWW368" s="247"/>
      <c r="CWX368" s="652"/>
      <c r="CWY368" s="626"/>
      <c r="CWZ368" s="661"/>
      <c r="CXA368" s="641"/>
      <c r="CXB368" s="653"/>
      <c r="CXD368" s="118"/>
      <c r="CXE368" s="219"/>
      <c r="CXF368" s="247"/>
      <c r="CXG368" s="652"/>
      <c r="CXH368" s="626"/>
      <c r="CXI368" s="661"/>
      <c r="CXJ368" s="641"/>
      <c r="CXK368" s="653"/>
      <c r="CXM368" s="118"/>
      <c r="CXN368" s="219"/>
      <c r="CXO368" s="247"/>
      <c r="CXP368" s="652"/>
      <c r="CXQ368" s="626"/>
      <c r="CXR368" s="661"/>
      <c r="CXS368" s="641"/>
      <c r="CXT368" s="653"/>
      <c r="CXV368" s="118"/>
      <c r="CXW368" s="219"/>
      <c r="CXX368" s="247"/>
      <c r="CXY368" s="652"/>
      <c r="CXZ368" s="626"/>
      <c r="CYA368" s="661"/>
      <c r="CYB368" s="641"/>
      <c r="CYC368" s="653"/>
      <c r="CYE368" s="118"/>
      <c r="CYF368" s="219"/>
      <c r="CYG368" s="247"/>
      <c r="CYH368" s="652"/>
      <c r="CYI368" s="626"/>
      <c r="CYJ368" s="661"/>
      <c r="CYK368" s="641"/>
      <c r="CYL368" s="653"/>
      <c r="CYN368" s="118"/>
      <c r="CYO368" s="219"/>
      <c r="CYP368" s="247"/>
      <c r="CYQ368" s="652"/>
      <c r="CYR368" s="626"/>
      <c r="CYS368" s="661"/>
      <c r="CYT368" s="641"/>
      <c r="CYU368" s="653"/>
      <c r="CYW368" s="118"/>
      <c r="CYX368" s="219"/>
      <c r="CYY368" s="247"/>
      <c r="CYZ368" s="652"/>
      <c r="CZA368" s="626"/>
      <c r="CZB368" s="661"/>
      <c r="CZC368" s="641"/>
      <c r="CZD368" s="653"/>
      <c r="CZF368" s="118"/>
      <c r="CZG368" s="219"/>
      <c r="CZH368" s="247"/>
      <c r="CZI368" s="652"/>
      <c r="CZJ368" s="626"/>
      <c r="CZK368" s="661"/>
      <c r="CZL368" s="641"/>
      <c r="CZM368" s="653"/>
      <c r="CZO368" s="118"/>
      <c r="CZP368" s="219"/>
      <c r="CZQ368" s="247"/>
      <c r="CZR368" s="652"/>
      <c r="CZS368" s="626"/>
      <c r="CZT368" s="661"/>
      <c r="CZU368" s="641"/>
      <c r="CZV368" s="653"/>
      <c r="CZX368" s="118"/>
      <c r="CZY368" s="219"/>
      <c r="CZZ368" s="247"/>
      <c r="DAA368" s="652"/>
      <c r="DAB368" s="626"/>
      <c r="DAC368" s="661"/>
      <c r="DAD368" s="641"/>
      <c r="DAE368" s="653"/>
      <c r="DAG368" s="118"/>
      <c r="DAH368" s="219"/>
      <c r="DAI368" s="247"/>
      <c r="DAJ368" s="652"/>
      <c r="DAK368" s="626"/>
      <c r="DAL368" s="661"/>
      <c r="DAM368" s="641"/>
      <c r="DAN368" s="653"/>
      <c r="DAP368" s="118"/>
      <c r="DAQ368" s="219"/>
      <c r="DAR368" s="247"/>
      <c r="DAS368" s="652"/>
      <c r="DAT368" s="626"/>
      <c r="DAU368" s="661"/>
      <c r="DAV368" s="641"/>
      <c r="DAW368" s="653"/>
      <c r="DAY368" s="118"/>
      <c r="DAZ368" s="219"/>
      <c r="DBA368" s="247"/>
      <c r="DBB368" s="652"/>
      <c r="DBC368" s="626"/>
      <c r="DBD368" s="661"/>
      <c r="DBE368" s="641"/>
      <c r="DBF368" s="653"/>
      <c r="DBH368" s="118"/>
      <c r="DBI368" s="219"/>
      <c r="DBJ368" s="247"/>
      <c r="DBK368" s="652"/>
      <c r="DBL368" s="626"/>
      <c r="DBM368" s="661"/>
      <c r="DBN368" s="641"/>
      <c r="DBO368" s="653"/>
      <c r="DBQ368" s="118"/>
      <c r="DBR368" s="219"/>
      <c r="DBS368" s="247"/>
      <c r="DBT368" s="652"/>
      <c r="DBU368" s="626"/>
      <c r="DBV368" s="661"/>
      <c r="DBW368" s="641"/>
      <c r="DBX368" s="653"/>
      <c r="DBZ368" s="118"/>
      <c r="DCA368" s="219"/>
      <c r="DCB368" s="247"/>
      <c r="DCC368" s="652"/>
      <c r="DCD368" s="626"/>
      <c r="DCE368" s="661"/>
      <c r="DCF368" s="641"/>
      <c r="DCG368" s="653"/>
      <c r="DCI368" s="118"/>
      <c r="DCJ368" s="219"/>
      <c r="DCK368" s="247"/>
      <c r="DCL368" s="652"/>
      <c r="DCM368" s="626"/>
      <c r="DCN368" s="661"/>
      <c r="DCO368" s="641"/>
      <c r="DCP368" s="653"/>
      <c r="DCR368" s="118"/>
      <c r="DCS368" s="219"/>
      <c r="DCT368" s="247"/>
      <c r="DCU368" s="652"/>
      <c r="DCV368" s="626"/>
      <c r="DCW368" s="661"/>
      <c r="DCX368" s="641"/>
      <c r="DCY368" s="653"/>
      <c r="DDA368" s="118"/>
      <c r="DDB368" s="219"/>
      <c r="DDC368" s="247"/>
      <c r="DDD368" s="652"/>
      <c r="DDE368" s="626"/>
      <c r="DDF368" s="661"/>
      <c r="DDG368" s="641"/>
      <c r="DDH368" s="653"/>
      <c r="DDJ368" s="118"/>
      <c r="DDK368" s="219"/>
      <c r="DDL368" s="247"/>
      <c r="DDM368" s="652"/>
      <c r="DDN368" s="626"/>
      <c r="DDO368" s="661"/>
      <c r="DDP368" s="641"/>
      <c r="DDQ368" s="653"/>
      <c r="DDS368" s="118"/>
      <c r="DDT368" s="219"/>
      <c r="DDU368" s="247"/>
      <c r="DDV368" s="652"/>
      <c r="DDW368" s="626"/>
      <c r="DDX368" s="661"/>
      <c r="DDY368" s="641"/>
      <c r="DDZ368" s="653"/>
      <c r="DEB368" s="118"/>
      <c r="DEC368" s="219"/>
      <c r="DED368" s="247"/>
      <c r="DEE368" s="652"/>
      <c r="DEF368" s="626"/>
      <c r="DEG368" s="661"/>
      <c r="DEH368" s="641"/>
      <c r="DEI368" s="653"/>
      <c r="DEK368" s="118"/>
      <c r="DEL368" s="219"/>
      <c r="DEM368" s="247"/>
      <c r="DEN368" s="652"/>
      <c r="DEO368" s="626"/>
      <c r="DEP368" s="661"/>
      <c r="DEQ368" s="641"/>
      <c r="DER368" s="653"/>
      <c r="DET368" s="118"/>
      <c r="DEU368" s="219"/>
      <c r="DEV368" s="247"/>
      <c r="DEW368" s="652"/>
      <c r="DEX368" s="626"/>
      <c r="DEY368" s="661"/>
      <c r="DEZ368" s="641"/>
      <c r="DFA368" s="653"/>
      <c r="DFC368" s="118"/>
      <c r="DFD368" s="219"/>
      <c r="DFE368" s="247"/>
      <c r="DFF368" s="652"/>
      <c r="DFG368" s="626"/>
      <c r="DFH368" s="661"/>
      <c r="DFI368" s="641"/>
      <c r="DFJ368" s="653"/>
      <c r="DFL368" s="118"/>
      <c r="DFM368" s="219"/>
      <c r="DFN368" s="247"/>
      <c r="DFO368" s="652"/>
      <c r="DFP368" s="626"/>
      <c r="DFQ368" s="661"/>
      <c r="DFR368" s="641"/>
      <c r="DFS368" s="653"/>
      <c r="DFU368" s="118"/>
      <c r="DFV368" s="219"/>
      <c r="DFW368" s="247"/>
      <c r="DFX368" s="652"/>
      <c r="DFY368" s="626"/>
      <c r="DFZ368" s="661"/>
      <c r="DGA368" s="641"/>
      <c r="DGB368" s="653"/>
      <c r="DGD368" s="118"/>
      <c r="DGE368" s="219"/>
      <c r="DGF368" s="247"/>
      <c r="DGG368" s="652"/>
      <c r="DGH368" s="626"/>
      <c r="DGI368" s="661"/>
      <c r="DGJ368" s="641"/>
      <c r="DGK368" s="653"/>
      <c r="DGM368" s="118"/>
      <c r="DGN368" s="219"/>
      <c r="DGO368" s="247"/>
      <c r="DGP368" s="652"/>
      <c r="DGQ368" s="626"/>
      <c r="DGR368" s="661"/>
      <c r="DGS368" s="641"/>
      <c r="DGT368" s="653"/>
      <c r="DGV368" s="118"/>
      <c r="DGW368" s="219"/>
      <c r="DGX368" s="247"/>
      <c r="DGY368" s="652"/>
      <c r="DGZ368" s="626"/>
      <c r="DHA368" s="661"/>
      <c r="DHB368" s="641"/>
      <c r="DHC368" s="653"/>
      <c r="DHE368" s="118"/>
      <c r="DHF368" s="219"/>
      <c r="DHG368" s="247"/>
      <c r="DHH368" s="652"/>
      <c r="DHI368" s="626"/>
      <c r="DHJ368" s="661"/>
      <c r="DHK368" s="641"/>
      <c r="DHL368" s="653"/>
      <c r="DHN368" s="118"/>
      <c r="DHO368" s="219"/>
      <c r="DHP368" s="247"/>
      <c r="DHQ368" s="652"/>
      <c r="DHR368" s="626"/>
      <c r="DHS368" s="661"/>
      <c r="DHT368" s="641"/>
      <c r="DHU368" s="653"/>
      <c r="DHW368" s="118"/>
      <c r="DHX368" s="219"/>
      <c r="DHY368" s="247"/>
      <c r="DHZ368" s="652"/>
      <c r="DIA368" s="626"/>
      <c r="DIB368" s="661"/>
      <c r="DIC368" s="641"/>
      <c r="DID368" s="653"/>
      <c r="DIF368" s="118"/>
      <c r="DIG368" s="219"/>
      <c r="DIH368" s="247"/>
      <c r="DII368" s="652"/>
      <c r="DIJ368" s="626"/>
      <c r="DIK368" s="661"/>
      <c r="DIL368" s="641"/>
      <c r="DIM368" s="653"/>
      <c r="DIO368" s="118"/>
      <c r="DIP368" s="219"/>
      <c r="DIQ368" s="247"/>
      <c r="DIR368" s="652"/>
      <c r="DIS368" s="626"/>
      <c r="DIT368" s="661"/>
      <c r="DIU368" s="641"/>
      <c r="DIV368" s="653"/>
      <c r="DIX368" s="118"/>
      <c r="DIY368" s="219"/>
      <c r="DIZ368" s="247"/>
      <c r="DJA368" s="652"/>
      <c r="DJB368" s="626"/>
      <c r="DJC368" s="661"/>
      <c r="DJD368" s="641"/>
      <c r="DJE368" s="653"/>
      <c r="DJG368" s="118"/>
      <c r="DJH368" s="219"/>
      <c r="DJI368" s="247"/>
      <c r="DJJ368" s="652"/>
      <c r="DJK368" s="626"/>
      <c r="DJL368" s="661"/>
      <c r="DJM368" s="641"/>
      <c r="DJN368" s="653"/>
      <c r="DJP368" s="118"/>
      <c r="DJQ368" s="219"/>
      <c r="DJR368" s="247"/>
      <c r="DJS368" s="652"/>
      <c r="DJT368" s="626"/>
      <c r="DJU368" s="661"/>
      <c r="DJV368" s="641"/>
      <c r="DJW368" s="653"/>
      <c r="DJY368" s="118"/>
      <c r="DJZ368" s="219"/>
      <c r="DKA368" s="247"/>
      <c r="DKB368" s="652"/>
      <c r="DKC368" s="626"/>
      <c r="DKD368" s="661"/>
      <c r="DKE368" s="641"/>
      <c r="DKF368" s="653"/>
      <c r="DKH368" s="118"/>
      <c r="DKI368" s="219"/>
      <c r="DKJ368" s="247"/>
      <c r="DKK368" s="652"/>
      <c r="DKL368" s="626"/>
      <c r="DKM368" s="661"/>
      <c r="DKN368" s="641"/>
      <c r="DKO368" s="653"/>
      <c r="DKQ368" s="118"/>
      <c r="DKR368" s="219"/>
      <c r="DKS368" s="247"/>
      <c r="DKT368" s="652"/>
      <c r="DKU368" s="626"/>
      <c r="DKV368" s="661"/>
      <c r="DKW368" s="641"/>
      <c r="DKX368" s="653"/>
      <c r="DKZ368" s="118"/>
      <c r="DLA368" s="219"/>
      <c r="DLB368" s="247"/>
      <c r="DLC368" s="652"/>
      <c r="DLD368" s="626"/>
      <c r="DLE368" s="661"/>
      <c r="DLF368" s="641"/>
      <c r="DLG368" s="653"/>
      <c r="DLI368" s="118"/>
      <c r="DLJ368" s="219"/>
      <c r="DLK368" s="247"/>
      <c r="DLL368" s="652"/>
      <c r="DLM368" s="626"/>
      <c r="DLN368" s="661"/>
      <c r="DLO368" s="641"/>
      <c r="DLP368" s="653"/>
      <c r="DLR368" s="118"/>
      <c r="DLS368" s="219"/>
      <c r="DLT368" s="247"/>
      <c r="DLU368" s="652"/>
      <c r="DLV368" s="626"/>
      <c r="DLW368" s="661"/>
      <c r="DLX368" s="641"/>
      <c r="DLY368" s="653"/>
      <c r="DMA368" s="118"/>
      <c r="DMB368" s="219"/>
      <c r="DMC368" s="247"/>
      <c r="DMD368" s="652"/>
      <c r="DME368" s="626"/>
      <c r="DMF368" s="661"/>
      <c r="DMG368" s="641"/>
      <c r="DMH368" s="653"/>
      <c r="DMJ368" s="118"/>
      <c r="DMK368" s="219"/>
      <c r="DML368" s="247"/>
      <c r="DMM368" s="652"/>
      <c r="DMN368" s="626"/>
      <c r="DMO368" s="661"/>
      <c r="DMP368" s="641"/>
      <c r="DMQ368" s="653"/>
      <c r="DMS368" s="118"/>
      <c r="DMT368" s="219"/>
      <c r="DMU368" s="247"/>
      <c r="DMV368" s="652"/>
      <c r="DMW368" s="626"/>
      <c r="DMX368" s="661"/>
      <c r="DMY368" s="641"/>
      <c r="DMZ368" s="653"/>
      <c r="DNB368" s="118"/>
      <c r="DNC368" s="219"/>
      <c r="DND368" s="247"/>
      <c r="DNE368" s="652"/>
      <c r="DNF368" s="626"/>
      <c r="DNG368" s="661"/>
      <c r="DNH368" s="641"/>
      <c r="DNI368" s="653"/>
      <c r="DNK368" s="118"/>
      <c r="DNL368" s="219"/>
      <c r="DNM368" s="247"/>
      <c r="DNN368" s="652"/>
      <c r="DNO368" s="626"/>
      <c r="DNP368" s="661"/>
      <c r="DNQ368" s="641"/>
      <c r="DNR368" s="653"/>
      <c r="DNT368" s="118"/>
      <c r="DNU368" s="219"/>
      <c r="DNV368" s="247"/>
      <c r="DNW368" s="652"/>
      <c r="DNX368" s="626"/>
      <c r="DNY368" s="661"/>
      <c r="DNZ368" s="641"/>
      <c r="DOA368" s="653"/>
      <c r="DOC368" s="118"/>
      <c r="DOD368" s="219"/>
      <c r="DOE368" s="247"/>
      <c r="DOF368" s="652"/>
      <c r="DOG368" s="626"/>
      <c r="DOH368" s="661"/>
      <c r="DOI368" s="641"/>
      <c r="DOJ368" s="653"/>
      <c r="DOL368" s="118"/>
      <c r="DOM368" s="219"/>
      <c r="DON368" s="247"/>
      <c r="DOO368" s="652"/>
      <c r="DOP368" s="626"/>
      <c r="DOQ368" s="661"/>
      <c r="DOR368" s="641"/>
      <c r="DOS368" s="653"/>
      <c r="DOU368" s="118"/>
      <c r="DOV368" s="219"/>
      <c r="DOW368" s="247"/>
      <c r="DOX368" s="652"/>
      <c r="DOY368" s="626"/>
      <c r="DOZ368" s="661"/>
      <c r="DPA368" s="641"/>
      <c r="DPB368" s="653"/>
      <c r="DPD368" s="118"/>
      <c r="DPE368" s="219"/>
      <c r="DPF368" s="247"/>
      <c r="DPG368" s="652"/>
      <c r="DPH368" s="626"/>
      <c r="DPI368" s="661"/>
      <c r="DPJ368" s="641"/>
      <c r="DPK368" s="653"/>
      <c r="DPM368" s="118"/>
      <c r="DPN368" s="219"/>
      <c r="DPO368" s="247"/>
      <c r="DPP368" s="652"/>
      <c r="DPQ368" s="626"/>
      <c r="DPR368" s="661"/>
      <c r="DPS368" s="641"/>
      <c r="DPT368" s="653"/>
      <c r="DPV368" s="118"/>
      <c r="DPW368" s="219"/>
      <c r="DPX368" s="247"/>
      <c r="DPY368" s="652"/>
      <c r="DPZ368" s="626"/>
      <c r="DQA368" s="661"/>
      <c r="DQB368" s="641"/>
      <c r="DQC368" s="653"/>
      <c r="DQE368" s="118"/>
      <c r="DQF368" s="219"/>
      <c r="DQG368" s="247"/>
      <c r="DQH368" s="652"/>
      <c r="DQI368" s="626"/>
      <c r="DQJ368" s="661"/>
      <c r="DQK368" s="641"/>
      <c r="DQL368" s="653"/>
      <c r="DQN368" s="118"/>
      <c r="DQO368" s="219"/>
      <c r="DQP368" s="247"/>
      <c r="DQQ368" s="652"/>
      <c r="DQR368" s="626"/>
      <c r="DQS368" s="661"/>
      <c r="DQT368" s="641"/>
      <c r="DQU368" s="653"/>
      <c r="DQW368" s="118"/>
      <c r="DQX368" s="219"/>
      <c r="DQY368" s="247"/>
      <c r="DQZ368" s="652"/>
      <c r="DRA368" s="626"/>
      <c r="DRB368" s="661"/>
      <c r="DRC368" s="641"/>
      <c r="DRD368" s="653"/>
      <c r="DRF368" s="118"/>
      <c r="DRG368" s="219"/>
      <c r="DRH368" s="247"/>
      <c r="DRI368" s="652"/>
      <c r="DRJ368" s="626"/>
      <c r="DRK368" s="661"/>
      <c r="DRL368" s="641"/>
      <c r="DRM368" s="653"/>
      <c r="DRO368" s="118"/>
      <c r="DRP368" s="219"/>
      <c r="DRQ368" s="247"/>
      <c r="DRR368" s="652"/>
      <c r="DRS368" s="626"/>
      <c r="DRT368" s="661"/>
      <c r="DRU368" s="641"/>
      <c r="DRV368" s="653"/>
      <c r="DRX368" s="118"/>
      <c r="DRY368" s="219"/>
      <c r="DRZ368" s="247"/>
      <c r="DSA368" s="652"/>
      <c r="DSB368" s="626"/>
      <c r="DSC368" s="661"/>
      <c r="DSD368" s="641"/>
      <c r="DSE368" s="653"/>
      <c r="DSG368" s="118"/>
      <c r="DSH368" s="219"/>
      <c r="DSI368" s="247"/>
      <c r="DSJ368" s="652"/>
      <c r="DSK368" s="626"/>
      <c r="DSL368" s="661"/>
      <c r="DSM368" s="641"/>
      <c r="DSN368" s="653"/>
      <c r="DSP368" s="118"/>
      <c r="DSQ368" s="219"/>
      <c r="DSR368" s="247"/>
      <c r="DSS368" s="652"/>
      <c r="DST368" s="626"/>
      <c r="DSU368" s="661"/>
      <c r="DSV368" s="641"/>
      <c r="DSW368" s="653"/>
      <c r="DSY368" s="118"/>
      <c r="DSZ368" s="219"/>
      <c r="DTA368" s="247"/>
      <c r="DTB368" s="652"/>
      <c r="DTC368" s="626"/>
      <c r="DTD368" s="661"/>
      <c r="DTE368" s="641"/>
      <c r="DTF368" s="653"/>
      <c r="DTH368" s="118"/>
      <c r="DTI368" s="219"/>
      <c r="DTJ368" s="247"/>
      <c r="DTK368" s="652"/>
      <c r="DTL368" s="626"/>
      <c r="DTM368" s="661"/>
      <c r="DTN368" s="641"/>
      <c r="DTO368" s="653"/>
      <c r="DTQ368" s="118"/>
      <c r="DTR368" s="219"/>
      <c r="DTS368" s="247"/>
      <c r="DTT368" s="652"/>
      <c r="DTU368" s="626"/>
      <c r="DTV368" s="661"/>
      <c r="DTW368" s="641"/>
      <c r="DTX368" s="653"/>
      <c r="DTZ368" s="118"/>
      <c r="DUA368" s="219"/>
      <c r="DUB368" s="247"/>
      <c r="DUC368" s="652"/>
      <c r="DUD368" s="626"/>
      <c r="DUE368" s="661"/>
      <c r="DUF368" s="641"/>
      <c r="DUG368" s="653"/>
      <c r="DUI368" s="118"/>
      <c r="DUJ368" s="219"/>
      <c r="DUK368" s="247"/>
      <c r="DUL368" s="652"/>
      <c r="DUM368" s="626"/>
      <c r="DUN368" s="661"/>
      <c r="DUO368" s="641"/>
      <c r="DUP368" s="653"/>
      <c r="DUR368" s="118"/>
      <c r="DUS368" s="219"/>
      <c r="DUT368" s="247"/>
      <c r="DUU368" s="652"/>
      <c r="DUV368" s="626"/>
      <c r="DUW368" s="661"/>
      <c r="DUX368" s="641"/>
      <c r="DUY368" s="653"/>
      <c r="DVA368" s="118"/>
      <c r="DVB368" s="219"/>
      <c r="DVC368" s="247"/>
      <c r="DVD368" s="652"/>
      <c r="DVE368" s="626"/>
      <c r="DVF368" s="661"/>
      <c r="DVG368" s="641"/>
      <c r="DVH368" s="653"/>
      <c r="DVJ368" s="118"/>
      <c r="DVK368" s="219"/>
      <c r="DVL368" s="247"/>
      <c r="DVM368" s="652"/>
      <c r="DVN368" s="626"/>
      <c r="DVO368" s="661"/>
      <c r="DVP368" s="641"/>
      <c r="DVQ368" s="653"/>
      <c r="DVS368" s="118"/>
      <c r="DVT368" s="219"/>
      <c r="DVU368" s="247"/>
      <c r="DVV368" s="652"/>
      <c r="DVW368" s="626"/>
      <c r="DVX368" s="661"/>
      <c r="DVY368" s="641"/>
      <c r="DVZ368" s="653"/>
      <c r="DWB368" s="118"/>
      <c r="DWC368" s="219"/>
      <c r="DWD368" s="247"/>
      <c r="DWE368" s="652"/>
      <c r="DWF368" s="626"/>
      <c r="DWG368" s="661"/>
      <c r="DWH368" s="641"/>
      <c r="DWI368" s="653"/>
      <c r="DWK368" s="118"/>
      <c r="DWL368" s="219"/>
      <c r="DWM368" s="247"/>
      <c r="DWN368" s="652"/>
      <c r="DWO368" s="626"/>
      <c r="DWP368" s="661"/>
      <c r="DWQ368" s="641"/>
      <c r="DWR368" s="653"/>
      <c r="DWT368" s="118"/>
      <c r="DWU368" s="219"/>
      <c r="DWV368" s="247"/>
      <c r="DWW368" s="652"/>
      <c r="DWX368" s="626"/>
      <c r="DWY368" s="661"/>
      <c r="DWZ368" s="641"/>
      <c r="DXA368" s="653"/>
      <c r="DXC368" s="118"/>
      <c r="DXD368" s="219"/>
      <c r="DXE368" s="247"/>
      <c r="DXF368" s="652"/>
      <c r="DXG368" s="626"/>
      <c r="DXH368" s="661"/>
      <c r="DXI368" s="641"/>
      <c r="DXJ368" s="653"/>
      <c r="DXL368" s="118"/>
      <c r="DXM368" s="219"/>
      <c r="DXN368" s="247"/>
      <c r="DXO368" s="652"/>
      <c r="DXP368" s="626"/>
      <c r="DXQ368" s="661"/>
      <c r="DXR368" s="641"/>
      <c r="DXS368" s="653"/>
      <c r="DXU368" s="118"/>
      <c r="DXV368" s="219"/>
      <c r="DXW368" s="247"/>
      <c r="DXX368" s="652"/>
      <c r="DXY368" s="626"/>
      <c r="DXZ368" s="661"/>
      <c r="DYA368" s="641"/>
      <c r="DYB368" s="653"/>
      <c r="DYD368" s="118"/>
      <c r="DYE368" s="219"/>
      <c r="DYF368" s="247"/>
      <c r="DYG368" s="652"/>
      <c r="DYH368" s="626"/>
      <c r="DYI368" s="661"/>
      <c r="DYJ368" s="641"/>
      <c r="DYK368" s="653"/>
      <c r="DYM368" s="118"/>
      <c r="DYN368" s="219"/>
      <c r="DYO368" s="247"/>
      <c r="DYP368" s="652"/>
      <c r="DYQ368" s="626"/>
      <c r="DYR368" s="661"/>
      <c r="DYS368" s="641"/>
      <c r="DYT368" s="653"/>
      <c r="DYV368" s="118"/>
      <c r="DYW368" s="219"/>
      <c r="DYX368" s="247"/>
      <c r="DYY368" s="652"/>
      <c r="DYZ368" s="626"/>
      <c r="DZA368" s="661"/>
      <c r="DZB368" s="641"/>
      <c r="DZC368" s="653"/>
      <c r="DZE368" s="118"/>
      <c r="DZF368" s="219"/>
      <c r="DZG368" s="247"/>
      <c r="DZH368" s="652"/>
      <c r="DZI368" s="626"/>
      <c r="DZJ368" s="661"/>
      <c r="DZK368" s="641"/>
      <c r="DZL368" s="653"/>
      <c r="DZN368" s="118"/>
      <c r="DZO368" s="219"/>
      <c r="DZP368" s="247"/>
      <c r="DZQ368" s="652"/>
      <c r="DZR368" s="626"/>
      <c r="DZS368" s="661"/>
      <c r="DZT368" s="641"/>
      <c r="DZU368" s="653"/>
      <c r="DZW368" s="118"/>
      <c r="DZX368" s="219"/>
      <c r="DZY368" s="247"/>
      <c r="DZZ368" s="652"/>
      <c r="EAA368" s="626"/>
      <c r="EAB368" s="661"/>
      <c r="EAC368" s="641"/>
      <c r="EAD368" s="653"/>
      <c r="EAF368" s="118"/>
      <c r="EAG368" s="219"/>
      <c r="EAH368" s="247"/>
      <c r="EAI368" s="652"/>
      <c r="EAJ368" s="626"/>
      <c r="EAK368" s="661"/>
      <c r="EAL368" s="641"/>
      <c r="EAM368" s="653"/>
      <c r="EAO368" s="118"/>
      <c r="EAP368" s="219"/>
      <c r="EAQ368" s="247"/>
      <c r="EAR368" s="652"/>
      <c r="EAS368" s="626"/>
      <c r="EAT368" s="661"/>
      <c r="EAU368" s="641"/>
      <c r="EAV368" s="653"/>
      <c r="EAX368" s="118"/>
      <c r="EAY368" s="219"/>
      <c r="EAZ368" s="247"/>
      <c r="EBA368" s="652"/>
      <c r="EBB368" s="626"/>
      <c r="EBC368" s="661"/>
      <c r="EBD368" s="641"/>
      <c r="EBE368" s="653"/>
      <c r="EBG368" s="118"/>
      <c r="EBH368" s="219"/>
      <c r="EBI368" s="247"/>
      <c r="EBJ368" s="652"/>
      <c r="EBK368" s="626"/>
      <c r="EBL368" s="661"/>
      <c r="EBM368" s="641"/>
      <c r="EBN368" s="653"/>
      <c r="EBP368" s="118"/>
      <c r="EBQ368" s="219"/>
      <c r="EBR368" s="247"/>
      <c r="EBS368" s="652"/>
      <c r="EBT368" s="626"/>
      <c r="EBU368" s="661"/>
      <c r="EBV368" s="641"/>
      <c r="EBW368" s="653"/>
      <c r="EBY368" s="118"/>
      <c r="EBZ368" s="219"/>
      <c r="ECA368" s="247"/>
      <c r="ECB368" s="652"/>
      <c r="ECC368" s="626"/>
      <c r="ECD368" s="661"/>
      <c r="ECE368" s="641"/>
      <c r="ECF368" s="653"/>
      <c r="ECH368" s="118"/>
      <c r="ECI368" s="219"/>
      <c r="ECJ368" s="247"/>
      <c r="ECK368" s="652"/>
      <c r="ECL368" s="626"/>
      <c r="ECM368" s="661"/>
      <c r="ECN368" s="641"/>
      <c r="ECO368" s="653"/>
      <c r="ECQ368" s="118"/>
      <c r="ECR368" s="219"/>
      <c r="ECS368" s="247"/>
      <c r="ECT368" s="652"/>
      <c r="ECU368" s="626"/>
      <c r="ECV368" s="661"/>
      <c r="ECW368" s="641"/>
      <c r="ECX368" s="653"/>
      <c r="ECZ368" s="118"/>
      <c r="EDA368" s="219"/>
      <c r="EDB368" s="247"/>
      <c r="EDC368" s="652"/>
      <c r="EDD368" s="626"/>
      <c r="EDE368" s="661"/>
      <c r="EDF368" s="641"/>
      <c r="EDG368" s="653"/>
      <c r="EDI368" s="118"/>
      <c r="EDJ368" s="219"/>
      <c r="EDK368" s="247"/>
      <c r="EDL368" s="652"/>
      <c r="EDM368" s="626"/>
      <c r="EDN368" s="661"/>
      <c r="EDO368" s="641"/>
      <c r="EDP368" s="653"/>
      <c r="EDR368" s="118"/>
      <c r="EDS368" s="219"/>
      <c r="EDT368" s="247"/>
      <c r="EDU368" s="652"/>
      <c r="EDV368" s="626"/>
      <c r="EDW368" s="661"/>
      <c r="EDX368" s="641"/>
      <c r="EDY368" s="653"/>
      <c r="EEA368" s="118"/>
      <c r="EEB368" s="219"/>
      <c r="EEC368" s="247"/>
      <c r="EED368" s="652"/>
      <c r="EEE368" s="626"/>
      <c r="EEF368" s="661"/>
      <c r="EEG368" s="641"/>
      <c r="EEH368" s="653"/>
      <c r="EEJ368" s="118"/>
      <c r="EEK368" s="219"/>
      <c r="EEL368" s="247"/>
      <c r="EEM368" s="652"/>
      <c r="EEN368" s="626"/>
      <c r="EEO368" s="661"/>
      <c r="EEP368" s="641"/>
      <c r="EEQ368" s="653"/>
      <c r="EES368" s="118"/>
      <c r="EET368" s="219"/>
      <c r="EEU368" s="247"/>
      <c r="EEV368" s="652"/>
      <c r="EEW368" s="626"/>
      <c r="EEX368" s="661"/>
      <c r="EEY368" s="641"/>
      <c r="EEZ368" s="653"/>
      <c r="EFB368" s="118"/>
      <c r="EFC368" s="219"/>
      <c r="EFD368" s="247"/>
      <c r="EFE368" s="652"/>
      <c r="EFF368" s="626"/>
      <c r="EFG368" s="661"/>
      <c r="EFH368" s="641"/>
      <c r="EFI368" s="653"/>
      <c r="EFK368" s="118"/>
      <c r="EFL368" s="219"/>
      <c r="EFM368" s="247"/>
      <c r="EFN368" s="652"/>
      <c r="EFO368" s="626"/>
      <c r="EFP368" s="661"/>
      <c r="EFQ368" s="641"/>
      <c r="EFR368" s="653"/>
      <c r="EFT368" s="118"/>
      <c r="EFU368" s="219"/>
      <c r="EFV368" s="247"/>
      <c r="EFW368" s="652"/>
      <c r="EFX368" s="626"/>
      <c r="EFY368" s="661"/>
      <c r="EFZ368" s="641"/>
      <c r="EGA368" s="653"/>
      <c r="EGC368" s="118"/>
      <c r="EGD368" s="219"/>
      <c r="EGE368" s="247"/>
      <c r="EGF368" s="652"/>
      <c r="EGG368" s="626"/>
      <c r="EGH368" s="661"/>
      <c r="EGI368" s="641"/>
      <c r="EGJ368" s="653"/>
      <c r="EGL368" s="118"/>
      <c r="EGM368" s="219"/>
      <c r="EGN368" s="247"/>
      <c r="EGO368" s="652"/>
      <c r="EGP368" s="626"/>
      <c r="EGQ368" s="661"/>
      <c r="EGR368" s="641"/>
      <c r="EGS368" s="653"/>
      <c r="EGU368" s="118"/>
      <c r="EGV368" s="219"/>
      <c r="EGW368" s="247"/>
      <c r="EGX368" s="652"/>
      <c r="EGY368" s="626"/>
      <c r="EGZ368" s="661"/>
      <c r="EHA368" s="641"/>
      <c r="EHB368" s="653"/>
      <c r="EHD368" s="118"/>
      <c r="EHE368" s="219"/>
      <c r="EHF368" s="247"/>
      <c r="EHG368" s="652"/>
      <c r="EHH368" s="626"/>
      <c r="EHI368" s="661"/>
      <c r="EHJ368" s="641"/>
      <c r="EHK368" s="653"/>
      <c r="EHM368" s="118"/>
      <c r="EHN368" s="219"/>
      <c r="EHO368" s="247"/>
      <c r="EHP368" s="652"/>
      <c r="EHQ368" s="626"/>
      <c r="EHR368" s="661"/>
      <c r="EHS368" s="641"/>
      <c r="EHT368" s="653"/>
      <c r="EHV368" s="118"/>
      <c r="EHW368" s="219"/>
      <c r="EHX368" s="247"/>
      <c r="EHY368" s="652"/>
      <c r="EHZ368" s="626"/>
      <c r="EIA368" s="661"/>
      <c r="EIB368" s="641"/>
      <c r="EIC368" s="653"/>
      <c r="EIE368" s="118"/>
      <c r="EIF368" s="219"/>
      <c r="EIG368" s="247"/>
      <c r="EIH368" s="652"/>
      <c r="EII368" s="626"/>
      <c r="EIJ368" s="661"/>
      <c r="EIK368" s="641"/>
      <c r="EIL368" s="653"/>
      <c r="EIN368" s="118"/>
      <c r="EIO368" s="219"/>
      <c r="EIP368" s="247"/>
      <c r="EIQ368" s="652"/>
      <c r="EIR368" s="626"/>
      <c r="EIS368" s="661"/>
      <c r="EIT368" s="641"/>
      <c r="EIU368" s="653"/>
      <c r="EIW368" s="118"/>
      <c r="EIX368" s="219"/>
      <c r="EIY368" s="247"/>
      <c r="EIZ368" s="652"/>
      <c r="EJA368" s="626"/>
      <c r="EJB368" s="661"/>
      <c r="EJC368" s="641"/>
      <c r="EJD368" s="653"/>
      <c r="EJF368" s="118"/>
      <c r="EJG368" s="219"/>
      <c r="EJH368" s="247"/>
      <c r="EJI368" s="652"/>
      <c r="EJJ368" s="626"/>
      <c r="EJK368" s="661"/>
      <c r="EJL368" s="641"/>
      <c r="EJM368" s="653"/>
      <c r="EJO368" s="118"/>
      <c r="EJP368" s="219"/>
      <c r="EJQ368" s="247"/>
      <c r="EJR368" s="652"/>
      <c r="EJS368" s="626"/>
      <c r="EJT368" s="661"/>
      <c r="EJU368" s="641"/>
      <c r="EJV368" s="653"/>
      <c r="EJX368" s="118"/>
      <c r="EJY368" s="219"/>
      <c r="EJZ368" s="247"/>
      <c r="EKA368" s="652"/>
      <c r="EKB368" s="626"/>
      <c r="EKC368" s="661"/>
      <c r="EKD368" s="641"/>
      <c r="EKE368" s="653"/>
      <c r="EKG368" s="118"/>
      <c r="EKH368" s="219"/>
      <c r="EKI368" s="247"/>
      <c r="EKJ368" s="652"/>
      <c r="EKK368" s="626"/>
      <c r="EKL368" s="661"/>
      <c r="EKM368" s="641"/>
      <c r="EKN368" s="653"/>
      <c r="EKP368" s="118"/>
      <c r="EKQ368" s="219"/>
      <c r="EKR368" s="247"/>
      <c r="EKS368" s="652"/>
      <c r="EKT368" s="626"/>
      <c r="EKU368" s="661"/>
      <c r="EKV368" s="641"/>
      <c r="EKW368" s="653"/>
      <c r="EKY368" s="118"/>
      <c r="EKZ368" s="219"/>
      <c r="ELA368" s="247"/>
      <c r="ELB368" s="652"/>
      <c r="ELC368" s="626"/>
      <c r="ELD368" s="661"/>
      <c r="ELE368" s="641"/>
      <c r="ELF368" s="653"/>
      <c r="ELH368" s="118"/>
      <c r="ELI368" s="219"/>
      <c r="ELJ368" s="247"/>
      <c r="ELK368" s="652"/>
      <c r="ELL368" s="626"/>
      <c r="ELM368" s="661"/>
      <c r="ELN368" s="641"/>
      <c r="ELO368" s="653"/>
      <c r="ELQ368" s="118"/>
      <c r="ELR368" s="219"/>
      <c r="ELS368" s="247"/>
      <c r="ELT368" s="652"/>
      <c r="ELU368" s="626"/>
      <c r="ELV368" s="661"/>
      <c r="ELW368" s="641"/>
      <c r="ELX368" s="653"/>
      <c r="ELZ368" s="118"/>
      <c r="EMA368" s="219"/>
      <c r="EMB368" s="247"/>
      <c r="EMC368" s="652"/>
      <c r="EMD368" s="626"/>
      <c r="EME368" s="661"/>
      <c r="EMF368" s="641"/>
      <c r="EMG368" s="653"/>
      <c r="EMI368" s="118"/>
      <c r="EMJ368" s="219"/>
      <c r="EMK368" s="247"/>
      <c r="EML368" s="652"/>
      <c r="EMM368" s="626"/>
      <c r="EMN368" s="661"/>
      <c r="EMO368" s="641"/>
      <c r="EMP368" s="653"/>
      <c r="EMR368" s="118"/>
      <c r="EMS368" s="219"/>
      <c r="EMT368" s="247"/>
      <c r="EMU368" s="652"/>
      <c r="EMV368" s="626"/>
      <c r="EMW368" s="661"/>
      <c r="EMX368" s="641"/>
      <c r="EMY368" s="653"/>
      <c r="ENA368" s="118"/>
      <c r="ENB368" s="219"/>
      <c r="ENC368" s="247"/>
      <c r="END368" s="652"/>
      <c r="ENE368" s="626"/>
      <c r="ENF368" s="661"/>
      <c r="ENG368" s="641"/>
      <c r="ENH368" s="653"/>
      <c r="ENJ368" s="118"/>
      <c r="ENK368" s="219"/>
      <c r="ENL368" s="247"/>
      <c r="ENM368" s="652"/>
      <c r="ENN368" s="626"/>
      <c r="ENO368" s="661"/>
      <c r="ENP368" s="641"/>
      <c r="ENQ368" s="653"/>
      <c r="ENS368" s="118"/>
      <c r="ENT368" s="219"/>
      <c r="ENU368" s="247"/>
      <c r="ENV368" s="652"/>
      <c r="ENW368" s="626"/>
      <c r="ENX368" s="661"/>
      <c r="ENY368" s="641"/>
      <c r="ENZ368" s="653"/>
      <c r="EOB368" s="118"/>
      <c r="EOC368" s="219"/>
      <c r="EOD368" s="247"/>
      <c r="EOE368" s="652"/>
      <c r="EOF368" s="626"/>
      <c r="EOG368" s="661"/>
      <c r="EOH368" s="641"/>
      <c r="EOI368" s="653"/>
      <c r="EOK368" s="118"/>
      <c r="EOL368" s="219"/>
      <c r="EOM368" s="247"/>
      <c r="EON368" s="652"/>
      <c r="EOO368" s="626"/>
      <c r="EOP368" s="661"/>
      <c r="EOQ368" s="641"/>
      <c r="EOR368" s="653"/>
      <c r="EOT368" s="118"/>
      <c r="EOU368" s="219"/>
      <c r="EOV368" s="247"/>
      <c r="EOW368" s="652"/>
      <c r="EOX368" s="626"/>
      <c r="EOY368" s="661"/>
      <c r="EOZ368" s="641"/>
      <c r="EPA368" s="653"/>
      <c r="EPC368" s="118"/>
      <c r="EPD368" s="219"/>
      <c r="EPE368" s="247"/>
      <c r="EPF368" s="652"/>
      <c r="EPG368" s="626"/>
      <c r="EPH368" s="661"/>
      <c r="EPI368" s="641"/>
      <c r="EPJ368" s="653"/>
      <c r="EPL368" s="118"/>
      <c r="EPM368" s="219"/>
      <c r="EPN368" s="247"/>
      <c r="EPO368" s="652"/>
      <c r="EPP368" s="626"/>
      <c r="EPQ368" s="661"/>
      <c r="EPR368" s="641"/>
      <c r="EPS368" s="653"/>
      <c r="EPU368" s="118"/>
      <c r="EPV368" s="219"/>
      <c r="EPW368" s="247"/>
      <c r="EPX368" s="652"/>
      <c r="EPY368" s="626"/>
      <c r="EPZ368" s="661"/>
      <c r="EQA368" s="641"/>
      <c r="EQB368" s="653"/>
      <c r="EQD368" s="118"/>
      <c r="EQE368" s="219"/>
      <c r="EQF368" s="247"/>
      <c r="EQG368" s="652"/>
      <c r="EQH368" s="626"/>
      <c r="EQI368" s="661"/>
      <c r="EQJ368" s="641"/>
      <c r="EQK368" s="653"/>
      <c r="EQM368" s="118"/>
      <c r="EQN368" s="219"/>
      <c r="EQO368" s="247"/>
      <c r="EQP368" s="652"/>
      <c r="EQQ368" s="626"/>
      <c r="EQR368" s="661"/>
      <c r="EQS368" s="641"/>
      <c r="EQT368" s="653"/>
      <c r="EQV368" s="118"/>
      <c r="EQW368" s="219"/>
      <c r="EQX368" s="247"/>
      <c r="EQY368" s="652"/>
      <c r="EQZ368" s="626"/>
      <c r="ERA368" s="661"/>
      <c r="ERB368" s="641"/>
      <c r="ERC368" s="653"/>
      <c r="ERE368" s="118"/>
      <c r="ERF368" s="219"/>
      <c r="ERG368" s="247"/>
      <c r="ERH368" s="652"/>
      <c r="ERI368" s="626"/>
      <c r="ERJ368" s="661"/>
      <c r="ERK368" s="641"/>
      <c r="ERL368" s="653"/>
      <c r="ERN368" s="118"/>
      <c r="ERO368" s="219"/>
      <c r="ERP368" s="247"/>
      <c r="ERQ368" s="652"/>
      <c r="ERR368" s="626"/>
      <c r="ERS368" s="661"/>
      <c r="ERT368" s="641"/>
      <c r="ERU368" s="653"/>
      <c r="ERW368" s="118"/>
      <c r="ERX368" s="219"/>
      <c r="ERY368" s="247"/>
      <c r="ERZ368" s="652"/>
      <c r="ESA368" s="626"/>
      <c r="ESB368" s="661"/>
      <c r="ESC368" s="641"/>
      <c r="ESD368" s="653"/>
      <c r="ESF368" s="118"/>
      <c r="ESG368" s="219"/>
      <c r="ESH368" s="247"/>
      <c r="ESI368" s="652"/>
      <c r="ESJ368" s="626"/>
      <c r="ESK368" s="661"/>
      <c r="ESL368" s="641"/>
      <c r="ESM368" s="653"/>
      <c r="ESO368" s="118"/>
      <c r="ESP368" s="219"/>
      <c r="ESQ368" s="247"/>
      <c r="ESR368" s="652"/>
      <c r="ESS368" s="626"/>
      <c r="EST368" s="661"/>
      <c r="ESU368" s="641"/>
      <c r="ESV368" s="653"/>
      <c r="ESX368" s="118"/>
      <c r="ESY368" s="219"/>
      <c r="ESZ368" s="247"/>
      <c r="ETA368" s="652"/>
      <c r="ETB368" s="626"/>
      <c r="ETC368" s="661"/>
      <c r="ETD368" s="641"/>
      <c r="ETE368" s="653"/>
      <c r="ETG368" s="118"/>
      <c r="ETH368" s="219"/>
      <c r="ETI368" s="247"/>
      <c r="ETJ368" s="652"/>
      <c r="ETK368" s="626"/>
      <c r="ETL368" s="661"/>
      <c r="ETM368" s="641"/>
      <c r="ETN368" s="653"/>
      <c r="ETP368" s="118"/>
      <c r="ETQ368" s="219"/>
      <c r="ETR368" s="247"/>
      <c r="ETS368" s="652"/>
      <c r="ETT368" s="626"/>
      <c r="ETU368" s="661"/>
      <c r="ETV368" s="641"/>
      <c r="ETW368" s="653"/>
      <c r="ETY368" s="118"/>
      <c r="ETZ368" s="219"/>
      <c r="EUA368" s="247"/>
      <c r="EUB368" s="652"/>
      <c r="EUC368" s="626"/>
      <c r="EUD368" s="661"/>
      <c r="EUE368" s="641"/>
      <c r="EUF368" s="653"/>
      <c r="EUH368" s="118"/>
      <c r="EUI368" s="219"/>
      <c r="EUJ368" s="247"/>
      <c r="EUK368" s="652"/>
      <c r="EUL368" s="626"/>
      <c r="EUM368" s="661"/>
      <c r="EUN368" s="641"/>
      <c r="EUO368" s="653"/>
      <c r="EUQ368" s="118"/>
      <c r="EUR368" s="219"/>
      <c r="EUS368" s="247"/>
      <c r="EUT368" s="652"/>
      <c r="EUU368" s="626"/>
      <c r="EUV368" s="661"/>
      <c r="EUW368" s="641"/>
      <c r="EUX368" s="653"/>
      <c r="EUZ368" s="118"/>
      <c r="EVA368" s="219"/>
      <c r="EVB368" s="247"/>
      <c r="EVC368" s="652"/>
      <c r="EVD368" s="626"/>
      <c r="EVE368" s="661"/>
      <c r="EVF368" s="641"/>
      <c r="EVG368" s="653"/>
      <c r="EVI368" s="118"/>
      <c r="EVJ368" s="219"/>
      <c r="EVK368" s="247"/>
      <c r="EVL368" s="652"/>
      <c r="EVM368" s="626"/>
      <c r="EVN368" s="661"/>
      <c r="EVO368" s="641"/>
      <c r="EVP368" s="653"/>
      <c r="EVR368" s="118"/>
      <c r="EVS368" s="219"/>
      <c r="EVT368" s="247"/>
      <c r="EVU368" s="652"/>
      <c r="EVV368" s="626"/>
      <c r="EVW368" s="661"/>
      <c r="EVX368" s="641"/>
      <c r="EVY368" s="653"/>
      <c r="EWA368" s="118"/>
      <c r="EWB368" s="219"/>
      <c r="EWC368" s="247"/>
      <c r="EWD368" s="652"/>
      <c r="EWE368" s="626"/>
      <c r="EWF368" s="661"/>
      <c r="EWG368" s="641"/>
      <c r="EWH368" s="653"/>
      <c r="EWJ368" s="118"/>
      <c r="EWK368" s="219"/>
      <c r="EWL368" s="247"/>
      <c r="EWM368" s="652"/>
      <c r="EWN368" s="626"/>
      <c r="EWO368" s="661"/>
      <c r="EWP368" s="641"/>
      <c r="EWQ368" s="653"/>
      <c r="EWS368" s="118"/>
      <c r="EWT368" s="219"/>
      <c r="EWU368" s="247"/>
      <c r="EWV368" s="652"/>
      <c r="EWW368" s="626"/>
      <c r="EWX368" s="661"/>
      <c r="EWY368" s="641"/>
      <c r="EWZ368" s="653"/>
      <c r="EXB368" s="118"/>
      <c r="EXC368" s="219"/>
      <c r="EXD368" s="247"/>
      <c r="EXE368" s="652"/>
      <c r="EXF368" s="626"/>
      <c r="EXG368" s="661"/>
      <c r="EXH368" s="641"/>
      <c r="EXI368" s="653"/>
      <c r="EXK368" s="118"/>
      <c r="EXL368" s="219"/>
      <c r="EXM368" s="247"/>
      <c r="EXN368" s="652"/>
      <c r="EXO368" s="626"/>
      <c r="EXP368" s="661"/>
      <c r="EXQ368" s="641"/>
      <c r="EXR368" s="653"/>
      <c r="EXT368" s="118"/>
      <c r="EXU368" s="219"/>
      <c r="EXV368" s="247"/>
      <c r="EXW368" s="652"/>
      <c r="EXX368" s="626"/>
      <c r="EXY368" s="661"/>
      <c r="EXZ368" s="641"/>
      <c r="EYA368" s="653"/>
      <c r="EYC368" s="118"/>
      <c r="EYD368" s="219"/>
      <c r="EYE368" s="247"/>
      <c r="EYF368" s="652"/>
      <c r="EYG368" s="626"/>
      <c r="EYH368" s="661"/>
      <c r="EYI368" s="641"/>
      <c r="EYJ368" s="653"/>
      <c r="EYL368" s="118"/>
      <c r="EYM368" s="219"/>
      <c r="EYN368" s="247"/>
      <c r="EYO368" s="652"/>
      <c r="EYP368" s="626"/>
      <c r="EYQ368" s="661"/>
      <c r="EYR368" s="641"/>
      <c r="EYS368" s="653"/>
      <c r="EYU368" s="118"/>
      <c r="EYV368" s="219"/>
      <c r="EYW368" s="247"/>
      <c r="EYX368" s="652"/>
      <c r="EYY368" s="626"/>
      <c r="EYZ368" s="661"/>
      <c r="EZA368" s="641"/>
      <c r="EZB368" s="653"/>
      <c r="EZD368" s="118"/>
      <c r="EZE368" s="219"/>
      <c r="EZF368" s="247"/>
      <c r="EZG368" s="652"/>
      <c r="EZH368" s="626"/>
      <c r="EZI368" s="661"/>
      <c r="EZJ368" s="641"/>
      <c r="EZK368" s="653"/>
      <c r="EZM368" s="118"/>
      <c r="EZN368" s="219"/>
      <c r="EZO368" s="247"/>
      <c r="EZP368" s="652"/>
      <c r="EZQ368" s="626"/>
      <c r="EZR368" s="661"/>
      <c r="EZS368" s="641"/>
      <c r="EZT368" s="653"/>
      <c r="EZV368" s="118"/>
      <c r="EZW368" s="219"/>
      <c r="EZX368" s="247"/>
      <c r="EZY368" s="652"/>
      <c r="EZZ368" s="626"/>
      <c r="FAA368" s="661"/>
      <c r="FAB368" s="641"/>
      <c r="FAC368" s="653"/>
      <c r="FAE368" s="118"/>
      <c r="FAF368" s="219"/>
      <c r="FAG368" s="247"/>
      <c r="FAH368" s="652"/>
      <c r="FAI368" s="626"/>
      <c r="FAJ368" s="661"/>
      <c r="FAK368" s="641"/>
      <c r="FAL368" s="653"/>
      <c r="FAN368" s="118"/>
      <c r="FAO368" s="219"/>
      <c r="FAP368" s="247"/>
      <c r="FAQ368" s="652"/>
      <c r="FAR368" s="626"/>
      <c r="FAS368" s="661"/>
      <c r="FAT368" s="641"/>
      <c r="FAU368" s="653"/>
      <c r="FAW368" s="118"/>
      <c r="FAX368" s="219"/>
      <c r="FAY368" s="247"/>
      <c r="FAZ368" s="652"/>
      <c r="FBA368" s="626"/>
      <c r="FBB368" s="661"/>
      <c r="FBC368" s="641"/>
      <c r="FBD368" s="653"/>
      <c r="FBF368" s="118"/>
      <c r="FBG368" s="219"/>
      <c r="FBH368" s="247"/>
      <c r="FBI368" s="652"/>
      <c r="FBJ368" s="626"/>
      <c r="FBK368" s="661"/>
      <c r="FBL368" s="641"/>
      <c r="FBM368" s="653"/>
      <c r="FBO368" s="118"/>
      <c r="FBP368" s="219"/>
      <c r="FBQ368" s="247"/>
      <c r="FBR368" s="652"/>
      <c r="FBS368" s="626"/>
      <c r="FBT368" s="661"/>
      <c r="FBU368" s="641"/>
      <c r="FBV368" s="653"/>
      <c r="FBX368" s="118"/>
      <c r="FBY368" s="219"/>
      <c r="FBZ368" s="247"/>
      <c r="FCA368" s="652"/>
      <c r="FCB368" s="626"/>
      <c r="FCC368" s="661"/>
      <c r="FCD368" s="641"/>
      <c r="FCE368" s="653"/>
      <c r="FCG368" s="118"/>
      <c r="FCH368" s="219"/>
      <c r="FCI368" s="247"/>
      <c r="FCJ368" s="652"/>
      <c r="FCK368" s="626"/>
      <c r="FCL368" s="661"/>
      <c r="FCM368" s="641"/>
      <c r="FCN368" s="653"/>
      <c r="FCP368" s="118"/>
      <c r="FCQ368" s="219"/>
      <c r="FCR368" s="247"/>
      <c r="FCS368" s="652"/>
      <c r="FCT368" s="626"/>
      <c r="FCU368" s="661"/>
      <c r="FCV368" s="641"/>
      <c r="FCW368" s="653"/>
      <c r="FCY368" s="118"/>
      <c r="FCZ368" s="219"/>
      <c r="FDA368" s="247"/>
      <c r="FDB368" s="652"/>
      <c r="FDC368" s="626"/>
      <c r="FDD368" s="661"/>
      <c r="FDE368" s="641"/>
      <c r="FDF368" s="653"/>
      <c r="FDH368" s="118"/>
      <c r="FDI368" s="219"/>
      <c r="FDJ368" s="247"/>
      <c r="FDK368" s="652"/>
      <c r="FDL368" s="626"/>
      <c r="FDM368" s="661"/>
      <c r="FDN368" s="641"/>
      <c r="FDO368" s="653"/>
      <c r="FDQ368" s="118"/>
      <c r="FDR368" s="219"/>
      <c r="FDS368" s="247"/>
      <c r="FDT368" s="652"/>
      <c r="FDU368" s="626"/>
      <c r="FDV368" s="661"/>
      <c r="FDW368" s="641"/>
      <c r="FDX368" s="653"/>
      <c r="FDZ368" s="118"/>
      <c r="FEA368" s="219"/>
      <c r="FEB368" s="247"/>
      <c r="FEC368" s="652"/>
      <c r="FED368" s="626"/>
      <c r="FEE368" s="661"/>
      <c r="FEF368" s="641"/>
      <c r="FEG368" s="653"/>
      <c r="FEI368" s="118"/>
      <c r="FEJ368" s="219"/>
      <c r="FEK368" s="247"/>
      <c r="FEL368" s="652"/>
      <c r="FEM368" s="626"/>
      <c r="FEN368" s="661"/>
      <c r="FEO368" s="641"/>
      <c r="FEP368" s="653"/>
      <c r="FER368" s="118"/>
      <c r="FES368" s="219"/>
      <c r="FET368" s="247"/>
      <c r="FEU368" s="652"/>
      <c r="FEV368" s="626"/>
      <c r="FEW368" s="661"/>
      <c r="FEX368" s="641"/>
      <c r="FEY368" s="653"/>
      <c r="FFA368" s="118"/>
      <c r="FFB368" s="219"/>
      <c r="FFC368" s="247"/>
      <c r="FFD368" s="652"/>
      <c r="FFE368" s="626"/>
      <c r="FFF368" s="661"/>
      <c r="FFG368" s="641"/>
      <c r="FFH368" s="653"/>
      <c r="FFJ368" s="118"/>
      <c r="FFK368" s="219"/>
      <c r="FFL368" s="247"/>
      <c r="FFM368" s="652"/>
      <c r="FFN368" s="626"/>
      <c r="FFO368" s="661"/>
      <c r="FFP368" s="641"/>
      <c r="FFQ368" s="653"/>
      <c r="FFS368" s="118"/>
      <c r="FFT368" s="219"/>
      <c r="FFU368" s="247"/>
      <c r="FFV368" s="652"/>
      <c r="FFW368" s="626"/>
      <c r="FFX368" s="661"/>
      <c r="FFY368" s="641"/>
      <c r="FFZ368" s="653"/>
      <c r="FGB368" s="118"/>
      <c r="FGC368" s="219"/>
      <c r="FGD368" s="247"/>
      <c r="FGE368" s="652"/>
      <c r="FGF368" s="626"/>
      <c r="FGG368" s="661"/>
      <c r="FGH368" s="641"/>
      <c r="FGI368" s="653"/>
      <c r="FGK368" s="118"/>
      <c r="FGL368" s="219"/>
      <c r="FGM368" s="247"/>
      <c r="FGN368" s="652"/>
      <c r="FGO368" s="626"/>
      <c r="FGP368" s="661"/>
      <c r="FGQ368" s="641"/>
      <c r="FGR368" s="653"/>
      <c r="FGT368" s="118"/>
      <c r="FGU368" s="219"/>
      <c r="FGV368" s="247"/>
      <c r="FGW368" s="652"/>
      <c r="FGX368" s="626"/>
      <c r="FGY368" s="661"/>
      <c r="FGZ368" s="641"/>
      <c r="FHA368" s="653"/>
      <c r="FHC368" s="118"/>
      <c r="FHD368" s="219"/>
      <c r="FHE368" s="247"/>
      <c r="FHF368" s="652"/>
      <c r="FHG368" s="626"/>
      <c r="FHH368" s="661"/>
      <c r="FHI368" s="641"/>
      <c r="FHJ368" s="653"/>
      <c r="FHL368" s="118"/>
      <c r="FHM368" s="219"/>
      <c r="FHN368" s="247"/>
      <c r="FHO368" s="652"/>
      <c r="FHP368" s="626"/>
      <c r="FHQ368" s="661"/>
      <c r="FHR368" s="641"/>
      <c r="FHS368" s="653"/>
      <c r="FHU368" s="118"/>
      <c r="FHV368" s="219"/>
      <c r="FHW368" s="247"/>
      <c r="FHX368" s="652"/>
      <c r="FHY368" s="626"/>
      <c r="FHZ368" s="661"/>
      <c r="FIA368" s="641"/>
      <c r="FIB368" s="653"/>
      <c r="FID368" s="118"/>
      <c r="FIE368" s="219"/>
      <c r="FIF368" s="247"/>
      <c r="FIG368" s="652"/>
      <c r="FIH368" s="626"/>
      <c r="FII368" s="661"/>
      <c r="FIJ368" s="641"/>
      <c r="FIK368" s="653"/>
      <c r="FIM368" s="118"/>
      <c r="FIN368" s="219"/>
      <c r="FIO368" s="247"/>
      <c r="FIP368" s="652"/>
      <c r="FIQ368" s="626"/>
      <c r="FIR368" s="661"/>
      <c r="FIS368" s="641"/>
      <c r="FIT368" s="653"/>
      <c r="FIV368" s="118"/>
      <c r="FIW368" s="219"/>
      <c r="FIX368" s="247"/>
      <c r="FIY368" s="652"/>
      <c r="FIZ368" s="626"/>
      <c r="FJA368" s="661"/>
      <c r="FJB368" s="641"/>
      <c r="FJC368" s="653"/>
      <c r="FJE368" s="118"/>
      <c r="FJF368" s="219"/>
      <c r="FJG368" s="247"/>
      <c r="FJH368" s="652"/>
      <c r="FJI368" s="626"/>
      <c r="FJJ368" s="661"/>
      <c r="FJK368" s="641"/>
      <c r="FJL368" s="653"/>
      <c r="FJN368" s="118"/>
      <c r="FJO368" s="219"/>
      <c r="FJP368" s="247"/>
      <c r="FJQ368" s="652"/>
      <c r="FJR368" s="626"/>
      <c r="FJS368" s="661"/>
      <c r="FJT368" s="641"/>
      <c r="FJU368" s="653"/>
      <c r="FJW368" s="118"/>
      <c r="FJX368" s="219"/>
      <c r="FJY368" s="247"/>
      <c r="FJZ368" s="652"/>
      <c r="FKA368" s="626"/>
      <c r="FKB368" s="661"/>
      <c r="FKC368" s="641"/>
      <c r="FKD368" s="653"/>
      <c r="FKF368" s="118"/>
      <c r="FKG368" s="219"/>
      <c r="FKH368" s="247"/>
      <c r="FKI368" s="652"/>
      <c r="FKJ368" s="626"/>
      <c r="FKK368" s="661"/>
      <c r="FKL368" s="641"/>
      <c r="FKM368" s="653"/>
      <c r="FKO368" s="118"/>
      <c r="FKP368" s="219"/>
      <c r="FKQ368" s="247"/>
      <c r="FKR368" s="652"/>
      <c r="FKS368" s="626"/>
      <c r="FKT368" s="661"/>
      <c r="FKU368" s="641"/>
      <c r="FKV368" s="653"/>
      <c r="FKX368" s="118"/>
      <c r="FKY368" s="219"/>
      <c r="FKZ368" s="247"/>
      <c r="FLA368" s="652"/>
      <c r="FLB368" s="626"/>
      <c r="FLC368" s="661"/>
      <c r="FLD368" s="641"/>
      <c r="FLE368" s="653"/>
      <c r="FLG368" s="118"/>
      <c r="FLH368" s="219"/>
      <c r="FLI368" s="247"/>
      <c r="FLJ368" s="652"/>
      <c r="FLK368" s="626"/>
      <c r="FLL368" s="661"/>
      <c r="FLM368" s="641"/>
      <c r="FLN368" s="653"/>
      <c r="FLP368" s="118"/>
      <c r="FLQ368" s="219"/>
      <c r="FLR368" s="247"/>
      <c r="FLS368" s="652"/>
      <c r="FLT368" s="626"/>
      <c r="FLU368" s="661"/>
      <c r="FLV368" s="641"/>
      <c r="FLW368" s="653"/>
      <c r="FLY368" s="118"/>
      <c r="FLZ368" s="219"/>
      <c r="FMA368" s="247"/>
      <c r="FMB368" s="652"/>
      <c r="FMC368" s="626"/>
      <c r="FMD368" s="661"/>
      <c r="FME368" s="641"/>
      <c r="FMF368" s="653"/>
      <c r="FMH368" s="118"/>
      <c r="FMI368" s="219"/>
      <c r="FMJ368" s="247"/>
      <c r="FMK368" s="652"/>
      <c r="FML368" s="626"/>
      <c r="FMM368" s="661"/>
      <c r="FMN368" s="641"/>
      <c r="FMO368" s="653"/>
      <c r="FMQ368" s="118"/>
      <c r="FMR368" s="219"/>
      <c r="FMS368" s="247"/>
      <c r="FMT368" s="652"/>
      <c r="FMU368" s="626"/>
      <c r="FMV368" s="661"/>
      <c r="FMW368" s="641"/>
      <c r="FMX368" s="653"/>
      <c r="FMZ368" s="118"/>
      <c r="FNA368" s="219"/>
      <c r="FNB368" s="247"/>
      <c r="FNC368" s="652"/>
      <c r="FND368" s="626"/>
      <c r="FNE368" s="661"/>
      <c r="FNF368" s="641"/>
      <c r="FNG368" s="653"/>
      <c r="FNI368" s="118"/>
      <c r="FNJ368" s="219"/>
      <c r="FNK368" s="247"/>
      <c r="FNL368" s="652"/>
      <c r="FNM368" s="626"/>
      <c r="FNN368" s="661"/>
      <c r="FNO368" s="641"/>
      <c r="FNP368" s="653"/>
      <c r="FNR368" s="118"/>
      <c r="FNS368" s="219"/>
      <c r="FNT368" s="247"/>
      <c r="FNU368" s="652"/>
      <c r="FNV368" s="626"/>
      <c r="FNW368" s="661"/>
      <c r="FNX368" s="641"/>
      <c r="FNY368" s="653"/>
      <c r="FOA368" s="118"/>
      <c r="FOB368" s="219"/>
      <c r="FOC368" s="247"/>
      <c r="FOD368" s="652"/>
      <c r="FOE368" s="626"/>
      <c r="FOF368" s="661"/>
      <c r="FOG368" s="641"/>
      <c r="FOH368" s="653"/>
      <c r="FOJ368" s="118"/>
      <c r="FOK368" s="219"/>
      <c r="FOL368" s="247"/>
      <c r="FOM368" s="652"/>
      <c r="FON368" s="626"/>
      <c r="FOO368" s="661"/>
      <c r="FOP368" s="641"/>
      <c r="FOQ368" s="653"/>
      <c r="FOS368" s="118"/>
      <c r="FOT368" s="219"/>
      <c r="FOU368" s="247"/>
      <c r="FOV368" s="652"/>
      <c r="FOW368" s="626"/>
      <c r="FOX368" s="661"/>
      <c r="FOY368" s="641"/>
      <c r="FOZ368" s="653"/>
      <c r="FPB368" s="118"/>
      <c r="FPC368" s="219"/>
      <c r="FPD368" s="247"/>
      <c r="FPE368" s="652"/>
      <c r="FPF368" s="626"/>
      <c r="FPG368" s="661"/>
      <c r="FPH368" s="641"/>
      <c r="FPI368" s="653"/>
      <c r="FPK368" s="118"/>
      <c r="FPL368" s="219"/>
      <c r="FPM368" s="247"/>
      <c r="FPN368" s="652"/>
      <c r="FPO368" s="626"/>
      <c r="FPP368" s="661"/>
      <c r="FPQ368" s="641"/>
      <c r="FPR368" s="653"/>
      <c r="FPT368" s="118"/>
      <c r="FPU368" s="219"/>
      <c r="FPV368" s="247"/>
      <c r="FPW368" s="652"/>
      <c r="FPX368" s="626"/>
      <c r="FPY368" s="661"/>
      <c r="FPZ368" s="641"/>
      <c r="FQA368" s="653"/>
      <c r="FQC368" s="118"/>
      <c r="FQD368" s="219"/>
      <c r="FQE368" s="247"/>
      <c r="FQF368" s="652"/>
      <c r="FQG368" s="626"/>
      <c r="FQH368" s="661"/>
      <c r="FQI368" s="641"/>
      <c r="FQJ368" s="653"/>
      <c r="FQL368" s="118"/>
      <c r="FQM368" s="219"/>
      <c r="FQN368" s="247"/>
      <c r="FQO368" s="652"/>
      <c r="FQP368" s="626"/>
      <c r="FQQ368" s="661"/>
      <c r="FQR368" s="641"/>
      <c r="FQS368" s="653"/>
      <c r="FQU368" s="118"/>
      <c r="FQV368" s="219"/>
      <c r="FQW368" s="247"/>
      <c r="FQX368" s="652"/>
      <c r="FQY368" s="626"/>
      <c r="FQZ368" s="661"/>
      <c r="FRA368" s="641"/>
      <c r="FRB368" s="653"/>
      <c r="FRD368" s="118"/>
      <c r="FRE368" s="219"/>
      <c r="FRF368" s="247"/>
      <c r="FRG368" s="652"/>
      <c r="FRH368" s="626"/>
      <c r="FRI368" s="661"/>
      <c r="FRJ368" s="641"/>
      <c r="FRK368" s="653"/>
      <c r="FRM368" s="118"/>
      <c r="FRN368" s="219"/>
      <c r="FRO368" s="247"/>
      <c r="FRP368" s="652"/>
      <c r="FRQ368" s="626"/>
      <c r="FRR368" s="661"/>
      <c r="FRS368" s="641"/>
      <c r="FRT368" s="653"/>
      <c r="FRV368" s="118"/>
      <c r="FRW368" s="219"/>
      <c r="FRX368" s="247"/>
      <c r="FRY368" s="652"/>
      <c r="FRZ368" s="626"/>
      <c r="FSA368" s="661"/>
      <c r="FSB368" s="641"/>
      <c r="FSC368" s="653"/>
      <c r="FSE368" s="118"/>
      <c r="FSF368" s="219"/>
      <c r="FSG368" s="247"/>
      <c r="FSH368" s="652"/>
      <c r="FSI368" s="626"/>
      <c r="FSJ368" s="661"/>
      <c r="FSK368" s="641"/>
      <c r="FSL368" s="653"/>
      <c r="FSN368" s="118"/>
      <c r="FSO368" s="219"/>
      <c r="FSP368" s="247"/>
      <c r="FSQ368" s="652"/>
      <c r="FSR368" s="626"/>
      <c r="FSS368" s="661"/>
      <c r="FST368" s="641"/>
      <c r="FSU368" s="653"/>
      <c r="FSW368" s="118"/>
      <c r="FSX368" s="219"/>
      <c r="FSY368" s="247"/>
      <c r="FSZ368" s="652"/>
      <c r="FTA368" s="626"/>
      <c r="FTB368" s="661"/>
      <c r="FTC368" s="641"/>
      <c r="FTD368" s="653"/>
      <c r="FTF368" s="118"/>
      <c r="FTG368" s="219"/>
      <c r="FTH368" s="247"/>
      <c r="FTI368" s="652"/>
      <c r="FTJ368" s="626"/>
      <c r="FTK368" s="661"/>
      <c r="FTL368" s="641"/>
      <c r="FTM368" s="653"/>
      <c r="FTO368" s="118"/>
      <c r="FTP368" s="219"/>
      <c r="FTQ368" s="247"/>
      <c r="FTR368" s="652"/>
      <c r="FTS368" s="626"/>
      <c r="FTT368" s="661"/>
      <c r="FTU368" s="641"/>
      <c r="FTV368" s="653"/>
      <c r="FTX368" s="118"/>
      <c r="FTY368" s="219"/>
      <c r="FTZ368" s="247"/>
      <c r="FUA368" s="652"/>
      <c r="FUB368" s="626"/>
      <c r="FUC368" s="661"/>
      <c r="FUD368" s="641"/>
      <c r="FUE368" s="653"/>
      <c r="FUG368" s="118"/>
      <c r="FUH368" s="219"/>
      <c r="FUI368" s="247"/>
      <c r="FUJ368" s="652"/>
      <c r="FUK368" s="626"/>
      <c r="FUL368" s="661"/>
      <c r="FUM368" s="641"/>
      <c r="FUN368" s="653"/>
      <c r="FUP368" s="118"/>
      <c r="FUQ368" s="219"/>
      <c r="FUR368" s="247"/>
      <c r="FUS368" s="652"/>
      <c r="FUT368" s="626"/>
      <c r="FUU368" s="661"/>
      <c r="FUV368" s="641"/>
      <c r="FUW368" s="653"/>
      <c r="FUY368" s="118"/>
      <c r="FUZ368" s="219"/>
      <c r="FVA368" s="247"/>
      <c r="FVB368" s="652"/>
      <c r="FVC368" s="626"/>
      <c r="FVD368" s="661"/>
      <c r="FVE368" s="641"/>
      <c r="FVF368" s="653"/>
      <c r="FVH368" s="654"/>
      <c r="FVI368" s="286"/>
      <c r="FVJ368" s="287"/>
      <c r="FVK368" s="296"/>
      <c r="FVL368" s="266"/>
      <c r="FVM368" s="591"/>
      <c r="FVN368" s="326"/>
      <c r="FVO368" s="362"/>
      <c r="FVP368" s="295"/>
      <c r="FVQ368" s="656"/>
      <c r="FVR368" s="286"/>
      <c r="FVS368" s="287"/>
      <c r="FVT368" s="296"/>
      <c r="FVU368" s="266"/>
      <c r="FVV368" s="591"/>
      <c r="FVW368" s="326"/>
      <c r="FVX368" s="362"/>
      <c r="FVY368" s="295"/>
      <c r="FVZ368" s="656"/>
      <c r="FWA368" s="286"/>
      <c r="FWB368" s="287"/>
      <c r="FWC368" s="296"/>
      <c r="FWD368" s="266"/>
      <c r="FWE368" s="591"/>
      <c r="FWF368" s="326"/>
      <c r="FWG368" s="362"/>
      <c r="FWH368" s="295"/>
      <c r="FWI368" s="656"/>
      <c r="FWJ368" s="286"/>
      <c r="FWK368" s="287"/>
      <c r="FWL368" s="296"/>
      <c r="FWM368" s="266"/>
      <c r="FWN368" s="591"/>
      <c r="FWO368" s="326"/>
      <c r="FWP368" s="362"/>
      <c r="FWQ368" s="295"/>
      <c r="FWR368" s="656"/>
      <c r="FWS368" s="286"/>
      <c r="FWT368" s="287"/>
      <c r="FWU368" s="296"/>
      <c r="FWV368" s="266"/>
      <c r="FWW368" s="591"/>
      <c r="FWX368" s="326"/>
      <c r="FWY368" s="362"/>
      <c r="FWZ368" s="295"/>
      <c r="FXA368" s="656"/>
      <c r="FXB368" s="286"/>
      <c r="FXC368" s="287"/>
      <c r="FXD368" s="296"/>
      <c r="FXE368" s="266"/>
      <c r="FXF368" s="591"/>
      <c r="FXG368" s="326"/>
      <c r="FXH368" s="362"/>
      <c r="FXI368" s="295"/>
      <c r="FXJ368" s="656"/>
      <c r="FXK368" s="286"/>
      <c r="FXL368" s="287"/>
      <c r="FXM368" s="296"/>
      <c r="FXN368" s="266"/>
      <c r="FXO368" s="591"/>
      <c r="FXP368" s="326"/>
      <c r="FXQ368" s="362"/>
      <c r="FXR368" s="295"/>
      <c r="FXS368" s="656"/>
      <c r="FXT368" s="286"/>
      <c r="FXU368" s="287"/>
      <c r="FXV368" s="296"/>
      <c r="FXW368" s="266"/>
      <c r="FXX368" s="591"/>
      <c r="FXY368" s="326"/>
      <c r="FXZ368" s="362"/>
      <c r="FYA368" s="295"/>
      <c r="FYB368" s="656"/>
      <c r="FYC368" s="286"/>
      <c r="FYD368" s="287"/>
      <c r="FYE368" s="296"/>
      <c r="FYF368" s="266"/>
      <c r="FYG368" s="591"/>
      <c r="FYH368" s="326"/>
      <c r="FYI368" s="362"/>
      <c r="FYJ368" s="295"/>
      <c r="FYK368" s="656"/>
      <c r="FYL368" s="286"/>
      <c r="FYM368" s="287"/>
      <c r="FYN368" s="296"/>
      <c r="FYO368" s="266"/>
      <c r="FYP368" s="591"/>
      <c r="FYQ368" s="326"/>
      <c r="FYR368" s="362"/>
      <c r="FYS368" s="295"/>
      <c r="FYT368" s="656"/>
      <c r="FYU368" s="286"/>
      <c r="FYV368" s="287"/>
      <c r="FYW368" s="296"/>
      <c r="FYX368" s="266"/>
      <c r="FYY368" s="591"/>
      <c r="FYZ368" s="326"/>
      <c r="FZA368" s="362"/>
      <c r="FZB368" s="295"/>
      <c r="FZC368" s="656"/>
      <c r="FZD368" s="286"/>
      <c r="FZE368" s="287"/>
      <c r="FZF368" s="296"/>
      <c r="FZG368" s="266"/>
      <c r="FZH368" s="591"/>
      <c r="FZI368" s="326"/>
      <c r="FZJ368" s="362"/>
      <c r="FZK368" s="295"/>
      <c r="FZL368" s="656"/>
      <c r="FZM368" s="286"/>
      <c r="FZN368" s="287"/>
      <c r="FZO368" s="296"/>
      <c r="FZP368" s="266"/>
      <c r="FZQ368" s="591"/>
      <c r="FZR368" s="326"/>
      <c r="FZS368" s="362"/>
      <c r="FZT368" s="295"/>
      <c r="FZU368" s="656"/>
      <c r="FZV368" s="286"/>
      <c r="FZW368" s="287"/>
      <c r="FZX368" s="296"/>
      <c r="FZY368" s="266"/>
      <c r="FZZ368" s="591"/>
      <c r="GAA368" s="326"/>
      <c r="GAB368" s="362"/>
      <c r="GAC368" s="295"/>
      <c r="GAD368" s="656"/>
      <c r="GAE368" s="286"/>
      <c r="GAF368" s="287"/>
      <c r="GAG368" s="296"/>
      <c r="GAH368" s="266"/>
      <c r="GAI368" s="591"/>
      <c r="GAJ368" s="326"/>
      <c r="GAK368" s="362"/>
      <c r="GAL368" s="295"/>
      <c r="GAM368" s="656"/>
      <c r="GAN368" s="286"/>
      <c r="GAO368" s="287"/>
      <c r="GAP368" s="296"/>
      <c r="GAQ368" s="266"/>
      <c r="GAR368" s="591"/>
      <c r="GAS368" s="326"/>
      <c r="GAT368" s="362"/>
      <c r="GAU368" s="295"/>
      <c r="GAV368" s="656"/>
      <c r="GAW368" s="286"/>
      <c r="GAX368" s="287"/>
      <c r="GAY368" s="296"/>
      <c r="GAZ368" s="266"/>
      <c r="GBA368" s="591"/>
      <c r="GBB368" s="326"/>
      <c r="GBC368" s="362"/>
      <c r="GBD368" s="295"/>
      <c r="GBE368" s="656"/>
      <c r="GBF368" s="286"/>
      <c r="GBG368" s="287"/>
      <c r="GBH368" s="296"/>
      <c r="GBI368" s="266"/>
      <c r="GBJ368" s="591"/>
      <c r="GBK368" s="326"/>
      <c r="GBL368" s="362"/>
      <c r="GBM368" s="295"/>
      <c r="GBN368" s="656"/>
      <c r="GBO368" s="286"/>
      <c r="GBP368" s="287"/>
      <c r="GBQ368" s="296"/>
      <c r="GBR368" s="266"/>
      <c r="GBS368" s="591"/>
      <c r="GBT368" s="326"/>
      <c r="GBU368" s="362"/>
      <c r="GBV368" s="295"/>
      <c r="GBW368" s="656"/>
      <c r="GBX368" s="286"/>
      <c r="GBY368" s="287"/>
      <c r="GBZ368" s="296"/>
      <c r="GCA368" s="266"/>
      <c r="GCB368" s="591"/>
      <c r="GCC368" s="326"/>
      <c r="GCD368" s="362"/>
      <c r="GCE368" s="295"/>
      <c r="GCF368" s="656"/>
      <c r="GCG368" s="286"/>
      <c r="GCH368" s="287"/>
      <c r="GCI368" s="296"/>
      <c r="GCJ368" s="266"/>
      <c r="GCK368" s="591"/>
      <c r="GCL368" s="326"/>
      <c r="GCM368" s="362"/>
      <c r="GCN368" s="295"/>
      <c r="GCO368" s="656"/>
      <c r="GCP368" s="286"/>
      <c r="GCQ368" s="287"/>
      <c r="GCR368" s="296"/>
      <c r="GCS368" s="266"/>
      <c r="GCT368" s="591"/>
      <c r="GCU368" s="326"/>
      <c r="GCV368" s="362"/>
      <c r="GCW368" s="295"/>
      <c r="GCX368" s="656"/>
      <c r="GCY368" s="286"/>
      <c r="GCZ368" s="287"/>
      <c r="GDA368" s="296"/>
      <c r="GDB368" s="266"/>
      <c r="GDC368" s="591"/>
      <c r="GDD368" s="326"/>
      <c r="GDE368" s="362"/>
      <c r="GDF368" s="295"/>
      <c r="GDG368" s="656"/>
      <c r="GDH368" s="286"/>
      <c r="GDI368" s="287"/>
      <c r="GDJ368" s="296"/>
      <c r="GDK368" s="266"/>
      <c r="GDL368" s="591"/>
      <c r="GDM368" s="326"/>
      <c r="GDN368" s="362"/>
      <c r="GDO368" s="295"/>
      <c r="GDP368" s="656"/>
      <c r="GDQ368" s="286"/>
      <c r="GDR368" s="287"/>
      <c r="GDS368" s="296"/>
      <c r="GDT368" s="266"/>
      <c r="GDU368" s="591"/>
      <c r="GDV368" s="326"/>
      <c r="GDW368" s="362"/>
      <c r="GDX368" s="295"/>
      <c r="GDY368" s="656"/>
      <c r="GDZ368" s="286"/>
      <c r="GEA368" s="287"/>
      <c r="GEB368" s="296"/>
      <c r="GEC368" s="266"/>
      <c r="GED368" s="591"/>
      <c r="GEE368" s="326"/>
      <c r="GEF368" s="362"/>
      <c r="GEG368" s="295"/>
      <c r="GEH368" s="656"/>
      <c r="GEI368" s="286"/>
      <c r="GEJ368" s="287"/>
      <c r="GEK368" s="296"/>
      <c r="GEL368" s="266"/>
      <c r="GEM368" s="591"/>
      <c r="GEN368" s="326"/>
      <c r="GEO368" s="362"/>
      <c r="GEP368" s="295"/>
      <c r="GEQ368" s="656"/>
      <c r="GER368" s="286"/>
      <c r="GES368" s="287"/>
      <c r="GET368" s="296"/>
      <c r="GEU368" s="266"/>
      <c r="GEV368" s="591"/>
      <c r="GEW368" s="326"/>
      <c r="GEX368" s="362"/>
      <c r="GEY368" s="295"/>
      <c r="GEZ368" s="656"/>
      <c r="GFA368" s="286"/>
      <c r="GFB368" s="287"/>
      <c r="GFC368" s="296"/>
      <c r="GFD368" s="266"/>
      <c r="GFE368" s="591"/>
      <c r="GFF368" s="326"/>
      <c r="GFG368" s="362"/>
      <c r="GFH368" s="295"/>
      <c r="GFI368" s="656"/>
      <c r="GFJ368" s="286"/>
      <c r="GFK368" s="287"/>
      <c r="GFL368" s="296"/>
      <c r="GFM368" s="266"/>
      <c r="GFN368" s="591"/>
      <c r="GFO368" s="326"/>
      <c r="GFP368" s="362"/>
      <c r="GFQ368" s="295"/>
      <c r="GFR368" s="656"/>
      <c r="GFS368" s="286"/>
      <c r="GFT368" s="287"/>
      <c r="GFU368" s="296"/>
      <c r="GFV368" s="266"/>
      <c r="GFW368" s="591"/>
      <c r="GFX368" s="326"/>
      <c r="GFY368" s="362"/>
      <c r="GFZ368" s="295"/>
      <c r="GGA368" s="656"/>
      <c r="GGB368" s="286"/>
      <c r="GGC368" s="287"/>
      <c r="GGD368" s="296"/>
      <c r="GGE368" s="266"/>
      <c r="GGF368" s="591"/>
      <c r="GGG368" s="326"/>
      <c r="GGH368" s="362"/>
      <c r="GGI368" s="295"/>
      <c r="GGJ368" s="656"/>
      <c r="GGK368" s="286"/>
      <c r="GGL368" s="287"/>
      <c r="GGM368" s="296"/>
      <c r="GGN368" s="266"/>
      <c r="GGO368" s="591"/>
      <c r="GGP368" s="326"/>
      <c r="GGQ368" s="362"/>
      <c r="GGR368" s="295"/>
      <c r="GGS368" s="656"/>
      <c r="GGT368" s="286"/>
      <c r="GGU368" s="287"/>
      <c r="GGV368" s="296"/>
      <c r="GGW368" s="266"/>
      <c r="GGX368" s="591"/>
      <c r="GGY368" s="326"/>
      <c r="GGZ368" s="362"/>
      <c r="GHA368" s="295"/>
      <c r="GHB368" s="656"/>
      <c r="GHC368" s="286"/>
      <c r="GHD368" s="287"/>
      <c r="GHE368" s="296"/>
      <c r="GHF368" s="266"/>
      <c r="GHG368" s="591"/>
      <c r="GHH368" s="326"/>
      <c r="GHI368" s="362"/>
      <c r="GHJ368" s="295"/>
      <c r="GHK368" s="656"/>
      <c r="GHL368" s="286"/>
      <c r="GHM368" s="287"/>
      <c r="GHN368" s="296"/>
      <c r="GHO368" s="266"/>
      <c r="GHP368" s="591"/>
      <c r="GHQ368" s="326"/>
      <c r="GHR368" s="362"/>
      <c r="GHS368" s="295"/>
      <c r="GHT368" s="656"/>
      <c r="GHU368" s="286"/>
      <c r="GHV368" s="287"/>
      <c r="GHW368" s="296"/>
      <c r="GHX368" s="266"/>
      <c r="GHY368" s="591"/>
      <c r="GHZ368" s="326"/>
      <c r="GIA368" s="362"/>
      <c r="GIB368" s="295"/>
      <c r="GIC368" s="656"/>
      <c r="GID368" s="286"/>
      <c r="GIE368" s="287"/>
      <c r="GIF368" s="296"/>
      <c r="GIG368" s="266"/>
      <c r="GIH368" s="591"/>
      <c r="GII368" s="326"/>
      <c r="GIJ368" s="362"/>
      <c r="GIK368" s="295"/>
      <c r="GIL368" s="656"/>
      <c r="GIM368" s="286"/>
      <c r="GIN368" s="287"/>
      <c r="GIO368" s="296"/>
      <c r="GIP368" s="266"/>
      <c r="GIQ368" s="591"/>
      <c r="GIR368" s="326"/>
      <c r="GIS368" s="362"/>
      <c r="GIT368" s="295"/>
      <c r="GIU368" s="656"/>
      <c r="GIV368" s="286"/>
      <c r="GIW368" s="287"/>
      <c r="GIX368" s="296"/>
      <c r="GIY368" s="266"/>
      <c r="GIZ368" s="591"/>
      <c r="GJA368" s="326"/>
      <c r="GJB368" s="362"/>
      <c r="GJC368" s="295"/>
      <c r="GJD368" s="656"/>
      <c r="GJE368" s="286"/>
      <c r="GJF368" s="287"/>
      <c r="GJG368" s="296"/>
      <c r="GJH368" s="266"/>
      <c r="GJI368" s="591"/>
      <c r="GJJ368" s="326"/>
      <c r="GJK368" s="362"/>
      <c r="GJL368" s="295"/>
      <c r="GJM368" s="656"/>
      <c r="GJN368" s="286"/>
      <c r="GJO368" s="287"/>
      <c r="GJP368" s="296"/>
      <c r="GJQ368" s="266"/>
      <c r="GJR368" s="591"/>
      <c r="GJS368" s="326"/>
      <c r="GJT368" s="362"/>
      <c r="GJU368" s="295"/>
      <c r="GJV368" s="656"/>
      <c r="GJW368" s="286"/>
      <c r="GJX368" s="287"/>
      <c r="GJY368" s="296"/>
      <c r="GJZ368" s="266"/>
      <c r="GKA368" s="591"/>
      <c r="GKB368" s="326"/>
      <c r="GKC368" s="362"/>
      <c r="GKD368" s="295"/>
      <c r="GKE368" s="656"/>
      <c r="GKF368" s="286"/>
      <c r="GKG368" s="287"/>
      <c r="GKH368" s="296"/>
      <c r="GKI368" s="266"/>
      <c r="GKJ368" s="591"/>
      <c r="GKK368" s="326"/>
      <c r="GKL368" s="362"/>
      <c r="GKM368" s="295"/>
      <c r="GKN368" s="656"/>
      <c r="GKO368" s="286"/>
      <c r="GKP368" s="287"/>
      <c r="GKQ368" s="296"/>
      <c r="GKR368" s="266"/>
      <c r="GKS368" s="591"/>
      <c r="GKT368" s="326"/>
      <c r="GKU368" s="362"/>
      <c r="GKV368" s="295"/>
      <c r="GKW368" s="656"/>
      <c r="GKX368" s="286"/>
      <c r="GKY368" s="287"/>
      <c r="GKZ368" s="296"/>
      <c r="GLA368" s="266"/>
      <c r="GLB368" s="591"/>
      <c r="GLC368" s="326"/>
      <c r="GLD368" s="362"/>
      <c r="GLE368" s="295"/>
      <c r="GLF368" s="656"/>
      <c r="GLG368" s="286"/>
      <c r="GLH368" s="287"/>
      <c r="GLI368" s="296"/>
      <c r="GLJ368" s="266"/>
      <c r="GLK368" s="591"/>
      <c r="GLL368" s="326"/>
      <c r="GLM368" s="362"/>
      <c r="GLN368" s="295"/>
      <c r="GLO368" s="656"/>
      <c r="GLP368" s="286"/>
      <c r="GLQ368" s="287"/>
      <c r="GLR368" s="296"/>
      <c r="GLS368" s="266"/>
      <c r="GLT368" s="591"/>
      <c r="GLU368" s="326"/>
      <c r="GLV368" s="362"/>
      <c r="GLW368" s="295"/>
      <c r="GLX368" s="656"/>
      <c r="GLY368" s="286"/>
      <c r="GLZ368" s="287"/>
      <c r="GMA368" s="296"/>
      <c r="GMB368" s="266"/>
      <c r="GMC368" s="591"/>
      <c r="GMD368" s="326"/>
      <c r="GME368" s="362"/>
      <c r="GMF368" s="295"/>
      <c r="GMG368" s="656"/>
      <c r="GMH368" s="286"/>
      <c r="GMI368" s="287"/>
      <c r="GMJ368" s="296"/>
      <c r="GMK368" s="266"/>
      <c r="GML368" s="591"/>
      <c r="GMM368" s="326"/>
      <c r="GMN368" s="362"/>
      <c r="GMO368" s="295"/>
      <c r="GMP368" s="656"/>
      <c r="GMQ368" s="286"/>
      <c r="GMR368" s="287"/>
      <c r="GMS368" s="296"/>
      <c r="GMT368" s="266"/>
      <c r="GMU368" s="591"/>
      <c r="GMV368" s="326"/>
      <c r="GMW368" s="362"/>
      <c r="GMX368" s="295"/>
      <c r="GMY368" s="656"/>
      <c r="GMZ368" s="286"/>
      <c r="GNA368" s="287"/>
      <c r="GNB368" s="296"/>
      <c r="GNC368" s="266"/>
      <c r="GND368" s="591"/>
      <c r="GNE368" s="326"/>
      <c r="GNF368" s="362"/>
      <c r="GNG368" s="295"/>
      <c r="GNH368" s="656"/>
      <c r="GNI368" s="286"/>
      <c r="GNJ368" s="287"/>
      <c r="GNK368" s="296"/>
      <c r="GNL368" s="266"/>
      <c r="GNM368" s="591"/>
      <c r="GNN368" s="326"/>
      <c r="GNO368" s="362"/>
      <c r="GNP368" s="295"/>
      <c r="GNQ368" s="656"/>
      <c r="GNR368" s="286"/>
      <c r="GNS368" s="287"/>
      <c r="GNT368" s="296"/>
      <c r="GNU368" s="266"/>
      <c r="GNV368" s="591"/>
      <c r="GNW368" s="326"/>
      <c r="GNX368" s="362"/>
      <c r="GNY368" s="295"/>
      <c r="GNZ368" s="656"/>
      <c r="GOA368" s="286"/>
      <c r="GOB368" s="287"/>
      <c r="GOC368" s="296"/>
      <c r="GOD368" s="266"/>
      <c r="GOE368" s="591"/>
      <c r="GOF368" s="326"/>
      <c r="GOG368" s="362"/>
      <c r="GOH368" s="295"/>
      <c r="GOI368" s="656"/>
      <c r="GOJ368" s="286"/>
      <c r="GOK368" s="287"/>
      <c r="GOL368" s="296"/>
      <c r="GOM368" s="266"/>
      <c r="GON368" s="591"/>
      <c r="GOO368" s="326"/>
      <c r="GOP368" s="362"/>
      <c r="GOQ368" s="295"/>
      <c r="GOR368" s="656"/>
      <c r="GOS368" s="286"/>
      <c r="GOT368" s="287"/>
      <c r="GOU368" s="296"/>
      <c r="GOV368" s="266"/>
      <c r="GOW368" s="591"/>
      <c r="GOX368" s="326"/>
      <c r="GOY368" s="362"/>
      <c r="GOZ368" s="295"/>
      <c r="GPA368" s="656"/>
      <c r="GPB368" s="286"/>
      <c r="GPC368" s="287"/>
      <c r="GPD368" s="296"/>
      <c r="GPE368" s="266"/>
      <c r="GPF368" s="591"/>
      <c r="GPG368" s="326"/>
      <c r="GPH368" s="362"/>
      <c r="GPI368" s="295"/>
      <c r="GPJ368" s="656"/>
      <c r="GPK368" s="286"/>
      <c r="GPL368" s="287"/>
      <c r="GPM368" s="296"/>
      <c r="GPN368" s="266"/>
      <c r="GPO368" s="591"/>
      <c r="GPP368" s="326"/>
      <c r="GPQ368" s="362"/>
      <c r="GPR368" s="295"/>
      <c r="GPS368" s="656"/>
      <c r="GPT368" s="286"/>
      <c r="GPU368" s="287"/>
      <c r="GPV368" s="296"/>
      <c r="GPW368" s="266"/>
      <c r="GPX368" s="591"/>
      <c r="GPY368" s="326"/>
      <c r="GPZ368" s="362"/>
      <c r="GQA368" s="295"/>
      <c r="GQB368" s="656"/>
      <c r="GQC368" s="286"/>
      <c r="GQD368" s="287"/>
      <c r="GQE368" s="296"/>
      <c r="GQF368" s="266"/>
      <c r="GQG368" s="591"/>
      <c r="GQH368" s="326"/>
      <c r="GQI368" s="362"/>
      <c r="GQJ368" s="295"/>
      <c r="GQK368" s="656"/>
      <c r="GQL368" s="286"/>
      <c r="GQM368" s="287"/>
      <c r="GQN368" s="296"/>
      <c r="GQO368" s="266"/>
      <c r="GQP368" s="591"/>
      <c r="GQQ368" s="326"/>
      <c r="GQR368" s="362"/>
      <c r="GQS368" s="295"/>
      <c r="GQT368" s="656"/>
      <c r="GQU368" s="286"/>
      <c r="GQV368" s="287"/>
      <c r="GQW368" s="296"/>
      <c r="GQX368" s="266"/>
      <c r="GQY368" s="591"/>
      <c r="GQZ368" s="326"/>
      <c r="GRA368" s="362"/>
      <c r="GRB368" s="295"/>
      <c r="GRC368" s="656"/>
      <c r="GRD368" s="286"/>
      <c r="GRE368" s="287"/>
      <c r="GRF368" s="296"/>
      <c r="GRG368" s="266"/>
      <c r="GRH368" s="591"/>
      <c r="GRI368" s="326"/>
      <c r="GRJ368" s="362"/>
      <c r="GRK368" s="295"/>
      <c r="GRL368" s="656"/>
      <c r="GRM368" s="286"/>
      <c r="GRN368" s="287"/>
      <c r="GRO368" s="296"/>
      <c r="GRP368" s="266"/>
      <c r="GRQ368" s="591"/>
      <c r="GRR368" s="326"/>
      <c r="GRS368" s="362"/>
      <c r="GRT368" s="295"/>
      <c r="GRU368" s="656"/>
      <c r="GRV368" s="286"/>
      <c r="GRW368" s="287"/>
      <c r="GRX368" s="296"/>
      <c r="GRY368" s="266"/>
      <c r="GRZ368" s="591"/>
      <c r="GSA368" s="326"/>
      <c r="GSB368" s="362"/>
      <c r="GSC368" s="295"/>
      <c r="GSD368" s="656"/>
      <c r="GSE368" s="286"/>
      <c r="GSF368" s="287"/>
      <c r="GSG368" s="296"/>
      <c r="GSH368" s="266"/>
      <c r="GSI368" s="591"/>
      <c r="GSJ368" s="326"/>
      <c r="GSK368" s="362"/>
      <c r="GSL368" s="295"/>
      <c r="GSM368" s="656"/>
      <c r="GSN368" s="286"/>
      <c r="GSO368" s="287"/>
      <c r="GSP368" s="296"/>
      <c r="GSQ368" s="266"/>
      <c r="GSR368" s="591"/>
      <c r="GSS368" s="326"/>
      <c r="GST368" s="362"/>
      <c r="GSU368" s="295"/>
      <c r="GSV368" s="656"/>
      <c r="GSW368" s="286"/>
      <c r="GSX368" s="287"/>
      <c r="GSY368" s="296"/>
      <c r="GSZ368" s="266"/>
      <c r="GTA368" s="591"/>
      <c r="GTB368" s="326"/>
      <c r="GTC368" s="362"/>
      <c r="GTD368" s="295"/>
      <c r="GTE368" s="656"/>
      <c r="GTF368" s="286"/>
      <c r="GTG368" s="287"/>
      <c r="GTH368" s="296"/>
      <c r="GTI368" s="266"/>
      <c r="GTJ368" s="591"/>
      <c r="GTK368" s="326"/>
      <c r="GTL368" s="362"/>
      <c r="GTM368" s="295"/>
      <c r="GTN368" s="656"/>
      <c r="GTO368" s="286"/>
      <c r="GTP368" s="287"/>
      <c r="GTQ368" s="296"/>
      <c r="GTR368" s="266"/>
      <c r="GTS368" s="591"/>
      <c r="GTT368" s="326"/>
      <c r="GTU368" s="362"/>
      <c r="GTV368" s="295"/>
      <c r="GTW368" s="656"/>
      <c r="GTX368" s="286"/>
      <c r="GTY368" s="287"/>
      <c r="GTZ368" s="296"/>
      <c r="GUA368" s="266"/>
      <c r="GUB368" s="591"/>
      <c r="GUC368" s="326"/>
      <c r="GUD368" s="362"/>
      <c r="GUE368" s="295"/>
      <c r="GUF368" s="656"/>
      <c r="GUG368" s="286"/>
      <c r="GUH368" s="287"/>
      <c r="GUI368" s="296"/>
      <c r="GUJ368" s="266"/>
      <c r="GUK368" s="591"/>
      <c r="GUL368" s="326"/>
      <c r="GUM368" s="362"/>
      <c r="GUN368" s="295"/>
      <c r="GUO368" s="656"/>
      <c r="GUP368" s="286"/>
      <c r="GUQ368" s="287"/>
      <c r="GUR368" s="296"/>
      <c r="GUS368" s="266"/>
      <c r="GUT368" s="591"/>
      <c r="GUU368" s="326"/>
      <c r="GUV368" s="362"/>
      <c r="GUW368" s="295"/>
      <c r="GUX368" s="656"/>
      <c r="GUY368" s="286"/>
      <c r="GUZ368" s="287"/>
      <c r="GVA368" s="296"/>
      <c r="GVB368" s="266"/>
      <c r="GVC368" s="591"/>
      <c r="GVD368" s="326"/>
      <c r="GVE368" s="362"/>
      <c r="GVF368" s="295"/>
      <c r="GVG368" s="656"/>
      <c r="GVH368" s="286"/>
      <c r="GVI368" s="287"/>
      <c r="GVJ368" s="296"/>
      <c r="GVK368" s="266"/>
      <c r="GVL368" s="591"/>
      <c r="GVM368" s="326"/>
      <c r="GVN368" s="362"/>
      <c r="GVO368" s="295"/>
      <c r="GVP368" s="656"/>
      <c r="GVQ368" s="286"/>
      <c r="GVR368" s="287"/>
      <c r="GVS368" s="296"/>
      <c r="GVT368" s="266"/>
      <c r="GVU368" s="591"/>
      <c r="GVV368" s="326"/>
      <c r="GVW368" s="362"/>
      <c r="GVX368" s="295"/>
      <c r="GVY368" s="656"/>
      <c r="GVZ368" s="286"/>
      <c r="GWA368" s="287"/>
      <c r="GWB368" s="296"/>
      <c r="GWC368" s="266"/>
      <c r="GWD368" s="591"/>
      <c r="GWE368" s="326"/>
      <c r="GWF368" s="362"/>
      <c r="GWG368" s="295"/>
      <c r="GWH368" s="656"/>
      <c r="GWI368" s="286"/>
      <c r="GWJ368" s="287"/>
      <c r="GWK368" s="296"/>
      <c r="GWL368" s="266"/>
      <c r="GWM368" s="591"/>
      <c r="GWN368" s="326"/>
      <c r="GWO368" s="362"/>
      <c r="GWP368" s="295"/>
      <c r="GWQ368" s="656"/>
      <c r="GWR368" s="286"/>
      <c r="GWS368" s="287"/>
      <c r="GWT368" s="296"/>
      <c r="GWU368" s="266"/>
      <c r="GWV368" s="591"/>
      <c r="GWW368" s="326"/>
      <c r="GWX368" s="362"/>
      <c r="GWY368" s="295"/>
      <c r="GWZ368" s="656"/>
      <c r="GXA368" s="286"/>
      <c r="GXB368" s="287"/>
      <c r="GXC368" s="296"/>
      <c r="GXD368" s="266"/>
      <c r="GXE368" s="591"/>
      <c r="GXF368" s="326"/>
      <c r="GXG368" s="362"/>
      <c r="GXH368" s="295"/>
      <c r="GXI368" s="656"/>
      <c r="GXJ368" s="286"/>
      <c r="GXK368" s="287"/>
      <c r="GXL368" s="296"/>
      <c r="GXM368" s="266"/>
      <c r="GXN368" s="591"/>
      <c r="GXO368" s="326"/>
      <c r="GXP368" s="362"/>
      <c r="GXQ368" s="295"/>
      <c r="GXR368" s="656"/>
      <c r="GXS368" s="286"/>
      <c r="GXT368" s="287"/>
      <c r="GXU368" s="296"/>
      <c r="GXV368" s="266"/>
      <c r="GXW368" s="591"/>
      <c r="GXX368" s="326"/>
      <c r="GXY368" s="362"/>
      <c r="GXZ368" s="295"/>
      <c r="GYA368" s="656"/>
      <c r="GYB368" s="286"/>
      <c r="GYC368" s="287"/>
      <c r="GYD368" s="296"/>
      <c r="GYE368" s="266"/>
      <c r="GYF368" s="591"/>
      <c r="GYG368" s="326"/>
      <c r="GYH368" s="362"/>
      <c r="GYI368" s="295"/>
      <c r="GYJ368" s="656"/>
      <c r="GYK368" s="286"/>
      <c r="GYL368" s="287"/>
      <c r="GYM368" s="296"/>
      <c r="GYN368" s="266"/>
      <c r="GYO368" s="591"/>
      <c r="GYP368" s="326"/>
      <c r="GYQ368" s="362"/>
      <c r="GYR368" s="295"/>
      <c r="GYS368" s="656"/>
      <c r="GYT368" s="286"/>
      <c r="GYU368" s="287"/>
      <c r="GYV368" s="296"/>
      <c r="GYW368" s="266"/>
      <c r="GYX368" s="591"/>
      <c r="GYY368" s="326"/>
      <c r="GYZ368" s="362"/>
      <c r="GZA368" s="295"/>
      <c r="GZB368" s="656"/>
      <c r="GZC368" s="286"/>
      <c r="GZD368" s="287"/>
      <c r="GZE368" s="296"/>
      <c r="GZF368" s="266"/>
      <c r="GZG368" s="591"/>
      <c r="GZH368" s="326"/>
      <c r="GZI368" s="362"/>
      <c r="GZJ368" s="295"/>
      <c r="GZK368" s="656"/>
      <c r="GZL368" s="286"/>
      <c r="GZM368" s="287"/>
      <c r="GZN368" s="296"/>
      <c r="GZO368" s="266"/>
      <c r="GZP368" s="591"/>
      <c r="GZQ368" s="326"/>
      <c r="GZR368" s="362"/>
      <c r="GZS368" s="295"/>
      <c r="GZT368" s="656"/>
      <c r="GZU368" s="286"/>
      <c r="GZV368" s="287"/>
      <c r="GZW368" s="296"/>
      <c r="GZX368" s="266"/>
      <c r="GZY368" s="591"/>
      <c r="GZZ368" s="326"/>
      <c r="HAA368" s="362"/>
      <c r="HAB368" s="295"/>
      <c r="HAC368" s="656"/>
      <c r="HAD368" s="286"/>
      <c r="HAE368" s="287"/>
      <c r="HAF368" s="296"/>
      <c r="HAG368" s="266"/>
      <c r="HAH368" s="591"/>
      <c r="HAI368" s="326"/>
      <c r="HAJ368" s="362"/>
      <c r="HAK368" s="295"/>
      <c r="HAL368" s="656"/>
      <c r="HAM368" s="286"/>
      <c r="HAN368" s="287"/>
      <c r="HAO368" s="296"/>
      <c r="HAP368" s="266"/>
      <c r="HAQ368" s="591"/>
      <c r="HAR368" s="326"/>
      <c r="HAS368" s="362"/>
      <c r="HAT368" s="295"/>
      <c r="HAU368" s="656"/>
      <c r="HAV368" s="286"/>
      <c r="HAW368" s="287"/>
      <c r="HAX368" s="296"/>
      <c r="HAY368" s="266"/>
      <c r="HAZ368" s="591"/>
      <c r="HBA368" s="326"/>
      <c r="HBB368" s="362"/>
      <c r="HBC368" s="295"/>
      <c r="HBD368" s="656"/>
      <c r="HBE368" s="286"/>
      <c r="HBF368" s="287"/>
      <c r="HBG368" s="296"/>
      <c r="HBH368" s="266"/>
      <c r="HBI368" s="591"/>
      <c r="HBJ368" s="326"/>
      <c r="HBK368" s="362"/>
      <c r="HBL368" s="295"/>
      <c r="HBM368" s="656"/>
      <c r="HBN368" s="286"/>
      <c r="HBO368" s="287"/>
      <c r="HBP368" s="296"/>
      <c r="HBQ368" s="266"/>
      <c r="HBR368" s="591"/>
      <c r="HBS368" s="326"/>
      <c r="HBT368" s="362"/>
      <c r="HBU368" s="295"/>
      <c r="HBV368" s="656"/>
      <c r="HBW368" s="286"/>
      <c r="HBX368" s="287"/>
      <c r="HBY368" s="296"/>
      <c r="HBZ368" s="266"/>
      <c r="HCA368" s="591"/>
      <c r="HCB368" s="326"/>
      <c r="HCC368" s="362"/>
      <c r="HCD368" s="295"/>
      <c r="HCE368" s="656"/>
      <c r="HCF368" s="286"/>
      <c r="HCG368" s="287"/>
      <c r="HCH368" s="296"/>
      <c r="HCI368" s="266"/>
      <c r="HCJ368" s="591"/>
      <c r="HCK368" s="326"/>
      <c r="HCL368" s="362"/>
      <c r="HCM368" s="295"/>
      <c r="HCN368" s="656"/>
      <c r="HCO368" s="286"/>
      <c r="HCP368" s="287"/>
      <c r="HCQ368" s="296"/>
      <c r="HCR368" s="266"/>
      <c r="HCS368" s="591"/>
      <c r="HCT368" s="326"/>
      <c r="HCU368" s="362"/>
      <c r="HCV368" s="295"/>
      <c r="HCW368" s="656"/>
      <c r="HCX368" s="286"/>
      <c r="HCY368" s="287"/>
      <c r="HCZ368" s="296"/>
      <c r="HDA368" s="266"/>
      <c r="HDB368" s="591"/>
      <c r="HDC368" s="326"/>
      <c r="HDD368" s="362"/>
      <c r="HDE368" s="295"/>
      <c r="HDF368" s="656"/>
      <c r="HDG368" s="286"/>
      <c r="HDH368" s="287"/>
      <c r="HDI368" s="296"/>
      <c r="HDJ368" s="266"/>
      <c r="HDK368" s="591"/>
      <c r="HDL368" s="326"/>
      <c r="HDM368" s="362"/>
      <c r="HDN368" s="295"/>
      <c r="HDO368" s="656"/>
      <c r="HDP368" s="286"/>
      <c r="HDQ368" s="287"/>
      <c r="HDR368" s="296"/>
      <c r="HDS368" s="266"/>
      <c r="HDT368" s="591"/>
      <c r="HDU368" s="326"/>
      <c r="HDV368" s="362"/>
      <c r="HDW368" s="295"/>
      <c r="HDX368" s="656"/>
      <c r="HDY368" s="286"/>
      <c r="HDZ368" s="287"/>
      <c r="HEA368" s="296"/>
      <c r="HEB368" s="266"/>
      <c r="HEC368" s="591"/>
      <c r="HED368" s="326"/>
      <c r="HEE368" s="362"/>
      <c r="HEF368" s="295"/>
      <c r="HEG368" s="656"/>
      <c r="HEH368" s="286"/>
      <c r="HEI368" s="287"/>
      <c r="HEJ368" s="296"/>
      <c r="HEK368" s="266"/>
      <c r="HEL368" s="591"/>
      <c r="HEM368" s="326"/>
      <c r="HEN368" s="362"/>
      <c r="HEO368" s="295"/>
      <c r="HEP368" s="656"/>
      <c r="HEQ368" s="286"/>
      <c r="HER368" s="287"/>
      <c r="HES368" s="296"/>
      <c r="HET368" s="266"/>
      <c r="HEU368" s="591"/>
      <c r="HEV368" s="326"/>
      <c r="HEW368" s="362"/>
      <c r="HEX368" s="295"/>
      <c r="HEY368" s="656"/>
      <c r="HEZ368" s="286"/>
      <c r="HFA368" s="287"/>
      <c r="HFB368" s="296"/>
      <c r="HFC368" s="266"/>
      <c r="HFD368" s="591"/>
      <c r="HFE368" s="326"/>
      <c r="HFF368" s="362"/>
      <c r="HFG368" s="295"/>
      <c r="HFH368" s="656"/>
      <c r="HFI368" s="286"/>
      <c r="HFJ368" s="287"/>
      <c r="HFK368" s="296"/>
      <c r="HFL368" s="266"/>
      <c r="HFM368" s="591"/>
      <c r="HFN368" s="326"/>
      <c r="HFO368" s="362"/>
      <c r="HFP368" s="295"/>
      <c r="HFQ368" s="656"/>
      <c r="HFR368" s="286"/>
      <c r="HFS368" s="287"/>
      <c r="HFT368" s="296"/>
      <c r="HFU368" s="266"/>
      <c r="HFV368" s="591"/>
      <c r="HFW368" s="326"/>
      <c r="HFX368" s="362"/>
      <c r="HFY368" s="295"/>
      <c r="HFZ368" s="656"/>
      <c r="HGA368" s="286"/>
      <c r="HGB368" s="287"/>
      <c r="HGC368" s="296"/>
      <c r="HGD368" s="266"/>
      <c r="HGE368" s="591"/>
      <c r="HGF368" s="326"/>
      <c r="HGG368" s="362"/>
      <c r="HGH368" s="295"/>
      <c r="HGI368" s="656"/>
      <c r="HGJ368" s="286"/>
      <c r="HGK368" s="287"/>
      <c r="HGL368" s="296"/>
      <c r="HGM368" s="266"/>
      <c r="HGN368" s="591"/>
      <c r="HGO368" s="326"/>
      <c r="HGP368" s="362"/>
      <c r="HGQ368" s="295"/>
      <c r="HGR368" s="656"/>
      <c r="HGS368" s="286"/>
      <c r="HGT368" s="287"/>
      <c r="HGU368" s="296"/>
      <c r="HGV368" s="266"/>
      <c r="HGW368" s="591"/>
      <c r="HGX368" s="326"/>
      <c r="HGY368" s="362"/>
      <c r="HGZ368" s="295"/>
      <c r="HHA368" s="656"/>
      <c r="HHB368" s="286"/>
      <c r="HHC368" s="287"/>
      <c r="HHD368" s="296"/>
      <c r="HHE368" s="266"/>
      <c r="HHF368" s="591"/>
      <c r="HHG368" s="326"/>
      <c r="HHH368" s="362"/>
      <c r="HHI368" s="295"/>
      <c r="HHJ368" s="656"/>
      <c r="HHK368" s="286"/>
      <c r="HHL368" s="287"/>
      <c r="HHM368" s="296"/>
      <c r="HHN368" s="266"/>
      <c r="HHO368" s="591"/>
      <c r="HHP368" s="326"/>
      <c r="HHQ368" s="362"/>
      <c r="HHR368" s="295"/>
      <c r="HHS368" s="656"/>
      <c r="HHT368" s="286"/>
      <c r="HHU368" s="287"/>
      <c r="HHV368" s="296"/>
      <c r="HHW368" s="266"/>
      <c r="HHX368" s="591"/>
      <c r="HHY368" s="326"/>
      <c r="HHZ368" s="362"/>
      <c r="HIA368" s="295"/>
      <c r="HIB368" s="656"/>
      <c r="HIC368" s="286"/>
      <c r="HID368" s="287"/>
      <c r="HIE368" s="296"/>
      <c r="HIF368" s="266"/>
      <c r="HIG368" s="591"/>
      <c r="HIH368" s="326"/>
      <c r="HII368" s="362"/>
      <c r="HIJ368" s="295"/>
      <c r="HIK368" s="656"/>
      <c r="HIL368" s="286"/>
      <c r="HIM368" s="287"/>
      <c r="HIN368" s="296"/>
      <c r="HIO368" s="266"/>
      <c r="HIP368" s="591"/>
      <c r="HIQ368" s="326"/>
      <c r="HIR368" s="362"/>
      <c r="HIS368" s="295"/>
      <c r="HIT368" s="656"/>
      <c r="HIU368" s="286"/>
      <c r="HIV368" s="287"/>
      <c r="HIW368" s="296"/>
      <c r="HIX368" s="266"/>
      <c r="HIY368" s="591"/>
      <c r="HIZ368" s="326"/>
      <c r="HJA368" s="362"/>
      <c r="HJB368" s="295"/>
      <c r="HJC368" s="656"/>
      <c r="HJD368" s="286"/>
      <c r="HJE368" s="287"/>
      <c r="HJF368" s="296"/>
      <c r="HJG368" s="266"/>
      <c r="HJH368" s="591"/>
      <c r="HJI368" s="326"/>
      <c r="HJJ368" s="362"/>
      <c r="HJK368" s="295"/>
      <c r="HJL368" s="656"/>
      <c r="HJM368" s="286"/>
      <c r="HJN368" s="287"/>
      <c r="HJO368" s="296"/>
      <c r="HJP368" s="266"/>
      <c r="HJQ368" s="591"/>
      <c r="HJR368" s="326"/>
      <c r="HJS368" s="362"/>
      <c r="HJT368" s="295"/>
      <c r="HJU368" s="656"/>
      <c r="HJV368" s="286"/>
      <c r="HJW368" s="287"/>
      <c r="HJX368" s="296"/>
      <c r="HJY368" s="266"/>
      <c r="HJZ368" s="591"/>
      <c r="HKA368" s="326"/>
      <c r="HKB368" s="362"/>
      <c r="HKC368" s="295"/>
      <c r="HKD368" s="656"/>
      <c r="HKE368" s="286"/>
      <c r="HKF368" s="287"/>
      <c r="HKG368" s="296"/>
      <c r="HKH368" s="266"/>
      <c r="HKI368" s="591"/>
      <c r="HKJ368" s="326"/>
      <c r="HKK368" s="362"/>
      <c r="HKL368" s="295"/>
      <c r="HKM368" s="656"/>
      <c r="HKN368" s="286"/>
      <c r="HKO368" s="287"/>
      <c r="HKP368" s="296"/>
      <c r="HKQ368" s="266"/>
      <c r="HKR368" s="591"/>
      <c r="HKS368" s="326"/>
      <c r="HKT368" s="362"/>
      <c r="HKU368" s="295"/>
      <c r="HKV368" s="656"/>
      <c r="HKW368" s="286"/>
      <c r="HKX368" s="287"/>
      <c r="HKY368" s="296"/>
      <c r="HKZ368" s="266"/>
      <c r="HLA368" s="591"/>
      <c r="HLB368" s="326"/>
      <c r="HLC368" s="362"/>
      <c r="HLD368" s="295"/>
      <c r="HLE368" s="656"/>
      <c r="HLF368" s="286"/>
      <c r="HLG368" s="287"/>
      <c r="HLH368" s="296"/>
      <c r="HLI368" s="266"/>
      <c r="HLJ368" s="591"/>
      <c r="HLK368" s="326"/>
      <c r="HLL368" s="362"/>
      <c r="HLM368" s="295"/>
      <c r="HLN368" s="656"/>
      <c r="HLO368" s="286"/>
      <c r="HLP368" s="287"/>
      <c r="HLQ368" s="296"/>
      <c r="HLR368" s="266"/>
      <c r="HLS368" s="591"/>
      <c r="HLT368" s="326"/>
      <c r="HLU368" s="362"/>
      <c r="HLV368" s="295"/>
      <c r="HLW368" s="656"/>
      <c r="HLX368" s="286"/>
      <c r="HLY368" s="287"/>
      <c r="HLZ368" s="296"/>
      <c r="HMA368" s="266"/>
      <c r="HMB368" s="591"/>
      <c r="HMC368" s="326"/>
      <c r="HMD368" s="362"/>
      <c r="HME368" s="295"/>
      <c r="HMF368" s="656"/>
      <c r="HMG368" s="286"/>
      <c r="HMH368" s="287"/>
      <c r="HMI368" s="296"/>
      <c r="HMJ368" s="266"/>
      <c r="HMK368" s="591"/>
      <c r="HML368" s="326"/>
      <c r="HMM368" s="362"/>
      <c r="HMN368" s="295"/>
      <c r="HMO368" s="656"/>
      <c r="HMP368" s="286"/>
      <c r="HMQ368" s="287"/>
      <c r="HMR368" s="296"/>
      <c r="HMS368" s="266"/>
      <c r="HMT368" s="591"/>
      <c r="HMU368" s="326"/>
      <c r="HMV368" s="362"/>
      <c r="HMW368" s="295"/>
      <c r="HMX368" s="656"/>
      <c r="HMY368" s="286"/>
      <c r="HMZ368" s="287"/>
      <c r="HNA368" s="296"/>
      <c r="HNB368" s="266"/>
      <c r="HNC368" s="591"/>
      <c r="HND368" s="326"/>
      <c r="HNE368" s="362"/>
      <c r="HNF368" s="295"/>
      <c r="HNG368" s="656"/>
      <c r="HNH368" s="286"/>
      <c r="HNI368" s="287"/>
      <c r="HNJ368" s="296"/>
      <c r="HNK368" s="266"/>
      <c r="HNL368" s="591"/>
      <c r="HNM368" s="326"/>
      <c r="HNN368" s="362"/>
      <c r="HNO368" s="295"/>
      <c r="HNP368" s="656"/>
      <c r="HNQ368" s="286"/>
      <c r="HNR368" s="287"/>
      <c r="HNS368" s="296"/>
      <c r="HNT368" s="266"/>
      <c r="HNU368" s="591"/>
      <c r="HNV368" s="326"/>
      <c r="HNW368" s="362"/>
      <c r="HNX368" s="295"/>
      <c r="HNY368" s="656"/>
      <c r="HNZ368" s="286"/>
      <c r="HOA368" s="287"/>
      <c r="HOB368" s="296"/>
      <c r="HOC368" s="266"/>
      <c r="HOD368" s="591"/>
      <c r="HOE368" s="326"/>
      <c r="HOF368" s="362"/>
      <c r="HOG368" s="295"/>
      <c r="HOH368" s="656"/>
      <c r="HOI368" s="286"/>
      <c r="HOJ368" s="287"/>
      <c r="HOK368" s="296"/>
      <c r="HOL368" s="266"/>
      <c r="HOM368" s="591"/>
      <c r="HON368" s="326"/>
      <c r="HOO368" s="362"/>
      <c r="HOP368" s="295"/>
      <c r="HOQ368" s="656"/>
      <c r="HOR368" s="286"/>
      <c r="HOS368" s="287"/>
      <c r="HOT368" s="296"/>
      <c r="HOU368" s="266"/>
      <c r="HOV368" s="591"/>
      <c r="HOW368" s="326"/>
      <c r="HOX368" s="362"/>
      <c r="HOY368" s="295"/>
      <c r="HOZ368" s="656"/>
      <c r="HPA368" s="286"/>
      <c r="HPB368" s="287"/>
      <c r="HPC368" s="296"/>
      <c r="HPD368" s="266"/>
      <c r="HPE368" s="591"/>
      <c r="HPF368" s="326"/>
      <c r="HPG368" s="362"/>
      <c r="HPH368" s="295"/>
      <c r="HPI368" s="656"/>
      <c r="HPJ368" s="286"/>
      <c r="HPK368" s="287"/>
      <c r="HPL368" s="296"/>
      <c r="HPM368" s="266"/>
      <c r="HPN368" s="591"/>
      <c r="HPO368" s="326"/>
      <c r="HPP368" s="362"/>
      <c r="HPQ368" s="295"/>
      <c r="HPR368" s="656"/>
      <c r="HPS368" s="286"/>
      <c r="HPT368" s="287"/>
      <c r="HPU368" s="296"/>
      <c r="HPV368" s="266"/>
      <c r="HPW368" s="591"/>
      <c r="HPX368" s="326"/>
      <c r="HPY368" s="362"/>
      <c r="HPZ368" s="295"/>
      <c r="HQA368" s="656"/>
      <c r="HQB368" s="286"/>
      <c r="HQC368" s="287"/>
      <c r="HQD368" s="296"/>
      <c r="HQE368" s="266"/>
      <c r="HQF368" s="591"/>
      <c r="HQG368" s="326"/>
      <c r="HQH368" s="362"/>
      <c r="HQI368" s="295"/>
      <c r="HQJ368" s="656"/>
      <c r="HQK368" s="286"/>
      <c r="HQL368" s="287"/>
      <c r="HQM368" s="296"/>
      <c r="HQN368" s="266"/>
      <c r="HQO368" s="591"/>
      <c r="HQP368" s="326"/>
      <c r="HQQ368" s="362"/>
      <c r="HQR368" s="295"/>
      <c r="HQS368" s="656"/>
      <c r="HQT368" s="286"/>
      <c r="HQU368" s="287"/>
      <c r="HQV368" s="296"/>
      <c r="HQW368" s="266"/>
      <c r="HQX368" s="591"/>
      <c r="HQY368" s="326"/>
      <c r="HQZ368" s="362"/>
      <c r="HRA368" s="295"/>
      <c r="HRB368" s="656"/>
      <c r="HRC368" s="286"/>
      <c r="HRD368" s="287"/>
      <c r="HRE368" s="296"/>
      <c r="HRF368" s="266"/>
      <c r="HRG368" s="591"/>
      <c r="HRH368" s="326"/>
      <c r="HRI368" s="362"/>
      <c r="HRJ368" s="295"/>
      <c r="HRK368" s="656"/>
      <c r="HRL368" s="286"/>
      <c r="HRM368" s="287"/>
      <c r="HRN368" s="296"/>
      <c r="HRO368" s="266"/>
      <c r="HRP368" s="591"/>
      <c r="HRQ368" s="326"/>
      <c r="HRR368" s="362"/>
      <c r="HRS368" s="295"/>
      <c r="HRT368" s="656"/>
      <c r="HRU368" s="286"/>
      <c r="HRV368" s="287"/>
      <c r="HRW368" s="296"/>
      <c r="HRX368" s="266"/>
      <c r="HRY368" s="591"/>
      <c r="HRZ368" s="326"/>
      <c r="HSA368" s="362"/>
      <c r="HSB368" s="295"/>
      <c r="HSC368" s="656"/>
      <c r="HSD368" s="286"/>
      <c r="HSE368" s="287"/>
      <c r="HSF368" s="296"/>
      <c r="HSG368" s="266"/>
      <c r="HSH368" s="591"/>
      <c r="HSI368" s="326"/>
      <c r="HSJ368" s="362"/>
      <c r="HSK368" s="295"/>
      <c r="HSL368" s="656"/>
      <c r="HSM368" s="286"/>
      <c r="HSN368" s="287"/>
      <c r="HSO368" s="296"/>
      <c r="HSP368" s="266"/>
      <c r="HSQ368" s="591"/>
      <c r="HSR368" s="326"/>
      <c r="HSS368" s="362"/>
      <c r="HST368" s="295"/>
      <c r="HSU368" s="656"/>
      <c r="HSV368" s="286"/>
      <c r="HSW368" s="287"/>
      <c r="HSX368" s="296"/>
      <c r="HSY368" s="266"/>
      <c r="HSZ368" s="591"/>
      <c r="HTA368" s="326"/>
      <c r="HTB368" s="362"/>
      <c r="HTC368" s="295"/>
      <c r="HTD368" s="656"/>
      <c r="HTE368" s="286"/>
      <c r="HTF368" s="287"/>
      <c r="HTG368" s="296"/>
      <c r="HTH368" s="266"/>
      <c r="HTI368" s="591"/>
      <c r="HTJ368" s="326"/>
      <c r="HTK368" s="362"/>
      <c r="HTL368" s="295"/>
      <c r="HTM368" s="656"/>
      <c r="HTN368" s="286"/>
      <c r="HTO368" s="287"/>
      <c r="HTP368" s="296"/>
      <c r="HTQ368" s="266"/>
      <c r="HTR368" s="591"/>
      <c r="HTS368" s="326"/>
      <c r="HTT368" s="362"/>
      <c r="HTU368" s="295"/>
      <c r="HTV368" s="656"/>
      <c r="HTW368" s="286"/>
      <c r="HTX368" s="287"/>
      <c r="HTY368" s="296"/>
      <c r="HTZ368" s="266"/>
      <c r="HUA368" s="591"/>
      <c r="HUB368" s="326"/>
      <c r="HUC368" s="362"/>
      <c r="HUD368" s="295"/>
      <c r="HUE368" s="656"/>
      <c r="HUF368" s="286"/>
      <c r="HUG368" s="287"/>
      <c r="HUH368" s="296"/>
      <c r="HUI368" s="266"/>
      <c r="HUJ368" s="591"/>
      <c r="HUK368" s="326"/>
      <c r="HUL368" s="362"/>
      <c r="HUM368" s="295"/>
      <c r="HUN368" s="656"/>
      <c r="HUO368" s="286"/>
      <c r="HUP368" s="287"/>
      <c r="HUQ368" s="296"/>
      <c r="HUR368" s="266"/>
      <c r="HUS368" s="591"/>
      <c r="HUT368" s="326"/>
      <c r="HUU368" s="362"/>
      <c r="HUV368" s="295"/>
      <c r="HUW368" s="656"/>
      <c r="HUX368" s="286"/>
      <c r="HUY368" s="287"/>
      <c r="HUZ368" s="296"/>
      <c r="HVA368" s="266"/>
      <c r="HVB368" s="591"/>
      <c r="HVC368" s="326"/>
      <c r="HVD368" s="362"/>
      <c r="HVE368" s="295"/>
      <c r="HVF368" s="656"/>
      <c r="HVG368" s="286"/>
      <c r="HVH368" s="287"/>
      <c r="HVI368" s="296"/>
      <c r="HVJ368" s="266"/>
      <c r="HVK368" s="591"/>
      <c r="HVL368" s="326"/>
      <c r="HVM368" s="362"/>
      <c r="HVN368" s="295"/>
      <c r="HVO368" s="656"/>
      <c r="HVP368" s="286"/>
      <c r="HVQ368" s="287"/>
      <c r="HVR368" s="296"/>
      <c r="HVS368" s="266"/>
      <c r="HVT368" s="591"/>
      <c r="HVU368" s="326"/>
      <c r="HVV368" s="362"/>
      <c r="HVW368" s="295"/>
      <c r="HVX368" s="656"/>
      <c r="HVY368" s="286"/>
      <c r="HVZ368" s="287"/>
      <c r="HWA368" s="296"/>
      <c r="HWB368" s="266"/>
      <c r="HWC368" s="591"/>
      <c r="HWD368" s="326"/>
      <c r="HWE368" s="362"/>
      <c r="HWF368" s="295"/>
      <c r="HWG368" s="656"/>
      <c r="HWH368" s="286"/>
      <c r="HWI368" s="287"/>
      <c r="HWJ368" s="296"/>
      <c r="HWK368" s="266"/>
      <c r="HWL368" s="591"/>
      <c r="HWM368" s="326"/>
      <c r="HWN368" s="362"/>
      <c r="HWO368" s="295"/>
      <c r="HWP368" s="656"/>
      <c r="HWQ368" s="286"/>
      <c r="HWR368" s="287"/>
      <c r="HWS368" s="296"/>
      <c r="HWT368" s="266"/>
      <c r="HWU368" s="591"/>
      <c r="HWV368" s="326"/>
      <c r="HWW368" s="362"/>
      <c r="HWX368" s="295"/>
      <c r="HWY368" s="656"/>
      <c r="HWZ368" s="286"/>
      <c r="HXA368" s="287"/>
      <c r="HXB368" s="296"/>
      <c r="HXC368" s="266"/>
      <c r="HXD368" s="591"/>
      <c r="HXE368" s="326"/>
      <c r="HXF368" s="362"/>
      <c r="HXG368" s="295"/>
      <c r="HXH368" s="656"/>
      <c r="HXI368" s="286"/>
      <c r="HXJ368" s="287"/>
      <c r="HXK368" s="296"/>
      <c r="HXL368" s="266"/>
      <c r="HXM368" s="591"/>
      <c r="HXN368" s="326"/>
      <c r="HXO368" s="362"/>
      <c r="HXP368" s="295"/>
      <c r="HXQ368" s="656"/>
      <c r="HXR368" s="286"/>
      <c r="HXS368" s="287"/>
      <c r="HXT368" s="296"/>
      <c r="HXU368" s="266"/>
      <c r="HXV368" s="591"/>
      <c r="HXW368" s="326"/>
      <c r="HXX368" s="362"/>
      <c r="HXY368" s="295"/>
      <c r="HXZ368" s="656"/>
      <c r="HYA368" s="286"/>
      <c r="HYB368" s="287"/>
      <c r="HYC368" s="296"/>
      <c r="HYD368" s="266"/>
      <c r="HYE368" s="591"/>
      <c r="HYF368" s="326"/>
      <c r="HYG368" s="362"/>
      <c r="HYH368" s="295"/>
      <c r="HYI368" s="656"/>
      <c r="HYJ368" s="286"/>
      <c r="HYK368" s="287"/>
      <c r="HYL368" s="296"/>
      <c r="HYM368" s="266"/>
      <c r="HYN368" s="591"/>
      <c r="HYO368" s="326"/>
      <c r="HYP368" s="362"/>
      <c r="HYQ368" s="295"/>
      <c r="HYR368" s="656"/>
      <c r="HYS368" s="286"/>
      <c r="HYT368" s="287"/>
      <c r="HYU368" s="296"/>
      <c r="HYV368" s="266"/>
      <c r="HYW368" s="591"/>
      <c r="HYX368" s="326"/>
      <c r="HYY368" s="362"/>
      <c r="HYZ368" s="295"/>
      <c r="HZA368" s="656"/>
      <c r="HZB368" s="286"/>
      <c r="HZC368" s="287"/>
      <c r="HZD368" s="296"/>
      <c r="HZE368" s="266"/>
      <c r="HZF368" s="591"/>
      <c r="HZG368" s="326"/>
      <c r="HZH368" s="362"/>
      <c r="HZI368" s="295"/>
      <c r="HZJ368" s="656"/>
      <c r="HZK368" s="286"/>
      <c r="HZL368" s="287"/>
      <c r="HZM368" s="296"/>
      <c r="HZN368" s="266"/>
      <c r="HZO368" s="591"/>
      <c r="HZP368" s="326"/>
      <c r="HZQ368" s="362"/>
      <c r="HZR368" s="295"/>
      <c r="HZS368" s="656"/>
      <c r="HZT368" s="286"/>
      <c r="HZU368" s="287"/>
      <c r="HZV368" s="296"/>
      <c r="HZW368" s="266"/>
      <c r="HZX368" s="591"/>
      <c r="HZY368" s="326"/>
      <c r="HZZ368" s="362"/>
      <c r="IAA368" s="295"/>
      <c r="IAB368" s="656"/>
      <c r="IAC368" s="286"/>
      <c r="IAD368" s="287"/>
      <c r="IAE368" s="296"/>
      <c r="IAF368" s="266"/>
      <c r="IAG368" s="591"/>
      <c r="IAH368" s="326"/>
      <c r="IAI368" s="362"/>
      <c r="IAJ368" s="295"/>
      <c r="IAK368" s="656"/>
      <c r="IAL368" s="286"/>
      <c r="IAM368" s="287"/>
      <c r="IAN368" s="296"/>
      <c r="IAO368" s="266"/>
      <c r="IAP368" s="591"/>
      <c r="IAQ368" s="326"/>
      <c r="IAR368" s="362"/>
      <c r="IAS368" s="295"/>
      <c r="IAT368" s="656"/>
      <c r="IAU368" s="286"/>
      <c r="IAV368" s="287"/>
      <c r="IAW368" s="296"/>
      <c r="IAX368" s="266"/>
      <c r="IAY368" s="591"/>
      <c r="IAZ368" s="326"/>
      <c r="IBA368" s="362"/>
      <c r="IBB368" s="295"/>
      <c r="IBC368" s="656"/>
      <c r="IBD368" s="286"/>
      <c r="IBE368" s="287"/>
      <c r="IBF368" s="296"/>
      <c r="IBG368" s="266"/>
      <c r="IBH368" s="591"/>
      <c r="IBI368" s="326"/>
      <c r="IBJ368" s="362"/>
      <c r="IBK368" s="295"/>
      <c r="IBL368" s="656"/>
      <c r="IBM368" s="286"/>
      <c r="IBN368" s="287"/>
      <c r="IBO368" s="296"/>
      <c r="IBP368" s="266"/>
      <c r="IBQ368" s="591"/>
      <c r="IBR368" s="326"/>
      <c r="IBS368" s="362"/>
      <c r="IBT368" s="295"/>
      <c r="IBU368" s="656"/>
      <c r="IBV368" s="286"/>
      <c r="IBW368" s="287"/>
      <c r="IBX368" s="296"/>
      <c r="IBY368" s="266"/>
      <c r="IBZ368" s="591"/>
      <c r="ICA368" s="326"/>
      <c r="ICB368" s="362"/>
      <c r="ICC368" s="295"/>
      <c r="ICD368" s="656"/>
      <c r="ICE368" s="286"/>
      <c r="ICF368" s="287"/>
      <c r="ICG368" s="296"/>
      <c r="ICH368" s="266"/>
      <c r="ICI368" s="591"/>
      <c r="ICJ368" s="326"/>
      <c r="ICK368" s="362"/>
      <c r="ICL368" s="295"/>
      <c r="ICM368" s="656"/>
      <c r="ICN368" s="286"/>
      <c r="ICO368" s="287"/>
      <c r="ICP368" s="296"/>
      <c r="ICQ368" s="266"/>
      <c r="ICR368" s="591"/>
      <c r="ICS368" s="326"/>
      <c r="ICT368" s="362"/>
      <c r="ICU368" s="295"/>
      <c r="ICV368" s="656"/>
      <c r="ICW368" s="286"/>
      <c r="ICX368" s="287"/>
      <c r="ICY368" s="296"/>
      <c r="ICZ368" s="266"/>
      <c r="IDA368" s="591"/>
      <c r="IDB368" s="326"/>
      <c r="IDC368" s="362"/>
      <c r="IDD368" s="295"/>
      <c r="IDE368" s="656"/>
      <c r="IDF368" s="286"/>
      <c r="IDG368" s="287"/>
      <c r="IDH368" s="296"/>
      <c r="IDI368" s="266"/>
      <c r="IDJ368" s="591"/>
      <c r="IDK368" s="326"/>
      <c r="IDL368" s="362"/>
      <c r="IDM368" s="295"/>
      <c r="IDN368" s="656"/>
      <c r="IDO368" s="286"/>
      <c r="IDP368" s="287"/>
      <c r="IDQ368" s="296"/>
      <c r="IDR368" s="266"/>
      <c r="IDS368" s="591"/>
      <c r="IDT368" s="326"/>
      <c r="IDU368" s="362"/>
      <c r="IDV368" s="295"/>
      <c r="IDW368" s="656"/>
      <c r="IDX368" s="286"/>
      <c r="IDY368" s="287"/>
      <c r="IDZ368" s="296"/>
      <c r="IEA368" s="266"/>
      <c r="IEB368" s="591"/>
      <c r="IEC368" s="326"/>
      <c r="IED368" s="362"/>
      <c r="IEE368" s="295"/>
      <c r="IEF368" s="656"/>
      <c r="IEG368" s="286"/>
      <c r="IEH368" s="287"/>
      <c r="IEI368" s="296"/>
      <c r="IEJ368" s="266"/>
      <c r="IEK368" s="591"/>
      <c r="IEL368" s="326"/>
      <c r="IEM368" s="362"/>
      <c r="IEN368" s="295"/>
      <c r="IEO368" s="656"/>
      <c r="IEP368" s="286"/>
      <c r="IEQ368" s="287"/>
      <c r="IER368" s="296"/>
      <c r="IES368" s="266"/>
      <c r="IET368" s="591"/>
      <c r="IEU368" s="326"/>
      <c r="IEV368" s="362"/>
      <c r="IEW368" s="295"/>
      <c r="IEX368" s="656"/>
      <c r="IEY368" s="286"/>
      <c r="IEZ368" s="287"/>
      <c r="IFA368" s="296"/>
      <c r="IFB368" s="266"/>
      <c r="IFC368" s="591"/>
      <c r="IFD368" s="326"/>
      <c r="IFE368" s="362"/>
      <c r="IFF368" s="295"/>
      <c r="IFG368" s="656"/>
      <c r="IFH368" s="286"/>
      <c r="IFI368" s="287"/>
      <c r="IFJ368" s="296"/>
      <c r="IFK368" s="266"/>
      <c r="IFL368" s="591"/>
      <c r="IFM368" s="326"/>
      <c r="IFN368" s="362"/>
      <c r="IFO368" s="295"/>
      <c r="IFP368" s="656"/>
      <c r="IFQ368" s="286"/>
      <c r="IFR368" s="287"/>
      <c r="IFS368" s="296"/>
      <c r="IFT368" s="266"/>
      <c r="IFU368" s="591"/>
      <c r="IFV368" s="326"/>
      <c r="IFW368" s="362"/>
      <c r="IFX368" s="295"/>
      <c r="IFY368" s="656"/>
      <c r="IFZ368" s="286"/>
      <c r="IGA368" s="287"/>
      <c r="IGB368" s="296"/>
      <c r="IGC368" s="266"/>
      <c r="IGD368" s="591"/>
      <c r="IGE368" s="326"/>
      <c r="IGF368" s="362"/>
      <c r="IGG368" s="295"/>
      <c r="IGH368" s="656"/>
      <c r="IGI368" s="286"/>
      <c r="IGJ368" s="287"/>
      <c r="IGK368" s="296"/>
      <c r="IGL368" s="266"/>
      <c r="IGM368" s="591"/>
      <c r="IGN368" s="326"/>
      <c r="IGO368" s="362"/>
      <c r="IGP368" s="295"/>
      <c r="IGQ368" s="656"/>
      <c r="IGR368" s="286"/>
      <c r="IGS368" s="287"/>
      <c r="IGT368" s="296"/>
      <c r="IGU368" s="266"/>
      <c r="IGV368" s="591"/>
      <c r="IGW368" s="326"/>
      <c r="IGX368" s="362"/>
      <c r="IGY368" s="295"/>
      <c r="IGZ368" s="656"/>
      <c r="IHA368" s="286"/>
      <c r="IHB368" s="287"/>
      <c r="IHC368" s="296"/>
      <c r="IHD368" s="266"/>
      <c r="IHE368" s="591"/>
      <c r="IHF368" s="326"/>
      <c r="IHG368" s="362"/>
      <c r="IHH368" s="295"/>
      <c r="IHI368" s="656"/>
      <c r="IHJ368" s="286"/>
      <c r="IHK368" s="287"/>
      <c r="IHL368" s="296"/>
      <c r="IHM368" s="266"/>
      <c r="IHN368" s="591"/>
      <c r="IHO368" s="326"/>
      <c r="IHP368" s="362"/>
      <c r="IHQ368" s="295"/>
      <c r="IHR368" s="656"/>
      <c r="IHS368" s="286"/>
      <c r="IHT368" s="287"/>
      <c r="IHU368" s="296"/>
      <c r="IHV368" s="266"/>
      <c r="IHW368" s="591"/>
      <c r="IHX368" s="326"/>
      <c r="IHY368" s="362"/>
      <c r="IHZ368" s="295"/>
      <c r="IIA368" s="656"/>
      <c r="IIB368" s="286"/>
      <c r="IIC368" s="287"/>
      <c r="IID368" s="296"/>
      <c r="IIE368" s="266"/>
      <c r="IIF368" s="591"/>
      <c r="IIG368" s="326"/>
      <c r="IIH368" s="362"/>
      <c r="III368" s="295"/>
      <c r="IIJ368" s="656"/>
      <c r="IIK368" s="286"/>
      <c r="IIL368" s="287"/>
      <c r="IIM368" s="296"/>
      <c r="IIN368" s="266"/>
      <c r="IIO368" s="591"/>
      <c r="IIP368" s="326"/>
      <c r="IIQ368" s="362"/>
      <c r="IIR368" s="295"/>
      <c r="IIS368" s="656"/>
      <c r="IIT368" s="286"/>
      <c r="IIU368" s="287"/>
      <c r="IIV368" s="296"/>
      <c r="IIW368" s="266"/>
      <c r="IIX368" s="591"/>
      <c r="IIY368" s="326"/>
      <c r="IIZ368" s="362"/>
      <c r="IJA368" s="295"/>
      <c r="IJB368" s="656"/>
      <c r="IJC368" s="286"/>
      <c r="IJD368" s="287"/>
      <c r="IJE368" s="296"/>
      <c r="IJF368" s="266"/>
      <c r="IJG368" s="591"/>
      <c r="IJH368" s="326"/>
      <c r="IJI368" s="362"/>
      <c r="IJJ368" s="295"/>
      <c r="IJK368" s="656"/>
      <c r="IJL368" s="286"/>
      <c r="IJM368" s="287"/>
      <c r="IJN368" s="296"/>
      <c r="IJO368" s="266"/>
      <c r="IJP368" s="591"/>
      <c r="IJQ368" s="326"/>
      <c r="IJR368" s="362"/>
      <c r="IJS368" s="295"/>
      <c r="IJT368" s="656"/>
      <c r="IJU368" s="286"/>
      <c r="IJV368" s="287"/>
      <c r="IJW368" s="296"/>
      <c r="IJX368" s="266"/>
      <c r="IJY368" s="591"/>
      <c r="IJZ368" s="326"/>
      <c r="IKA368" s="362"/>
      <c r="IKB368" s="295"/>
      <c r="IKC368" s="656"/>
      <c r="IKD368" s="286"/>
      <c r="IKE368" s="287"/>
      <c r="IKF368" s="296"/>
      <c r="IKG368" s="266"/>
      <c r="IKH368" s="591"/>
      <c r="IKI368" s="326"/>
      <c r="IKJ368" s="362"/>
      <c r="IKK368" s="295"/>
      <c r="IKL368" s="656"/>
      <c r="IKM368" s="286"/>
      <c r="IKN368" s="287"/>
      <c r="IKO368" s="296"/>
      <c r="IKP368" s="266"/>
      <c r="IKQ368" s="591"/>
      <c r="IKR368" s="326"/>
      <c r="IKS368" s="362"/>
      <c r="IKT368" s="295"/>
      <c r="IKU368" s="656"/>
      <c r="IKV368" s="286"/>
      <c r="IKW368" s="287"/>
      <c r="IKX368" s="296"/>
      <c r="IKY368" s="266"/>
      <c r="IKZ368" s="591"/>
      <c r="ILA368" s="326"/>
      <c r="ILB368" s="362"/>
      <c r="ILC368" s="295"/>
      <c r="ILD368" s="656"/>
      <c r="ILE368" s="286"/>
      <c r="ILF368" s="287"/>
      <c r="ILG368" s="296"/>
      <c r="ILH368" s="266"/>
      <c r="ILI368" s="591"/>
      <c r="ILJ368" s="326"/>
      <c r="ILK368" s="362"/>
      <c r="ILL368" s="295"/>
      <c r="ILM368" s="656"/>
      <c r="ILN368" s="286"/>
      <c r="ILO368" s="287"/>
      <c r="ILP368" s="296"/>
      <c r="ILQ368" s="266"/>
      <c r="ILR368" s="591"/>
      <c r="ILS368" s="326"/>
      <c r="ILT368" s="362"/>
      <c r="ILU368" s="295"/>
      <c r="ILV368" s="656"/>
      <c r="ILW368" s="286"/>
      <c r="ILX368" s="287"/>
      <c r="ILY368" s="296"/>
      <c r="ILZ368" s="266"/>
      <c r="IMA368" s="591"/>
      <c r="IMB368" s="326"/>
      <c r="IMC368" s="362"/>
      <c r="IMD368" s="295"/>
      <c r="IME368" s="656"/>
      <c r="IMF368" s="286"/>
      <c r="IMG368" s="287"/>
      <c r="IMH368" s="296"/>
      <c r="IMI368" s="266"/>
      <c r="IMJ368" s="591"/>
      <c r="IMK368" s="326"/>
      <c r="IML368" s="362"/>
      <c r="IMM368" s="295"/>
      <c r="IMN368" s="656"/>
      <c r="IMO368" s="286"/>
      <c r="IMP368" s="287"/>
      <c r="IMQ368" s="296"/>
      <c r="IMR368" s="266"/>
      <c r="IMS368" s="591"/>
      <c r="IMT368" s="326"/>
      <c r="IMU368" s="362"/>
      <c r="IMV368" s="295"/>
      <c r="IMW368" s="656"/>
      <c r="IMX368" s="286"/>
      <c r="IMY368" s="287"/>
      <c r="IMZ368" s="296"/>
      <c r="INA368" s="266"/>
      <c r="INB368" s="591"/>
      <c r="INC368" s="326"/>
      <c r="IND368" s="362"/>
      <c r="INE368" s="295"/>
      <c r="INF368" s="656"/>
      <c r="ING368" s="286"/>
      <c r="INH368" s="287"/>
      <c r="INI368" s="296"/>
      <c r="INJ368" s="266"/>
      <c r="INK368" s="591"/>
      <c r="INL368" s="326"/>
      <c r="INM368" s="362"/>
      <c r="INN368" s="295"/>
      <c r="INO368" s="656"/>
      <c r="INP368" s="286"/>
      <c r="INQ368" s="287"/>
      <c r="INR368" s="296"/>
      <c r="INS368" s="266"/>
      <c r="INT368" s="591"/>
      <c r="INU368" s="326"/>
      <c r="INV368" s="362"/>
      <c r="INW368" s="295"/>
      <c r="INX368" s="656"/>
      <c r="INY368" s="286"/>
      <c r="INZ368" s="287"/>
      <c r="IOA368" s="296"/>
      <c r="IOB368" s="266"/>
      <c r="IOC368" s="591"/>
      <c r="IOD368" s="326"/>
      <c r="IOE368" s="362"/>
      <c r="IOF368" s="295"/>
      <c r="IOG368" s="656"/>
      <c r="IOH368" s="286"/>
      <c r="IOI368" s="287"/>
      <c r="IOJ368" s="296"/>
      <c r="IOK368" s="266"/>
      <c r="IOL368" s="591"/>
      <c r="IOM368" s="326"/>
      <c r="ION368" s="362"/>
      <c r="IOO368" s="295"/>
      <c r="IOP368" s="656"/>
      <c r="IOQ368" s="286"/>
      <c r="IOR368" s="287"/>
      <c r="IOS368" s="296"/>
      <c r="IOT368" s="266"/>
      <c r="IOU368" s="591"/>
      <c r="IOV368" s="326"/>
      <c r="IOW368" s="362"/>
      <c r="IOX368" s="295"/>
      <c r="IOY368" s="656"/>
      <c r="IOZ368" s="286"/>
      <c r="IPA368" s="287"/>
      <c r="IPB368" s="296"/>
      <c r="IPC368" s="266"/>
      <c r="IPD368" s="591"/>
      <c r="IPE368" s="326"/>
      <c r="IPF368" s="362"/>
      <c r="IPG368" s="295"/>
      <c r="IPH368" s="656"/>
      <c r="IPI368" s="286"/>
      <c r="IPJ368" s="287"/>
      <c r="IPK368" s="296"/>
      <c r="IPL368" s="266"/>
      <c r="IPM368" s="591"/>
      <c r="IPN368" s="326"/>
      <c r="IPO368" s="362"/>
      <c r="IPP368" s="295"/>
      <c r="IPQ368" s="656"/>
      <c r="IPR368" s="286"/>
      <c r="IPS368" s="287"/>
      <c r="IPT368" s="296"/>
      <c r="IPU368" s="266"/>
      <c r="IPV368" s="591"/>
      <c r="IPW368" s="326"/>
      <c r="IPX368" s="362"/>
      <c r="IPY368" s="295"/>
      <c r="IPZ368" s="656"/>
      <c r="IQA368" s="286"/>
      <c r="IQB368" s="287"/>
      <c r="IQC368" s="296"/>
      <c r="IQD368" s="266"/>
      <c r="IQE368" s="591"/>
      <c r="IQF368" s="326"/>
      <c r="IQG368" s="362"/>
      <c r="IQH368" s="295"/>
      <c r="IQI368" s="656"/>
      <c r="IQJ368" s="286"/>
      <c r="IQK368" s="287"/>
      <c r="IQL368" s="296"/>
      <c r="IQM368" s="266"/>
      <c r="IQN368" s="591"/>
      <c r="IQO368" s="326"/>
      <c r="IQP368" s="362"/>
      <c r="IQQ368" s="295"/>
      <c r="IQR368" s="656"/>
      <c r="IQS368" s="286"/>
      <c r="IQT368" s="287"/>
      <c r="IQU368" s="296"/>
      <c r="IQV368" s="266"/>
      <c r="IQW368" s="591"/>
      <c r="IQX368" s="326"/>
      <c r="IQY368" s="362"/>
      <c r="IQZ368" s="295"/>
      <c r="IRA368" s="656"/>
      <c r="IRB368" s="286"/>
      <c r="IRC368" s="287"/>
      <c r="IRD368" s="296"/>
      <c r="IRE368" s="266"/>
      <c r="IRF368" s="591"/>
      <c r="IRG368" s="326"/>
      <c r="IRH368" s="362"/>
      <c r="IRI368" s="295"/>
      <c r="IRJ368" s="656"/>
      <c r="IRK368" s="286"/>
      <c r="IRL368" s="287"/>
      <c r="IRM368" s="296"/>
      <c r="IRN368" s="266"/>
      <c r="IRO368" s="591"/>
      <c r="IRP368" s="326"/>
      <c r="IRQ368" s="362"/>
      <c r="IRR368" s="295"/>
      <c r="IRS368" s="656"/>
      <c r="IRT368" s="286"/>
      <c r="IRU368" s="287"/>
      <c r="IRV368" s="296"/>
      <c r="IRW368" s="266"/>
      <c r="IRX368" s="591"/>
      <c r="IRY368" s="326"/>
      <c r="IRZ368" s="362"/>
      <c r="ISA368" s="295"/>
      <c r="ISB368" s="656"/>
      <c r="ISC368" s="286"/>
      <c r="ISD368" s="287"/>
      <c r="ISE368" s="296"/>
      <c r="ISF368" s="266"/>
      <c r="ISG368" s="591"/>
      <c r="ISH368" s="326"/>
      <c r="ISI368" s="362"/>
      <c r="ISJ368" s="295"/>
      <c r="ISK368" s="656"/>
      <c r="ISL368" s="286"/>
      <c r="ISM368" s="287"/>
      <c r="ISN368" s="296"/>
      <c r="ISO368" s="266"/>
      <c r="ISP368" s="591"/>
      <c r="ISQ368" s="326"/>
      <c r="ISR368" s="362"/>
      <c r="ISS368" s="295"/>
      <c r="IST368" s="656"/>
      <c r="ISU368" s="286"/>
      <c r="ISV368" s="287"/>
      <c r="ISW368" s="296"/>
      <c r="ISX368" s="266"/>
      <c r="ISY368" s="591"/>
      <c r="ISZ368" s="326"/>
      <c r="ITA368" s="362"/>
      <c r="ITB368" s="295"/>
      <c r="ITC368" s="656"/>
      <c r="ITD368" s="286"/>
      <c r="ITE368" s="287"/>
      <c r="ITF368" s="296"/>
      <c r="ITG368" s="266"/>
      <c r="ITH368" s="591"/>
      <c r="ITI368" s="326"/>
      <c r="ITJ368" s="362"/>
      <c r="ITK368" s="295"/>
      <c r="ITL368" s="656"/>
      <c r="ITM368" s="286"/>
      <c r="ITN368" s="287"/>
      <c r="ITO368" s="296"/>
      <c r="ITP368" s="266"/>
      <c r="ITQ368" s="591"/>
      <c r="ITR368" s="326"/>
      <c r="ITS368" s="362"/>
      <c r="ITT368" s="295"/>
      <c r="ITU368" s="656"/>
      <c r="ITV368" s="286"/>
      <c r="ITW368" s="287"/>
      <c r="ITX368" s="296"/>
      <c r="ITY368" s="266"/>
      <c r="ITZ368" s="591"/>
      <c r="IUA368" s="326"/>
      <c r="IUB368" s="362"/>
      <c r="IUC368" s="295"/>
      <c r="IUD368" s="656"/>
      <c r="IUE368" s="286"/>
      <c r="IUF368" s="287"/>
      <c r="IUG368" s="296"/>
      <c r="IUH368" s="266"/>
      <c r="IUI368" s="591"/>
      <c r="IUJ368" s="326"/>
      <c r="IUK368" s="362"/>
      <c r="IUL368" s="295"/>
      <c r="IUM368" s="656"/>
      <c r="IUN368" s="286"/>
      <c r="IUO368" s="287"/>
      <c r="IUP368" s="296"/>
      <c r="IUQ368" s="266"/>
      <c r="IUR368" s="591"/>
      <c r="IUS368" s="326"/>
      <c r="IUT368" s="362"/>
      <c r="IUU368" s="295"/>
      <c r="IUV368" s="656"/>
      <c r="IUW368" s="286"/>
      <c r="IUX368" s="287"/>
      <c r="IUY368" s="296"/>
      <c r="IUZ368" s="266"/>
      <c r="IVA368" s="591"/>
      <c r="IVB368" s="326"/>
      <c r="IVC368" s="362"/>
      <c r="IVD368" s="295"/>
      <c r="IVE368" s="656"/>
      <c r="IVF368" s="286"/>
      <c r="IVG368" s="287"/>
      <c r="IVH368" s="296"/>
      <c r="IVI368" s="266"/>
      <c r="IVJ368" s="591"/>
      <c r="IVK368" s="326"/>
      <c r="IVL368" s="362"/>
      <c r="IVM368" s="295"/>
      <c r="IVN368" s="656"/>
      <c r="IVO368" s="286"/>
      <c r="IVP368" s="287"/>
      <c r="IVQ368" s="296"/>
      <c r="IVR368" s="266"/>
      <c r="IVS368" s="591"/>
      <c r="IVT368" s="326"/>
      <c r="IVU368" s="362"/>
      <c r="IVV368" s="295"/>
      <c r="IVW368" s="656"/>
      <c r="IVX368" s="286"/>
      <c r="IVY368" s="287"/>
      <c r="IVZ368" s="296"/>
      <c r="IWA368" s="266"/>
      <c r="IWB368" s="591"/>
      <c r="IWC368" s="326"/>
      <c r="IWD368" s="362"/>
      <c r="IWE368" s="295"/>
      <c r="IWF368" s="656"/>
      <c r="IWG368" s="286"/>
      <c r="IWH368" s="287"/>
      <c r="IWI368" s="296"/>
      <c r="IWJ368" s="266"/>
      <c r="IWK368" s="591"/>
      <c r="IWL368" s="326"/>
      <c r="IWM368" s="362"/>
      <c r="IWN368" s="295"/>
      <c r="IWO368" s="656"/>
      <c r="IWP368" s="286"/>
      <c r="IWQ368" s="287"/>
      <c r="IWR368" s="296"/>
      <c r="IWS368" s="266"/>
      <c r="IWT368" s="591"/>
      <c r="IWU368" s="326"/>
      <c r="IWV368" s="362"/>
      <c r="IWW368" s="295"/>
      <c r="IWX368" s="656"/>
      <c r="IWY368" s="286"/>
      <c r="IWZ368" s="287"/>
      <c r="IXA368" s="296"/>
      <c r="IXB368" s="266"/>
      <c r="IXC368" s="591"/>
      <c r="IXD368" s="326"/>
      <c r="IXE368" s="362"/>
      <c r="IXF368" s="295"/>
      <c r="IXG368" s="656"/>
      <c r="IXH368" s="286"/>
      <c r="IXI368" s="287"/>
      <c r="IXJ368" s="296"/>
      <c r="IXK368" s="266"/>
      <c r="IXL368" s="591"/>
      <c r="IXM368" s="326"/>
      <c r="IXN368" s="362"/>
      <c r="IXO368" s="295"/>
      <c r="IXP368" s="656"/>
      <c r="IXQ368" s="286"/>
      <c r="IXR368" s="287"/>
      <c r="IXS368" s="296"/>
      <c r="IXT368" s="266"/>
      <c r="IXU368" s="591"/>
      <c r="IXV368" s="326"/>
      <c r="IXW368" s="362"/>
      <c r="IXX368" s="295"/>
      <c r="IXY368" s="656"/>
      <c r="IXZ368" s="286"/>
      <c r="IYA368" s="287"/>
      <c r="IYB368" s="296"/>
      <c r="IYC368" s="266"/>
      <c r="IYD368" s="591"/>
      <c r="IYE368" s="326"/>
      <c r="IYF368" s="362"/>
      <c r="IYG368" s="295"/>
      <c r="IYH368" s="656"/>
      <c r="IYI368" s="286"/>
      <c r="IYJ368" s="287"/>
      <c r="IYK368" s="296"/>
      <c r="IYL368" s="266"/>
      <c r="IYM368" s="591"/>
      <c r="IYN368" s="326"/>
      <c r="IYO368" s="362"/>
      <c r="IYP368" s="295"/>
      <c r="IYQ368" s="656"/>
      <c r="IYR368" s="286"/>
      <c r="IYS368" s="287"/>
      <c r="IYT368" s="296"/>
      <c r="IYU368" s="266"/>
      <c r="IYV368" s="591"/>
      <c r="IYW368" s="326"/>
      <c r="IYX368" s="362"/>
      <c r="IYY368" s="295"/>
      <c r="IYZ368" s="656"/>
      <c r="IZA368" s="286"/>
      <c r="IZB368" s="287"/>
      <c r="IZC368" s="296"/>
      <c r="IZD368" s="266"/>
      <c r="IZE368" s="591"/>
      <c r="IZF368" s="326"/>
      <c r="IZG368" s="362"/>
      <c r="IZH368" s="295"/>
      <c r="IZI368" s="656"/>
      <c r="IZJ368" s="286"/>
      <c r="IZK368" s="287"/>
      <c r="IZL368" s="296"/>
      <c r="IZM368" s="266"/>
      <c r="IZN368" s="591"/>
      <c r="IZO368" s="326"/>
      <c r="IZP368" s="362"/>
      <c r="IZQ368" s="295"/>
      <c r="IZR368" s="656"/>
      <c r="IZS368" s="286"/>
      <c r="IZT368" s="287"/>
      <c r="IZU368" s="296"/>
      <c r="IZV368" s="266"/>
      <c r="IZW368" s="591"/>
      <c r="IZX368" s="326"/>
      <c r="IZY368" s="362"/>
      <c r="IZZ368" s="295"/>
      <c r="JAA368" s="656"/>
      <c r="JAB368" s="286"/>
      <c r="JAC368" s="287"/>
      <c r="JAD368" s="296"/>
      <c r="JAE368" s="266"/>
      <c r="JAF368" s="591"/>
      <c r="JAG368" s="326"/>
      <c r="JAH368" s="362"/>
      <c r="JAI368" s="295"/>
      <c r="JAJ368" s="656"/>
      <c r="JAK368" s="286"/>
      <c r="JAL368" s="287"/>
      <c r="JAM368" s="296"/>
      <c r="JAN368" s="266"/>
      <c r="JAO368" s="591"/>
      <c r="JAP368" s="326"/>
      <c r="JAQ368" s="362"/>
      <c r="JAR368" s="295"/>
      <c r="JAS368" s="656"/>
      <c r="JAT368" s="286"/>
      <c r="JAU368" s="287"/>
      <c r="JAV368" s="296"/>
      <c r="JAW368" s="266"/>
      <c r="JAX368" s="591"/>
      <c r="JAY368" s="326"/>
      <c r="JAZ368" s="362"/>
      <c r="JBA368" s="295"/>
      <c r="JBB368" s="656"/>
      <c r="JBC368" s="286"/>
      <c r="JBD368" s="287"/>
      <c r="JBE368" s="296"/>
      <c r="JBF368" s="266"/>
      <c r="JBG368" s="591"/>
      <c r="JBH368" s="326"/>
      <c r="JBI368" s="362"/>
      <c r="JBJ368" s="295"/>
      <c r="JBK368" s="656"/>
      <c r="JBL368" s="286"/>
      <c r="JBM368" s="287"/>
      <c r="JBN368" s="296"/>
      <c r="JBO368" s="266"/>
      <c r="JBP368" s="591"/>
      <c r="JBQ368" s="326"/>
      <c r="JBR368" s="362"/>
      <c r="JBS368" s="295"/>
      <c r="JBT368" s="656"/>
      <c r="JBU368" s="286"/>
      <c r="JBV368" s="287"/>
      <c r="JBW368" s="296"/>
      <c r="JBX368" s="266"/>
      <c r="JBY368" s="591"/>
      <c r="JBZ368" s="326"/>
      <c r="JCA368" s="362"/>
      <c r="JCB368" s="295"/>
      <c r="JCC368" s="656"/>
      <c r="JCD368" s="286"/>
      <c r="JCE368" s="287"/>
      <c r="JCF368" s="296"/>
      <c r="JCG368" s="266"/>
      <c r="JCH368" s="591"/>
      <c r="JCI368" s="326"/>
      <c r="JCJ368" s="362"/>
      <c r="JCK368" s="295"/>
      <c r="JCL368" s="656"/>
      <c r="JCM368" s="286"/>
      <c r="JCN368" s="287"/>
      <c r="JCO368" s="296"/>
      <c r="JCP368" s="266"/>
      <c r="JCQ368" s="591"/>
      <c r="JCR368" s="326"/>
      <c r="JCS368" s="362"/>
      <c r="JCT368" s="295"/>
      <c r="JCU368" s="656"/>
      <c r="JCV368" s="286"/>
      <c r="JCW368" s="287"/>
      <c r="JCX368" s="296"/>
      <c r="JCY368" s="266"/>
      <c r="JCZ368" s="591"/>
      <c r="JDA368" s="326"/>
      <c r="JDB368" s="362"/>
      <c r="JDC368" s="295"/>
      <c r="JDD368" s="656"/>
      <c r="JDE368" s="286"/>
      <c r="JDF368" s="287"/>
      <c r="JDG368" s="296"/>
      <c r="JDH368" s="266"/>
      <c r="JDI368" s="591"/>
      <c r="JDJ368" s="326"/>
      <c r="JDK368" s="362"/>
      <c r="JDL368" s="295"/>
      <c r="JDM368" s="656"/>
      <c r="JDN368" s="286"/>
      <c r="JDO368" s="287"/>
      <c r="JDP368" s="296"/>
      <c r="JDQ368" s="266"/>
      <c r="JDR368" s="591"/>
      <c r="JDS368" s="326"/>
      <c r="JDT368" s="362"/>
      <c r="JDU368" s="295"/>
      <c r="JDV368" s="656"/>
      <c r="JDW368" s="286"/>
      <c r="JDX368" s="287"/>
      <c r="JDY368" s="296"/>
      <c r="JDZ368" s="266"/>
      <c r="JEA368" s="591"/>
      <c r="JEB368" s="326"/>
      <c r="JEC368" s="362"/>
      <c r="JED368" s="295"/>
      <c r="JEE368" s="656"/>
      <c r="JEF368" s="286"/>
      <c r="JEG368" s="287"/>
      <c r="JEH368" s="296"/>
      <c r="JEI368" s="266"/>
      <c r="JEJ368" s="591"/>
      <c r="JEK368" s="326"/>
      <c r="JEL368" s="362"/>
      <c r="JEM368" s="295"/>
      <c r="JEN368" s="656"/>
      <c r="JEO368" s="286"/>
      <c r="JEP368" s="287"/>
      <c r="JEQ368" s="296"/>
      <c r="JER368" s="266"/>
      <c r="JES368" s="591"/>
      <c r="JET368" s="326"/>
      <c r="JEU368" s="362"/>
      <c r="JEV368" s="295"/>
      <c r="JEW368" s="656"/>
      <c r="JEX368" s="286"/>
      <c r="JEY368" s="287"/>
      <c r="JEZ368" s="296"/>
      <c r="JFA368" s="266"/>
      <c r="JFB368" s="591"/>
      <c r="JFC368" s="326"/>
      <c r="JFD368" s="362"/>
      <c r="JFE368" s="295"/>
      <c r="JFF368" s="656"/>
      <c r="JFG368" s="286"/>
      <c r="JFH368" s="287"/>
      <c r="JFI368" s="296"/>
      <c r="JFJ368" s="266"/>
      <c r="JFK368" s="591"/>
      <c r="JFL368" s="326"/>
      <c r="JFM368" s="362"/>
      <c r="JFN368" s="295"/>
      <c r="JFO368" s="656"/>
      <c r="JFP368" s="286"/>
      <c r="JFQ368" s="287"/>
      <c r="JFR368" s="296"/>
      <c r="JFS368" s="266"/>
      <c r="JFT368" s="591"/>
      <c r="JFU368" s="326"/>
      <c r="JFV368" s="362"/>
      <c r="JFW368" s="295"/>
      <c r="JFX368" s="656"/>
      <c r="JFY368" s="286"/>
      <c r="JFZ368" s="287"/>
      <c r="JGA368" s="296"/>
      <c r="JGB368" s="266"/>
      <c r="JGC368" s="591"/>
      <c r="JGD368" s="326"/>
      <c r="JGE368" s="362"/>
      <c r="JGF368" s="295"/>
      <c r="JGG368" s="656"/>
      <c r="JGH368" s="286"/>
      <c r="JGI368" s="287"/>
      <c r="JGJ368" s="296"/>
      <c r="JGK368" s="266"/>
      <c r="JGL368" s="591"/>
      <c r="JGM368" s="326"/>
      <c r="JGN368" s="362"/>
      <c r="JGO368" s="295"/>
      <c r="JGP368" s="656"/>
      <c r="JGQ368" s="286"/>
      <c r="JGR368" s="287"/>
      <c r="JGS368" s="296"/>
      <c r="JGT368" s="266"/>
      <c r="JGU368" s="591"/>
      <c r="JGV368" s="326"/>
      <c r="JGW368" s="362"/>
      <c r="JGX368" s="295"/>
      <c r="JGY368" s="656"/>
      <c r="JGZ368" s="286"/>
      <c r="JHA368" s="287"/>
      <c r="JHB368" s="296"/>
      <c r="JHC368" s="266"/>
      <c r="JHD368" s="591"/>
      <c r="JHE368" s="326"/>
      <c r="JHF368" s="362"/>
      <c r="JHG368" s="295"/>
      <c r="JHH368" s="656"/>
      <c r="JHI368" s="286"/>
      <c r="JHJ368" s="287"/>
      <c r="JHK368" s="296"/>
      <c r="JHL368" s="266"/>
      <c r="JHM368" s="591"/>
      <c r="JHN368" s="326"/>
      <c r="JHO368" s="362"/>
      <c r="JHP368" s="295"/>
      <c r="JHQ368" s="656"/>
      <c r="JHR368" s="286"/>
      <c r="JHS368" s="287"/>
      <c r="JHT368" s="296"/>
      <c r="JHU368" s="266"/>
      <c r="JHV368" s="591"/>
      <c r="JHW368" s="326"/>
      <c r="JHX368" s="362"/>
      <c r="JHY368" s="295"/>
      <c r="JHZ368" s="656"/>
      <c r="JIA368" s="286"/>
      <c r="JIB368" s="287"/>
      <c r="JIC368" s="296"/>
      <c r="JID368" s="266"/>
      <c r="JIE368" s="591"/>
      <c r="JIF368" s="326"/>
      <c r="JIG368" s="362"/>
      <c r="JIH368" s="295"/>
      <c r="JII368" s="656"/>
      <c r="JIJ368" s="286"/>
      <c r="JIK368" s="287"/>
      <c r="JIL368" s="296"/>
      <c r="JIM368" s="266"/>
      <c r="JIN368" s="591"/>
      <c r="JIO368" s="326"/>
      <c r="JIP368" s="362"/>
      <c r="JIQ368" s="295"/>
      <c r="JIR368" s="656"/>
      <c r="JIS368" s="286"/>
      <c r="JIT368" s="287"/>
      <c r="JIU368" s="296"/>
      <c r="JIV368" s="266"/>
      <c r="JIW368" s="591"/>
      <c r="JIX368" s="326"/>
      <c r="JIY368" s="362"/>
      <c r="JIZ368" s="295"/>
      <c r="JJA368" s="656"/>
      <c r="JJB368" s="286"/>
      <c r="JJC368" s="287"/>
      <c r="JJD368" s="296"/>
      <c r="JJE368" s="266"/>
      <c r="JJF368" s="591"/>
      <c r="JJG368" s="326"/>
      <c r="JJH368" s="362"/>
      <c r="JJI368" s="295"/>
      <c r="JJJ368" s="656"/>
      <c r="JJK368" s="286"/>
      <c r="JJL368" s="287"/>
      <c r="JJM368" s="296"/>
      <c r="JJN368" s="266"/>
      <c r="JJO368" s="591"/>
      <c r="JJP368" s="326"/>
      <c r="JJQ368" s="362"/>
      <c r="JJR368" s="295"/>
      <c r="JJS368" s="656"/>
      <c r="JJT368" s="286"/>
      <c r="JJU368" s="287"/>
      <c r="JJV368" s="296"/>
      <c r="JJW368" s="266"/>
      <c r="JJX368" s="591"/>
      <c r="JJY368" s="326"/>
      <c r="JJZ368" s="362"/>
      <c r="JKA368" s="295"/>
      <c r="JKB368" s="656"/>
      <c r="JKC368" s="286"/>
      <c r="JKD368" s="287"/>
      <c r="JKE368" s="296"/>
      <c r="JKF368" s="266"/>
      <c r="JKG368" s="591"/>
      <c r="JKH368" s="326"/>
      <c r="JKI368" s="362"/>
      <c r="JKJ368" s="295"/>
      <c r="JKK368" s="656"/>
      <c r="JKL368" s="286"/>
      <c r="JKM368" s="287"/>
      <c r="JKN368" s="296"/>
      <c r="JKO368" s="266"/>
      <c r="JKP368" s="591"/>
      <c r="JKQ368" s="326"/>
      <c r="JKR368" s="362"/>
      <c r="JKS368" s="295"/>
      <c r="JKT368" s="656"/>
      <c r="JKU368" s="286"/>
      <c r="JKV368" s="287"/>
      <c r="JKW368" s="296"/>
      <c r="JKX368" s="266"/>
      <c r="JKY368" s="591"/>
      <c r="JKZ368" s="326"/>
      <c r="JLA368" s="362"/>
      <c r="JLB368" s="295"/>
      <c r="JLC368" s="656"/>
      <c r="JLD368" s="286"/>
      <c r="JLE368" s="287"/>
      <c r="JLF368" s="296"/>
      <c r="JLG368" s="266"/>
      <c r="JLH368" s="591"/>
      <c r="JLI368" s="326"/>
      <c r="JLJ368" s="362"/>
      <c r="JLK368" s="295"/>
      <c r="JLL368" s="656"/>
      <c r="JLM368" s="286"/>
      <c r="JLN368" s="287"/>
      <c r="JLO368" s="296"/>
      <c r="JLP368" s="266"/>
      <c r="JLQ368" s="591"/>
      <c r="JLR368" s="326"/>
      <c r="JLS368" s="362"/>
      <c r="JLT368" s="295"/>
      <c r="JLU368" s="656"/>
      <c r="JLV368" s="286"/>
      <c r="JLW368" s="287"/>
      <c r="JLX368" s="296"/>
      <c r="JLY368" s="266"/>
      <c r="JLZ368" s="591"/>
      <c r="JMA368" s="326"/>
      <c r="JMB368" s="362"/>
      <c r="JMC368" s="295"/>
      <c r="JMD368" s="656"/>
      <c r="JME368" s="286"/>
      <c r="JMF368" s="287"/>
      <c r="JMG368" s="296"/>
      <c r="JMH368" s="266"/>
      <c r="JMI368" s="591"/>
      <c r="JMJ368" s="326"/>
      <c r="JMK368" s="362"/>
      <c r="JML368" s="295"/>
      <c r="JMM368" s="656"/>
      <c r="JMN368" s="286"/>
      <c r="JMO368" s="287"/>
      <c r="JMP368" s="296"/>
      <c r="JMQ368" s="266"/>
      <c r="JMR368" s="591"/>
      <c r="JMS368" s="326"/>
      <c r="JMT368" s="362"/>
      <c r="JMU368" s="295"/>
      <c r="JMV368" s="656"/>
      <c r="JMW368" s="286"/>
      <c r="JMX368" s="287"/>
      <c r="JMY368" s="296"/>
      <c r="JMZ368" s="266"/>
      <c r="JNA368" s="591"/>
      <c r="JNB368" s="326"/>
      <c r="JNC368" s="362"/>
      <c r="JND368" s="295"/>
      <c r="JNE368" s="656"/>
      <c r="JNF368" s="286"/>
      <c r="JNG368" s="287"/>
      <c r="JNH368" s="296"/>
      <c r="JNI368" s="266"/>
      <c r="JNJ368" s="591"/>
      <c r="JNK368" s="326"/>
      <c r="JNL368" s="362"/>
      <c r="JNM368" s="295"/>
      <c r="JNN368" s="656"/>
      <c r="JNO368" s="286"/>
      <c r="JNP368" s="287"/>
      <c r="JNQ368" s="296"/>
      <c r="JNR368" s="266"/>
      <c r="JNS368" s="591"/>
      <c r="JNT368" s="326"/>
      <c r="JNU368" s="362"/>
      <c r="JNV368" s="295"/>
      <c r="JNW368" s="656"/>
      <c r="JNX368" s="286"/>
      <c r="JNY368" s="287"/>
      <c r="JNZ368" s="296"/>
      <c r="JOA368" s="266"/>
      <c r="JOB368" s="591"/>
      <c r="JOC368" s="326"/>
      <c r="JOD368" s="362"/>
      <c r="JOE368" s="295"/>
      <c r="JOF368" s="656"/>
      <c r="JOG368" s="286"/>
      <c r="JOH368" s="287"/>
      <c r="JOI368" s="296"/>
      <c r="JOJ368" s="266"/>
      <c r="JOK368" s="591"/>
      <c r="JOL368" s="326"/>
      <c r="JOM368" s="362"/>
      <c r="JON368" s="295"/>
      <c r="JOO368" s="656"/>
      <c r="JOP368" s="286"/>
      <c r="JOQ368" s="287"/>
      <c r="JOR368" s="296"/>
      <c r="JOS368" s="266"/>
      <c r="JOT368" s="591"/>
      <c r="JOU368" s="326"/>
      <c r="JOV368" s="362"/>
      <c r="JOW368" s="295"/>
      <c r="JOX368" s="656"/>
      <c r="JOY368" s="286"/>
      <c r="JOZ368" s="287"/>
      <c r="JPA368" s="296"/>
      <c r="JPB368" s="266"/>
      <c r="JPC368" s="591"/>
      <c r="JPD368" s="326"/>
      <c r="JPE368" s="362"/>
      <c r="JPF368" s="295"/>
      <c r="JPG368" s="656"/>
      <c r="JPH368" s="286"/>
      <c r="JPI368" s="287"/>
      <c r="JPJ368" s="296"/>
      <c r="JPK368" s="266"/>
      <c r="JPL368" s="591"/>
      <c r="JPM368" s="326"/>
      <c r="JPN368" s="362"/>
      <c r="JPO368" s="295"/>
      <c r="JPP368" s="656"/>
      <c r="JPQ368" s="286"/>
      <c r="JPR368" s="287"/>
      <c r="JPS368" s="296"/>
      <c r="JPT368" s="266"/>
      <c r="JPU368" s="591"/>
      <c r="JPV368" s="326"/>
      <c r="JPW368" s="362"/>
      <c r="JPX368" s="295"/>
      <c r="JPY368" s="656"/>
      <c r="JPZ368" s="286"/>
      <c r="JQA368" s="287"/>
      <c r="JQB368" s="296"/>
      <c r="JQC368" s="266"/>
      <c r="JQD368" s="591"/>
      <c r="JQE368" s="326"/>
      <c r="JQF368" s="362"/>
      <c r="JQG368" s="295"/>
      <c r="JQH368" s="656"/>
      <c r="JQI368" s="286"/>
      <c r="JQJ368" s="287"/>
      <c r="JQK368" s="296"/>
      <c r="JQL368" s="266"/>
      <c r="JQM368" s="591"/>
      <c r="JQN368" s="326"/>
      <c r="JQO368" s="362"/>
      <c r="JQP368" s="295"/>
      <c r="JQQ368" s="656"/>
      <c r="JQR368" s="286"/>
      <c r="JQS368" s="287"/>
      <c r="JQT368" s="296"/>
      <c r="JQU368" s="266"/>
      <c r="JQV368" s="591"/>
      <c r="JQW368" s="326"/>
      <c r="JQX368" s="362"/>
      <c r="JQY368" s="295"/>
      <c r="JQZ368" s="656"/>
      <c r="JRA368" s="286"/>
      <c r="JRB368" s="287"/>
      <c r="JRC368" s="296"/>
      <c r="JRD368" s="266"/>
      <c r="JRE368" s="591"/>
      <c r="JRF368" s="326"/>
      <c r="JRG368" s="362"/>
      <c r="JRH368" s="295"/>
      <c r="JRI368" s="656"/>
      <c r="JRJ368" s="286"/>
      <c r="JRK368" s="287"/>
      <c r="JRL368" s="296"/>
      <c r="JRM368" s="266"/>
      <c r="JRN368" s="591"/>
      <c r="JRO368" s="326"/>
      <c r="JRP368" s="362"/>
      <c r="JRQ368" s="295"/>
      <c r="JRR368" s="656"/>
      <c r="JRS368" s="286"/>
      <c r="JRT368" s="287"/>
      <c r="JRU368" s="296"/>
      <c r="JRV368" s="266"/>
      <c r="JRW368" s="591"/>
      <c r="JRX368" s="326"/>
      <c r="JRY368" s="362"/>
      <c r="JRZ368" s="295"/>
      <c r="JSA368" s="656"/>
      <c r="JSB368" s="286"/>
      <c r="JSC368" s="287"/>
      <c r="JSD368" s="296"/>
      <c r="JSE368" s="266"/>
      <c r="JSF368" s="591"/>
      <c r="JSG368" s="326"/>
      <c r="JSH368" s="362"/>
      <c r="JSI368" s="295"/>
      <c r="JSJ368" s="656"/>
      <c r="JSK368" s="286"/>
      <c r="JSL368" s="287"/>
      <c r="JSM368" s="296"/>
      <c r="JSN368" s="266"/>
      <c r="JSO368" s="591"/>
      <c r="JSP368" s="326"/>
      <c r="JSQ368" s="362"/>
      <c r="JSR368" s="295"/>
      <c r="JSS368" s="656"/>
      <c r="JST368" s="286"/>
      <c r="JSU368" s="287"/>
      <c r="JSV368" s="296"/>
      <c r="JSW368" s="266"/>
      <c r="JSX368" s="591"/>
      <c r="JSY368" s="326"/>
      <c r="JSZ368" s="362"/>
      <c r="JTA368" s="295"/>
      <c r="JTB368" s="656"/>
      <c r="JTC368" s="286"/>
      <c r="JTD368" s="287"/>
      <c r="JTE368" s="296"/>
      <c r="JTF368" s="266"/>
      <c r="JTG368" s="591"/>
      <c r="JTH368" s="326"/>
      <c r="JTI368" s="362"/>
      <c r="JTJ368" s="295"/>
      <c r="JTK368" s="656"/>
      <c r="JTL368" s="286"/>
      <c r="JTM368" s="287"/>
      <c r="JTN368" s="296"/>
      <c r="JTO368" s="266"/>
      <c r="JTP368" s="591"/>
      <c r="JTQ368" s="326"/>
      <c r="JTR368" s="362"/>
      <c r="JTS368" s="295"/>
      <c r="JTT368" s="656"/>
      <c r="JTU368" s="286"/>
      <c r="JTV368" s="287"/>
      <c r="JTW368" s="296"/>
      <c r="JTX368" s="266"/>
      <c r="JTY368" s="591"/>
      <c r="JTZ368" s="326"/>
      <c r="JUA368" s="362"/>
      <c r="JUB368" s="295"/>
      <c r="JUC368" s="656"/>
      <c r="JUD368" s="286"/>
      <c r="JUE368" s="287"/>
      <c r="JUF368" s="296"/>
      <c r="JUG368" s="266"/>
      <c r="JUH368" s="591"/>
      <c r="JUI368" s="326"/>
      <c r="JUJ368" s="362"/>
      <c r="JUK368" s="295"/>
      <c r="JUL368" s="656"/>
      <c r="JUM368" s="286"/>
      <c r="JUN368" s="287"/>
      <c r="JUO368" s="296"/>
      <c r="JUP368" s="266"/>
      <c r="JUQ368" s="591"/>
      <c r="JUR368" s="326"/>
      <c r="JUS368" s="362"/>
      <c r="JUT368" s="295"/>
      <c r="JUU368" s="656"/>
      <c r="JUV368" s="286"/>
      <c r="JUW368" s="287"/>
      <c r="JUX368" s="296"/>
      <c r="JUY368" s="266"/>
      <c r="JUZ368" s="591"/>
      <c r="JVA368" s="326"/>
      <c r="JVB368" s="362"/>
      <c r="JVC368" s="295"/>
      <c r="JVD368" s="656"/>
      <c r="JVE368" s="286"/>
      <c r="JVF368" s="287"/>
      <c r="JVG368" s="296"/>
      <c r="JVH368" s="266"/>
      <c r="JVI368" s="591"/>
      <c r="JVJ368" s="326"/>
      <c r="JVK368" s="362"/>
      <c r="JVL368" s="295"/>
      <c r="JVM368" s="656"/>
      <c r="JVN368" s="286"/>
      <c r="JVO368" s="287"/>
      <c r="JVP368" s="296"/>
      <c r="JVQ368" s="266"/>
      <c r="JVR368" s="591"/>
      <c r="JVS368" s="326"/>
      <c r="JVT368" s="362"/>
      <c r="JVU368" s="295"/>
      <c r="JVV368" s="656"/>
      <c r="JVW368" s="286"/>
      <c r="JVX368" s="287"/>
      <c r="JVY368" s="296"/>
      <c r="JVZ368" s="266"/>
      <c r="JWA368" s="591"/>
      <c r="JWB368" s="326"/>
      <c r="JWC368" s="362"/>
      <c r="JWD368" s="295"/>
      <c r="JWE368" s="656"/>
      <c r="JWF368" s="286"/>
      <c r="JWG368" s="287"/>
      <c r="JWH368" s="296"/>
      <c r="JWI368" s="266"/>
      <c r="JWJ368" s="591"/>
      <c r="JWK368" s="326"/>
      <c r="JWL368" s="362"/>
      <c r="JWM368" s="295"/>
      <c r="JWN368" s="656"/>
      <c r="JWO368" s="286"/>
      <c r="JWP368" s="287"/>
      <c r="JWQ368" s="296"/>
      <c r="JWR368" s="266"/>
      <c r="JWS368" s="591"/>
      <c r="JWT368" s="326"/>
      <c r="JWU368" s="362"/>
      <c r="JWV368" s="295"/>
      <c r="JWW368" s="656"/>
      <c r="JWX368" s="286"/>
      <c r="JWY368" s="287"/>
      <c r="JWZ368" s="296"/>
      <c r="JXA368" s="266"/>
      <c r="JXB368" s="591"/>
      <c r="JXC368" s="326"/>
      <c r="JXD368" s="362"/>
      <c r="JXE368" s="295"/>
      <c r="JXF368" s="656"/>
      <c r="JXG368" s="286"/>
      <c r="JXH368" s="287"/>
      <c r="JXI368" s="296"/>
      <c r="JXJ368" s="266"/>
      <c r="JXK368" s="591"/>
      <c r="JXL368" s="326"/>
      <c r="JXM368" s="362"/>
      <c r="JXN368" s="295"/>
      <c r="JXO368" s="656"/>
      <c r="JXP368" s="286"/>
      <c r="JXQ368" s="287"/>
      <c r="JXR368" s="296"/>
      <c r="JXS368" s="266"/>
      <c r="JXT368" s="591"/>
      <c r="JXU368" s="326"/>
      <c r="JXV368" s="362"/>
      <c r="JXW368" s="295"/>
      <c r="JXX368" s="656"/>
      <c r="JXY368" s="286"/>
      <c r="JXZ368" s="287"/>
      <c r="JYA368" s="296"/>
      <c r="JYB368" s="266"/>
      <c r="JYC368" s="591"/>
      <c r="JYD368" s="326"/>
      <c r="JYE368" s="362"/>
      <c r="JYF368" s="295"/>
      <c r="JYG368" s="656"/>
      <c r="JYH368" s="286"/>
      <c r="JYI368" s="287"/>
      <c r="JYJ368" s="296"/>
      <c r="JYK368" s="266"/>
      <c r="JYL368" s="591"/>
      <c r="JYM368" s="326"/>
      <c r="JYN368" s="362"/>
      <c r="JYO368" s="295"/>
      <c r="JYP368" s="656"/>
      <c r="JYQ368" s="286"/>
      <c r="JYR368" s="287"/>
      <c r="JYS368" s="296"/>
      <c r="JYT368" s="266"/>
      <c r="JYU368" s="591"/>
      <c r="JYV368" s="326"/>
      <c r="JYW368" s="362"/>
      <c r="JYX368" s="295"/>
      <c r="JYY368" s="656"/>
      <c r="JYZ368" s="286"/>
      <c r="JZA368" s="287"/>
      <c r="JZB368" s="296"/>
      <c r="JZC368" s="266"/>
      <c r="JZD368" s="591"/>
      <c r="JZE368" s="326"/>
      <c r="JZF368" s="362"/>
      <c r="JZG368" s="295"/>
      <c r="JZH368" s="656"/>
      <c r="JZI368" s="286"/>
      <c r="JZJ368" s="287"/>
      <c r="JZK368" s="296"/>
      <c r="JZL368" s="266"/>
      <c r="JZM368" s="591"/>
      <c r="JZN368" s="326"/>
      <c r="JZO368" s="362"/>
      <c r="JZP368" s="295"/>
      <c r="JZQ368" s="656"/>
      <c r="JZR368" s="286"/>
      <c r="JZS368" s="287"/>
      <c r="JZT368" s="296"/>
      <c r="JZU368" s="266"/>
      <c r="JZV368" s="591"/>
      <c r="JZW368" s="326"/>
      <c r="JZX368" s="362"/>
      <c r="JZY368" s="295"/>
      <c r="JZZ368" s="656"/>
      <c r="KAA368" s="286"/>
      <c r="KAB368" s="287"/>
      <c r="KAC368" s="296"/>
      <c r="KAD368" s="266"/>
      <c r="KAE368" s="591"/>
      <c r="KAF368" s="326"/>
      <c r="KAG368" s="362"/>
      <c r="KAH368" s="295"/>
      <c r="KAI368" s="656"/>
      <c r="KAJ368" s="286"/>
      <c r="KAK368" s="287"/>
      <c r="KAL368" s="296"/>
      <c r="KAM368" s="266"/>
      <c r="KAN368" s="591"/>
      <c r="KAO368" s="326"/>
      <c r="KAP368" s="362"/>
      <c r="KAQ368" s="295"/>
      <c r="KAR368" s="656"/>
      <c r="KAS368" s="286"/>
      <c r="KAT368" s="287"/>
      <c r="KAU368" s="296"/>
      <c r="KAV368" s="266"/>
      <c r="KAW368" s="591"/>
      <c r="KAX368" s="326"/>
      <c r="KAY368" s="362"/>
      <c r="KAZ368" s="295"/>
      <c r="KBA368" s="656"/>
      <c r="KBB368" s="286"/>
      <c r="KBC368" s="287"/>
      <c r="KBD368" s="296"/>
      <c r="KBE368" s="266"/>
      <c r="KBF368" s="591"/>
      <c r="KBG368" s="326"/>
      <c r="KBH368" s="362"/>
      <c r="KBI368" s="295"/>
      <c r="KBJ368" s="656"/>
      <c r="KBK368" s="286"/>
      <c r="KBL368" s="287"/>
      <c r="KBM368" s="296"/>
      <c r="KBN368" s="266"/>
      <c r="KBO368" s="591"/>
      <c r="KBP368" s="326"/>
      <c r="KBQ368" s="362"/>
      <c r="KBR368" s="295"/>
      <c r="KBS368" s="656"/>
      <c r="KBT368" s="286"/>
      <c r="KBU368" s="287"/>
      <c r="KBV368" s="296"/>
      <c r="KBW368" s="266"/>
      <c r="KBX368" s="591"/>
      <c r="KBY368" s="326"/>
      <c r="KBZ368" s="362"/>
      <c r="KCA368" s="295"/>
      <c r="KCB368" s="656"/>
      <c r="KCC368" s="286"/>
      <c r="KCD368" s="287"/>
      <c r="KCE368" s="296"/>
      <c r="KCF368" s="266"/>
      <c r="KCG368" s="591"/>
      <c r="KCH368" s="326"/>
      <c r="KCI368" s="362"/>
      <c r="KCJ368" s="295"/>
      <c r="KCK368" s="656"/>
      <c r="KCL368" s="286"/>
      <c r="KCM368" s="287"/>
      <c r="KCN368" s="296"/>
      <c r="KCO368" s="266"/>
      <c r="KCP368" s="591"/>
      <c r="KCQ368" s="326"/>
      <c r="KCR368" s="362"/>
      <c r="KCS368" s="295"/>
      <c r="KCT368" s="656"/>
      <c r="KCU368" s="286"/>
      <c r="KCV368" s="287"/>
      <c r="KCW368" s="296"/>
      <c r="KCX368" s="266"/>
      <c r="KCY368" s="591"/>
      <c r="KCZ368" s="326"/>
      <c r="KDA368" s="362"/>
      <c r="KDB368" s="295"/>
      <c r="KDC368" s="656"/>
      <c r="KDD368" s="286"/>
      <c r="KDE368" s="287"/>
      <c r="KDF368" s="296"/>
      <c r="KDG368" s="266"/>
      <c r="KDH368" s="591"/>
      <c r="KDI368" s="326"/>
      <c r="KDJ368" s="362"/>
      <c r="KDK368" s="295"/>
      <c r="KDL368" s="656"/>
      <c r="KDM368" s="286"/>
      <c r="KDN368" s="287"/>
      <c r="KDO368" s="296"/>
      <c r="KDP368" s="266"/>
      <c r="KDQ368" s="591"/>
      <c r="KDR368" s="326"/>
      <c r="KDS368" s="362"/>
      <c r="KDT368" s="295"/>
      <c r="KDU368" s="656"/>
      <c r="KDV368" s="286"/>
      <c r="KDW368" s="287"/>
      <c r="KDX368" s="296"/>
      <c r="KDY368" s="266"/>
      <c r="KDZ368" s="591"/>
      <c r="KEA368" s="326"/>
      <c r="KEB368" s="362"/>
      <c r="KEC368" s="295"/>
      <c r="KED368" s="656"/>
      <c r="KEE368" s="286"/>
      <c r="KEF368" s="287"/>
      <c r="KEG368" s="296"/>
      <c r="KEH368" s="266"/>
      <c r="KEI368" s="591"/>
      <c r="KEJ368" s="326"/>
      <c r="KEK368" s="362"/>
      <c r="KEL368" s="295"/>
      <c r="KEM368" s="656"/>
      <c r="KEN368" s="286"/>
      <c r="KEO368" s="287"/>
      <c r="KEP368" s="296"/>
      <c r="KEQ368" s="266"/>
      <c r="KER368" s="591"/>
      <c r="KES368" s="326"/>
      <c r="KET368" s="362"/>
      <c r="KEU368" s="295"/>
      <c r="KEV368" s="656"/>
      <c r="KEW368" s="286"/>
      <c r="KEX368" s="287"/>
      <c r="KEY368" s="296"/>
      <c r="KEZ368" s="266"/>
      <c r="KFA368" s="591"/>
      <c r="KFB368" s="326"/>
      <c r="KFC368" s="362"/>
      <c r="KFD368" s="295"/>
      <c r="KFE368" s="656"/>
      <c r="KFF368" s="286"/>
      <c r="KFG368" s="287"/>
      <c r="KFH368" s="296"/>
      <c r="KFI368" s="266"/>
      <c r="KFJ368" s="591"/>
      <c r="KFK368" s="326"/>
      <c r="KFL368" s="362"/>
      <c r="KFM368" s="295"/>
      <c r="KFN368" s="656"/>
      <c r="KFO368" s="286"/>
      <c r="KFP368" s="287"/>
      <c r="KFQ368" s="296"/>
      <c r="KFR368" s="266"/>
      <c r="KFS368" s="591"/>
      <c r="KFT368" s="326"/>
      <c r="KFU368" s="362"/>
      <c r="KFV368" s="295"/>
      <c r="KFW368" s="656"/>
      <c r="KFX368" s="286"/>
      <c r="KFY368" s="287"/>
      <c r="KFZ368" s="296"/>
      <c r="KGA368" s="266"/>
      <c r="KGB368" s="591"/>
      <c r="KGC368" s="326"/>
      <c r="KGD368" s="362"/>
      <c r="KGE368" s="295"/>
      <c r="KGF368" s="656"/>
      <c r="KGG368" s="286"/>
      <c r="KGH368" s="287"/>
      <c r="KGI368" s="296"/>
      <c r="KGJ368" s="266"/>
      <c r="KGK368" s="591"/>
      <c r="KGL368" s="326"/>
      <c r="KGM368" s="362"/>
      <c r="KGN368" s="295"/>
      <c r="KGO368" s="656"/>
      <c r="KGP368" s="286"/>
      <c r="KGQ368" s="287"/>
      <c r="KGR368" s="296"/>
      <c r="KGS368" s="266"/>
      <c r="KGT368" s="591"/>
      <c r="KGU368" s="326"/>
      <c r="KGV368" s="362"/>
      <c r="KGW368" s="295"/>
      <c r="KGX368" s="656"/>
      <c r="KGY368" s="286"/>
      <c r="KGZ368" s="287"/>
      <c r="KHA368" s="296"/>
      <c r="KHB368" s="266"/>
      <c r="KHC368" s="591"/>
      <c r="KHD368" s="326"/>
      <c r="KHE368" s="362"/>
      <c r="KHF368" s="295"/>
      <c r="KHG368" s="656"/>
      <c r="KHH368" s="286"/>
      <c r="KHI368" s="287"/>
      <c r="KHJ368" s="296"/>
      <c r="KHK368" s="266"/>
      <c r="KHL368" s="591"/>
      <c r="KHM368" s="326"/>
      <c r="KHN368" s="362"/>
      <c r="KHO368" s="295"/>
      <c r="KHP368" s="656"/>
      <c r="KHQ368" s="286"/>
      <c r="KHR368" s="287"/>
      <c r="KHS368" s="296"/>
      <c r="KHT368" s="266"/>
      <c r="KHU368" s="591"/>
      <c r="KHV368" s="326"/>
      <c r="KHW368" s="362"/>
      <c r="KHX368" s="295"/>
      <c r="KHY368" s="656"/>
      <c r="KHZ368" s="286"/>
      <c r="KIA368" s="287"/>
      <c r="KIB368" s="296"/>
      <c r="KIC368" s="266"/>
      <c r="KID368" s="591"/>
      <c r="KIE368" s="326"/>
      <c r="KIF368" s="362"/>
      <c r="KIG368" s="295"/>
      <c r="KIH368" s="656"/>
      <c r="KII368" s="286"/>
      <c r="KIJ368" s="287"/>
      <c r="KIK368" s="296"/>
      <c r="KIL368" s="266"/>
      <c r="KIM368" s="591"/>
      <c r="KIN368" s="326"/>
      <c r="KIO368" s="362"/>
      <c r="KIP368" s="295"/>
      <c r="KIQ368" s="656"/>
      <c r="KIR368" s="286"/>
      <c r="KIS368" s="287"/>
      <c r="KIT368" s="296"/>
      <c r="KIU368" s="266"/>
      <c r="KIV368" s="591"/>
      <c r="KIW368" s="326"/>
      <c r="KIX368" s="362"/>
      <c r="KIY368" s="295"/>
      <c r="KIZ368" s="656"/>
      <c r="KJA368" s="286"/>
      <c r="KJB368" s="287"/>
      <c r="KJC368" s="296"/>
      <c r="KJD368" s="266"/>
      <c r="KJE368" s="591"/>
      <c r="KJF368" s="326"/>
      <c r="KJG368" s="362"/>
      <c r="KJH368" s="295"/>
      <c r="KJI368" s="656"/>
      <c r="KJJ368" s="286"/>
      <c r="KJK368" s="287"/>
      <c r="KJL368" s="296"/>
      <c r="KJM368" s="266"/>
      <c r="KJN368" s="591"/>
      <c r="KJO368" s="326"/>
      <c r="KJP368" s="362"/>
      <c r="KJQ368" s="295"/>
      <c r="KJR368" s="656"/>
      <c r="KJS368" s="286"/>
      <c r="KJT368" s="287"/>
      <c r="KJU368" s="296"/>
      <c r="KJV368" s="266"/>
      <c r="KJW368" s="591"/>
      <c r="KJX368" s="326"/>
      <c r="KJY368" s="362"/>
      <c r="KJZ368" s="295"/>
      <c r="KKA368" s="656"/>
      <c r="KKB368" s="286"/>
      <c r="KKC368" s="287"/>
      <c r="KKD368" s="296"/>
      <c r="KKE368" s="266"/>
      <c r="KKF368" s="591"/>
      <c r="KKG368" s="326"/>
      <c r="KKH368" s="362"/>
      <c r="KKI368" s="295"/>
      <c r="KKJ368" s="656"/>
      <c r="KKK368" s="286"/>
      <c r="KKL368" s="287"/>
      <c r="KKM368" s="296"/>
      <c r="KKN368" s="266"/>
      <c r="KKO368" s="591"/>
      <c r="KKP368" s="326"/>
      <c r="KKQ368" s="362"/>
      <c r="KKR368" s="295"/>
      <c r="KKS368" s="656"/>
      <c r="KKT368" s="286"/>
      <c r="KKU368" s="287"/>
      <c r="KKV368" s="296"/>
      <c r="KKW368" s="266"/>
      <c r="KKX368" s="591"/>
      <c r="KKY368" s="326"/>
      <c r="KKZ368" s="362"/>
      <c r="KLA368" s="295"/>
      <c r="KLB368" s="656"/>
      <c r="KLC368" s="286"/>
      <c r="KLD368" s="287"/>
      <c r="KLE368" s="296"/>
      <c r="KLF368" s="266"/>
      <c r="KLG368" s="591"/>
      <c r="KLH368" s="326"/>
      <c r="KLI368" s="362"/>
      <c r="KLJ368" s="295"/>
      <c r="KLK368" s="656"/>
      <c r="KLL368" s="286"/>
      <c r="KLM368" s="287"/>
      <c r="KLN368" s="296"/>
      <c r="KLO368" s="266"/>
      <c r="KLP368" s="591"/>
      <c r="KLQ368" s="326"/>
      <c r="KLR368" s="362"/>
      <c r="KLS368" s="295"/>
      <c r="KLT368" s="656"/>
      <c r="KLU368" s="286"/>
      <c r="KLV368" s="287"/>
      <c r="KLW368" s="296"/>
      <c r="KLX368" s="266"/>
      <c r="KLY368" s="591"/>
      <c r="KLZ368" s="326"/>
      <c r="KMA368" s="362"/>
      <c r="KMB368" s="295"/>
      <c r="KMC368" s="656"/>
      <c r="KMD368" s="286"/>
      <c r="KME368" s="287"/>
      <c r="KMF368" s="296"/>
      <c r="KMG368" s="266"/>
      <c r="KMH368" s="591"/>
      <c r="KMI368" s="326"/>
      <c r="KMJ368" s="362"/>
      <c r="KMK368" s="295"/>
      <c r="KML368" s="656"/>
      <c r="KMM368" s="286"/>
      <c r="KMN368" s="287"/>
      <c r="KMO368" s="296"/>
      <c r="KMP368" s="266"/>
      <c r="KMQ368" s="591"/>
      <c r="KMR368" s="326"/>
      <c r="KMS368" s="362"/>
      <c r="KMT368" s="295"/>
      <c r="KMU368" s="656"/>
      <c r="KMV368" s="286"/>
      <c r="KMW368" s="287"/>
      <c r="KMX368" s="296"/>
      <c r="KMY368" s="266"/>
      <c r="KMZ368" s="591"/>
      <c r="KNA368" s="326"/>
      <c r="KNB368" s="362"/>
      <c r="KNC368" s="295"/>
      <c r="KND368" s="656"/>
      <c r="KNE368" s="286"/>
      <c r="KNF368" s="287"/>
      <c r="KNG368" s="296"/>
      <c r="KNH368" s="266"/>
      <c r="KNI368" s="591"/>
      <c r="KNJ368" s="326"/>
      <c r="KNK368" s="362"/>
      <c r="KNL368" s="295"/>
      <c r="KNM368" s="656"/>
      <c r="KNN368" s="286"/>
      <c r="KNO368" s="287"/>
      <c r="KNP368" s="296"/>
      <c r="KNQ368" s="266"/>
      <c r="KNR368" s="591"/>
      <c r="KNS368" s="326"/>
      <c r="KNT368" s="362"/>
      <c r="KNU368" s="295"/>
      <c r="KNV368" s="656"/>
      <c r="KNW368" s="286"/>
      <c r="KNX368" s="287"/>
      <c r="KNY368" s="296"/>
      <c r="KNZ368" s="266"/>
      <c r="KOA368" s="591"/>
      <c r="KOB368" s="326"/>
      <c r="KOC368" s="362"/>
      <c r="KOD368" s="295"/>
      <c r="KOE368" s="656"/>
      <c r="KOF368" s="286"/>
      <c r="KOG368" s="287"/>
      <c r="KOH368" s="296"/>
      <c r="KOI368" s="266"/>
      <c r="KOJ368" s="591"/>
      <c r="KOK368" s="326"/>
      <c r="KOL368" s="362"/>
      <c r="KOM368" s="295"/>
      <c r="KON368" s="656"/>
      <c r="KOO368" s="286"/>
      <c r="KOP368" s="287"/>
      <c r="KOQ368" s="296"/>
      <c r="KOR368" s="266"/>
      <c r="KOS368" s="591"/>
      <c r="KOT368" s="326"/>
      <c r="KOU368" s="362"/>
      <c r="KOV368" s="295"/>
      <c r="KOW368" s="656"/>
      <c r="KOX368" s="286"/>
      <c r="KOY368" s="287"/>
      <c r="KOZ368" s="296"/>
      <c r="KPA368" s="266"/>
      <c r="KPB368" s="591"/>
      <c r="KPC368" s="326"/>
      <c r="KPD368" s="362"/>
      <c r="KPE368" s="295"/>
      <c r="KPF368" s="656"/>
      <c r="KPG368" s="286"/>
      <c r="KPH368" s="287"/>
      <c r="KPI368" s="296"/>
      <c r="KPJ368" s="266"/>
      <c r="KPK368" s="591"/>
      <c r="KPL368" s="326"/>
      <c r="KPM368" s="362"/>
      <c r="KPN368" s="295"/>
      <c r="KPO368" s="656"/>
      <c r="KPP368" s="286"/>
      <c r="KPQ368" s="287"/>
      <c r="KPR368" s="296"/>
      <c r="KPS368" s="266"/>
      <c r="KPT368" s="591"/>
      <c r="KPU368" s="326"/>
      <c r="KPV368" s="362"/>
      <c r="KPW368" s="295"/>
      <c r="KPX368" s="656"/>
      <c r="KPY368" s="286"/>
      <c r="KPZ368" s="287"/>
      <c r="KQA368" s="296"/>
      <c r="KQB368" s="266"/>
      <c r="KQC368" s="591"/>
      <c r="KQD368" s="326"/>
      <c r="KQE368" s="362"/>
      <c r="KQF368" s="295"/>
      <c r="KQG368" s="656"/>
      <c r="KQH368" s="286"/>
      <c r="KQI368" s="287"/>
      <c r="KQJ368" s="296"/>
      <c r="KQK368" s="266"/>
      <c r="KQL368" s="591"/>
      <c r="KQM368" s="326"/>
      <c r="KQN368" s="362"/>
      <c r="KQO368" s="295"/>
      <c r="KQP368" s="656"/>
      <c r="KQQ368" s="286"/>
      <c r="KQR368" s="287"/>
      <c r="KQS368" s="296"/>
      <c r="KQT368" s="266"/>
      <c r="KQU368" s="591"/>
      <c r="KQV368" s="326"/>
      <c r="KQW368" s="362"/>
      <c r="KQX368" s="295"/>
      <c r="KQY368" s="656"/>
      <c r="KQZ368" s="286"/>
      <c r="KRA368" s="287"/>
      <c r="KRB368" s="296"/>
      <c r="KRC368" s="266"/>
      <c r="KRD368" s="591"/>
      <c r="KRE368" s="326"/>
      <c r="KRF368" s="362"/>
      <c r="KRG368" s="295"/>
      <c r="KRH368" s="656"/>
      <c r="KRI368" s="286"/>
      <c r="KRJ368" s="287"/>
      <c r="KRK368" s="296"/>
      <c r="KRL368" s="266"/>
      <c r="KRM368" s="591"/>
      <c r="KRN368" s="326"/>
      <c r="KRO368" s="362"/>
      <c r="KRP368" s="295"/>
      <c r="KRQ368" s="656"/>
      <c r="KRR368" s="286"/>
      <c r="KRS368" s="287"/>
      <c r="KRT368" s="296"/>
      <c r="KRU368" s="266"/>
      <c r="KRV368" s="591"/>
      <c r="KRW368" s="326"/>
      <c r="KRX368" s="362"/>
      <c r="KRY368" s="295"/>
      <c r="KRZ368" s="656"/>
      <c r="KSA368" s="286"/>
      <c r="KSB368" s="287"/>
      <c r="KSC368" s="296"/>
      <c r="KSD368" s="266"/>
      <c r="KSE368" s="591"/>
      <c r="KSF368" s="326"/>
      <c r="KSG368" s="362"/>
      <c r="KSH368" s="295"/>
      <c r="KSI368" s="656"/>
      <c r="KSJ368" s="286"/>
      <c r="KSK368" s="287"/>
      <c r="KSL368" s="296"/>
      <c r="KSM368" s="266"/>
      <c r="KSN368" s="591"/>
      <c r="KSO368" s="326"/>
      <c r="KSP368" s="362"/>
      <c r="KSQ368" s="295"/>
      <c r="KSR368" s="656"/>
      <c r="KSS368" s="286"/>
      <c r="KST368" s="287"/>
      <c r="KSU368" s="296"/>
      <c r="KSV368" s="266"/>
      <c r="KSW368" s="591"/>
      <c r="KSX368" s="326"/>
      <c r="KSY368" s="362"/>
      <c r="KSZ368" s="295"/>
      <c r="KTA368" s="656"/>
      <c r="KTB368" s="286"/>
      <c r="KTC368" s="287"/>
      <c r="KTD368" s="296"/>
      <c r="KTE368" s="266"/>
      <c r="KTF368" s="591"/>
      <c r="KTG368" s="326"/>
      <c r="KTH368" s="362"/>
      <c r="KTI368" s="295"/>
      <c r="KTJ368" s="656"/>
      <c r="KTK368" s="286"/>
      <c r="KTL368" s="287"/>
      <c r="KTM368" s="296"/>
      <c r="KTN368" s="266"/>
      <c r="KTO368" s="591"/>
      <c r="KTP368" s="326"/>
      <c r="KTQ368" s="362"/>
      <c r="KTR368" s="295"/>
      <c r="KTS368" s="656"/>
      <c r="KTT368" s="286"/>
      <c r="KTU368" s="287"/>
      <c r="KTV368" s="296"/>
      <c r="KTW368" s="266"/>
      <c r="KTX368" s="591"/>
      <c r="KTY368" s="326"/>
      <c r="KTZ368" s="362"/>
      <c r="KUA368" s="295"/>
      <c r="KUB368" s="656"/>
      <c r="KUC368" s="286"/>
      <c r="KUD368" s="287"/>
      <c r="KUE368" s="296"/>
      <c r="KUF368" s="266"/>
      <c r="KUG368" s="591"/>
      <c r="KUH368" s="326"/>
      <c r="KUI368" s="362"/>
      <c r="KUJ368" s="295"/>
      <c r="KUK368" s="656"/>
      <c r="KUL368" s="286"/>
      <c r="KUM368" s="287"/>
      <c r="KUN368" s="296"/>
      <c r="KUO368" s="266"/>
      <c r="KUP368" s="591"/>
      <c r="KUQ368" s="326"/>
      <c r="KUR368" s="362"/>
      <c r="KUS368" s="295"/>
      <c r="KUT368" s="656"/>
      <c r="KUU368" s="286"/>
      <c r="KUV368" s="287"/>
      <c r="KUW368" s="296"/>
      <c r="KUX368" s="266"/>
      <c r="KUY368" s="591"/>
      <c r="KUZ368" s="326"/>
      <c r="KVA368" s="362"/>
      <c r="KVB368" s="295"/>
      <c r="KVC368" s="656"/>
      <c r="KVD368" s="286"/>
      <c r="KVE368" s="287"/>
      <c r="KVF368" s="296"/>
      <c r="KVG368" s="266"/>
      <c r="KVH368" s="591"/>
      <c r="KVI368" s="326"/>
      <c r="KVJ368" s="362"/>
      <c r="KVK368" s="295"/>
      <c r="KVL368" s="656"/>
      <c r="KVM368" s="286"/>
      <c r="KVN368" s="287"/>
      <c r="KVO368" s="296"/>
      <c r="KVP368" s="266"/>
      <c r="KVQ368" s="591"/>
      <c r="KVR368" s="326"/>
      <c r="KVS368" s="362"/>
      <c r="KVT368" s="295"/>
      <c r="KVU368" s="656"/>
      <c r="KVV368" s="286"/>
      <c r="KVW368" s="287"/>
      <c r="KVX368" s="296"/>
      <c r="KVY368" s="266"/>
      <c r="KVZ368" s="591"/>
      <c r="KWA368" s="326"/>
      <c r="KWB368" s="362"/>
      <c r="KWC368" s="295"/>
      <c r="KWD368" s="656"/>
      <c r="KWE368" s="286"/>
      <c r="KWF368" s="287"/>
      <c r="KWG368" s="296"/>
      <c r="KWH368" s="266"/>
      <c r="KWI368" s="591"/>
      <c r="KWJ368" s="326"/>
      <c r="KWK368" s="362"/>
      <c r="KWL368" s="295"/>
      <c r="KWM368" s="656"/>
      <c r="KWN368" s="286"/>
      <c r="KWO368" s="287"/>
      <c r="KWP368" s="296"/>
      <c r="KWQ368" s="266"/>
      <c r="KWR368" s="591"/>
      <c r="KWS368" s="326"/>
      <c r="KWT368" s="362"/>
      <c r="KWU368" s="295"/>
      <c r="KWV368" s="656"/>
      <c r="KWW368" s="286"/>
      <c r="KWX368" s="287"/>
      <c r="KWY368" s="296"/>
      <c r="KWZ368" s="266"/>
      <c r="KXA368" s="591"/>
      <c r="KXB368" s="326"/>
      <c r="KXC368" s="362"/>
      <c r="KXD368" s="295"/>
      <c r="KXE368" s="656"/>
      <c r="KXF368" s="286"/>
      <c r="KXG368" s="287"/>
      <c r="KXH368" s="296"/>
      <c r="KXI368" s="266"/>
      <c r="KXJ368" s="591"/>
      <c r="KXK368" s="326"/>
      <c r="KXL368" s="362"/>
      <c r="KXM368" s="295"/>
      <c r="KXN368" s="656"/>
      <c r="KXO368" s="286"/>
      <c r="KXP368" s="287"/>
      <c r="KXQ368" s="296"/>
      <c r="KXR368" s="266"/>
      <c r="KXS368" s="591"/>
      <c r="KXT368" s="326"/>
      <c r="KXU368" s="362"/>
      <c r="KXV368" s="295"/>
      <c r="KXW368" s="656"/>
      <c r="KXX368" s="286"/>
      <c r="KXY368" s="287"/>
      <c r="KXZ368" s="296"/>
      <c r="KYA368" s="266"/>
      <c r="KYB368" s="591"/>
      <c r="KYC368" s="326"/>
      <c r="KYD368" s="362"/>
      <c r="KYE368" s="295"/>
      <c r="KYF368" s="656"/>
      <c r="KYG368" s="286"/>
      <c r="KYH368" s="287"/>
      <c r="KYI368" s="296"/>
      <c r="KYJ368" s="266"/>
      <c r="KYK368" s="591"/>
      <c r="KYL368" s="326"/>
      <c r="KYM368" s="362"/>
      <c r="KYN368" s="295"/>
      <c r="KYO368" s="656"/>
      <c r="KYP368" s="286"/>
      <c r="KYQ368" s="287"/>
      <c r="KYR368" s="296"/>
      <c r="KYS368" s="266"/>
      <c r="KYT368" s="591"/>
      <c r="KYU368" s="326"/>
      <c r="KYV368" s="362"/>
      <c r="KYW368" s="295"/>
      <c r="KYX368" s="656"/>
      <c r="KYY368" s="286"/>
      <c r="KYZ368" s="287"/>
      <c r="KZA368" s="296"/>
      <c r="KZB368" s="266"/>
      <c r="KZC368" s="591"/>
      <c r="KZD368" s="326"/>
      <c r="KZE368" s="362"/>
      <c r="KZF368" s="295"/>
      <c r="KZG368" s="656"/>
      <c r="KZH368" s="286"/>
      <c r="KZI368" s="287"/>
      <c r="KZJ368" s="296"/>
      <c r="KZK368" s="266"/>
      <c r="KZL368" s="591"/>
      <c r="KZM368" s="326"/>
      <c r="KZN368" s="362"/>
      <c r="KZO368" s="295"/>
      <c r="KZP368" s="656"/>
      <c r="KZQ368" s="286"/>
      <c r="KZR368" s="287"/>
      <c r="KZS368" s="296"/>
      <c r="KZT368" s="266"/>
      <c r="KZU368" s="591"/>
      <c r="KZV368" s="326"/>
      <c r="KZW368" s="362"/>
      <c r="KZX368" s="295"/>
      <c r="KZY368" s="656"/>
      <c r="KZZ368" s="286"/>
      <c r="LAA368" s="287"/>
      <c r="LAB368" s="296"/>
      <c r="LAC368" s="266"/>
      <c r="LAD368" s="591"/>
      <c r="LAE368" s="326"/>
      <c r="LAF368" s="362"/>
      <c r="LAG368" s="295"/>
      <c r="LAH368" s="656"/>
      <c r="LAI368" s="286"/>
      <c r="LAJ368" s="287"/>
      <c r="LAK368" s="296"/>
      <c r="LAL368" s="266"/>
      <c r="LAM368" s="591"/>
      <c r="LAN368" s="326"/>
      <c r="LAO368" s="362"/>
      <c r="LAP368" s="295"/>
      <c r="LAQ368" s="656"/>
      <c r="LAR368" s="286"/>
      <c r="LAS368" s="287"/>
      <c r="LAT368" s="296"/>
      <c r="LAU368" s="266"/>
      <c r="LAV368" s="591"/>
      <c r="LAW368" s="326"/>
      <c r="LAX368" s="362"/>
      <c r="LAY368" s="295"/>
      <c r="LAZ368" s="656"/>
      <c r="LBA368" s="286"/>
      <c r="LBB368" s="287"/>
      <c r="LBC368" s="296"/>
      <c r="LBD368" s="266"/>
      <c r="LBE368" s="591"/>
      <c r="LBF368" s="326"/>
      <c r="LBG368" s="362"/>
      <c r="LBH368" s="295"/>
      <c r="LBI368" s="656"/>
      <c r="LBJ368" s="286"/>
      <c r="LBK368" s="287"/>
      <c r="LBL368" s="296"/>
      <c r="LBM368" s="266"/>
      <c r="LBN368" s="591"/>
      <c r="LBO368" s="326"/>
      <c r="LBP368" s="362"/>
      <c r="LBQ368" s="295"/>
      <c r="LBR368" s="656"/>
      <c r="LBS368" s="286"/>
      <c r="LBT368" s="287"/>
      <c r="LBU368" s="296"/>
      <c r="LBV368" s="266"/>
      <c r="LBW368" s="591"/>
      <c r="LBX368" s="326"/>
      <c r="LBY368" s="362"/>
      <c r="LBZ368" s="295"/>
      <c r="LCA368" s="656"/>
      <c r="LCB368" s="286"/>
      <c r="LCC368" s="287"/>
      <c r="LCD368" s="296"/>
      <c r="LCE368" s="266"/>
      <c r="LCF368" s="591"/>
      <c r="LCG368" s="326"/>
      <c r="LCH368" s="362"/>
      <c r="LCI368" s="295"/>
      <c r="LCJ368" s="656"/>
      <c r="LCK368" s="286"/>
      <c r="LCL368" s="287"/>
      <c r="LCM368" s="296"/>
      <c r="LCN368" s="266"/>
      <c r="LCO368" s="591"/>
      <c r="LCP368" s="326"/>
      <c r="LCQ368" s="362"/>
      <c r="LCR368" s="295"/>
      <c r="LCS368" s="656"/>
      <c r="LCT368" s="286"/>
      <c r="LCU368" s="287"/>
      <c r="LCV368" s="296"/>
      <c r="LCW368" s="266"/>
      <c r="LCX368" s="591"/>
      <c r="LCY368" s="326"/>
      <c r="LCZ368" s="362"/>
      <c r="LDA368" s="295"/>
      <c r="LDB368" s="656"/>
      <c r="LDC368" s="286"/>
      <c r="LDD368" s="287"/>
      <c r="LDE368" s="296"/>
      <c r="LDF368" s="266"/>
      <c r="LDG368" s="591"/>
      <c r="LDH368" s="326"/>
      <c r="LDI368" s="362"/>
      <c r="LDJ368" s="295"/>
      <c r="LDK368" s="656"/>
      <c r="LDL368" s="286"/>
      <c r="LDM368" s="287"/>
      <c r="LDN368" s="296"/>
      <c r="LDO368" s="266"/>
      <c r="LDP368" s="591"/>
      <c r="LDQ368" s="326"/>
      <c r="LDR368" s="362"/>
      <c r="LDS368" s="295"/>
      <c r="LDT368" s="656"/>
      <c r="LDU368" s="286"/>
      <c r="LDV368" s="287"/>
      <c r="LDW368" s="296"/>
      <c r="LDX368" s="266"/>
      <c r="LDY368" s="591"/>
      <c r="LDZ368" s="326"/>
      <c r="LEA368" s="362"/>
      <c r="LEB368" s="295"/>
      <c r="LEC368" s="656"/>
      <c r="LED368" s="286"/>
      <c r="LEE368" s="287"/>
      <c r="LEF368" s="296"/>
      <c r="LEG368" s="266"/>
      <c r="LEH368" s="591"/>
      <c r="LEI368" s="326"/>
      <c r="LEJ368" s="362"/>
      <c r="LEK368" s="295"/>
      <c r="LEL368" s="656"/>
      <c r="LEM368" s="286"/>
      <c r="LEN368" s="287"/>
      <c r="LEO368" s="296"/>
      <c r="LEP368" s="266"/>
      <c r="LEQ368" s="591"/>
      <c r="LER368" s="326"/>
      <c r="LES368" s="362"/>
      <c r="LET368" s="295"/>
      <c r="LEU368" s="656"/>
      <c r="LEV368" s="286"/>
      <c r="LEW368" s="287"/>
      <c r="LEX368" s="296"/>
      <c r="LEY368" s="266"/>
      <c r="LEZ368" s="591"/>
      <c r="LFA368" s="326"/>
      <c r="LFB368" s="362"/>
      <c r="LFC368" s="295"/>
      <c r="LFD368" s="656"/>
      <c r="LFE368" s="286"/>
      <c r="LFF368" s="287"/>
      <c r="LFG368" s="296"/>
      <c r="LFH368" s="266"/>
      <c r="LFI368" s="591"/>
      <c r="LFJ368" s="326"/>
      <c r="LFK368" s="362"/>
      <c r="LFL368" s="295"/>
      <c r="LFM368" s="656"/>
      <c r="LFN368" s="286"/>
      <c r="LFO368" s="287"/>
      <c r="LFP368" s="296"/>
      <c r="LFQ368" s="266"/>
      <c r="LFR368" s="591"/>
      <c r="LFS368" s="326"/>
      <c r="LFT368" s="362"/>
      <c r="LFU368" s="295"/>
      <c r="LFV368" s="656"/>
      <c r="LFW368" s="286"/>
      <c r="LFX368" s="287"/>
      <c r="LFY368" s="296"/>
      <c r="LFZ368" s="266"/>
      <c r="LGA368" s="591"/>
      <c r="LGB368" s="326"/>
      <c r="LGC368" s="362"/>
      <c r="LGD368" s="295"/>
      <c r="LGE368" s="656"/>
      <c r="LGF368" s="286"/>
      <c r="LGG368" s="287"/>
      <c r="LGH368" s="296"/>
      <c r="LGI368" s="266"/>
      <c r="LGJ368" s="591"/>
      <c r="LGK368" s="326"/>
      <c r="LGL368" s="362"/>
      <c r="LGM368" s="295"/>
      <c r="LGN368" s="656"/>
      <c r="LGO368" s="286"/>
      <c r="LGP368" s="287"/>
      <c r="LGQ368" s="296"/>
      <c r="LGR368" s="266"/>
      <c r="LGS368" s="591"/>
      <c r="LGT368" s="326"/>
      <c r="LGU368" s="362"/>
      <c r="LGV368" s="295"/>
      <c r="LGW368" s="656"/>
      <c r="LGX368" s="286"/>
      <c r="LGY368" s="287"/>
      <c r="LGZ368" s="296"/>
      <c r="LHA368" s="266"/>
      <c r="LHB368" s="591"/>
      <c r="LHC368" s="326"/>
      <c r="LHD368" s="362"/>
      <c r="LHE368" s="295"/>
      <c r="LHF368" s="656"/>
      <c r="LHG368" s="286"/>
      <c r="LHH368" s="287"/>
      <c r="LHI368" s="296"/>
      <c r="LHJ368" s="266"/>
      <c r="LHK368" s="591"/>
      <c r="LHL368" s="326"/>
      <c r="LHM368" s="362"/>
      <c r="LHN368" s="295"/>
      <c r="LHO368" s="656"/>
      <c r="LHP368" s="286"/>
      <c r="LHQ368" s="287"/>
      <c r="LHR368" s="296"/>
      <c r="LHS368" s="266"/>
      <c r="LHT368" s="591"/>
      <c r="LHU368" s="326"/>
      <c r="LHV368" s="362"/>
      <c r="LHW368" s="295"/>
      <c r="LHX368" s="656"/>
      <c r="LHY368" s="286"/>
      <c r="LHZ368" s="287"/>
      <c r="LIA368" s="296"/>
      <c r="LIB368" s="266"/>
      <c r="LIC368" s="591"/>
      <c r="LID368" s="326"/>
      <c r="LIE368" s="362"/>
      <c r="LIF368" s="295"/>
      <c r="LIG368" s="656"/>
      <c r="LIH368" s="286"/>
      <c r="LII368" s="287"/>
      <c r="LIJ368" s="296"/>
      <c r="LIK368" s="266"/>
      <c r="LIL368" s="591"/>
      <c r="LIM368" s="326"/>
      <c r="LIN368" s="362"/>
      <c r="LIO368" s="295"/>
      <c r="LIP368" s="656"/>
      <c r="LIQ368" s="286"/>
      <c r="LIR368" s="287"/>
      <c r="LIS368" s="296"/>
      <c r="LIT368" s="266"/>
      <c r="LIU368" s="591"/>
      <c r="LIV368" s="326"/>
      <c r="LIW368" s="362"/>
      <c r="LIX368" s="295"/>
      <c r="LIY368" s="656"/>
      <c r="LIZ368" s="286"/>
      <c r="LJA368" s="287"/>
      <c r="LJB368" s="296"/>
      <c r="LJC368" s="266"/>
      <c r="LJD368" s="591"/>
      <c r="LJE368" s="326"/>
      <c r="LJF368" s="362"/>
      <c r="LJG368" s="295"/>
      <c r="LJH368" s="656"/>
      <c r="LJI368" s="286"/>
      <c r="LJJ368" s="287"/>
      <c r="LJK368" s="296"/>
      <c r="LJL368" s="266"/>
      <c r="LJM368" s="591"/>
      <c r="LJN368" s="326"/>
      <c r="LJO368" s="362"/>
      <c r="LJP368" s="295"/>
      <c r="LJQ368" s="656"/>
      <c r="LJR368" s="286"/>
      <c r="LJS368" s="287"/>
      <c r="LJT368" s="296"/>
      <c r="LJU368" s="266"/>
      <c r="LJV368" s="591"/>
      <c r="LJW368" s="326"/>
      <c r="LJX368" s="362"/>
      <c r="LJY368" s="295"/>
      <c r="LJZ368" s="656"/>
      <c r="LKA368" s="286"/>
      <c r="LKB368" s="287"/>
      <c r="LKC368" s="296"/>
      <c r="LKD368" s="266"/>
      <c r="LKE368" s="591"/>
      <c r="LKF368" s="326"/>
      <c r="LKG368" s="362"/>
      <c r="LKH368" s="295"/>
      <c r="LKI368" s="656"/>
      <c r="LKJ368" s="286"/>
      <c r="LKK368" s="287"/>
      <c r="LKL368" s="296"/>
      <c r="LKM368" s="266"/>
      <c r="LKN368" s="591"/>
      <c r="LKO368" s="326"/>
      <c r="LKP368" s="362"/>
      <c r="LKQ368" s="295"/>
      <c r="LKR368" s="656"/>
      <c r="LKS368" s="286"/>
      <c r="LKT368" s="287"/>
      <c r="LKU368" s="296"/>
      <c r="LKV368" s="266"/>
      <c r="LKW368" s="591"/>
      <c r="LKX368" s="326"/>
      <c r="LKY368" s="362"/>
      <c r="LKZ368" s="295"/>
      <c r="LLA368" s="656"/>
      <c r="LLB368" s="286"/>
      <c r="LLC368" s="287"/>
      <c r="LLD368" s="296"/>
      <c r="LLE368" s="266"/>
      <c r="LLF368" s="591"/>
      <c r="LLG368" s="326"/>
      <c r="LLH368" s="362"/>
      <c r="LLI368" s="295"/>
      <c r="LLJ368" s="656"/>
      <c r="LLK368" s="286"/>
      <c r="LLL368" s="287"/>
      <c r="LLM368" s="296"/>
      <c r="LLN368" s="266"/>
      <c r="LLO368" s="591"/>
      <c r="LLP368" s="326"/>
      <c r="LLQ368" s="362"/>
      <c r="LLR368" s="295"/>
      <c r="LLS368" s="656"/>
      <c r="LLT368" s="286"/>
      <c r="LLU368" s="287"/>
      <c r="LLV368" s="296"/>
      <c r="LLW368" s="266"/>
      <c r="LLX368" s="591"/>
      <c r="LLY368" s="326"/>
      <c r="LLZ368" s="362"/>
      <c r="LMA368" s="295"/>
      <c r="LMB368" s="656"/>
      <c r="LMC368" s="286"/>
      <c r="LMD368" s="287"/>
      <c r="LME368" s="296"/>
      <c r="LMF368" s="266"/>
      <c r="LMG368" s="591"/>
      <c r="LMH368" s="326"/>
      <c r="LMI368" s="362"/>
      <c r="LMJ368" s="295"/>
      <c r="LMK368" s="656"/>
      <c r="LML368" s="286"/>
      <c r="LMM368" s="287"/>
      <c r="LMN368" s="296"/>
      <c r="LMO368" s="266"/>
      <c r="LMP368" s="591"/>
      <c r="LMQ368" s="326"/>
      <c r="LMR368" s="362"/>
      <c r="LMS368" s="295"/>
      <c r="LMT368" s="656"/>
      <c r="LMU368" s="286"/>
      <c r="LMV368" s="287"/>
      <c r="LMW368" s="296"/>
      <c r="LMX368" s="266"/>
      <c r="LMY368" s="591"/>
      <c r="LMZ368" s="326"/>
      <c r="LNA368" s="362"/>
      <c r="LNB368" s="295"/>
      <c r="LNC368" s="656"/>
      <c r="LND368" s="286"/>
      <c r="LNE368" s="287"/>
      <c r="LNF368" s="296"/>
      <c r="LNG368" s="266"/>
      <c r="LNH368" s="591"/>
      <c r="LNI368" s="326"/>
      <c r="LNJ368" s="362"/>
      <c r="LNK368" s="295"/>
      <c r="LNL368" s="656"/>
      <c r="LNM368" s="286"/>
      <c r="LNN368" s="287"/>
      <c r="LNO368" s="296"/>
      <c r="LNP368" s="266"/>
      <c r="LNQ368" s="591"/>
      <c r="LNR368" s="326"/>
      <c r="LNS368" s="362"/>
      <c r="LNT368" s="295"/>
      <c r="LNU368" s="656"/>
      <c r="LNV368" s="286"/>
      <c r="LNW368" s="287"/>
      <c r="LNX368" s="296"/>
      <c r="LNY368" s="266"/>
      <c r="LNZ368" s="591"/>
      <c r="LOA368" s="326"/>
      <c r="LOB368" s="362"/>
      <c r="LOC368" s="295"/>
      <c r="LOD368" s="656"/>
      <c r="LOE368" s="286"/>
      <c r="LOF368" s="287"/>
      <c r="LOG368" s="296"/>
      <c r="LOH368" s="266"/>
      <c r="LOI368" s="591"/>
      <c r="LOJ368" s="326"/>
      <c r="LOK368" s="362"/>
      <c r="LOL368" s="295"/>
      <c r="LOM368" s="656"/>
      <c r="LON368" s="286"/>
      <c r="LOO368" s="287"/>
      <c r="LOP368" s="296"/>
      <c r="LOQ368" s="266"/>
      <c r="LOR368" s="591"/>
      <c r="LOS368" s="326"/>
      <c r="LOT368" s="362"/>
      <c r="LOU368" s="295"/>
      <c r="LOV368" s="656"/>
      <c r="LOW368" s="286"/>
      <c r="LOX368" s="287"/>
      <c r="LOY368" s="296"/>
      <c r="LOZ368" s="266"/>
      <c r="LPA368" s="591"/>
      <c r="LPB368" s="326"/>
      <c r="LPC368" s="362"/>
      <c r="LPD368" s="295"/>
      <c r="LPE368" s="656"/>
      <c r="LPF368" s="286"/>
      <c r="LPG368" s="287"/>
      <c r="LPH368" s="296"/>
      <c r="LPI368" s="266"/>
      <c r="LPJ368" s="591"/>
      <c r="LPK368" s="326"/>
      <c r="LPL368" s="362"/>
      <c r="LPM368" s="295"/>
      <c r="LPN368" s="656"/>
      <c r="LPO368" s="286"/>
      <c r="LPP368" s="287"/>
      <c r="LPQ368" s="296"/>
      <c r="LPR368" s="266"/>
      <c r="LPS368" s="591"/>
      <c r="LPT368" s="326"/>
      <c r="LPU368" s="362"/>
      <c r="LPV368" s="295"/>
      <c r="LPW368" s="656"/>
      <c r="LPX368" s="286"/>
      <c r="LPY368" s="287"/>
      <c r="LPZ368" s="296"/>
      <c r="LQA368" s="266"/>
      <c r="LQB368" s="591"/>
      <c r="LQC368" s="326"/>
      <c r="LQD368" s="362"/>
      <c r="LQE368" s="295"/>
      <c r="LQF368" s="656"/>
      <c r="LQG368" s="286"/>
      <c r="LQH368" s="287"/>
      <c r="LQI368" s="296"/>
      <c r="LQJ368" s="266"/>
      <c r="LQK368" s="591"/>
      <c r="LQL368" s="326"/>
      <c r="LQM368" s="362"/>
      <c r="LQN368" s="295"/>
      <c r="LQO368" s="656"/>
      <c r="LQP368" s="286"/>
      <c r="LQQ368" s="287"/>
      <c r="LQR368" s="296"/>
      <c r="LQS368" s="266"/>
      <c r="LQT368" s="591"/>
      <c r="LQU368" s="326"/>
      <c r="LQV368" s="362"/>
      <c r="LQW368" s="295"/>
      <c r="LQX368" s="656"/>
      <c r="LQY368" s="286"/>
      <c r="LQZ368" s="287"/>
      <c r="LRA368" s="296"/>
      <c r="LRB368" s="266"/>
      <c r="LRC368" s="591"/>
      <c r="LRD368" s="326"/>
      <c r="LRE368" s="362"/>
      <c r="LRF368" s="295"/>
      <c r="LRG368" s="656"/>
      <c r="LRH368" s="286"/>
      <c r="LRI368" s="287"/>
      <c r="LRJ368" s="296"/>
      <c r="LRK368" s="266"/>
      <c r="LRL368" s="591"/>
      <c r="LRM368" s="326"/>
      <c r="LRN368" s="362"/>
      <c r="LRO368" s="295"/>
      <c r="LRP368" s="656"/>
      <c r="LRQ368" s="286"/>
      <c r="LRR368" s="287"/>
      <c r="LRS368" s="296"/>
      <c r="LRT368" s="266"/>
      <c r="LRU368" s="591"/>
      <c r="LRV368" s="326"/>
      <c r="LRW368" s="362"/>
      <c r="LRX368" s="295"/>
      <c r="LRY368" s="656"/>
      <c r="LRZ368" s="286"/>
      <c r="LSA368" s="287"/>
      <c r="LSB368" s="296"/>
      <c r="LSC368" s="266"/>
      <c r="LSD368" s="591"/>
      <c r="LSE368" s="326"/>
      <c r="LSF368" s="362"/>
      <c r="LSG368" s="295"/>
      <c r="LSH368" s="656"/>
      <c r="LSI368" s="286"/>
      <c r="LSJ368" s="287"/>
      <c r="LSK368" s="296"/>
      <c r="LSL368" s="266"/>
      <c r="LSM368" s="591"/>
      <c r="LSN368" s="326"/>
      <c r="LSO368" s="362"/>
      <c r="LSP368" s="295"/>
      <c r="LSQ368" s="656"/>
      <c r="LSR368" s="286"/>
      <c r="LSS368" s="287"/>
      <c r="LST368" s="296"/>
      <c r="LSU368" s="266"/>
      <c r="LSV368" s="591"/>
      <c r="LSW368" s="326"/>
      <c r="LSX368" s="362"/>
      <c r="LSY368" s="295"/>
      <c r="LSZ368" s="656"/>
      <c r="LTA368" s="286"/>
      <c r="LTB368" s="287"/>
      <c r="LTC368" s="296"/>
      <c r="LTD368" s="266"/>
      <c r="LTE368" s="591"/>
      <c r="LTF368" s="326"/>
      <c r="LTG368" s="362"/>
      <c r="LTH368" s="295"/>
      <c r="LTI368" s="656"/>
      <c r="LTJ368" s="286"/>
      <c r="LTK368" s="287"/>
      <c r="LTL368" s="296"/>
      <c r="LTM368" s="266"/>
      <c r="LTN368" s="591"/>
      <c r="LTO368" s="326"/>
      <c r="LTP368" s="362"/>
      <c r="LTQ368" s="295"/>
      <c r="LTR368" s="656"/>
      <c r="LTS368" s="286"/>
      <c r="LTT368" s="287"/>
      <c r="LTU368" s="296"/>
      <c r="LTV368" s="266"/>
      <c r="LTW368" s="591"/>
      <c r="LTX368" s="326"/>
      <c r="LTY368" s="362"/>
      <c r="LTZ368" s="295"/>
      <c r="LUA368" s="656"/>
      <c r="LUB368" s="286"/>
      <c r="LUC368" s="287"/>
      <c r="LUD368" s="296"/>
      <c r="LUE368" s="266"/>
      <c r="LUF368" s="591"/>
      <c r="LUG368" s="326"/>
      <c r="LUH368" s="362"/>
      <c r="LUI368" s="295"/>
      <c r="LUJ368" s="656"/>
      <c r="LUK368" s="286"/>
      <c r="LUL368" s="287"/>
      <c r="LUM368" s="296"/>
      <c r="LUN368" s="266"/>
      <c r="LUO368" s="591"/>
      <c r="LUP368" s="326"/>
      <c r="LUQ368" s="362"/>
      <c r="LUR368" s="295"/>
      <c r="LUS368" s="656"/>
      <c r="LUT368" s="286"/>
      <c r="LUU368" s="287"/>
      <c r="LUV368" s="296"/>
      <c r="LUW368" s="266"/>
      <c r="LUX368" s="591"/>
      <c r="LUY368" s="326"/>
      <c r="LUZ368" s="362"/>
      <c r="LVA368" s="295"/>
      <c r="LVB368" s="656"/>
      <c r="LVC368" s="286"/>
      <c r="LVD368" s="287"/>
      <c r="LVE368" s="296"/>
      <c r="LVF368" s="266"/>
      <c r="LVG368" s="591"/>
      <c r="LVH368" s="326"/>
      <c r="LVI368" s="362"/>
      <c r="LVJ368" s="295"/>
      <c r="LVK368" s="656"/>
      <c r="LVL368" s="286"/>
      <c r="LVM368" s="287"/>
      <c r="LVN368" s="296"/>
      <c r="LVO368" s="266"/>
      <c r="LVP368" s="591"/>
      <c r="LVQ368" s="326"/>
      <c r="LVR368" s="362"/>
      <c r="LVS368" s="295"/>
      <c r="LVT368" s="656"/>
      <c r="LVU368" s="286"/>
      <c r="LVV368" s="287"/>
      <c r="LVW368" s="296"/>
      <c r="LVX368" s="266"/>
      <c r="LVY368" s="591"/>
      <c r="LVZ368" s="326"/>
      <c r="LWA368" s="362"/>
      <c r="LWB368" s="295"/>
      <c r="LWC368" s="656"/>
      <c r="LWD368" s="286"/>
      <c r="LWE368" s="287"/>
      <c r="LWF368" s="296"/>
      <c r="LWG368" s="266"/>
      <c r="LWH368" s="591"/>
      <c r="LWI368" s="326"/>
      <c r="LWJ368" s="362"/>
      <c r="LWK368" s="295"/>
      <c r="LWL368" s="656"/>
      <c r="LWM368" s="286"/>
      <c r="LWN368" s="287"/>
      <c r="LWO368" s="296"/>
      <c r="LWP368" s="266"/>
      <c r="LWQ368" s="591"/>
      <c r="LWR368" s="326"/>
      <c r="LWS368" s="362"/>
      <c r="LWT368" s="295"/>
      <c r="LWU368" s="656"/>
      <c r="LWV368" s="286"/>
      <c r="LWW368" s="287"/>
      <c r="LWX368" s="296"/>
      <c r="LWY368" s="266"/>
      <c r="LWZ368" s="591"/>
      <c r="LXA368" s="326"/>
      <c r="LXB368" s="362"/>
      <c r="LXC368" s="295"/>
      <c r="LXD368" s="656"/>
      <c r="LXE368" s="286"/>
      <c r="LXF368" s="287"/>
      <c r="LXG368" s="296"/>
      <c r="LXH368" s="266"/>
      <c r="LXI368" s="591"/>
      <c r="LXJ368" s="326"/>
      <c r="LXK368" s="362"/>
      <c r="LXL368" s="295"/>
      <c r="LXM368" s="656"/>
      <c r="LXN368" s="286"/>
      <c r="LXO368" s="287"/>
      <c r="LXP368" s="296"/>
      <c r="LXQ368" s="266"/>
      <c r="LXR368" s="591"/>
      <c r="LXS368" s="326"/>
      <c r="LXT368" s="362"/>
      <c r="LXU368" s="295"/>
      <c r="LXV368" s="656"/>
      <c r="LXW368" s="286"/>
      <c r="LXX368" s="287"/>
      <c r="LXY368" s="296"/>
      <c r="LXZ368" s="266"/>
      <c r="LYA368" s="591"/>
      <c r="LYB368" s="326"/>
      <c r="LYC368" s="362"/>
      <c r="LYD368" s="295"/>
      <c r="LYE368" s="656"/>
      <c r="LYF368" s="286"/>
      <c r="LYG368" s="287"/>
      <c r="LYH368" s="296"/>
      <c r="LYI368" s="266"/>
      <c r="LYJ368" s="591"/>
      <c r="LYK368" s="326"/>
      <c r="LYL368" s="362"/>
      <c r="LYM368" s="295"/>
      <c r="LYN368" s="656"/>
      <c r="LYO368" s="286"/>
      <c r="LYP368" s="287"/>
      <c r="LYQ368" s="296"/>
      <c r="LYR368" s="266"/>
      <c r="LYS368" s="591"/>
      <c r="LYT368" s="326"/>
      <c r="LYU368" s="362"/>
      <c r="LYV368" s="295"/>
      <c r="LYW368" s="656"/>
      <c r="LYX368" s="286"/>
      <c r="LYY368" s="287"/>
      <c r="LYZ368" s="296"/>
      <c r="LZA368" s="266"/>
      <c r="LZB368" s="591"/>
      <c r="LZC368" s="326"/>
      <c r="LZD368" s="362"/>
      <c r="LZE368" s="295"/>
      <c r="LZF368" s="656"/>
      <c r="LZG368" s="286"/>
      <c r="LZH368" s="287"/>
      <c r="LZI368" s="296"/>
      <c r="LZJ368" s="266"/>
      <c r="LZK368" s="591"/>
      <c r="LZL368" s="326"/>
      <c r="LZM368" s="362"/>
      <c r="LZN368" s="295"/>
      <c r="LZO368" s="656"/>
      <c r="LZP368" s="286"/>
      <c r="LZQ368" s="287"/>
      <c r="LZR368" s="296"/>
      <c r="LZS368" s="266"/>
      <c r="LZT368" s="591"/>
      <c r="LZU368" s="326"/>
      <c r="LZV368" s="362"/>
      <c r="LZW368" s="295"/>
      <c r="LZX368" s="656"/>
      <c r="LZY368" s="286"/>
      <c r="LZZ368" s="287"/>
      <c r="MAA368" s="296"/>
      <c r="MAB368" s="266"/>
      <c r="MAC368" s="591"/>
      <c r="MAD368" s="326"/>
      <c r="MAE368" s="362"/>
      <c r="MAF368" s="295"/>
      <c r="MAG368" s="656"/>
      <c r="MAH368" s="286"/>
      <c r="MAI368" s="287"/>
      <c r="MAJ368" s="296"/>
      <c r="MAK368" s="266"/>
      <c r="MAL368" s="591"/>
      <c r="MAM368" s="326"/>
      <c r="MAN368" s="362"/>
      <c r="MAO368" s="295"/>
      <c r="MAP368" s="656"/>
      <c r="MAQ368" s="286"/>
      <c r="MAR368" s="287"/>
      <c r="MAS368" s="296"/>
      <c r="MAT368" s="266"/>
      <c r="MAU368" s="591"/>
      <c r="MAV368" s="326"/>
      <c r="MAW368" s="362"/>
      <c r="MAX368" s="295"/>
      <c r="MAY368" s="656"/>
      <c r="MAZ368" s="286"/>
      <c r="MBA368" s="287"/>
      <c r="MBB368" s="296"/>
      <c r="MBC368" s="266"/>
      <c r="MBD368" s="591"/>
      <c r="MBE368" s="326"/>
      <c r="MBF368" s="362"/>
      <c r="MBG368" s="295"/>
      <c r="MBH368" s="656"/>
      <c r="MBI368" s="286"/>
      <c r="MBJ368" s="287"/>
      <c r="MBK368" s="296"/>
      <c r="MBL368" s="266"/>
      <c r="MBM368" s="591"/>
      <c r="MBN368" s="326"/>
      <c r="MBO368" s="362"/>
      <c r="MBP368" s="295"/>
      <c r="MBQ368" s="656"/>
      <c r="MBR368" s="286"/>
      <c r="MBS368" s="287"/>
      <c r="MBT368" s="296"/>
      <c r="MBU368" s="266"/>
      <c r="MBV368" s="591"/>
      <c r="MBW368" s="326"/>
      <c r="MBX368" s="362"/>
      <c r="MBY368" s="295"/>
      <c r="MBZ368" s="656"/>
      <c r="MCA368" s="286"/>
      <c r="MCB368" s="287"/>
      <c r="MCC368" s="296"/>
      <c r="MCD368" s="266"/>
      <c r="MCE368" s="591"/>
      <c r="MCF368" s="326"/>
      <c r="MCG368" s="362"/>
      <c r="MCH368" s="295"/>
      <c r="MCI368" s="656"/>
      <c r="MCJ368" s="286"/>
      <c r="MCK368" s="287"/>
      <c r="MCL368" s="296"/>
      <c r="MCM368" s="266"/>
      <c r="MCN368" s="591"/>
      <c r="MCO368" s="326"/>
      <c r="MCP368" s="362"/>
      <c r="MCQ368" s="295"/>
      <c r="MCR368" s="656"/>
      <c r="MCS368" s="286"/>
      <c r="MCT368" s="287"/>
      <c r="MCU368" s="296"/>
      <c r="MCV368" s="266"/>
      <c r="MCW368" s="591"/>
      <c r="MCX368" s="326"/>
      <c r="MCY368" s="362"/>
      <c r="MCZ368" s="295"/>
      <c r="MDA368" s="656"/>
      <c r="MDB368" s="286"/>
      <c r="MDC368" s="287"/>
      <c r="MDD368" s="296"/>
      <c r="MDE368" s="266"/>
      <c r="MDF368" s="591"/>
      <c r="MDG368" s="326"/>
      <c r="MDH368" s="362"/>
      <c r="MDI368" s="295"/>
      <c r="MDJ368" s="656"/>
      <c r="MDK368" s="286"/>
      <c r="MDL368" s="287"/>
      <c r="MDM368" s="296"/>
      <c r="MDN368" s="266"/>
      <c r="MDO368" s="591"/>
      <c r="MDP368" s="326"/>
      <c r="MDQ368" s="362"/>
      <c r="MDR368" s="295"/>
      <c r="MDS368" s="656"/>
      <c r="MDT368" s="286"/>
      <c r="MDU368" s="287"/>
      <c r="MDV368" s="296"/>
      <c r="MDW368" s="266"/>
      <c r="MDX368" s="591"/>
      <c r="MDY368" s="326"/>
      <c r="MDZ368" s="362"/>
      <c r="MEA368" s="295"/>
      <c r="MEB368" s="656"/>
      <c r="MEC368" s="286"/>
      <c r="MED368" s="287"/>
      <c r="MEE368" s="296"/>
      <c r="MEF368" s="266"/>
      <c r="MEG368" s="591"/>
      <c r="MEH368" s="326"/>
      <c r="MEI368" s="362"/>
      <c r="MEJ368" s="295"/>
      <c r="MEK368" s="656"/>
      <c r="MEL368" s="286"/>
      <c r="MEM368" s="287"/>
      <c r="MEN368" s="296"/>
      <c r="MEO368" s="266"/>
      <c r="MEP368" s="591"/>
      <c r="MEQ368" s="326"/>
      <c r="MER368" s="362"/>
      <c r="MES368" s="295"/>
      <c r="MET368" s="656"/>
      <c r="MEU368" s="286"/>
      <c r="MEV368" s="287"/>
      <c r="MEW368" s="296"/>
      <c r="MEX368" s="266"/>
      <c r="MEY368" s="591"/>
      <c r="MEZ368" s="326"/>
      <c r="MFA368" s="362"/>
      <c r="MFB368" s="295"/>
      <c r="MFC368" s="656"/>
      <c r="MFD368" s="286"/>
      <c r="MFE368" s="287"/>
      <c r="MFF368" s="296"/>
      <c r="MFG368" s="266"/>
      <c r="MFH368" s="591"/>
      <c r="MFI368" s="326"/>
      <c r="MFJ368" s="362"/>
      <c r="MFK368" s="295"/>
      <c r="MFL368" s="656"/>
      <c r="MFM368" s="286"/>
      <c r="MFN368" s="287"/>
      <c r="MFO368" s="296"/>
      <c r="MFP368" s="266"/>
      <c r="MFQ368" s="591"/>
      <c r="MFR368" s="326"/>
      <c r="MFS368" s="362"/>
      <c r="MFT368" s="295"/>
      <c r="MFU368" s="656"/>
      <c r="MFV368" s="286"/>
      <c r="MFW368" s="287"/>
      <c r="MFX368" s="296"/>
      <c r="MFY368" s="266"/>
      <c r="MFZ368" s="591"/>
      <c r="MGA368" s="326"/>
      <c r="MGB368" s="362"/>
      <c r="MGC368" s="295"/>
      <c r="MGD368" s="656"/>
      <c r="MGE368" s="286"/>
      <c r="MGF368" s="287"/>
      <c r="MGG368" s="296"/>
      <c r="MGH368" s="266"/>
      <c r="MGI368" s="591"/>
      <c r="MGJ368" s="326"/>
      <c r="MGK368" s="362"/>
      <c r="MGL368" s="295"/>
      <c r="MGM368" s="656"/>
      <c r="MGN368" s="286"/>
      <c r="MGO368" s="287"/>
      <c r="MGP368" s="296"/>
      <c r="MGQ368" s="266"/>
      <c r="MGR368" s="591"/>
      <c r="MGS368" s="326"/>
      <c r="MGT368" s="362"/>
      <c r="MGU368" s="295"/>
      <c r="MGV368" s="656"/>
      <c r="MGW368" s="286"/>
      <c r="MGX368" s="287"/>
      <c r="MGY368" s="296"/>
      <c r="MGZ368" s="266"/>
      <c r="MHA368" s="591"/>
      <c r="MHB368" s="326"/>
      <c r="MHC368" s="362"/>
      <c r="MHD368" s="295"/>
      <c r="MHE368" s="656"/>
      <c r="MHF368" s="286"/>
      <c r="MHG368" s="287"/>
      <c r="MHH368" s="296"/>
      <c r="MHI368" s="266"/>
      <c r="MHJ368" s="591"/>
      <c r="MHK368" s="326"/>
      <c r="MHL368" s="362"/>
      <c r="MHM368" s="295"/>
      <c r="MHN368" s="656"/>
      <c r="MHO368" s="286"/>
      <c r="MHP368" s="287"/>
      <c r="MHQ368" s="296"/>
      <c r="MHR368" s="266"/>
      <c r="MHS368" s="591"/>
      <c r="MHT368" s="326"/>
      <c r="MHU368" s="362"/>
      <c r="MHV368" s="295"/>
      <c r="MHW368" s="656"/>
      <c r="MHX368" s="286"/>
      <c r="MHY368" s="287"/>
      <c r="MHZ368" s="296"/>
      <c r="MIA368" s="266"/>
      <c r="MIB368" s="591"/>
      <c r="MIC368" s="326"/>
      <c r="MID368" s="362"/>
      <c r="MIE368" s="295"/>
      <c r="MIF368" s="656"/>
      <c r="MIG368" s="286"/>
      <c r="MIH368" s="287"/>
      <c r="MII368" s="296"/>
      <c r="MIJ368" s="266"/>
      <c r="MIK368" s="591"/>
      <c r="MIL368" s="326"/>
      <c r="MIM368" s="362"/>
      <c r="MIN368" s="295"/>
      <c r="MIO368" s="656"/>
      <c r="MIP368" s="286"/>
      <c r="MIQ368" s="287"/>
      <c r="MIR368" s="296"/>
      <c r="MIS368" s="266"/>
      <c r="MIT368" s="591"/>
      <c r="MIU368" s="326"/>
      <c r="MIV368" s="362"/>
      <c r="MIW368" s="295"/>
      <c r="MIX368" s="656"/>
      <c r="MIY368" s="286"/>
      <c r="MIZ368" s="287"/>
      <c r="MJA368" s="296"/>
      <c r="MJB368" s="266"/>
      <c r="MJC368" s="591"/>
      <c r="MJD368" s="326"/>
      <c r="MJE368" s="362"/>
      <c r="MJF368" s="295"/>
      <c r="MJG368" s="656"/>
      <c r="MJH368" s="286"/>
      <c r="MJI368" s="287"/>
      <c r="MJJ368" s="296"/>
      <c r="MJK368" s="266"/>
      <c r="MJL368" s="591"/>
      <c r="MJM368" s="326"/>
      <c r="MJN368" s="362"/>
      <c r="MJO368" s="295"/>
      <c r="MJP368" s="656"/>
      <c r="MJQ368" s="286"/>
      <c r="MJR368" s="287"/>
      <c r="MJS368" s="296"/>
      <c r="MJT368" s="266"/>
      <c r="MJU368" s="591"/>
      <c r="MJV368" s="326"/>
      <c r="MJW368" s="362"/>
      <c r="MJX368" s="295"/>
      <c r="MJY368" s="656"/>
      <c r="MJZ368" s="286"/>
      <c r="MKA368" s="287"/>
      <c r="MKB368" s="296"/>
      <c r="MKC368" s="266"/>
      <c r="MKD368" s="591"/>
      <c r="MKE368" s="326"/>
      <c r="MKF368" s="362"/>
      <c r="MKG368" s="295"/>
      <c r="MKH368" s="656"/>
      <c r="MKI368" s="286"/>
      <c r="MKJ368" s="287"/>
      <c r="MKK368" s="296"/>
      <c r="MKL368" s="266"/>
      <c r="MKM368" s="591"/>
      <c r="MKN368" s="326"/>
      <c r="MKO368" s="362"/>
      <c r="MKP368" s="295"/>
      <c r="MKQ368" s="656"/>
      <c r="MKR368" s="286"/>
      <c r="MKS368" s="287"/>
      <c r="MKT368" s="296"/>
      <c r="MKU368" s="266"/>
      <c r="MKV368" s="591"/>
      <c r="MKW368" s="326"/>
      <c r="MKX368" s="362"/>
      <c r="MKY368" s="295"/>
      <c r="MKZ368" s="656"/>
      <c r="MLA368" s="286"/>
      <c r="MLB368" s="287"/>
      <c r="MLC368" s="296"/>
      <c r="MLD368" s="266"/>
      <c r="MLE368" s="591"/>
      <c r="MLF368" s="326"/>
      <c r="MLG368" s="362"/>
      <c r="MLH368" s="295"/>
      <c r="MLI368" s="656"/>
      <c r="MLJ368" s="286"/>
      <c r="MLK368" s="287"/>
      <c r="MLL368" s="296"/>
      <c r="MLM368" s="266"/>
      <c r="MLN368" s="591"/>
      <c r="MLO368" s="326"/>
      <c r="MLP368" s="362"/>
      <c r="MLQ368" s="295"/>
      <c r="MLR368" s="656"/>
      <c r="MLS368" s="286"/>
      <c r="MLT368" s="287"/>
      <c r="MLU368" s="296"/>
      <c r="MLV368" s="266"/>
      <c r="MLW368" s="591"/>
      <c r="MLX368" s="326"/>
      <c r="MLY368" s="362"/>
      <c r="MLZ368" s="295"/>
      <c r="MMA368" s="656"/>
      <c r="MMB368" s="286"/>
      <c r="MMC368" s="287"/>
      <c r="MMD368" s="296"/>
      <c r="MME368" s="266"/>
      <c r="MMF368" s="591"/>
      <c r="MMG368" s="326"/>
      <c r="MMH368" s="362"/>
      <c r="MMI368" s="295"/>
      <c r="MMJ368" s="656"/>
      <c r="MMK368" s="286"/>
      <c r="MML368" s="287"/>
      <c r="MMM368" s="296"/>
      <c r="MMN368" s="266"/>
      <c r="MMO368" s="591"/>
      <c r="MMP368" s="326"/>
      <c r="MMQ368" s="362"/>
      <c r="MMR368" s="295"/>
      <c r="MMS368" s="656"/>
      <c r="MMT368" s="286"/>
      <c r="MMU368" s="287"/>
      <c r="MMV368" s="296"/>
      <c r="MMW368" s="266"/>
      <c r="MMX368" s="591"/>
      <c r="MMY368" s="326"/>
      <c r="MMZ368" s="362"/>
      <c r="MNA368" s="295"/>
      <c r="MNB368" s="656"/>
      <c r="MNC368" s="286"/>
      <c r="MND368" s="287"/>
      <c r="MNE368" s="296"/>
      <c r="MNF368" s="266"/>
      <c r="MNG368" s="591"/>
      <c r="MNH368" s="326"/>
      <c r="MNI368" s="362"/>
      <c r="MNJ368" s="295"/>
      <c r="MNK368" s="656"/>
      <c r="MNL368" s="286"/>
      <c r="MNM368" s="287"/>
      <c r="MNN368" s="296"/>
      <c r="MNO368" s="266"/>
      <c r="MNP368" s="591"/>
      <c r="MNQ368" s="326"/>
      <c r="MNR368" s="362"/>
      <c r="MNS368" s="295"/>
      <c r="MNT368" s="656"/>
      <c r="MNU368" s="286"/>
      <c r="MNV368" s="287"/>
      <c r="MNW368" s="296"/>
      <c r="MNX368" s="266"/>
      <c r="MNY368" s="591"/>
      <c r="MNZ368" s="326"/>
      <c r="MOA368" s="362"/>
      <c r="MOB368" s="295"/>
      <c r="MOC368" s="656"/>
      <c r="MOD368" s="286"/>
      <c r="MOE368" s="287"/>
      <c r="MOF368" s="296"/>
      <c r="MOG368" s="266"/>
      <c r="MOH368" s="591"/>
      <c r="MOI368" s="326"/>
      <c r="MOJ368" s="362"/>
      <c r="MOK368" s="295"/>
      <c r="MOL368" s="656"/>
      <c r="MOM368" s="286"/>
      <c r="MON368" s="287"/>
      <c r="MOO368" s="296"/>
      <c r="MOP368" s="266"/>
      <c r="MOQ368" s="591"/>
      <c r="MOR368" s="326"/>
      <c r="MOS368" s="362"/>
      <c r="MOT368" s="295"/>
      <c r="MOU368" s="656"/>
      <c r="MOV368" s="286"/>
      <c r="MOW368" s="287"/>
      <c r="MOX368" s="296"/>
      <c r="MOY368" s="266"/>
      <c r="MOZ368" s="591"/>
      <c r="MPA368" s="326"/>
      <c r="MPB368" s="362"/>
      <c r="MPC368" s="295"/>
      <c r="MPD368" s="656"/>
      <c r="MPE368" s="286"/>
      <c r="MPF368" s="287"/>
      <c r="MPG368" s="296"/>
      <c r="MPH368" s="266"/>
      <c r="MPI368" s="591"/>
      <c r="MPJ368" s="326"/>
      <c r="MPK368" s="362"/>
      <c r="MPL368" s="295"/>
      <c r="MPM368" s="656"/>
      <c r="MPN368" s="286"/>
      <c r="MPO368" s="287"/>
      <c r="MPP368" s="296"/>
      <c r="MPQ368" s="266"/>
      <c r="MPR368" s="591"/>
      <c r="MPS368" s="326"/>
      <c r="MPT368" s="362"/>
      <c r="MPU368" s="295"/>
      <c r="MPV368" s="656"/>
      <c r="MPW368" s="286"/>
      <c r="MPX368" s="287"/>
      <c r="MPY368" s="296"/>
      <c r="MPZ368" s="266"/>
      <c r="MQA368" s="591"/>
      <c r="MQB368" s="326"/>
      <c r="MQC368" s="362"/>
      <c r="MQD368" s="295"/>
      <c r="MQE368" s="656"/>
      <c r="MQF368" s="286"/>
      <c r="MQG368" s="287"/>
      <c r="MQH368" s="296"/>
      <c r="MQI368" s="266"/>
      <c r="MQJ368" s="591"/>
      <c r="MQK368" s="326"/>
      <c r="MQL368" s="362"/>
      <c r="MQM368" s="295"/>
      <c r="MQN368" s="656"/>
      <c r="MQO368" s="286"/>
      <c r="MQP368" s="287"/>
      <c r="MQQ368" s="296"/>
      <c r="MQR368" s="266"/>
      <c r="MQS368" s="591"/>
      <c r="MQT368" s="326"/>
      <c r="MQU368" s="362"/>
      <c r="MQV368" s="295"/>
      <c r="MQW368" s="656"/>
      <c r="MQX368" s="286"/>
      <c r="MQY368" s="287"/>
      <c r="MQZ368" s="296"/>
      <c r="MRA368" s="266"/>
      <c r="MRB368" s="591"/>
      <c r="MRC368" s="326"/>
      <c r="MRD368" s="362"/>
      <c r="MRE368" s="295"/>
      <c r="MRF368" s="656"/>
      <c r="MRG368" s="286"/>
      <c r="MRH368" s="287"/>
      <c r="MRI368" s="296"/>
      <c r="MRJ368" s="266"/>
      <c r="MRK368" s="591"/>
      <c r="MRL368" s="326"/>
      <c r="MRM368" s="362"/>
      <c r="MRN368" s="295"/>
      <c r="MRO368" s="656"/>
      <c r="MRP368" s="286"/>
      <c r="MRQ368" s="287"/>
      <c r="MRR368" s="296"/>
      <c r="MRS368" s="266"/>
      <c r="MRT368" s="591"/>
      <c r="MRU368" s="326"/>
      <c r="MRV368" s="362"/>
      <c r="MRW368" s="295"/>
      <c r="MRX368" s="656"/>
      <c r="MRY368" s="286"/>
      <c r="MRZ368" s="287"/>
      <c r="MSA368" s="296"/>
      <c r="MSB368" s="266"/>
      <c r="MSC368" s="591"/>
      <c r="MSD368" s="326"/>
      <c r="MSE368" s="362"/>
      <c r="MSF368" s="295"/>
      <c r="MSG368" s="656"/>
      <c r="MSH368" s="286"/>
      <c r="MSI368" s="287"/>
      <c r="MSJ368" s="296"/>
      <c r="MSK368" s="266"/>
      <c r="MSL368" s="591"/>
      <c r="MSM368" s="326"/>
      <c r="MSN368" s="362"/>
      <c r="MSO368" s="295"/>
      <c r="MSP368" s="656"/>
      <c r="MSQ368" s="286"/>
      <c r="MSR368" s="287"/>
      <c r="MSS368" s="296"/>
      <c r="MST368" s="266"/>
      <c r="MSU368" s="591"/>
      <c r="MSV368" s="326"/>
      <c r="MSW368" s="362"/>
      <c r="MSX368" s="295"/>
      <c r="MSY368" s="656"/>
      <c r="MSZ368" s="286"/>
      <c r="MTA368" s="287"/>
      <c r="MTB368" s="296"/>
      <c r="MTC368" s="266"/>
      <c r="MTD368" s="591"/>
      <c r="MTE368" s="326"/>
      <c r="MTF368" s="362"/>
      <c r="MTG368" s="295"/>
      <c r="MTH368" s="656"/>
      <c r="MTI368" s="286"/>
      <c r="MTJ368" s="287"/>
      <c r="MTK368" s="296"/>
      <c r="MTL368" s="266"/>
      <c r="MTM368" s="591"/>
      <c r="MTN368" s="326"/>
      <c r="MTO368" s="362"/>
      <c r="MTP368" s="295"/>
      <c r="MTQ368" s="656"/>
      <c r="MTR368" s="286"/>
      <c r="MTS368" s="287"/>
      <c r="MTT368" s="296"/>
      <c r="MTU368" s="266"/>
      <c r="MTV368" s="591"/>
      <c r="MTW368" s="326"/>
      <c r="MTX368" s="362"/>
      <c r="MTY368" s="295"/>
      <c r="MTZ368" s="656"/>
      <c r="MUA368" s="286"/>
      <c r="MUB368" s="287"/>
      <c r="MUC368" s="296"/>
      <c r="MUD368" s="266"/>
      <c r="MUE368" s="591"/>
      <c r="MUF368" s="326"/>
      <c r="MUG368" s="362"/>
      <c r="MUH368" s="295"/>
      <c r="MUI368" s="656"/>
      <c r="MUJ368" s="286"/>
      <c r="MUK368" s="287"/>
      <c r="MUL368" s="296"/>
      <c r="MUM368" s="266"/>
      <c r="MUN368" s="591"/>
      <c r="MUO368" s="326"/>
      <c r="MUP368" s="362"/>
      <c r="MUQ368" s="295"/>
      <c r="MUR368" s="656"/>
      <c r="MUS368" s="286"/>
      <c r="MUT368" s="287"/>
      <c r="MUU368" s="296"/>
      <c r="MUV368" s="266"/>
      <c r="MUW368" s="591"/>
      <c r="MUX368" s="326"/>
      <c r="MUY368" s="362"/>
      <c r="MUZ368" s="295"/>
      <c r="MVA368" s="656"/>
      <c r="MVB368" s="286"/>
      <c r="MVC368" s="287"/>
      <c r="MVD368" s="296"/>
      <c r="MVE368" s="266"/>
      <c r="MVF368" s="591"/>
      <c r="MVG368" s="326"/>
      <c r="MVH368" s="362"/>
      <c r="MVI368" s="295"/>
      <c r="MVJ368" s="656"/>
      <c r="MVK368" s="286"/>
      <c r="MVL368" s="287"/>
      <c r="MVM368" s="296"/>
      <c r="MVN368" s="266"/>
      <c r="MVO368" s="591"/>
      <c r="MVP368" s="326"/>
      <c r="MVQ368" s="362"/>
      <c r="MVR368" s="295"/>
      <c r="MVS368" s="656"/>
      <c r="MVT368" s="286"/>
      <c r="MVU368" s="287"/>
      <c r="MVV368" s="296"/>
      <c r="MVW368" s="266"/>
      <c r="MVX368" s="591"/>
      <c r="MVY368" s="326"/>
      <c r="MVZ368" s="362"/>
      <c r="MWA368" s="295"/>
      <c r="MWB368" s="656"/>
      <c r="MWC368" s="286"/>
      <c r="MWD368" s="287"/>
      <c r="MWE368" s="296"/>
      <c r="MWF368" s="266"/>
      <c r="MWG368" s="591"/>
      <c r="MWH368" s="326"/>
      <c r="MWI368" s="362"/>
      <c r="MWJ368" s="295"/>
      <c r="MWK368" s="656"/>
      <c r="MWL368" s="286"/>
      <c r="MWM368" s="287"/>
      <c r="MWN368" s="296"/>
      <c r="MWO368" s="266"/>
      <c r="MWP368" s="591"/>
      <c r="MWQ368" s="326"/>
      <c r="MWR368" s="362"/>
      <c r="MWS368" s="295"/>
      <c r="MWT368" s="656"/>
      <c r="MWU368" s="286"/>
      <c r="MWV368" s="287"/>
      <c r="MWW368" s="296"/>
      <c r="MWX368" s="266"/>
      <c r="MWY368" s="591"/>
      <c r="MWZ368" s="326"/>
      <c r="MXA368" s="362"/>
      <c r="MXB368" s="295"/>
      <c r="MXC368" s="656"/>
      <c r="MXD368" s="286"/>
      <c r="MXE368" s="287"/>
      <c r="MXF368" s="296"/>
      <c r="MXG368" s="266"/>
      <c r="MXH368" s="591"/>
      <c r="MXI368" s="326"/>
      <c r="MXJ368" s="362"/>
      <c r="MXK368" s="295"/>
      <c r="MXL368" s="656"/>
      <c r="MXM368" s="286"/>
      <c r="MXN368" s="287"/>
      <c r="MXO368" s="296"/>
      <c r="MXP368" s="266"/>
      <c r="MXQ368" s="591"/>
      <c r="MXR368" s="326"/>
      <c r="MXS368" s="362"/>
      <c r="MXT368" s="295"/>
      <c r="MXU368" s="656"/>
      <c r="MXV368" s="286"/>
      <c r="MXW368" s="287"/>
      <c r="MXX368" s="296"/>
      <c r="MXY368" s="266"/>
      <c r="MXZ368" s="591"/>
      <c r="MYA368" s="326"/>
      <c r="MYB368" s="362"/>
      <c r="MYC368" s="295"/>
      <c r="MYD368" s="656"/>
      <c r="MYE368" s="286"/>
      <c r="MYF368" s="287"/>
      <c r="MYG368" s="296"/>
      <c r="MYH368" s="266"/>
      <c r="MYI368" s="591"/>
      <c r="MYJ368" s="326"/>
      <c r="MYK368" s="362"/>
      <c r="MYL368" s="295"/>
      <c r="MYM368" s="656"/>
      <c r="MYN368" s="286"/>
      <c r="MYO368" s="287"/>
      <c r="MYP368" s="296"/>
      <c r="MYQ368" s="266"/>
      <c r="MYR368" s="591"/>
      <c r="MYS368" s="326"/>
      <c r="MYT368" s="362"/>
      <c r="MYU368" s="295"/>
      <c r="MYV368" s="656"/>
      <c r="MYW368" s="286"/>
      <c r="MYX368" s="287"/>
      <c r="MYY368" s="296"/>
      <c r="MYZ368" s="266"/>
      <c r="MZA368" s="591"/>
      <c r="MZB368" s="326"/>
      <c r="MZC368" s="362"/>
      <c r="MZD368" s="295"/>
      <c r="MZE368" s="656"/>
      <c r="MZF368" s="286"/>
      <c r="MZG368" s="287"/>
      <c r="MZH368" s="296"/>
      <c r="MZI368" s="266"/>
      <c r="MZJ368" s="591"/>
      <c r="MZK368" s="326"/>
      <c r="MZL368" s="362"/>
      <c r="MZM368" s="295"/>
      <c r="MZN368" s="656"/>
      <c r="MZO368" s="286"/>
      <c r="MZP368" s="287"/>
      <c r="MZQ368" s="296"/>
      <c r="MZR368" s="266"/>
      <c r="MZS368" s="591"/>
      <c r="MZT368" s="326"/>
      <c r="MZU368" s="362"/>
      <c r="MZV368" s="295"/>
      <c r="MZW368" s="656"/>
      <c r="MZX368" s="286"/>
      <c r="MZY368" s="287"/>
      <c r="MZZ368" s="296"/>
      <c r="NAA368" s="266"/>
      <c r="NAB368" s="591"/>
      <c r="NAC368" s="326"/>
      <c r="NAD368" s="362"/>
      <c r="NAE368" s="295"/>
      <c r="NAF368" s="656"/>
      <c r="NAG368" s="286"/>
      <c r="NAH368" s="287"/>
      <c r="NAI368" s="296"/>
      <c r="NAJ368" s="266"/>
      <c r="NAK368" s="591"/>
      <c r="NAL368" s="326"/>
      <c r="NAM368" s="362"/>
      <c r="NAN368" s="295"/>
      <c r="NAO368" s="656"/>
      <c r="NAP368" s="286"/>
      <c r="NAQ368" s="287"/>
      <c r="NAR368" s="296"/>
      <c r="NAS368" s="266"/>
      <c r="NAT368" s="591"/>
      <c r="NAU368" s="326"/>
      <c r="NAV368" s="362"/>
      <c r="NAW368" s="295"/>
      <c r="NAX368" s="656"/>
      <c r="NAY368" s="286"/>
      <c r="NAZ368" s="287"/>
      <c r="NBA368" s="296"/>
      <c r="NBB368" s="266"/>
      <c r="NBC368" s="591"/>
      <c r="NBD368" s="326"/>
      <c r="NBE368" s="362"/>
      <c r="NBF368" s="295"/>
      <c r="NBG368" s="656"/>
      <c r="NBH368" s="286"/>
      <c r="NBI368" s="287"/>
      <c r="NBJ368" s="296"/>
      <c r="NBK368" s="266"/>
      <c r="NBL368" s="591"/>
      <c r="NBM368" s="326"/>
      <c r="NBN368" s="362"/>
      <c r="NBO368" s="295"/>
      <c r="NBP368" s="656"/>
      <c r="NBQ368" s="286"/>
      <c r="NBR368" s="287"/>
      <c r="NBS368" s="296"/>
      <c r="NBT368" s="266"/>
      <c r="NBU368" s="591"/>
      <c r="NBV368" s="326"/>
      <c r="NBW368" s="362"/>
      <c r="NBX368" s="295"/>
      <c r="NBY368" s="656"/>
      <c r="NBZ368" s="286"/>
      <c r="NCA368" s="287"/>
      <c r="NCB368" s="296"/>
      <c r="NCC368" s="266"/>
      <c r="NCD368" s="591"/>
      <c r="NCE368" s="326"/>
      <c r="NCF368" s="362"/>
      <c r="NCG368" s="295"/>
      <c r="NCH368" s="656"/>
      <c r="NCI368" s="286"/>
      <c r="NCJ368" s="287"/>
      <c r="NCK368" s="296"/>
      <c r="NCL368" s="266"/>
      <c r="NCM368" s="591"/>
      <c r="NCN368" s="326"/>
      <c r="NCO368" s="362"/>
      <c r="NCP368" s="295"/>
      <c r="NCQ368" s="656"/>
      <c r="NCR368" s="286"/>
      <c r="NCS368" s="287"/>
      <c r="NCT368" s="296"/>
      <c r="NCU368" s="266"/>
      <c r="NCV368" s="591"/>
      <c r="NCW368" s="326"/>
      <c r="NCX368" s="362"/>
      <c r="NCY368" s="295"/>
      <c r="NCZ368" s="656"/>
      <c r="NDA368" s="286"/>
      <c r="NDB368" s="287"/>
      <c r="NDC368" s="296"/>
      <c r="NDD368" s="266"/>
      <c r="NDE368" s="591"/>
      <c r="NDF368" s="326"/>
      <c r="NDG368" s="362"/>
      <c r="NDH368" s="295"/>
      <c r="NDI368" s="656"/>
      <c r="NDJ368" s="286"/>
      <c r="NDK368" s="287"/>
      <c r="NDL368" s="296"/>
      <c r="NDM368" s="266"/>
      <c r="NDN368" s="591"/>
      <c r="NDO368" s="326"/>
      <c r="NDP368" s="362"/>
      <c r="NDQ368" s="295"/>
      <c r="NDR368" s="656"/>
      <c r="NDS368" s="286"/>
      <c r="NDT368" s="287"/>
      <c r="NDU368" s="296"/>
      <c r="NDV368" s="266"/>
      <c r="NDW368" s="591"/>
      <c r="NDX368" s="326"/>
      <c r="NDY368" s="362"/>
      <c r="NDZ368" s="295"/>
      <c r="NEA368" s="656"/>
      <c r="NEB368" s="286"/>
      <c r="NEC368" s="287"/>
      <c r="NED368" s="296"/>
      <c r="NEE368" s="266"/>
      <c r="NEF368" s="591"/>
      <c r="NEG368" s="326"/>
      <c r="NEH368" s="362"/>
      <c r="NEI368" s="295"/>
      <c r="NEJ368" s="656"/>
      <c r="NEK368" s="286"/>
      <c r="NEL368" s="287"/>
      <c r="NEM368" s="296"/>
      <c r="NEN368" s="266"/>
      <c r="NEO368" s="591"/>
      <c r="NEP368" s="326"/>
      <c r="NEQ368" s="362"/>
      <c r="NER368" s="295"/>
      <c r="NES368" s="656"/>
      <c r="NET368" s="286"/>
      <c r="NEU368" s="287"/>
      <c r="NEV368" s="296"/>
      <c r="NEW368" s="266"/>
      <c r="NEX368" s="591"/>
      <c r="NEY368" s="326"/>
      <c r="NEZ368" s="362"/>
      <c r="NFA368" s="295"/>
      <c r="NFB368" s="656"/>
      <c r="NFC368" s="286"/>
      <c r="NFD368" s="287"/>
      <c r="NFE368" s="296"/>
      <c r="NFF368" s="266"/>
      <c r="NFG368" s="591"/>
      <c r="NFH368" s="326"/>
      <c r="NFI368" s="362"/>
      <c r="NFJ368" s="295"/>
      <c r="NFK368" s="656"/>
      <c r="NFL368" s="286"/>
      <c r="NFM368" s="287"/>
      <c r="NFN368" s="296"/>
      <c r="NFO368" s="266"/>
      <c r="NFP368" s="591"/>
      <c r="NFQ368" s="326"/>
      <c r="NFR368" s="362"/>
      <c r="NFS368" s="295"/>
      <c r="NFT368" s="656"/>
      <c r="NFU368" s="286"/>
      <c r="NFV368" s="287"/>
      <c r="NFW368" s="296"/>
      <c r="NFX368" s="266"/>
      <c r="NFY368" s="591"/>
      <c r="NFZ368" s="326"/>
      <c r="NGA368" s="362"/>
      <c r="NGB368" s="295"/>
      <c r="NGC368" s="656"/>
      <c r="NGD368" s="286"/>
      <c r="NGE368" s="287"/>
      <c r="NGF368" s="296"/>
      <c r="NGG368" s="266"/>
      <c r="NGH368" s="591"/>
      <c r="NGI368" s="326"/>
      <c r="NGJ368" s="362"/>
      <c r="NGK368" s="295"/>
      <c r="NGL368" s="656"/>
      <c r="NGM368" s="286"/>
      <c r="NGN368" s="287"/>
      <c r="NGO368" s="296"/>
      <c r="NGP368" s="266"/>
      <c r="NGQ368" s="591"/>
      <c r="NGR368" s="326"/>
      <c r="NGS368" s="362"/>
      <c r="NGT368" s="295"/>
      <c r="NGU368" s="656"/>
      <c r="NGV368" s="286"/>
      <c r="NGW368" s="287"/>
      <c r="NGX368" s="296"/>
      <c r="NGY368" s="266"/>
      <c r="NGZ368" s="591"/>
      <c r="NHA368" s="326"/>
      <c r="NHB368" s="362"/>
      <c r="NHC368" s="295"/>
      <c r="NHD368" s="656"/>
      <c r="NHE368" s="286"/>
      <c r="NHF368" s="287"/>
      <c r="NHG368" s="296"/>
      <c r="NHH368" s="266"/>
      <c r="NHI368" s="591"/>
      <c r="NHJ368" s="326"/>
      <c r="NHK368" s="362"/>
      <c r="NHL368" s="295"/>
      <c r="NHM368" s="656"/>
      <c r="NHN368" s="286"/>
      <c r="NHO368" s="287"/>
      <c r="NHP368" s="296"/>
      <c r="NHQ368" s="266"/>
      <c r="NHR368" s="591"/>
      <c r="NHS368" s="326"/>
      <c r="NHT368" s="362"/>
      <c r="NHU368" s="295"/>
      <c r="NHV368" s="656"/>
      <c r="NHW368" s="286"/>
      <c r="NHX368" s="287"/>
      <c r="NHY368" s="296"/>
      <c r="NHZ368" s="266"/>
      <c r="NIA368" s="591"/>
      <c r="NIB368" s="326"/>
      <c r="NIC368" s="362"/>
      <c r="NID368" s="295"/>
      <c r="NIE368" s="656"/>
      <c r="NIF368" s="286"/>
      <c r="NIG368" s="287"/>
      <c r="NIH368" s="296"/>
      <c r="NII368" s="266"/>
      <c r="NIJ368" s="591"/>
      <c r="NIK368" s="326"/>
      <c r="NIL368" s="362"/>
      <c r="NIM368" s="295"/>
      <c r="NIN368" s="656"/>
      <c r="NIO368" s="286"/>
      <c r="NIP368" s="287"/>
      <c r="NIQ368" s="296"/>
      <c r="NIR368" s="266"/>
      <c r="NIS368" s="591"/>
      <c r="NIT368" s="326"/>
      <c r="NIU368" s="362"/>
      <c r="NIV368" s="295"/>
      <c r="NIW368" s="656"/>
      <c r="NIX368" s="286"/>
      <c r="NIY368" s="287"/>
      <c r="NIZ368" s="296"/>
      <c r="NJA368" s="266"/>
      <c r="NJB368" s="591"/>
      <c r="NJC368" s="326"/>
      <c r="NJD368" s="362"/>
      <c r="NJE368" s="295"/>
      <c r="NJF368" s="656"/>
      <c r="NJG368" s="286"/>
      <c r="NJH368" s="287"/>
      <c r="NJI368" s="296"/>
      <c r="NJJ368" s="266"/>
      <c r="NJK368" s="591"/>
      <c r="NJL368" s="326"/>
      <c r="NJM368" s="362"/>
      <c r="NJN368" s="295"/>
      <c r="NJO368" s="656"/>
      <c r="NJP368" s="286"/>
      <c r="NJQ368" s="287"/>
      <c r="NJR368" s="296"/>
      <c r="NJS368" s="266"/>
      <c r="NJT368" s="591"/>
      <c r="NJU368" s="326"/>
      <c r="NJV368" s="362"/>
      <c r="NJW368" s="295"/>
      <c r="NJX368" s="656"/>
      <c r="NJY368" s="286"/>
      <c r="NJZ368" s="287"/>
      <c r="NKA368" s="296"/>
      <c r="NKB368" s="266"/>
      <c r="NKC368" s="591"/>
      <c r="NKD368" s="326"/>
      <c r="NKE368" s="362"/>
      <c r="NKF368" s="295"/>
      <c r="NKG368" s="656"/>
      <c r="NKH368" s="286"/>
      <c r="NKI368" s="287"/>
      <c r="NKJ368" s="296"/>
      <c r="NKK368" s="266"/>
      <c r="NKL368" s="591"/>
      <c r="NKM368" s="326"/>
      <c r="NKN368" s="362"/>
      <c r="NKO368" s="295"/>
      <c r="NKP368" s="656"/>
      <c r="NKQ368" s="286"/>
      <c r="NKR368" s="287"/>
      <c r="NKS368" s="296"/>
      <c r="NKT368" s="266"/>
      <c r="NKU368" s="591"/>
      <c r="NKV368" s="326"/>
      <c r="NKW368" s="362"/>
      <c r="NKX368" s="295"/>
      <c r="NKY368" s="656"/>
      <c r="NKZ368" s="286"/>
      <c r="NLA368" s="287"/>
      <c r="NLB368" s="296"/>
      <c r="NLC368" s="266"/>
      <c r="NLD368" s="591"/>
      <c r="NLE368" s="326"/>
      <c r="NLF368" s="362"/>
      <c r="NLG368" s="295"/>
      <c r="NLH368" s="656"/>
      <c r="NLI368" s="286"/>
      <c r="NLJ368" s="287"/>
      <c r="NLK368" s="296"/>
      <c r="NLL368" s="266"/>
      <c r="NLM368" s="591"/>
      <c r="NLN368" s="326"/>
      <c r="NLO368" s="362"/>
      <c r="NLP368" s="295"/>
      <c r="NLQ368" s="656"/>
      <c r="NLR368" s="286"/>
      <c r="NLS368" s="287"/>
      <c r="NLT368" s="296"/>
      <c r="NLU368" s="266"/>
      <c r="NLV368" s="591"/>
      <c r="NLW368" s="326"/>
      <c r="NLX368" s="362"/>
      <c r="NLY368" s="295"/>
      <c r="NLZ368" s="656"/>
      <c r="NMA368" s="286"/>
      <c r="NMB368" s="287"/>
      <c r="NMC368" s="296"/>
      <c r="NMD368" s="266"/>
      <c r="NME368" s="591"/>
      <c r="NMF368" s="326"/>
      <c r="NMG368" s="362"/>
      <c r="NMH368" s="295"/>
      <c r="NMI368" s="656"/>
      <c r="NMJ368" s="286"/>
      <c r="NMK368" s="287"/>
      <c r="NML368" s="296"/>
      <c r="NMM368" s="266"/>
      <c r="NMN368" s="591"/>
      <c r="NMO368" s="326"/>
      <c r="NMP368" s="362"/>
      <c r="NMQ368" s="295"/>
      <c r="NMR368" s="656"/>
      <c r="NMS368" s="286"/>
      <c r="NMT368" s="287"/>
      <c r="NMU368" s="296"/>
      <c r="NMV368" s="266"/>
      <c r="NMW368" s="591"/>
      <c r="NMX368" s="326"/>
      <c r="NMY368" s="362"/>
      <c r="NMZ368" s="295"/>
      <c r="NNA368" s="656"/>
      <c r="NNB368" s="286"/>
      <c r="NNC368" s="287"/>
      <c r="NND368" s="296"/>
      <c r="NNE368" s="266"/>
      <c r="NNF368" s="591"/>
      <c r="NNG368" s="326"/>
      <c r="NNH368" s="362"/>
      <c r="NNI368" s="295"/>
      <c r="NNJ368" s="656"/>
      <c r="NNK368" s="286"/>
      <c r="NNL368" s="287"/>
      <c r="NNM368" s="296"/>
      <c r="NNN368" s="266"/>
      <c r="NNO368" s="591"/>
      <c r="NNP368" s="326"/>
      <c r="NNQ368" s="362"/>
      <c r="NNR368" s="295"/>
      <c r="NNS368" s="656"/>
      <c r="NNT368" s="286"/>
      <c r="NNU368" s="287"/>
      <c r="NNV368" s="296"/>
      <c r="NNW368" s="266"/>
      <c r="NNX368" s="591"/>
      <c r="NNY368" s="326"/>
      <c r="NNZ368" s="362"/>
      <c r="NOA368" s="295"/>
      <c r="NOB368" s="656"/>
      <c r="NOC368" s="286"/>
      <c r="NOD368" s="287"/>
      <c r="NOE368" s="296"/>
      <c r="NOF368" s="266"/>
      <c r="NOG368" s="591"/>
      <c r="NOH368" s="326"/>
      <c r="NOI368" s="362"/>
      <c r="NOJ368" s="295"/>
      <c r="NOK368" s="656"/>
      <c r="NOL368" s="286"/>
      <c r="NOM368" s="287"/>
      <c r="NON368" s="296"/>
      <c r="NOO368" s="266"/>
      <c r="NOP368" s="591"/>
      <c r="NOQ368" s="326"/>
      <c r="NOR368" s="362"/>
      <c r="NOS368" s="295"/>
      <c r="NOT368" s="656"/>
      <c r="NOU368" s="286"/>
      <c r="NOV368" s="287"/>
      <c r="NOW368" s="296"/>
      <c r="NOX368" s="266"/>
      <c r="NOY368" s="591"/>
      <c r="NOZ368" s="326"/>
      <c r="NPA368" s="362"/>
      <c r="NPB368" s="295"/>
      <c r="NPC368" s="656"/>
      <c r="NPD368" s="286"/>
      <c r="NPE368" s="287"/>
      <c r="NPF368" s="296"/>
      <c r="NPG368" s="266"/>
      <c r="NPH368" s="591"/>
      <c r="NPI368" s="326"/>
      <c r="NPJ368" s="362"/>
      <c r="NPK368" s="295"/>
      <c r="NPL368" s="656"/>
      <c r="NPM368" s="286"/>
      <c r="NPN368" s="287"/>
      <c r="NPO368" s="296"/>
      <c r="NPP368" s="266"/>
      <c r="NPQ368" s="591"/>
      <c r="NPR368" s="326"/>
      <c r="NPS368" s="362"/>
      <c r="NPT368" s="295"/>
      <c r="NPU368" s="656"/>
      <c r="NPV368" s="286"/>
      <c r="NPW368" s="287"/>
      <c r="NPX368" s="296"/>
      <c r="NPY368" s="266"/>
      <c r="NPZ368" s="591"/>
      <c r="NQA368" s="326"/>
      <c r="NQB368" s="362"/>
      <c r="NQC368" s="295"/>
      <c r="NQD368" s="656"/>
      <c r="NQE368" s="286"/>
      <c r="NQF368" s="287"/>
      <c r="NQG368" s="296"/>
      <c r="NQH368" s="266"/>
      <c r="NQI368" s="591"/>
      <c r="NQJ368" s="326"/>
      <c r="NQK368" s="362"/>
      <c r="NQL368" s="295"/>
      <c r="NQM368" s="656"/>
      <c r="NQN368" s="286"/>
      <c r="NQO368" s="287"/>
      <c r="NQP368" s="296"/>
      <c r="NQQ368" s="266"/>
      <c r="NQR368" s="591"/>
      <c r="NQS368" s="326"/>
      <c r="NQT368" s="362"/>
      <c r="NQU368" s="295"/>
      <c r="NQV368" s="656"/>
      <c r="NQW368" s="286"/>
      <c r="NQX368" s="287"/>
      <c r="NQY368" s="296"/>
      <c r="NQZ368" s="266"/>
      <c r="NRA368" s="591"/>
      <c r="NRB368" s="326"/>
      <c r="NRC368" s="362"/>
      <c r="NRD368" s="295"/>
      <c r="NRE368" s="656"/>
      <c r="NRF368" s="286"/>
      <c r="NRG368" s="287"/>
      <c r="NRH368" s="296"/>
      <c r="NRI368" s="266"/>
      <c r="NRJ368" s="591"/>
      <c r="NRK368" s="326"/>
      <c r="NRL368" s="362"/>
      <c r="NRM368" s="295"/>
      <c r="NRN368" s="656"/>
      <c r="NRO368" s="286"/>
      <c r="NRP368" s="287"/>
      <c r="NRQ368" s="296"/>
      <c r="NRR368" s="266"/>
      <c r="NRS368" s="591"/>
      <c r="NRT368" s="326"/>
      <c r="NRU368" s="362"/>
      <c r="NRV368" s="295"/>
      <c r="NRW368" s="656"/>
      <c r="NRX368" s="286"/>
      <c r="NRY368" s="287"/>
      <c r="NRZ368" s="296"/>
      <c r="NSA368" s="266"/>
      <c r="NSB368" s="591"/>
      <c r="NSC368" s="326"/>
      <c r="NSD368" s="362"/>
      <c r="NSE368" s="295"/>
      <c r="NSF368" s="656"/>
      <c r="NSG368" s="286"/>
      <c r="NSH368" s="287"/>
      <c r="NSI368" s="296"/>
      <c r="NSJ368" s="266"/>
      <c r="NSK368" s="591"/>
      <c r="NSL368" s="326"/>
      <c r="NSM368" s="362"/>
      <c r="NSN368" s="295"/>
      <c r="NSO368" s="656"/>
      <c r="NSP368" s="286"/>
      <c r="NSQ368" s="287"/>
      <c r="NSR368" s="296"/>
      <c r="NSS368" s="266"/>
      <c r="NST368" s="591"/>
      <c r="NSU368" s="326"/>
      <c r="NSV368" s="362"/>
      <c r="NSW368" s="295"/>
      <c r="NSX368" s="656"/>
      <c r="NSY368" s="286"/>
      <c r="NSZ368" s="287"/>
      <c r="NTA368" s="296"/>
      <c r="NTB368" s="266"/>
      <c r="NTC368" s="591"/>
      <c r="NTD368" s="326"/>
      <c r="NTE368" s="362"/>
      <c r="NTF368" s="295"/>
      <c r="NTG368" s="656"/>
      <c r="NTH368" s="286"/>
      <c r="NTI368" s="287"/>
      <c r="NTJ368" s="296"/>
      <c r="NTK368" s="266"/>
      <c r="NTL368" s="591"/>
      <c r="NTM368" s="326"/>
      <c r="NTN368" s="362"/>
      <c r="NTO368" s="295"/>
      <c r="NTP368" s="656"/>
      <c r="NTQ368" s="286"/>
      <c r="NTR368" s="287"/>
      <c r="NTS368" s="296"/>
      <c r="NTT368" s="266"/>
      <c r="NTU368" s="591"/>
      <c r="NTV368" s="326"/>
      <c r="NTW368" s="362"/>
      <c r="NTX368" s="295"/>
      <c r="NTY368" s="656"/>
      <c r="NTZ368" s="286"/>
      <c r="NUA368" s="287"/>
      <c r="NUB368" s="296"/>
      <c r="NUC368" s="266"/>
      <c r="NUD368" s="591"/>
      <c r="NUE368" s="326"/>
      <c r="NUF368" s="362"/>
      <c r="NUG368" s="295"/>
      <c r="NUH368" s="656"/>
      <c r="NUI368" s="286"/>
      <c r="NUJ368" s="287"/>
      <c r="NUK368" s="296"/>
      <c r="NUL368" s="266"/>
      <c r="NUM368" s="591"/>
      <c r="NUN368" s="326"/>
      <c r="NUO368" s="362"/>
      <c r="NUP368" s="295"/>
      <c r="NUQ368" s="656"/>
      <c r="NUR368" s="286"/>
      <c r="NUS368" s="287"/>
      <c r="NUT368" s="296"/>
      <c r="NUU368" s="266"/>
      <c r="NUV368" s="591"/>
      <c r="NUW368" s="326"/>
      <c r="NUX368" s="362"/>
      <c r="NUY368" s="295"/>
      <c r="NUZ368" s="656"/>
      <c r="NVA368" s="286"/>
      <c r="NVB368" s="287"/>
      <c r="NVC368" s="296"/>
      <c r="NVD368" s="266"/>
      <c r="NVE368" s="591"/>
      <c r="NVF368" s="326"/>
      <c r="NVG368" s="362"/>
      <c r="NVH368" s="295"/>
      <c r="NVI368" s="656"/>
      <c r="NVJ368" s="286"/>
      <c r="NVK368" s="287"/>
      <c r="NVL368" s="296"/>
      <c r="NVM368" s="266"/>
      <c r="NVN368" s="591"/>
      <c r="NVO368" s="326"/>
      <c r="NVP368" s="362"/>
      <c r="NVQ368" s="295"/>
      <c r="NVR368" s="656"/>
      <c r="NVS368" s="286"/>
      <c r="NVT368" s="287"/>
      <c r="NVU368" s="296"/>
      <c r="NVV368" s="266"/>
      <c r="NVW368" s="591"/>
      <c r="NVX368" s="326"/>
      <c r="NVY368" s="362"/>
      <c r="NVZ368" s="295"/>
      <c r="NWA368" s="656"/>
      <c r="NWB368" s="286"/>
      <c r="NWC368" s="287"/>
      <c r="NWD368" s="296"/>
      <c r="NWE368" s="266"/>
      <c r="NWF368" s="591"/>
      <c r="NWG368" s="326"/>
      <c r="NWH368" s="362"/>
      <c r="NWI368" s="295"/>
      <c r="NWJ368" s="656"/>
      <c r="NWK368" s="286"/>
      <c r="NWL368" s="287"/>
      <c r="NWM368" s="296"/>
      <c r="NWN368" s="266"/>
      <c r="NWO368" s="591"/>
      <c r="NWP368" s="326"/>
      <c r="NWQ368" s="362"/>
      <c r="NWR368" s="295"/>
      <c r="NWS368" s="656"/>
      <c r="NWT368" s="286"/>
      <c r="NWU368" s="287"/>
      <c r="NWV368" s="296"/>
      <c r="NWW368" s="266"/>
      <c r="NWX368" s="591"/>
      <c r="NWY368" s="326"/>
      <c r="NWZ368" s="362"/>
      <c r="NXA368" s="295"/>
      <c r="NXB368" s="656"/>
      <c r="NXC368" s="286"/>
      <c r="NXD368" s="287"/>
      <c r="NXE368" s="296"/>
      <c r="NXF368" s="266"/>
      <c r="NXG368" s="591"/>
      <c r="NXH368" s="326"/>
      <c r="NXI368" s="362"/>
      <c r="NXJ368" s="295"/>
      <c r="NXK368" s="656"/>
      <c r="NXL368" s="286"/>
      <c r="NXM368" s="287"/>
      <c r="NXN368" s="296"/>
      <c r="NXO368" s="266"/>
      <c r="NXP368" s="591"/>
      <c r="NXQ368" s="326"/>
      <c r="NXR368" s="362"/>
      <c r="NXS368" s="295"/>
      <c r="NXT368" s="656"/>
      <c r="NXU368" s="286"/>
      <c r="NXV368" s="287"/>
      <c r="NXW368" s="296"/>
      <c r="NXX368" s="266"/>
      <c r="NXY368" s="591"/>
      <c r="NXZ368" s="326"/>
      <c r="NYA368" s="362"/>
      <c r="NYB368" s="295"/>
      <c r="NYC368" s="656"/>
      <c r="NYD368" s="286"/>
      <c r="NYE368" s="287"/>
      <c r="NYF368" s="296"/>
      <c r="NYG368" s="266"/>
      <c r="NYH368" s="591"/>
      <c r="NYI368" s="326"/>
      <c r="NYJ368" s="362"/>
      <c r="NYK368" s="295"/>
      <c r="NYL368" s="656"/>
      <c r="NYM368" s="286"/>
      <c r="NYN368" s="287"/>
      <c r="NYO368" s="296"/>
      <c r="NYP368" s="266"/>
      <c r="NYQ368" s="591"/>
      <c r="NYR368" s="326"/>
      <c r="NYS368" s="362"/>
      <c r="NYT368" s="295"/>
      <c r="NYU368" s="656"/>
      <c r="NYV368" s="286"/>
      <c r="NYW368" s="287"/>
      <c r="NYX368" s="296"/>
      <c r="NYY368" s="266"/>
      <c r="NYZ368" s="591"/>
      <c r="NZA368" s="326"/>
      <c r="NZB368" s="362"/>
      <c r="NZC368" s="295"/>
      <c r="NZD368" s="656"/>
      <c r="NZE368" s="286"/>
      <c r="NZF368" s="287"/>
      <c r="NZG368" s="296"/>
      <c r="NZH368" s="266"/>
      <c r="NZI368" s="591"/>
      <c r="NZJ368" s="326"/>
      <c r="NZK368" s="362"/>
      <c r="NZL368" s="295"/>
      <c r="NZM368" s="656"/>
      <c r="NZN368" s="286"/>
      <c r="NZO368" s="287"/>
      <c r="NZP368" s="296"/>
      <c r="NZQ368" s="266"/>
      <c r="NZR368" s="591"/>
      <c r="NZS368" s="326"/>
      <c r="NZT368" s="362"/>
      <c r="NZU368" s="295"/>
      <c r="NZV368" s="656"/>
      <c r="NZW368" s="286"/>
      <c r="NZX368" s="287"/>
      <c r="NZY368" s="296"/>
      <c r="NZZ368" s="266"/>
      <c r="OAA368" s="591"/>
      <c r="OAB368" s="326"/>
      <c r="OAC368" s="362"/>
      <c r="OAD368" s="295"/>
      <c r="OAE368" s="656"/>
      <c r="OAF368" s="286"/>
      <c r="OAG368" s="287"/>
      <c r="OAH368" s="296"/>
      <c r="OAI368" s="266"/>
      <c r="OAJ368" s="591"/>
      <c r="OAK368" s="326"/>
      <c r="OAL368" s="362"/>
      <c r="OAM368" s="295"/>
      <c r="OAN368" s="656"/>
      <c r="OAO368" s="286"/>
      <c r="OAP368" s="287"/>
      <c r="OAQ368" s="296"/>
      <c r="OAR368" s="266"/>
      <c r="OAS368" s="591"/>
      <c r="OAT368" s="326"/>
      <c r="OAU368" s="362"/>
      <c r="OAV368" s="295"/>
      <c r="OAW368" s="656"/>
      <c r="OAX368" s="286"/>
      <c r="OAY368" s="287"/>
      <c r="OAZ368" s="296"/>
      <c r="OBA368" s="266"/>
      <c r="OBB368" s="591"/>
      <c r="OBC368" s="326"/>
      <c r="OBD368" s="362"/>
      <c r="OBE368" s="295"/>
      <c r="OBF368" s="656"/>
      <c r="OBG368" s="286"/>
      <c r="OBH368" s="287"/>
      <c r="OBI368" s="296"/>
      <c r="OBJ368" s="266"/>
      <c r="OBK368" s="591"/>
      <c r="OBL368" s="326"/>
      <c r="OBM368" s="362"/>
      <c r="OBN368" s="295"/>
      <c r="OBO368" s="656"/>
      <c r="OBP368" s="286"/>
      <c r="OBQ368" s="287"/>
      <c r="OBR368" s="296"/>
      <c r="OBS368" s="266"/>
      <c r="OBT368" s="591"/>
      <c r="OBU368" s="326"/>
      <c r="OBV368" s="362"/>
      <c r="OBW368" s="295"/>
      <c r="OBX368" s="656"/>
      <c r="OBY368" s="286"/>
      <c r="OBZ368" s="287"/>
      <c r="OCA368" s="296"/>
      <c r="OCB368" s="266"/>
      <c r="OCC368" s="591"/>
      <c r="OCD368" s="326"/>
      <c r="OCE368" s="362"/>
      <c r="OCF368" s="295"/>
      <c r="OCG368" s="656"/>
      <c r="OCH368" s="286"/>
      <c r="OCI368" s="287"/>
      <c r="OCJ368" s="296"/>
      <c r="OCK368" s="266"/>
      <c r="OCL368" s="591"/>
      <c r="OCM368" s="326"/>
      <c r="OCN368" s="362"/>
      <c r="OCO368" s="295"/>
      <c r="OCP368" s="656"/>
      <c r="OCQ368" s="286"/>
      <c r="OCR368" s="287"/>
      <c r="OCS368" s="296"/>
      <c r="OCT368" s="266"/>
      <c r="OCU368" s="591"/>
      <c r="OCV368" s="326"/>
      <c r="OCW368" s="362"/>
      <c r="OCX368" s="295"/>
      <c r="OCY368" s="656"/>
      <c r="OCZ368" s="286"/>
      <c r="ODA368" s="287"/>
      <c r="ODB368" s="296"/>
      <c r="ODC368" s="266"/>
      <c r="ODD368" s="591"/>
      <c r="ODE368" s="326"/>
      <c r="ODF368" s="362"/>
      <c r="ODG368" s="295"/>
      <c r="ODH368" s="656"/>
      <c r="ODI368" s="286"/>
      <c r="ODJ368" s="287"/>
      <c r="ODK368" s="296"/>
      <c r="ODL368" s="266"/>
      <c r="ODM368" s="591"/>
      <c r="ODN368" s="326"/>
      <c r="ODO368" s="362"/>
      <c r="ODP368" s="295"/>
      <c r="ODQ368" s="656"/>
      <c r="ODR368" s="286"/>
      <c r="ODS368" s="287"/>
      <c r="ODT368" s="296"/>
      <c r="ODU368" s="266"/>
      <c r="ODV368" s="591"/>
      <c r="ODW368" s="326"/>
      <c r="ODX368" s="362"/>
      <c r="ODY368" s="295"/>
      <c r="ODZ368" s="656"/>
      <c r="OEA368" s="286"/>
      <c r="OEB368" s="287"/>
      <c r="OEC368" s="296"/>
      <c r="OED368" s="266"/>
      <c r="OEE368" s="591"/>
      <c r="OEF368" s="326"/>
      <c r="OEG368" s="362"/>
      <c r="OEH368" s="295"/>
      <c r="OEI368" s="656"/>
      <c r="OEJ368" s="286"/>
      <c r="OEK368" s="287"/>
      <c r="OEL368" s="296"/>
      <c r="OEM368" s="266"/>
      <c r="OEN368" s="591"/>
      <c r="OEO368" s="326"/>
      <c r="OEP368" s="362"/>
      <c r="OEQ368" s="295"/>
      <c r="OER368" s="656"/>
      <c r="OES368" s="286"/>
      <c r="OET368" s="287"/>
      <c r="OEU368" s="296"/>
      <c r="OEV368" s="266"/>
      <c r="OEW368" s="591"/>
      <c r="OEX368" s="326"/>
      <c r="OEY368" s="362"/>
      <c r="OEZ368" s="295"/>
      <c r="OFA368" s="656"/>
      <c r="OFB368" s="286"/>
      <c r="OFC368" s="287"/>
      <c r="OFD368" s="296"/>
      <c r="OFE368" s="266"/>
      <c r="OFF368" s="591"/>
      <c r="OFG368" s="326"/>
      <c r="OFH368" s="362"/>
      <c r="OFI368" s="295"/>
      <c r="OFJ368" s="656"/>
      <c r="OFK368" s="286"/>
      <c r="OFL368" s="287"/>
      <c r="OFM368" s="296"/>
      <c r="OFN368" s="266"/>
      <c r="OFO368" s="591"/>
      <c r="OFP368" s="326"/>
      <c r="OFQ368" s="362"/>
      <c r="OFR368" s="295"/>
      <c r="OFS368" s="656"/>
      <c r="OFT368" s="286"/>
      <c r="OFU368" s="287"/>
      <c r="OFV368" s="296"/>
      <c r="OFW368" s="266"/>
      <c r="OFX368" s="591"/>
      <c r="OFY368" s="326"/>
      <c r="OFZ368" s="362"/>
      <c r="OGA368" s="295"/>
      <c r="OGB368" s="656"/>
      <c r="OGC368" s="286"/>
      <c r="OGD368" s="287"/>
      <c r="OGE368" s="296"/>
      <c r="OGF368" s="266"/>
      <c r="OGG368" s="591"/>
      <c r="OGH368" s="326"/>
      <c r="OGI368" s="362"/>
      <c r="OGJ368" s="295"/>
      <c r="OGK368" s="656"/>
      <c r="OGL368" s="286"/>
      <c r="OGM368" s="287"/>
      <c r="OGN368" s="296"/>
      <c r="OGO368" s="266"/>
      <c r="OGP368" s="591"/>
      <c r="OGQ368" s="326"/>
      <c r="OGR368" s="362"/>
      <c r="OGS368" s="295"/>
      <c r="OGT368" s="656"/>
      <c r="OGU368" s="286"/>
      <c r="OGV368" s="287"/>
      <c r="OGW368" s="296"/>
      <c r="OGX368" s="266"/>
      <c r="OGY368" s="591"/>
      <c r="OGZ368" s="326"/>
      <c r="OHA368" s="362"/>
      <c r="OHB368" s="295"/>
      <c r="OHC368" s="656"/>
      <c r="OHD368" s="286"/>
      <c r="OHE368" s="287"/>
      <c r="OHF368" s="296"/>
      <c r="OHG368" s="266"/>
      <c r="OHH368" s="591"/>
      <c r="OHI368" s="326"/>
      <c r="OHJ368" s="362"/>
      <c r="OHK368" s="295"/>
      <c r="OHL368" s="656"/>
      <c r="OHM368" s="286"/>
      <c r="OHN368" s="287"/>
      <c r="OHO368" s="296"/>
      <c r="OHP368" s="266"/>
      <c r="OHQ368" s="591"/>
      <c r="OHR368" s="326"/>
      <c r="OHS368" s="362"/>
      <c r="OHT368" s="295"/>
      <c r="OHU368" s="656"/>
      <c r="OHV368" s="286"/>
      <c r="OHW368" s="287"/>
      <c r="OHX368" s="296"/>
      <c r="OHY368" s="266"/>
      <c r="OHZ368" s="591"/>
      <c r="OIA368" s="326"/>
      <c r="OIB368" s="362"/>
      <c r="OIC368" s="295"/>
      <c r="OID368" s="656"/>
      <c r="OIE368" s="286"/>
      <c r="OIF368" s="287"/>
      <c r="OIG368" s="296"/>
      <c r="OIH368" s="266"/>
      <c r="OII368" s="591"/>
      <c r="OIJ368" s="326"/>
      <c r="OIK368" s="362"/>
      <c r="OIL368" s="295"/>
      <c r="OIM368" s="656"/>
      <c r="OIN368" s="286"/>
      <c r="OIO368" s="287"/>
      <c r="OIP368" s="296"/>
      <c r="OIQ368" s="266"/>
      <c r="OIR368" s="591"/>
      <c r="OIS368" s="326"/>
      <c r="OIT368" s="362"/>
      <c r="OIU368" s="295"/>
      <c r="OIV368" s="656"/>
      <c r="OIW368" s="286"/>
      <c r="OIX368" s="287"/>
      <c r="OIY368" s="296"/>
      <c r="OIZ368" s="266"/>
      <c r="OJA368" s="591"/>
      <c r="OJB368" s="326"/>
      <c r="OJC368" s="362"/>
      <c r="OJD368" s="295"/>
      <c r="OJE368" s="656"/>
      <c r="OJF368" s="286"/>
      <c r="OJG368" s="287"/>
      <c r="OJH368" s="296"/>
      <c r="OJI368" s="266"/>
      <c r="OJJ368" s="591"/>
      <c r="OJK368" s="326"/>
      <c r="OJL368" s="362"/>
      <c r="OJM368" s="295"/>
      <c r="OJN368" s="656"/>
      <c r="OJO368" s="286"/>
      <c r="OJP368" s="287"/>
      <c r="OJQ368" s="296"/>
      <c r="OJR368" s="266"/>
      <c r="OJS368" s="591"/>
      <c r="OJT368" s="326"/>
      <c r="OJU368" s="362"/>
      <c r="OJV368" s="295"/>
      <c r="OJW368" s="656"/>
      <c r="OJX368" s="286"/>
      <c r="OJY368" s="287"/>
      <c r="OJZ368" s="296"/>
      <c r="OKA368" s="266"/>
      <c r="OKB368" s="591"/>
      <c r="OKC368" s="326"/>
      <c r="OKD368" s="362"/>
      <c r="OKE368" s="295"/>
      <c r="OKF368" s="656"/>
      <c r="OKG368" s="286"/>
      <c r="OKH368" s="287"/>
      <c r="OKI368" s="296"/>
      <c r="OKJ368" s="266"/>
      <c r="OKK368" s="591"/>
      <c r="OKL368" s="326"/>
      <c r="OKM368" s="362"/>
      <c r="OKN368" s="295"/>
      <c r="OKO368" s="656"/>
      <c r="OKP368" s="286"/>
      <c r="OKQ368" s="287"/>
      <c r="OKR368" s="296"/>
      <c r="OKS368" s="266"/>
      <c r="OKT368" s="591"/>
      <c r="OKU368" s="326"/>
      <c r="OKV368" s="362"/>
      <c r="OKW368" s="295"/>
      <c r="OKX368" s="656"/>
      <c r="OKY368" s="286"/>
      <c r="OKZ368" s="287"/>
      <c r="OLA368" s="296"/>
      <c r="OLB368" s="266"/>
      <c r="OLC368" s="591"/>
      <c r="OLD368" s="326"/>
      <c r="OLE368" s="362"/>
      <c r="OLF368" s="295"/>
      <c r="OLG368" s="656"/>
      <c r="OLH368" s="286"/>
      <c r="OLI368" s="287"/>
      <c r="OLJ368" s="296"/>
      <c r="OLK368" s="266"/>
      <c r="OLL368" s="591"/>
      <c r="OLM368" s="326"/>
      <c r="OLN368" s="362"/>
      <c r="OLO368" s="295"/>
      <c r="OLP368" s="656"/>
      <c r="OLQ368" s="286"/>
      <c r="OLR368" s="287"/>
      <c r="OLS368" s="296"/>
      <c r="OLT368" s="266"/>
      <c r="OLU368" s="591"/>
      <c r="OLV368" s="326"/>
      <c r="OLW368" s="362"/>
      <c r="OLX368" s="295"/>
      <c r="OLY368" s="656"/>
      <c r="OLZ368" s="286"/>
      <c r="OMA368" s="287"/>
      <c r="OMB368" s="296"/>
      <c r="OMC368" s="266"/>
      <c r="OMD368" s="591"/>
      <c r="OME368" s="326"/>
      <c r="OMF368" s="362"/>
      <c r="OMG368" s="295"/>
      <c r="OMH368" s="656"/>
      <c r="OMI368" s="286"/>
      <c r="OMJ368" s="287"/>
      <c r="OMK368" s="296"/>
      <c r="OML368" s="266"/>
      <c r="OMM368" s="591"/>
      <c r="OMN368" s="326"/>
      <c r="OMO368" s="362"/>
      <c r="OMP368" s="295"/>
      <c r="OMQ368" s="656"/>
      <c r="OMR368" s="286"/>
      <c r="OMS368" s="287"/>
      <c r="OMT368" s="296"/>
      <c r="OMU368" s="266"/>
      <c r="OMV368" s="591"/>
      <c r="OMW368" s="326"/>
      <c r="OMX368" s="362"/>
      <c r="OMY368" s="295"/>
      <c r="OMZ368" s="656"/>
      <c r="ONA368" s="286"/>
      <c r="ONB368" s="287"/>
      <c r="ONC368" s="296"/>
      <c r="OND368" s="266"/>
      <c r="ONE368" s="591"/>
      <c r="ONF368" s="326"/>
      <c r="ONG368" s="362"/>
      <c r="ONH368" s="295"/>
      <c r="ONI368" s="656"/>
      <c r="ONJ368" s="286"/>
      <c r="ONK368" s="287"/>
      <c r="ONL368" s="296"/>
      <c r="ONM368" s="266"/>
      <c r="ONN368" s="591"/>
      <c r="ONO368" s="326"/>
      <c r="ONP368" s="362"/>
      <c r="ONQ368" s="295"/>
      <c r="ONR368" s="656"/>
      <c r="ONS368" s="286"/>
      <c r="ONT368" s="287"/>
      <c r="ONU368" s="296"/>
      <c r="ONV368" s="266"/>
      <c r="ONW368" s="591"/>
      <c r="ONX368" s="326"/>
      <c r="ONY368" s="362"/>
      <c r="ONZ368" s="295"/>
      <c r="OOA368" s="656"/>
      <c r="OOB368" s="286"/>
      <c r="OOC368" s="287"/>
      <c r="OOD368" s="296"/>
      <c r="OOE368" s="266"/>
      <c r="OOF368" s="591"/>
      <c r="OOG368" s="326"/>
      <c r="OOH368" s="362"/>
      <c r="OOI368" s="295"/>
      <c r="OOJ368" s="656"/>
      <c r="OOK368" s="286"/>
      <c r="OOL368" s="287"/>
      <c r="OOM368" s="296"/>
      <c r="OON368" s="266"/>
      <c r="OOO368" s="591"/>
      <c r="OOP368" s="326"/>
      <c r="OOQ368" s="362"/>
      <c r="OOR368" s="295"/>
      <c r="OOS368" s="656"/>
      <c r="OOT368" s="286"/>
      <c r="OOU368" s="287"/>
      <c r="OOV368" s="296"/>
      <c r="OOW368" s="266"/>
      <c r="OOX368" s="591"/>
      <c r="OOY368" s="326"/>
      <c r="OOZ368" s="362"/>
      <c r="OPA368" s="295"/>
      <c r="OPB368" s="656"/>
      <c r="OPC368" s="286"/>
      <c r="OPD368" s="287"/>
      <c r="OPE368" s="296"/>
      <c r="OPF368" s="266"/>
      <c r="OPG368" s="591"/>
      <c r="OPH368" s="326"/>
      <c r="OPI368" s="362"/>
      <c r="OPJ368" s="295"/>
      <c r="OPK368" s="656"/>
      <c r="OPL368" s="286"/>
      <c r="OPM368" s="287"/>
      <c r="OPN368" s="296"/>
      <c r="OPO368" s="266"/>
      <c r="OPP368" s="591"/>
      <c r="OPQ368" s="326"/>
      <c r="OPR368" s="362"/>
      <c r="OPS368" s="295"/>
      <c r="OPT368" s="656"/>
      <c r="OPU368" s="286"/>
      <c r="OPV368" s="287"/>
      <c r="OPW368" s="296"/>
      <c r="OPX368" s="266"/>
      <c r="OPY368" s="591"/>
      <c r="OPZ368" s="326"/>
      <c r="OQA368" s="362"/>
      <c r="OQB368" s="295"/>
      <c r="OQC368" s="656"/>
      <c r="OQD368" s="286"/>
      <c r="OQE368" s="287"/>
      <c r="OQF368" s="296"/>
      <c r="OQG368" s="266"/>
      <c r="OQH368" s="591"/>
      <c r="OQI368" s="326"/>
      <c r="OQJ368" s="362"/>
      <c r="OQK368" s="295"/>
      <c r="OQL368" s="656"/>
      <c r="OQM368" s="286"/>
      <c r="OQN368" s="287"/>
      <c r="OQO368" s="296"/>
      <c r="OQP368" s="266"/>
      <c r="OQQ368" s="591"/>
      <c r="OQR368" s="326"/>
      <c r="OQS368" s="362"/>
      <c r="OQT368" s="295"/>
      <c r="OQU368" s="656"/>
      <c r="OQV368" s="286"/>
      <c r="OQW368" s="287"/>
      <c r="OQX368" s="296"/>
      <c r="OQY368" s="266"/>
      <c r="OQZ368" s="591"/>
      <c r="ORA368" s="326"/>
      <c r="ORB368" s="362"/>
      <c r="ORC368" s="295"/>
      <c r="ORD368" s="656"/>
      <c r="ORE368" s="286"/>
      <c r="ORF368" s="287"/>
      <c r="ORG368" s="296"/>
      <c r="ORH368" s="266"/>
      <c r="ORI368" s="591"/>
      <c r="ORJ368" s="326"/>
      <c r="ORK368" s="362"/>
      <c r="ORL368" s="295"/>
      <c r="ORM368" s="656"/>
      <c r="ORN368" s="286"/>
      <c r="ORO368" s="287"/>
      <c r="ORP368" s="296"/>
      <c r="ORQ368" s="266"/>
      <c r="ORR368" s="591"/>
      <c r="ORS368" s="326"/>
      <c r="ORT368" s="362"/>
      <c r="ORU368" s="295"/>
      <c r="ORV368" s="656"/>
      <c r="ORW368" s="286"/>
      <c r="ORX368" s="287"/>
      <c r="ORY368" s="296"/>
      <c r="ORZ368" s="266"/>
      <c r="OSA368" s="591"/>
      <c r="OSB368" s="326"/>
      <c r="OSC368" s="362"/>
      <c r="OSD368" s="295"/>
      <c r="OSE368" s="656"/>
      <c r="OSF368" s="286"/>
      <c r="OSG368" s="287"/>
      <c r="OSH368" s="296"/>
      <c r="OSI368" s="266"/>
      <c r="OSJ368" s="591"/>
      <c r="OSK368" s="326"/>
      <c r="OSL368" s="362"/>
      <c r="OSM368" s="295"/>
      <c r="OSN368" s="656"/>
      <c r="OSO368" s="286"/>
      <c r="OSP368" s="287"/>
      <c r="OSQ368" s="296"/>
      <c r="OSR368" s="266"/>
      <c r="OSS368" s="591"/>
      <c r="OST368" s="326"/>
      <c r="OSU368" s="362"/>
      <c r="OSV368" s="295"/>
      <c r="OSW368" s="656"/>
      <c r="OSX368" s="286"/>
      <c r="OSY368" s="287"/>
      <c r="OSZ368" s="296"/>
      <c r="OTA368" s="266"/>
      <c r="OTB368" s="591"/>
      <c r="OTC368" s="326"/>
      <c r="OTD368" s="362"/>
      <c r="OTE368" s="295"/>
      <c r="OTF368" s="656"/>
      <c r="OTG368" s="286"/>
      <c r="OTH368" s="287"/>
      <c r="OTI368" s="296"/>
      <c r="OTJ368" s="266"/>
      <c r="OTK368" s="591"/>
      <c r="OTL368" s="326"/>
      <c r="OTM368" s="362"/>
      <c r="OTN368" s="295"/>
      <c r="OTO368" s="656"/>
      <c r="OTP368" s="286"/>
      <c r="OTQ368" s="287"/>
      <c r="OTR368" s="296"/>
      <c r="OTS368" s="266"/>
      <c r="OTT368" s="591"/>
      <c r="OTU368" s="326"/>
      <c r="OTV368" s="362"/>
      <c r="OTW368" s="295"/>
      <c r="OTX368" s="656"/>
      <c r="OTY368" s="286"/>
      <c r="OTZ368" s="287"/>
      <c r="OUA368" s="296"/>
      <c r="OUB368" s="266"/>
      <c r="OUC368" s="591"/>
      <c r="OUD368" s="326"/>
      <c r="OUE368" s="362"/>
      <c r="OUF368" s="295"/>
      <c r="OUG368" s="656"/>
      <c r="OUH368" s="286"/>
      <c r="OUI368" s="287"/>
      <c r="OUJ368" s="296"/>
      <c r="OUK368" s="266"/>
      <c r="OUL368" s="591"/>
      <c r="OUM368" s="326"/>
      <c r="OUN368" s="362"/>
      <c r="OUO368" s="295"/>
      <c r="OUP368" s="656"/>
      <c r="OUQ368" s="286"/>
      <c r="OUR368" s="287"/>
      <c r="OUS368" s="296"/>
      <c r="OUT368" s="266"/>
      <c r="OUU368" s="591"/>
      <c r="OUV368" s="326"/>
      <c r="OUW368" s="362"/>
      <c r="OUX368" s="295"/>
      <c r="OUY368" s="656"/>
      <c r="OUZ368" s="286"/>
      <c r="OVA368" s="287"/>
      <c r="OVB368" s="296"/>
      <c r="OVC368" s="266"/>
      <c r="OVD368" s="591"/>
      <c r="OVE368" s="326"/>
      <c r="OVF368" s="362"/>
      <c r="OVG368" s="295"/>
      <c r="OVH368" s="656"/>
      <c r="OVI368" s="286"/>
      <c r="OVJ368" s="287"/>
      <c r="OVK368" s="296"/>
      <c r="OVL368" s="266"/>
      <c r="OVM368" s="591"/>
      <c r="OVN368" s="326"/>
      <c r="OVO368" s="362"/>
      <c r="OVP368" s="295"/>
      <c r="OVQ368" s="656"/>
      <c r="OVR368" s="286"/>
      <c r="OVS368" s="287"/>
      <c r="OVT368" s="296"/>
      <c r="OVU368" s="266"/>
      <c r="OVV368" s="591"/>
      <c r="OVW368" s="326"/>
      <c r="OVX368" s="362"/>
      <c r="OVY368" s="295"/>
      <c r="OVZ368" s="656"/>
      <c r="OWA368" s="286"/>
      <c r="OWB368" s="287"/>
      <c r="OWC368" s="296"/>
      <c r="OWD368" s="266"/>
      <c r="OWE368" s="591"/>
      <c r="OWF368" s="326"/>
      <c r="OWG368" s="362"/>
      <c r="OWH368" s="295"/>
      <c r="OWI368" s="656"/>
      <c r="OWJ368" s="286"/>
      <c r="OWK368" s="287"/>
      <c r="OWL368" s="296"/>
      <c r="OWM368" s="266"/>
      <c r="OWN368" s="591"/>
      <c r="OWO368" s="326"/>
      <c r="OWP368" s="362"/>
      <c r="OWQ368" s="295"/>
      <c r="OWR368" s="656"/>
      <c r="OWS368" s="286"/>
      <c r="OWT368" s="287"/>
      <c r="OWU368" s="296"/>
      <c r="OWV368" s="266"/>
      <c r="OWW368" s="591"/>
      <c r="OWX368" s="326"/>
      <c r="OWY368" s="362"/>
      <c r="OWZ368" s="295"/>
      <c r="OXA368" s="656"/>
      <c r="OXB368" s="286"/>
      <c r="OXC368" s="287"/>
      <c r="OXD368" s="296"/>
      <c r="OXE368" s="266"/>
      <c r="OXF368" s="591"/>
      <c r="OXG368" s="326"/>
      <c r="OXH368" s="362"/>
      <c r="OXI368" s="295"/>
      <c r="OXJ368" s="656"/>
      <c r="OXK368" s="286"/>
      <c r="OXL368" s="287"/>
      <c r="OXM368" s="296"/>
      <c r="OXN368" s="266"/>
      <c r="OXO368" s="591"/>
      <c r="OXP368" s="326"/>
      <c r="OXQ368" s="362"/>
      <c r="OXR368" s="295"/>
      <c r="OXS368" s="656"/>
      <c r="OXT368" s="286"/>
      <c r="OXU368" s="287"/>
      <c r="OXV368" s="296"/>
      <c r="OXW368" s="266"/>
      <c r="OXX368" s="591"/>
      <c r="OXY368" s="326"/>
      <c r="OXZ368" s="362"/>
      <c r="OYA368" s="295"/>
      <c r="OYB368" s="656"/>
      <c r="OYC368" s="286"/>
      <c r="OYD368" s="287"/>
      <c r="OYE368" s="296"/>
      <c r="OYF368" s="266"/>
      <c r="OYG368" s="591"/>
      <c r="OYH368" s="326"/>
      <c r="OYI368" s="362"/>
      <c r="OYJ368" s="295"/>
      <c r="OYK368" s="656"/>
      <c r="OYL368" s="286"/>
      <c r="OYM368" s="287"/>
      <c r="OYN368" s="296"/>
      <c r="OYO368" s="266"/>
      <c r="OYP368" s="591"/>
      <c r="OYQ368" s="326"/>
      <c r="OYR368" s="362"/>
      <c r="OYS368" s="295"/>
      <c r="OYT368" s="656"/>
      <c r="OYU368" s="286"/>
      <c r="OYV368" s="287"/>
      <c r="OYW368" s="296"/>
      <c r="OYX368" s="266"/>
      <c r="OYY368" s="591"/>
      <c r="OYZ368" s="326"/>
      <c r="OZA368" s="362"/>
      <c r="OZB368" s="295"/>
      <c r="OZC368" s="656"/>
      <c r="OZD368" s="286"/>
      <c r="OZE368" s="287"/>
      <c r="OZF368" s="296"/>
      <c r="OZG368" s="266"/>
      <c r="OZH368" s="591"/>
      <c r="OZI368" s="326"/>
      <c r="OZJ368" s="362"/>
      <c r="OZK368" s="295"/>
      <c r="OZL368" s="656"/>
      <c r="OZM368" s="286"/>
      <c r="OZN368" s="287"/>
      <c r="OZO368" s="296"/>
      <c r="OZP368" s="266"/>
      <c r="OZQ368" s="591"/>
      <c r="OZR368" s="326"/>
      <c r="OZS368" s="362"/>
      <c r="OZT368" s="295"/>
      <c r="OZU368" s="656"/>
      <c r="OZV368" s="286"/>
      <c r="OZW368" s="287"/>
      <c r="OZX368" s="296"/>
      <c r="OZY368" s="266"/>
      <c r="OZZ368" s="591"/>
      <c r="PAA368" s="326"/>
      <c r="PAB368" s="362"/>
      <c r="PAC368" s="295"/>
      <c r="PAD368" s="656"/>
      <c r="PAE368" s="286"/>
      <c r="PAF368" s="287"/>
      <c r="PAG368" s="296"/>
      <c r="PAH368" s="266"/>
      <c r="PAI368" s="591"/>
      <c r="PAJ368" s="326"/>
      <c r="PAK368" s="362"/>
      <c r="PAL368" s="295"/>
      <c r="PAM368" s="656"/>
      <c r="PAN368" s="286"/>
      <c r="PAO368" s="287"/>
      <c r="PAP368" s="296"/>
      <c r="PAQ368" s="266"/>
      <c r="PAR368" s="591"/>
      <c r="PAS368" s="326"/>
      <c r="PAT368" s="362"/>
      <c r="PAU368" s="295"/>
      <c r="PAV368" s="656"/>
      <c r="PAW368" s="286"/>
      <c r="PAX368" s="287"/>
      <c r="PAY368" s="296"/>
      <c r="PAZ368" s="266"/>
      <c r="PBA368" s="591"/>
      <c r="PBB368" s="326"/>
      <c r="PBC368" s="362"/>
      <c r="PBD368" s="295"/>
      <c r="PBE368" s="656"/>
      <c r="PBF368" s="286"/>
      <c r="PBG368" s="287"/>
      <c r="PBH368" s="296"/>
      <c r="PBI368" s="266"/>
      <c r="PBJ368" s="591"/>
      <c r="PBK368" s="326"/>
      <c r="PBL368" s="362"/>
      <c r="PBM368" s="295"/>
      <c r="PBN368" s="656"/>
      <c r="PBO368" s="286"/>
      <c r="PBP368" s="287"/>
      <c r="PBQ368" s="296"/>
      <c r="PBR368" s="266"/>
      <c r="PBS368" s="591"/>
      <c r="PBT368" s="326"/>
      <c r="PBU368" s="362"/>
      <c r="PBV368" s="295"/>
      <c r="PBW368" s="656"/>
      <c r="PBX368" s="286"/>
      <c r="PBY368" s="287"/>
      <c r="PBZ368" s="296"/>
      <c r="PCA368" s="266"/>
      <c r="PCB368" s="591"/>
      <c r="PCC368" s="326"/>
      <c r="PCD368" s="362"/>
      <c r="PCE368" s="295"/>
      <c r="PCF368" s="656"/>
      <c r="PCG368" s="286"/>
      <c r="PCH368" s="287"/>
      <c r="PCI368" s="296"/>
      <c r="PCJ368" s="266"/>
      <c r="PCK368" s="591"/>
      <c r="PCL368" s="326"/>
      <c r="PCM368" s="362"/>
      <c r="PCN368" s="295"/>
      <c r="PCO368" s="656"/>
      <c r="PCP368" s="286"/>
      <c r="PCQ368" s="287"/>
      <c r="PCR368" s="296"/>
      <c r="PCS368" s="266"/>
      <c r="PCT368" s="591"/>
      <c r="PCU368" s="326"/>
      <c r="PCV368" s="362"/>
      <c r="PCW368" s="295"/>
      <c r="PCX368" s="656"/>
      <c r="PCY368" s="286"/>
      <c r="PCZ368" s="287"/>
      <c r="PDA368" s="296"/>
      <c r="PDB368" s="266"/>
      <c r="PDC368" s="591"/>
      <c r="PDD368" s="326"/>
      <c r="PDE368" s="362"/>
      <c r="PDF368" s="295"/>
      <c r="PDG368" s="656"/>
      <c r="PDH368" s="286"/>
      <c r="PDI368" s="287"/>
      <c r="PDJ368" s="296"/>
      <c r="PDK368" s="266"/>
      <c r="PDL368" s="591"/>
      <c r="PDM368" s="326"/>
      <c r="PDN368" s="362"/>
      <c r="PDO368" s="295"/>
      <c r="PDP368" s="656"/>
      <c r="PDQ368" s="286"/>
      <c r="PDR368" s="287"/>
      <c r="PDS368" s="296"/>
      <c r="PDT368" s="266"/>
      <c r="PDU368" s="591"/>
      <c r="PDV368" s="326"/>
      <c r="PDW368" s="362"/>
      <c r="PDX368" s="295"/>
      <c r="PDY368" s="656"/>
      <c r="PDZ368" s="286"/>
      <c r="PEA368" s="287"/>
      <c r="PEB368" s="296"/>
      <c r="PEC368" s="266"/>
      <c r="PED368" s="591"/>
      <c r="PEE368" s="326"/>
      <c r="PEF368" s="362"/>
      <c r="PEG368" s="295"/>
      <c r="PEH368" s="656"/>
      <c r="PEI368" s="286"/>
      <c r="PEJ368" s="287"/>
      <c r="PEK368" s="296"/>
      <c r="PEL368" s="266"/>
      <c r="PEM368" s="591"/>
      <c r="PEN368" s="326"/>
      <c r="PEO368" s="362"/>
      <c r="PEP368" s="295"/>
      <c r="PEQ368" s="656"/>
      <c r="PER368" s="286"/>
      <c r="PES368" s="287"/>
      <c r="PET368" s="296"/>
      <c r="PEU368" s="266"/>
      <c r="PEV368" s="591"/>
      <c r="PEW368" s="326"/>
      <c r="PEX368" s="362"/>
      <c r="PEY368" s="295"/>
      <c r="PEZ368" s="656"/>
      <c r="PFA368" s="286"/>
      <c r="PFB368" s="287"/>
      <c r="PFC368" s="296"/>
      <c r="PFD368" s="266"/>
      <c r="PFE368" s="591"/>
      <c r="PFF368" s="326"/>
      <c r="PFG368" s="362"/>
      <c r="PFH368" s="295"/>
      <c r="PFI368" s="656"/>
      <c r="PFJ368" s="286"/>
      <c r="PFK368" s="287"/>
      <c r="PFL368" s="296"/>
      <c r="PFM368" s="266"/>
      <c r="PFN368" s="591"/>
      <c r="PFO368" s="326"/>
      <c r="PFP368" s="362"/>
      <c r="PFQ368" s="295"/>
      <c r="PFR368" s="656"/>
      <c r="PFS368" s="286"/>
      <c r="PFT368" s="287"/>
      <c r="PFU368" s="296"/>
      <c r="PFV368" s="266"/>
      <c r="PFW368" s="591"/>
      <c r="PFX368" s="326"/>
      <c r="PFY368" s="362"/>
      <c r="PFZ368" s="295"/>
      <c r="PGA368" s="656"/>
      <c r="PGB368" s="286"/>
      <c r="PGC368" s="287"/>
      <c r="PGD368" s="296"/>
      <c r="PGE368" s="266"/>
      <c r="PGF368" s="591"/>
      <c r="PGG368" s="326"/>
      <c r="PGH368" s="362"/>
      <c r="PGI368" s="295"/>
      <c r="PGJ368" s="656"/>
      <c r="PGK368" s="286"/>
      <c r="PGL368" s="287"/>
      <c r="PGM368" s="296"/>
      <c r="PGN368" s="266"/>
      <c r="PGO368" s="591"/>
      <c r="PGP368" s="326"/>
      <c r="PGQ368" s="362"/>
      <c r="PGR368" s="295"/>
      <c r="PGS368" s="656"/>
      <c r="PGT368" s="286"/>
      <c r="PGU368" s="287"/>
      <c r="PGV368" s="296"/>
      <c r="PGW368" s="266"/>
      <c r="PGX368" s="591"/>
      <c r="PGY368" s="326"/>
      <c r="PGZ368" s="362"/>
      <c r="PHA368" s="295"/>
      <c r="PHB368" s="656"/>
      <c r="PHC368" s="286"/>
      <c r="PHD368" s="287"/>
      <c r="PHE368" s="296"/>
      <c r="PHF368" s="266"/>
      <c r="PHG368" s="591"/>
      <c r="PHH368" s="326"/>
      <c r="PHI368" s="362"/>
      <c r="PHJ368" s="295"/>
      <c r="PHK368" s="656"/>
      <c r="PHL368" s="286"/>
      <c r="PHM368" s="287"/>
      <c r="PHN368" s="296"/>
      <c r="PHO368" s="266"/>
      <c r="PHP368" s="591"/>
      <c r="PHQ368" s="326"/>
      <c r="PHR368" s="362"/>
      <c r="PHS368" s="295"/>
      <c r="PHT368" s="656"/>
      <c r="PHU368" s="286"/>
      <c r="PHV368" s="287"/>
      <c r="PHW368" s="296"/>
      <c r="PHX368" s="266"/>
      <c r="PHY368" s="591"/>
      <c r="PHZ368" s="326"/>
      <c r="PIA368" s="362"/>
      <c r="PIB368" s="295"/>
      <c r="PIC368" s="656"/>
      <c r="PID368" s="286"/>
      <c r="PIE368" s="287"/>
      <c r="PIF368" s="296"/>
      <c r="PIG368" s="266"/>
      <c r="PIH368" s="591"/>
      <c r="PII368" s="326"/>
      <c r="PIJ368" s="362"/>
      <c r="PIK368" s="295"/>
      <c r="PIL368" s="656"/>
      <c r="PIM368" s="286"/>
      <c r="PIN368" s="287"/>
      <c r="PIO368" s="296"/>
      <c r="PIP368" s="266"/>
      <c r="PIQ368" s="591"/>
      <c r="PIR368" s="326"/>
      <c r="PIS368" s="362"/>
      <c r="PIT368" s="295"/>
      <c r="PIU368" s="656"/>
      <c r="PIV368" s="286"/>
      <c r="PIW368" s="287"/>
      <c r="PIX368" s="296"/>
      <c r="PIY368" s="266"/>
      <c r="PIZ368" s="591"/>
      <c r="PJA368" s="326"/>
      <c r="PJB368" s="362"/>
      <c r="PJC368" s="295"/>
      <c r="PJD368" s="656"/>
      <c r="PJE368" s="286"/>
      <c r="PJF368" s="287"/>
      <c r="PJG368" s="296"/>
      <c r="PJH368" s="266"/>
      <c r="PJI368" s="591"/>
      <c r="PJJ368" s="326"/>
      <c r="PJK368" s="362"/>
      <c r="PJL368" s="295"/>
      <c r="PJM368" s="656"/>
      <c r="PJN368" s="286"/>
      <c r="PJO368" s="287"/>
      <c r="PJP368" s="296"/>
      <c r="PJQ368" s="266"/>
      <c r="PJR368" s="591"/>
      <c r="PJS368" s="326"/>
      <c r="PJT368" s="362"/>
      <c r="PJU368" s="295"/>
      <c r="PJV368" s="656"/>
      <c r="PJW368" s="286"/>
      <c r="PJX368" s="287"/>
      <c r="PJY368" s="296"/>
      <c r="PJZ368" s="266"/>
      <c r="PKA368" s="591"/>
      <c r="PKB368" s="326"/>
      <c r="PKC368" s="362"/>
      <c r="PKD368" s="295"/>
      <c r="PKE368" s="656"/>
      <c r="PKF368" s="286"/>
      <c r="PKG368" s="287"/>
      <c r="PKH368" s="296"/>
      <c r="PKI368" s="266"/>
      <c r="PKJ368" s="591"/>
      <c r="PKK368" s="326"/>
      <c r="PKL368" s="362"/>
      <c r="PKM368" s="295"/>
      <c r="PKN368" s="656"/>
      <c r="PKO368" s="286"/>
      <c r="PKP368" s="287"/>
      <c r="PKQ368" s="296"/>
      <c r="PKR368" s="266"/>
      <c r="PKS368" s="591"/>
      <c r="PKT368" s="326"/>
      <c r="PKU368" s="362"/>
      <c r="PKV368" s="295"/>
      <c r="PKW368" s="656"/>
      <c r="PKX368" s="286"/>
      <c r="PKY368" s="287"/>
      <c r="PKZ368" s="296"/>
      <c r="PLA368" s="266"/>
      <c r="PLB368" s="591"/>
      <c r="PLC368" s="326"/>
      <c r="PLD368" s="362"/>
      <c r="PLE368" s="295"/>
      <c r="PLF368" s="656"/>
      <c r="PLG368" s="286"/>
      <c r="PLH368" s="287"/>
      <c r="PLI368" s="296"/>
      <c r="PLJ368" s="266"/>
      <c r="PLK368" s="591"/>
      <c r="PLL368" s="326"/>
      <c r="PLM368" s="362"/>
      <c r="PLN368" s="295"/>
      <c r="PLO368" s="656"/>
      <c r="PLP368" s="286"/>
      <c r="PLQ368" s="287"/>
      <c r="PLR368" s="296"/>
      <c r="PLS368" s="266"/>
      <c r="PLT368" s="591"/>
      <c r="PLU368" s="326"/>
      <c r="PLV368" s="362"/>
      <c r="PLW368" s="295"/>
      <c r="PLX368" s="656"/>
      <c r="PLY368" s="286"/>
      <c r="PLZ368" s="287"/>
      <c r="PMA368" s="296"/>
      <c r="PMB368" s="266"/>
      <c r="PMC368" s="591"/>
      <c r="PMD368" s="326"/>
      <c r="PME368" s="362"/>
      <c r="PMF368" s="295"/>
      <c r="PMG368" s="656"/>
      <c r="PMH368" s="286"/>
      <c r="PMI368" s="287"/>
      <c r="PMJ368" s="296"/>
      <c r="PMK368" s="266"/>
      <c r="PML368" s="591"/>
      <c r="PMM368" s="326"/>
      <c r="PMN368" s="362"/>
      <c r="PMO368" s="295"/>
      <c r="PMP368" s="656"/>
      <c r="PMQ368" s="286"/>
      <c r="PMR368" s="287"/>
      <c r="PMS368" s="296"/>
      <c r="PMT368" s="266"/>
      <c r="PMU368" s="591"/>
      <c r="PMV368" s="326"/>
      <c r="PMW368" s="362"/>
      <c r="PMX368" s="295"/>
      <c r="PMY368" s="656"/>
      <c r="PMZ368" s="286"/>
      <c r="PNA368" s="287"/>
      <c r="PNB368" s="296"/>
      <c r="PNC368" s="266"/>
      <c r="PND368" s="591"/>
      <c r="PNE368" s="326"/>
      <c r="PNF368" s="362"/>
      <c r="PNG368" s="295"/>
      <c r="PNH368" s="656"/>
      <c r="PNI368" s="286"/>
      <c r="PNJ368" s="287"/>
      <c r="PNK368" s="296"/>
      <c r="PNL368" s="266"/>
      <c r="PNM368" s="591"/>
      <c r="PNN368" s="326"/>
      <c r="PNO368" s="362"/>
      <c r="PNP368" s="295"/>
      <c r="PNQ368" s="656"/>
      <c r="PNR368" s="286"/>
      <c r="PNS368" s="287"/>
      <c r="PNT368" s="296"/>
      <c r="PNU368" s="266"/>
      <c r="PNV368" s="591"/>
      <c r="PNW368" s="326"/>
      <c r="PNX368" s="362"/>
      <c r="PNY368" s="295"/>
      <c r="PNZ368" s="656"/>
      <c r="POA368" s="286"/>
      <c r="POB368" s="287"/>
      <c r="POC368" s="296"/>
      <c r="POD368" s="266"/>
      <c r="POE368" s="591"/>
      <c r="POF368" s="326"/>
      <c r="POG368" s="362"/>
      <c r="POH368" s="295"/>
      <c r="POI368" s="656"/>
      <c r="POJ368" s="286"/>
      <c r="POK368" s="287"/>
      <c r="POL368" s="296"/>
      <c r="POM368" s="266"/>
      <c r="PON368" s="591"/>
      <c r="POO368" s="326"/>
      <c r="POP368" s="362"/>
      <c r="POQ368" s="295"/>
      <c r="POR368" s="656"/>
      <c r="POS368" s="286"/>
      <c r="POT368" s="287"/>
      <c r="POU368" s="296"/>
      <c r="POV368" s="266"/>
      <c r="POW368" s="591"/>
      <c r="POX368" s="326"/>
      <c r="POY368" s="362"/>
      <c r="POZ368" s="295"/>
      <c r="PPA368" s="656"/>
      <c r="PPB368" s="286"/>
      <c r="PPC368" s="287"/>
      <c r="PPD368" s="296"/>
      <c r="PPE368" s="266"/>
      <c r="PPF368" s="591"/>
      <c r="PPG368" s="326"/>
      <c r="PPH368" s="362"/>
      <c r="PPI368" s="295"/>
      <c r="PPJ368" s="656"/>
      <c r="PPK368" s="286"/>
      <c r="PPL368" s="287"/>
      <c r="PPM368" s="296"/>
      <c r="PPN368" s="266"/>
      <c r="PPO368" s="591"/>
      <c r="PPP368" s="326"/>
      <c r="PPQ368" s="362"/>
      <c r="PPR368" s="295"/>
      <c r="PPS368" s="656"/>
      <c r="PPT368" s="286"/>
      <c r="PPU368" s="287"/>
      <c r="PPV368" s="296"/>
      <c r="PPW368" s="266"/>
      <c r="PPX368" s="591"/>
      <c r="PPY368" s="326"/>
      <c r="PPZ368" s="362"/>
      <c r="PQA368" s="295"/>
      <c r="PQB368" s="656"/>
      <c r="PQC368" s="286"/>
      <c r="PQD368" s="287"/>
      <c r="PQE368" s="296"/>
      <c r="PQF368" s="266"/>
      <c r="PQG368" s="591"/>
      <c r="PQH368" s="326"/>
      <c r="PQI368" s="362"/>
      <c r="PQJ368" s="295"/>
      <c r="PQK368" s="656"/>
      <c r="PQL368" s="286"/>
      <c r="PQM368" s="287"/>
      <c r="PQN368" s="296"/>
      <c r="PQO368" s="266"/>
      <c r="PQP368" s="591"/>
      <c r="PQQ368" s="326"/>
      <c r="PQR368" s="362"/>
      <c r="PQS368" s="295"/>
      <c r="PQT368" s="656"/>
      <c r="PQU368" s="286"/>
      <c r="PQV368" s="287"/>
      <c r="PQW368" s="296"/>
      <c r="PQX368" s="266"/>
      <c r="PQY368" s="591"/>
      <c r="PQZ368" s="326"/>
      <c r="PRA368" s="362"/>
      <c r="PRB368" s="295"/>
      <c r="PRC368" s="656"/>
      <c r="PRD368" s="286"/>
      <c r="PRE368" s="287"/>
      <c r="PRF368" s="296"/>
      <c r="PRG368" s="266"/>
      <c r="PRH368" s="591"/>
      <c r="PRI368" s="326"/>
      <c r="PRJ368" s="362"/>
      <c r="PRK368" s="295"/>
      <c r="PRL368" s="656"/>
      <c r="PRM368" s="286"/>
      <c r="PRN368" s="287"/>
      <c r="PRO368" s="296"/>
      <c r="PRP368" s="266"/>
      <c r="PRQ368" s="591"/>
      <c r="PRR368" s="326"/>
      <c r="PRS368" s="362"/>
      <c r="PRT368" s="295"/>
      <c r="PRU368" s="656"/>
      <c r="PRV368" s="286"/>
      <c r="PRW368" s="287"/>
      <c r="PRX368" s="296"/>
      <c r="PRY368" s="266"/>
      <c r="PRZ368" s="591"/>
      <c r="PSA368" s="326"/>
      <c r="PSB368" s="362"/>
      <c r="PSC368" s="295"/>
      <c r="PSD368" s="656"/>
      <c r="PSE368" s="286"/>
      <c r="PSF368" s="287"/>
      <c r="PSG368" s="296"/>
      <c r="PSH368" s="266"/>
      <c r="PSI368" s="591"/>
      <c r="PSJ368" s="326"/>
      <c r="PSK368" s="362"/>
      <c r="PSL368" s="295"/>
      <c r="PSM368" s="656"/>
      <c r="PSN368" s="286"/>
      <c r="PSO368" s="287"/>
      <c r="PSP368" s="296"/>
      <c r="PSQ368" s="266"/>
      <c r="PSR368" s="591"/>
      <c r="PSS368" s="326"/>
      <c r="PST368" s="362"/>
      <c r="PSU368" s="295"/>
      <c r="PSV368" s="656"/>
      <c r="PSW368" s="286"/>
      <c r="PSX368" s="287"/>
      <c r="PSY368" s="296"/>
      <c r="PSZ368" s="266"/>
      <c r="PTA368" s="591"/>
      <c r="PTB368" s="326"/>
      <c r="PTC368" s="362"/>
      <c r="PTD368" s="295"/>
      <c r="PTE368" s="656"/>
      <c r="PTF368" s="286"/>
      <c r="PTG368" s="287"/>
      <c r="PTH368" s="296"/>
      <c r="PTI368" s="266"/>
      <c r="PTJ368" s="591"/>
      <c r="PTK368" s="326"/>
      <c r="PTL368" s="362"/>
      <c r="PTM368" s="295"/>
      <c r="PTN368" s="656"/>
      <c r="PTO368" s="286"/>
      <c r="PTP368" s="287"/>
      <c r="PTQ368" s="296"/>
      <c r="PTR368" s="266"/>
      <c r="PTS368" s="591"/>
      <c r="PTT368" s="326"/>
      <c r="PTU368" s="362"/>
      <c r="PTV368" s="295"/>
      <c r="PTW368" s="656"/>
      <c r="PTX368" s="286"/>
      <c r="PTY368" s="287"/>
      <c r="PTZ368" s="296"/>
      <c r="PUA368" s="266"/>
      <c r="PUB368" s="591"/>
      <c r="PUC368" s="326"/>
      <c r="PUD368" s="362"/>
      <c r="PUE368" s="295"/>
      <c r="PUF368" s="656"/>
      <c r="PUG368" s="286"/>
      <c r="PUH368" s="287"/>
      <c r="PUI368" s="296"/>
      <c r="PUJ368" s="266"/>
      <c r="PUK368" s="591"/>
      <c r="PUL368" s="326"/>
      <c r="PUM368" s="362"/>
      <c r="PUN368" s="295"/>
      <c r="PUO368" s="656"/>
      <c r="PUP368" s="286"/>
      <c r="PUQ368" s="287"/>
      <c r="PUR368" s="296"/>
      <c r="PUS368" s="266"/>
      <c r="PUT368" s="591"/>
      <c r="PUU368" s="326"/>
      <c r="PUV368" s="362"/>
      <c r="PUW368" s="295"/>
      <c r="PUX368" s="656"/>
      <c r="PUY368" s="286"/>
      <c r="PUZ368" s="287"/>
      <c r="PVA368" s="296"/>
      <c r="PVB368" s="266"/>
      <c r="PVC368" s="591"/>
      <c r="PVD368" s="326"/>
      <c r="PVE368" s="362"/>
      <c r="PVF368" s="295"/>
      <c r="PVG368" s="656"/>
      <c r="PVH368" s="286"/>
      <c r="PVI368" s="287"/>
      <c r="PVJ368" s="296"/>
      <c r="PVK368" s="266"/>
      <c r="PVL368" s="591"/>
      <c r="PVM368" s="326"/>
      <c r="PVN368" s="362"/>
      <c r="PVO368" s="295"/>
      <c r="PVP368" s="656"/>
      <c r="PVQ368" s="286"/>
      <c r="PVR368" s="287"/>
      <c r="PVS368" s="296"/>
      <c r="PVT368" s="266"/>
      <c r="PVU368" s="591"/>
      <c r="PVV368" s="326"/>
      <c r="PVW368" s="362"/>
      <c r="PVX368" s="295"/>
      <c r="PVY368" s="656"/>
      <c r="PVZ368" s="286"/>
      <c r="PWA368" s="287"/>
      <c r="PWB368" s="296"/>
      <c r="PWC368" s="266"/>
      <c r="PWD368" s="591"/>
      <c r="PWE368" s="326"/>
      <c r="PWF368" s="362"/>
      <c r="PWG368" s="295"/>
      <c r="PWH368" s="656"/>
      <c r="PWI368" s="286"/>
      <c r="PWJ368" s="287"/>
      <c r="PWK368" s="296"/>
      <c r="PWL368" s="266"/>
      <c r="PWM368" s="591"/>
      <c r="PWN368" s="326"/>
      <c r="PWO368" s="362"/>
      <c r="PWP368" s="295"/>
      <c r="PWQ368" s="656"/>
      <c r="PWR368" s="286"/>
      <c r="PWS368" s="287"/>
      <c r="PWT368" s="296"/>
      <c r="PWU368" s="266"/>
      <c r="PWV368" s="591"/>
      <c r="PWW368" s="326"/>
      <c r="PWX368" s="362"/>
      <c r="PWY368" s="295"/>
      <c r="PWZ368" s="656"/>
      <c r="PXA368" s="286"/>
      <c r="PXB368" s="287"/>
      <c r="PXC368" s="296"/>
      <c r="PXD368" s="266"/>
      <c r="PXE368" s="591"/>
      <c r="PXF368" s="326"/>
      <c r="PXG368" s="362"/>
      <c r="PXH368" s="295"/>
      <c r="PXI368" s="656"/>
      <c r="PXJ368" s="286"/>
      <c r="PXK368" s="287"/>
      <c r="PXL368" s="296"/>
      <c r="PXM368" s="266"/>
      <c r="PXN368" s="591"/>
      <c r="PXO368" s="326"/>
      <c r="PXP368" s="362"/>
      <c r="PXQ368" s="295"/>
      <c r="PXR368" s="656"/>
      <c r="PXS368" s="286"/>
      <c r="PXT368" s="287"/>
      <c r="PXU368" s="296"/>
      <c r="PXV368" s="266"/>
      <c r="PXW368" s="591"/>
      <c r="PXX368" s="326"/>
      <c r="PXY368" s="362"/>
      <c r="PXZ368" s="295"/>
      <c r="PYA368" s="656"/>
      <c r="PYB368" s="286"/>
      <c r="PYC368" s="287"/>
      <c r="PYD368" s="296"/>
      <c r="PYE368" s="266"/>
      <c r="PYF368" s="591"/>
      <c r="PYG368" s="326"/>
      <c r="PYH368" s="362"/>
      <c r="PYI368" s="295"/>
      <c r="PYJ368" s="656"/>
      <c r="PYK368" s="286"/>
      <c r="PYL368" s="287"/>
      <c r="PYM368" s="296"/>
      <c r="PYN368" s="266"/>
      <c r="PYO368" s="591"/>
      <c r="PYP368" s="326"/>
      <c r="PYQ368" s="362"/>
      <c r="PYR368" s="295"/>
      <c r="PYS368" s="656"/>
      <c r="PYT368" s="286"/>
      <c r="PYU368" s="287"/>
      <c r="PYV368" s="296"/>
      <c r="PYW368" s="266"/>
      <c r="PYX368" s="591"/>
      <c r="PYY368" s="326"/>
      <c r="PYZ368" s="362"/>
      <c r="PZA368" s="295"/>
      <c r="PZB368" s="656"/>
      <c r="PZC368" s="286"/>
      <c r="PZD368" s="287"/>
      <c r="PZE368" s="296"/>
      <c r="PZF368" s="266"/>
      <c r="PZG368" s="591"/>
      <c r="PZH368" s="326"/>
      <c r="PZI368" s="362"/>
      <c r="PZJ368" s="295"/>
      <c r="PZK368" s="656"/>
      <c r="PZL368" s="286"/>
      <c r="PZM368" s="287"/>
      <c r="PZN368" s="296"/>
      <c r="PZO368" s="266"/>
      <c r="PZP368" s="591"/>
      <c r="PZQ368" s="326"/>
      <c r="PZR368" s="362"/>
      <c r="PZS368" s="295"/>
      <c r="PZT368" s="656"/>
      <c r="PZU368" s="286"/>
      <c r="PZV368" s="287"/>
      <c r="PZW368" s="296"/>
      <c r="PZX368" s="266"/>
      <c r="PZY368" s="591"/>
      <c r="PZZ368" s="326"/>
      <c r="QAA368" s="362"/>
      <c r="QAB368" s="295"/>
      <c r="QAC368" s="656"/>
      <c r="QAD368" s="286"/>
      <c r="QAE368" s="287"/>
      <c r="QAF368" s="296"/>
      <c r="QAG368" s="266"/>
      <c r="QAH368" s="591"/>
      <c r="QAI368" s="326"/>
      <c r="QAJ368" s="362"/>
      <c r="QAK368" s="295"/>
      <c r="QAL368" s="656"/>
      <c r="QAM368" s="286"/>
      <c r="QAN368" s="287"/>
      <c r="QAO368" s="296"/>
      <c r="QAP368" s="266"/>
      <c r="QAQ368" s="591"/>
      <c r="QAR368" s="326"/>
      <c r="QAS368" s="362"/>
      <c r="QAT368" s="295"/>
      <c r="QAU368" s="656"/>
      <c r="QAV368" s="286"/>
      <c r="QAW368" s="287"/>
      <c r="QAX368" s="296"/>
      <c r="QAY368" s="266"/>
      <c r="QAZ368" s="591"/>
      <c r="QBA368" s="326"/>
      <c r="QBB368" s="362"/>
      <c r="QBC368" s="295"/>
      <c r="QBD368" s="656"/>
      <c r="QBE368" s="286"/>
      <c r="QBF368" s="287"/>
      <c r="QBG368" s="296"/>
      <c r="QBH368" s="266"/>
      <c r="QBI368" s="591"/>
      <c r="QBJ368" s="326"/>
      <c r="QBK368" s="362"/>
      <c r="QBL368" s="295"/>
      <c r="QBM368" s="656"/>
      <c r="QBN368" s="286"/>
      <c r="QBO368" s="287"/>
      <c r="QBP368" s="296"/>
      <c r="QBQ368" s="266"/>
      <c r="QBR368" s="591"/>
      <c r="QBS368" s="326"/>
      <c r="QBT368" s="362"/>
      <c r="QBU368" s="295"/>
      <c r="QBV368" s="656"/>
      <c r="QBW368" s="286"/>
      <c r="QBX368" s="287"/>
      <c r="QBY368" s="296"/>
      <c r="QBZ368" s="266"/>
      <c r="QCA368" s="591"/>
      <c r="QCB368" s="326"/>
      <c r="QCC368" s="362"/>
      <c r="QCD368" s="295"/>
      <c r="QCE368" s="656"/>
      <c r="QCF368" s="286"/>
      <c r="QCG368" s="287"/>
      <c r="QCH368" s="296"/>
      <c r="QCI368" s="266"/>
      <c r="QCJ368" s="591"/>
      <c r="QCK368" s="326"/>
      <c r="QCL368" s="362"/>
      <c r="QCM368" s="295"/>
      <c r="QCN368" s="656"/>
      <c r="QCO368" s="286"/>
      <c r="QCP368" s="287"/>
      <c r="QCQ368" s="296"/>
      <c r="QCR368" s="266"/>
      <c r="QCS368" s="591"/>
      <c r="QCT368" s="326"/>
      <c r="QCU368" s="362"/>
      <c r="QCV368" s="295"/>
      <c r="QCW368" s="656"/>
      <c r="QCX368" s="286"/>
      <c r="QCY368" s="287"/>
      <c r="QCZ368" s="296"/>
      <c r="QDA368" s="266"/>
      <c r="QDB368" s="591"/>
      <c r="QDC368" s="326"/>
      <c r="QDD368" s="362"/>
      <c r="QDE368" s="295"/>
      <c r="QDF368" s="656"/>
      <c r="QDG368" s="286"/>
      <c r="QDH368" s="287"/>
      <c r="QDI368" s="296"/>
      <c r="QDJ368" s="266"/>
      <c r="QDK368" s="591"/>
      <c r="QDL368" s="326"/>
      <c r="QDM368" s="362"/>
      <c r="QDN368" s="295"/>
      <c r="QDO368" s="656"/>
      <c r="QDP368" s="286"/>
      <c r="QDQ368" s="287"/>
      <c r="QDR368" s="296"/>
      <c r="QDS368" s="266"/>
      <c r="QDT368" s="591"/>
      <c r="QDU368" s="326"/>
      <c r="QDV368" s="362"/>
      <c r="QDW368" s="295"/>
      <c r="QDX368" s="656"/>
      <c r="QDY368" s="286"/>
      <c r="QDZ368" s="287"/>
      <c r="QEA368" s="296"/>
      <c r="QEB368" s="266"/>
      <c r="QEC368" s="591"/>
      <c r="QED368" s="326"/>
      <c r="QEE368" s="362"/>
      <c r="QEF368" s="295"/>
      <c r="QEG368" s="656"/>
      <c r="QEH368" s="286"/>
      <c r="QEI368" s="287"/>
      <c r="QEJ368" s="296"/>
      <c r="QEK368" s="266"/>
      <c r="QEL368" s="591"/>
      <c r="QEM368" s="326"/>
      <c r="QEN368" s="362"/>
      <c r="QEO368" s="295"/>
      <c r="QEP368" s="656"/>
      <c r="QEQ368" s="286"/>
      <c r="QER368" s="287"/>
      <c r="QES368" s="296"/>
      <c r="QET368" s="266"/>
      <c r="QEU368" s="591"/>
      <c r="QEV368" s="326"/>
      <c r="QEW368" s="362"/>
      <c r="QEX368" s="295"/>
      <c r="QEY368" s="656"/>
      <c r="QEZ368" s="286"/>
      <c r="QFA368" s="287"/>
      <c r="QFB368" s="296"/>
      <c r="QFC368" s="266"/>
      <c r="QFD368" s="591"/>
      <c r="QFE368" s="326"/>
      <c r="QFF368" s="362"/>
      <c r="QFG368" s="295"/>
      <c r="QFH368" s="656"/>
      <c r="QFI368" s="286"/>
      <c r="QFJ368" s="287"/>
      <c r="QFK368" s="296"/>
      <c r="QFL368" s="266"/>
      <c r="QFM368" s="591"/>
      <c r="QFN368" s="326"/>
      <c r="QFO368" s="362"/>
      <c r="QFP368" s="295"/>
      <c r="QFQ368" s="656"/>
      <c r="QFR368" s="286"/>
      <c r="QFS368" s="287"/>
      <c r="QFT368" s="296"/>
      <c r="QFU368" s="266"/>
      <c r="QFV368" s="591"/>
      <c r="QFW368" s="326"/>
      <c r="QFX368" s="362"/>
      <c r="QFY368" s="295"/>
      <c r="QFZ368" s="656"/>
      <c r="QGA368" s="286"/>
      <c r="QGB368" s="287"/>
      <c r="QGC368" s="296"/>
      <c r="QGD368" s="266"/>
      <c r="QGE368" s="591"/>
      <c r="QGF368" s="326"/>
      <c r="QGG368" s="362"/>
      <c r="QGH368" s="295"/>
      <c r="QGI368" s="656"/>
      <c r="QGJ368" s="286"/>
      <c r="QGK368" s="287"/>
      <c r="QGL368" s="296"/>
      <c r="QGM368" s="266"/>
      <c r="QGN368" s="591"/>
      <c r="QGO368" s="326"/>
      <c r="QGP368" s="362"/>
      <c r="QGQ368" s="295"/>
      <c r="QGR368" s="656"/>
      <c r="QGS368" s="286"/>
      <c r="QGT368" s="287"/>
      <c r="QGU368" s="296"/>
      <c r="QGV368" s="266"/>
      <c r="QGW368" s="591"/>
      <c r="QGX368" s="326"/>
      <c r="QGY368" s="362"/>
      <c r="QGZ368" s="295"/>
      <c r="QHA368" s="656"/>
      <c r="QHB368" s="286"/>
      <c r="QHC368" s="287"/>
      <c r="QHD368" s="296"/>
      <c r="QHE368" s="266"/>
      <c r="QHF368" s="591"/>
      <c r="QHG368" s="326"/>
      <c r="QHH368" s="362"/>
      <c r="QHI368" s="295"/>
      <c r="QHJ368" s="656"/>
      <c r="QHK368" s="286"/>
      <c r="QHL368" s="287"/>
      <c r="QHM368" s="296"/>
      <c r="QHN368" s="266"/>
      <c r="QHO368" s="591"/>
      <c r="QHP368" s="326"/>
      <c r="QHQ368" s="362"/>
      <c r="QHR368" s="295"/>
      <c r="QHS368" s="656"/>
      <c r="QHT368" s="286"/>
      <c r="QHU368" s="287"/>
      <c r="QHV368" s="296"/>
      <c r="QHW368" s="266"/>
      <c r="QHX368" s="591"/>
      <c r="QHY368" s="326"/>
      <c r="QHZ368" s="362"/>
      <c r="QIA368" s="295"/>
      <c r="QIB368" s="656"/>
      <c r="QIC368" s="286"/>
      <c r="QID368" s="287"/>
      <c r="QIE368" s="296"/>
      <c r="QIF368" s="266"/>
      <c r="QIG368" s="591"/>
      <c r="QIH368" s="326"/>
      <c r="QII368" s="362"/>
      <c r="QIJ368" s="295"/>
      <c r="QIK368" s="656"/>
      <c r="QIL368" s="286"/>
      <c r="QIM368" s="287"/>
      <c r="QIN368" s="296"/>
      <c r="QIO368" s="266"/>
      <c r="QIP368" s="591"/>
      <c r="QIQ368" s="326"/>
      <c r="QIR368" s="362"/>
      <c r="QIS368" s="295"/>
      <c r="QIT368" s="656"/>
      <c r="QIU368" s="286"/>
      <c r="QIV368" s="287"/>
      <c r="QIW368" s="296"/>
      <c r="QIX368" s="266"/>
      <c r="QIY368" s="591"/>
      <c r="QIZ368" s="326"/>
      <c r="QJA368" s="362"/>
      <c r="QJB368" s="295"/>
      <c r="QJC368" s="656"/>
      <c r="QJD368" s="286"/>
      <c r="QJE368" s="287"/>
      <c r="QJF368" s="296"/>
      <c r="QJG368" s="266"/>
      <c r="QJH368" s="591"/>
      <c r="QJI368" s="326"/>
      <c r="QJJ368" s="362"/>
      <c r="QJK368" s="295"/>
      <c r="QJL368" s="656"/>
      <c r="QJM368" s="286"/>
      <c r="QJN368" s="287"/>
      <c r="QJO368" s="296"/>
      <c r="QJP368" s="266"/>
      <c r="QJQ368" s="591"/>
      <c r="QJR368" s="326"/>
      <c r="QJS368" s="362"/>
      <c r="QJT368" s="295"/>
      <c r="QJU368" s="656"/>
      <c r="QJV368" s="286"/>
      <c r="QJW368" s="287"/>
      <c r="QJX368" s="296"/>
      <c r="QJY368" s="266"/>
      <c r="QJZ368" s="591"/>
      <c r="QKA368" s="326"/>
      <c r="QKB368" s="362"/>
      <c r="QKC368" s="295"/>
      <c r="QKD368" s="656"/>
      <c r="QKE368" s="286"/>
      <c r="QKF368" s="287"/>
      <c r="QKG368" s="296"/>
      <c r="QKH368" s="266"/>
      <c r="QKI368" s="591"/>
      <c r="QKJ368" s="326"/>
      <c r="QKK368" s="362"/>
      <c r="QKL368" s="295"/>
      <c r="QKM368" s="656"/>
      <c r="QKN368" s="286"/>
      <c r="QKO368" s="287"/>
      <c r="QKP368" s="296"/>
      <c r="QKQ368" s="266"/>
      <c r="QKR368" s="591"/>
      <c r="QKS368" s="326"/>
      <c r="QKT368" s="362"/>
      <c r="QKU368" s="295"/>
      <c r="QKV368" s="656"/>
      <c r="QKW368" s="286"/>
      <c r="QKX368" s="287"/>
      <c r="QKY368" s="296"/>
      <c r="QKZ368" s="266"/>
      <c r="QLA368" s="591"/>
      <c r="QLB368" s="326"/>
      <c r="QLC368" s="362"/>
      <c r="QLD368" s="295"/>
      <c r="QLE368" s="656"/>
      <c r="QLF368" s="286"/>
      <c r="QLG368" s="287"/>
      <c r="QLH368" s="296"/>
      <c r="QLI368" s="266"/>
      <c r="QLJ368" s="591"/>
      <c r="QLK368" s="326"/>
      <c r="QLL368" s="362"/>
      <c r="QLM368" s="295"/>
      <c r="QLN368" s="656"/>
      <c r="QLO368" s="286"/>
      <c r="QLP368" s="287"/>
      <c r="QLQ368" s="296"/>
      <c r="QLR368" s="266"/>
      <c r="QLS368" s="591"/>
      <c r="QLT368" s="326"/>
      <c r="QLU368" s="362"/>
      <c r="QLV368" s="295"/>
      <c r="QLW368" s="656"/>
      <c r="QLX368" s="286"/>
      <c r="QLY368" s="287"/>
      <c r="QLZ368" s="296"/>
      <c r="QMA368" s="266"/>
      <c r="QMB368" s="591"/>
      <c r="QMC368" s="326"/>
      <c r="QMD368" s="362"/>
      <c r="QME368" s="295"/>
      <c r="QMF368" s="656"/>
      <c r="QMG368" s="286"/>
      <c r="QMH368" s="287"/>
      <c r="QMI368" s="296"/>
      <c r="QMJ368" s="266"/>
      <c r="QMK368" s="591"/>
      <c r="QML368" s="326"/>
      <c r="QMM368" s="362"/>
      <c r="QMN368" s="295"/>
      <c r="QMO368" s="656"/>
      <c r="QMP368" s="286"/>
      <c r="QMQ368" s="287"/>
      <c r="QMR368" s="296"/>
      <c r="QMS368" s="266"/>
      <c r="QMT368" s="591"/>
      <c r="QMU368" s="326"/>
      <c r="QMV368" s="362"/>
      <c r="QMW368" s="295"/>
      <c r="QMX368" s="656"/>
      <c r="QMY368" s="286"/>
      <c r="QMZ368" s="287"/>
      <c r="QNA368" s="296"/>
      <c r="QNB368" s="266"/>
      <c r="QNC368" s="591"/>
      <c r="QND368" s="326"/>
      <c r="QNE368" s="362"/>
      <c r="QNF368" s="295"/>
      <c r="QNG368" s="656"/>
      <c r="QNH368" s="286"/>
      <c r="QNI368" s="287"/>
      <c r="QNJ368" s="296"/>
      <c r="QNK368" s="266"/>
      <c r="QNL368" s="591"/>
      <c r="QNM368" s="326"/>
      <c r="QNN368" s="362"/>
      <c r="QNO368" s="295"/>
      <c r="QNP368" s="656"/>
      <c r="QNQ368" s="286"/>
      <c r="QNR368" s="287"/>
      <c r="QNS368" s="296"/>
      <c r="QNT368" s="266"/>
      <c r="QNU368" s="591"/>
      <c r="QNV368" s="326"/>
      <c r="QNW368" s="362"/>
      <c r="QNX368" s="295"/>
      <c r="QNY368" s="656"/>
      <c r="QNZ368" s="286"/>
      <c r="QOA368" s="287"/>
      <c r="QOB368" s="296"/>
      <c r="QOC368" s="266"/>
      <c r="QOD368" s="591"/>
      <c r="QOE368" s="326"/>
      <c r="QOF368" s="362"/>
      <c r="QOG368" s="295"/>
      <c r="QOH368" s="656"/>
      <c r="QOI368" s="286"/>
      <c r="QOJ368" s="287"/>
      <c r="QOK368" s="296"/>
      <c r="QOL368" s="266"/>
      <c r="QOM368" s="591"/>
      <c r="QON368" s="326"/>
      <c r="QOO368" s="362"/>
      <c r="QOP368" s="295"/>
      <c r="QOQ368" s="656"/>
      <c r="QOR368" s="286"/>
      <c r="QOS368" s="287"/>
      <c r="QOT368" s="296"/>
      <c r="QOU368" s="266"/>
      <c r="QOV368" s="591"/>
      <c r="QOW368" s="326"/>
      <c r="QOX368" s="362"/>
      <c r="QOY368" s="295"/>
      <c r="QOZ368" s="656"/>
      <c r="QPA368" s="286"/>
      <c r="QPB368" s="287"/>
      <c r="QPC368" s="296"/>
      <c r="QPD368" s="266"/>
      <c r="QPE368" s="591"/>
      <c r="QPF368" s="326"/>
      <c r="QPG368" s="362"/>
      <c r="QPH368" s="295"/>
      <c r="QPI368" s="656"/>
      <c r="QPJ368" s="286"/>
      <c r="QPK368" s="287"/>
      <c r="QPL368" s="296"/>
      <c r="QPM368" s="266"/>
      <c r="QPN368" s="591"/>
      <c r="QPO368" s="326"/>
      <c r="QPP368" s="362"/>
      <c r="QPQ368" s="295"/>
      <c r="QPR368" s="656"/>
      <c r="QPS368" s="286"/>
      <c r="QPT368" s="287"/>
      <c r="QPU368" s="296"/>
      <c r="QPV368" s="266"/>
      <c r="QPW368" s="591"/>
      <c r="QPX368" s="326"/>
      <c r="QPY368" s="362"/>
      <c r="QPZ368" s="295"/>
      <c r="QQA368" s="656"/>
      <c r="QQB368" s="286"/>
      <c r="QQC368" s="287"/>
      <c r="QQD368" s="296"/>
      <c r="QQE368" s="266"/>
      <c r="QQF368" s="591"/>
      <c r="QQG368" s="326"/>
      <c r="QQH368" s="362"/>
      <c r="QQI368" s="295"/>
      <c r="QQJ368" s="656"/>
      <c r="QQK368" s="286"/>
      <c r="QQL368" s="287"/>
      <c r="QQM368" s="296"/>
      <c r="QQN368" s="266"/>
      <c r="QQO368" s="591"/>
      <c r="QQP368" s="326"/>
      <c r="QQQ368" s="362"/>
      <c r="QQR368" s="295"/>
      <c r="QQS368" s="656"/>
      <c r="QQT368" s="286"/>
      <c r="QQU368" s="287"/>
      <c r="QQV368" s="296"/>
      <c r="QQW368" s="266"/>
      <c r="QQX368" s="591"/>
      <c r="QQY368" s="326"/>
      <c r="QQZ368" s="362"/>
      <c r="QRA368" s="295"/>
      <c r="QRB368" s="656"/>
      <c r="QRC368" s="286"/>
      <c r="QRD368" s="287"/>
      <c r="QRE368" s="296"/>
      <c r="QRF368" s="266"/>
      <c r="QRG368" s="591"/>
      <c r="QRH368" s="326"/>
      <c r="QRI368" s="362"/>
      <c r="QRJ368" s="295"/>
      <c r="QRK368" s="656"/>
      <c r="QRL368" s="286"/>
      <c r="QRM368" s="287"/>
      <c r="QRN368" s="296"/>
      <c r="QRO368" s="266"/>
      <c r="QRP368" s="591"/>
      <c r="QRQ368" s="326"/>
      <c r="QRR368" s="362"/>
      <c r="QRS368" s="295"/>
      <c r="QRT368" s="656"/>
      <c r="QRU368" s="286"/>
      <c r="QRV368" s="287"/>
      <c r="QRW368" s="296"/>
      <c r="QRX368" s="266"/>
      <c r="QRY368" s="591"/>
      <c r="QRZ368" s="326"/>
      <c r="QSA368" s="362"/>
      <c r="QSB368" s="295"/>
      <c r="QSC368" s="656"/>
      <c r="QSD368" s="286"/>
      <c r="QSE368" s="287"/>
      <c r="QSF368" s="296"/>
      <c r="QSG368" s="266"/>
      <c r="QSH368" s="591"/>
      <c r="QSI368" s="326"/>
      <c r="QSJ368" s="362"/>
      <c r="QSK368" s="295"/>
      <c r="QSL368" s="656"/>
      <c r="QSM368" s="286"/>
      <c r="QSN368" s="287"/>
      <c r="QSO368" s="296"/>
      <c r="QSP368" s="266"/>
      <c r="QSQ368" s="591"/>
      <c r="QSR368" s="326"/>
      <c r="QSS368" s="362"/>
      <c r="QST368" s="295"/>
      <c r="QSU368" s="656"/>
      <c r="QSV368" s="286"/>
      <c r="QSW368" s="287"/>
      <c r="QSX368" s="296"/>
      <c r="QSY368" s="266"/>
      <c r="QSZ368" s="591"/>
      <c r="QTA368" s="326"/>
      <c r="QTB368" s="362"/>
      <c r="QTC368" s="295"/>
      <c r="QTD368" s="656"/>
      <c r="QTE368" s="286"/>
      <c r="QTF368" s="287"/>
      <c r="QTG368" s="296"/>
      <c r="QTH368" s="266"/>
      <c r="QTI368" s="591"/>
      <c r="QTJ368" s="326"/>
      <c r="QTK368" s="362"/>
      <c r="QTL368" s="295"/>
      <c r="QTM368" s="656"/>
      <c r="QTN368" s="286"/>
      <c r="QTO368" s="287"/>
      <c r="QTP368" s="296"/>
      <c r="QTQ368" s="266"/>
      <c r="QTR368" s="591"/>
      <c r="QTS368" s="326"/>
      <c r="QTT368" s="362"/>
      <c r="QTU368" s="295"/>
      <c r="QTV368" s="656"/>
      <c r="QTW368" s="286"/>
      <c r="QTX368" s="287"/>
      <c r="QTY368" s="296"/>
      <c r="QTZ368" s="266"/>
      <c r="QUA368" s="591"/>
      <c r="QUB368" s="326"/>
      <c r="QUC368" s="362"/>
      <c r="QUD368" s="295"/>
      <c r="QUE368" s="656"/>
      <c r="QUF368" s="286"/>
      <c r="QUG368" s="287"/>
      <c r="QUH368" s="296"/>
      <c r="QUI368" s="266"/>
      <c r="QUJ368" s="591"/>
      <c r="QUK368" s="326"/>
      <c r="QUL368" s="362"/>
      <c r="QUM368" s="295"/>
      <c r="QUN368" s="656"/>
      <c r="QUO368" s="286"/>
      <c r="QUP368" s="287"/>
      <c r="QUQ368" s="296"/>
      <c r="QUR368" s="266"/>
      <c r="QUS368" s="591"/>
      <c r="QUT368" s="326"/>
      <c r="QUU368" s="362"/>
      <c r="QUV368" s="295"/>
      <c r="QUW368" s="656"/>
      <c r="QUX368" s="286"/>
      <c r="QUY368" s="287"/>
      <c r="QUZ368" s="296"/>
      <c r="QVA368" s="266"/>
      <c r="QVB368" s="591"/>
      <c r="QVC368" s="326"/>
      <c r="QVD368" s="362"/>
      <c r="QVE368" s="295"/>
      <c r="QVF368" s="656"/>
      <c r="QVG368" s="286"/>
      <c r="QVH368" s="287"/>
      <c r="QVI368" s="296"/>
      <c r="QVJ368" s="266"/>
      <c r="QVK368" s="591"/>
      <c r="QVL368" s="326"/>
      <c r="QVM368" s="362"/>
      <c r="QVN368" s="295"/>
      <c r="QVO368" s="656"/>
      <c r="QVP368" s="286"/>
      <c r="QVQ368" s="287"/>
      <c r="QVR368" s="296"/>
      <c r="QVS368" s="266"/>
      <c r="QVT368" s="591"/>
      <c r="QVU368" s="326"/>
      <c r="QVV368" s="362"/>
      <c r="QVW368" s="295"/>
      <c r="QVX368" s="656"/>
      <c r="QVY368" s="286"/>
      <c r="QVZ368" s="287"/>
      <c r="QWA368" s="296"/>
      <c r="QWB368" s="266"/>
      <c r="QWC368" s="591"/>
      <c r="QWD368" s="326"/>
      <c r="QWE368" s="362"/>
      <c r="QWF368" s="295"/>
      <c r="QWG368" s="656"/>
      <c r="QWH368" s="286"/>
      <c r="QWI368" s="287"/>
      <c r="QWJ368" s="296"/>
      <c r="QWK368" s="266"/>
      <c r="QWL368" s="591"/>
      <c r="QWM368" s="326"/>
      <c r="QWN368" s="362"/>
      <c r="QWO368" s="295"/>
      <c r="QWP368" s="656"/>
      <c r="QWQ368" s="286"/>
      <c r="QWR368" s="287"/>
      <c r="QWS368" s="296"/>
      <c r="QWT368" s="266"/>
      <c r="QWU368" s="591"/>
      <c r="QWV368" s="326"/>
      <c r="QWW368" s="362"/>
      <c r="QWX368" s="295"/>
      <c r="QWY368" s="656"/>
      <c r="QWZ368" s="286"/>
      <c r="QXA368" s="287"/>
      <c r="QXB368" s="296"/>
      <c r="QXC368" s="266"/>
      <c r="QXD368" s="591"/>
      <c r="QXE368" s="326"/>
      <c r="QXF368" s="362"/>
      <c r="QXG368" s="295"/>
      <c r="QXH368" s="656"/>
      <c r="QXI368" s="286"/>
      <c r="QXJ368" s="287"/>
      <c r="QXK368" s="296"/>
      <c r="QXL368" s="266"/>
      <c r="QXM368" s="591"/>
      <c r="QXN368" s="326"/>
      <c r="QXO368" s="362"/>
      <c r="QXP368" s="295"/>
      <c r="QXQ368" s="656"/>
      <c r="QXR368" s="286"/>
      <c r="QXS368" s="287"/>
      <c r="QXT368" s="296"/>
      <c r="QXU368" s="266"/>
      <c r="QXV368" s="591"/>
      <c r="QXW368" s="326"/>
      <c r="QXX368" s="362"/>
      <c r="QXY368" s="295"/>
      <c r="QXZ368" s="656"/>
      <c r="QYA368" s="286"/>
      <c r="QYB368" s="287"/>
      <c r="QYC368" s="296"/>
      <c r="QYD368" s="266"/>
      <c r="QYE368" s="591"/>
      <c r="QYF368" s="326"/>
      <c r="QYG368" s="362"/>
      <c r="QYH368" s="295"/>
      <c r="QYI368" s="656"/>
      <c r="QYJ368" s="286"/>
      <c r="QYK368" s="287"/>
      <c r="QYL368" s="296"/>
      <c r="QYM368" s="266"/>
      <c r="QYN368" s="591"/>
      <c r="QYO368" s="326"/>
      <c r="QYP368" s="362"/>
      <c r="QYQ368" s="295"/>
      <c r="QYR368" s="656"/>
      <c r="QYS368" s="286"/>
      <c r="QYT368" s="287"/>
      <c r="QYU368" s="296"/>
      <c r="QYV368" s="266"/>
      <c r="QYW368" s="591"/>
      <c r="QYX368" s="326"/>
      <c r="QYY368" s="362"/>
      <c r="QYZ368" s="295"/>
      <c r="QZA368" s="656"/>
      <c r="QZB368" s="286"/>
      <c r="QZC368" s="287"/>
      <c r="QZD368" s="296"/>
      <c r="QZE368" s="266"/>
      <c r="QZF368" s="591"/>
      <c r="QZG368" s="326"/>
      <c r="QZH368" s="362"/>
      <c r="QZI368" s="295"/>
      <c r="QZJ368" s="656"/>
      <c r="QZK368" s="286"/>
      <c r="QZL368" s="287"/>
      <c r="QZM368" s="296"/>
      <c r="QZN368" s="266"/>
      <c r="QZO368" s="591"/>
      <c r="QZP368" s="326"/>
      <c r="QZQ368" s="362"/>
      <c r="QZR368" s="295"/>
      <c r="QZS368" s="656"/>
      <c r="QZT368" s="286"/>
      <c r="QZU368" s="287"/>
      <c r="QZV368" s="296"/>
      <c r="QZW368" s="266"/>
      <c r="QZX368" s="591"/>
      <c r="QZY368" s="326"/>
      <c r="QZZ368" s="362"/>
      <c r="RAA368" s="295"/>
      <c r="RAB368" s="656"/>
      <c r="RAC368" s="286"/>
      <c r="RAD368" s="287"/>
      <c r="RAE368" s="296"/>
      <c r="RAF368" s="266"/>
      <c r="RAG368" s="591"/>
      <c r="RAH368" s="326"/>
      <c r="RAI368" s="362"/>
      <c r="RAJ368" s="295"/>
      <c r="RAK368" s="656"/>
      <c r="RAL368" s="286"/>
      <c r="RAM368" s="287"/>
      <c r="RAN368" s="296"/>
      <c r="RAO368" s="266"/>
      <c r="RAP368" s="591"/>
      <c r="RAQ368" s="326"/>
      <c r="RAR368" s="362"/>
      <c r="RAS368" s="295"/>
      <c r="RAT368" s="656"/>
      <c r="RAU368" s="286"/>
      <c r="RAV368" s="287"/>
      <c r="RAW368" s="296"/>
      <c r="RAX368" s="266"/>
      <c r="RAY368" s="591"/>
      <c r="RAZ368" s="326"/>
      <c r="RBA368" s="362"/>
      <c r="RBB368" s="295"/>
      <c r="RBC368" s="656"/>
      <c r="RBD368" s="286"/>
      <c r="RBE368" s="287"/>
      <c r="RBF368" s="296"/>
      <c r="RBG368" s="266"/>
      <c r="RBH368" s="591"/>
      <c r="RBI368" s="326"/>
      <c r="RBJ368" s="362"/>
      <c r="RBK368" s="295"/>
      <c r="RBL368" s="656"/>
      <c r="RBM368" s="286"/>
      <c r="RBN368" s="287"/>
      <c r="RBO368" s="296"/>
      <c r="RBP368" s="266"/>
      <c r="RBQ368" s="591"/>
      <c r="RBR368" s="326"/>
      <c r="RBS368" s="362"/>
      <c r="RBT368" s="295"/>
      <c r="RBU368" s="656"/>
      <c r="RBV368" s="286"/>
      <c r="RBW368" s="287"/>
      <c r="RBX368" s="296"/>
      <c r="RBY368" s="266"/>
      <c r="RBZ368" s="591"/>
      <c r="RCA368" s="326"/>
      <c r="RCB368" s="362"/>
      <c r="RCC368" s="295"/>
      <c r="RCD368" s="656"/>
      <c r="RCE368" s="286"/>
      <c r="RCF368" s="287"/>
      <c r="RCG368" s="296"/>
      <c r="RCH368" s="266"/>
      <c r="RCI368" s="591"/>
      <c r="RCJ368" s="326"/>
      <c r="RCK368" s="362"/>
      <c r="RCL368" s="295"/>
      <c r="RCM368" s="656"/>
      <c r="RCN368" s="286"/>
      <c r="RCO368" s="287"/>
      <c r="RCP368" s="296"/>
      <c r="RCQ368" s="266"/>
      <c r="RCR368" s="591"/>
      <c r="RCS368" s="326"/>
      <c r="RCT368" s="362"/>
      <c r="RCU368" s="295"/>
      <c r="RCV368" s="656"/>
      <c r="RCW368" s="286"/>
      <c r="RCX368" s="287"/>
      <c r="RCY368" s="296"/>
      <c r="RCZ368" s="266"/>
      <c r="RDA368" s="591"/>
      <c r="RDB368" s="326"/>
      <c r="RDC368" s="362"/>
      <c r="RDD368" s="295"/>
      <c r="RDE368" s="656"/>
      <c r="RDF368" s="286"/>
      <c r="RDG368" s="287"/>
      <c r="RDH368" s="296"/>
      <c r="RDI368" s="266"/>
      <c r="RDJ368" s="591"/>
      <c r="RDK368" s="326"/>
      <c r="RDL368" s="362"/>
      <c r="RDM368" s="295"/>
      <c r="RDN368" s="656"/>
      <c r="RDO368" s="286"/>
      <c r="RDP368" s="287"/>
      <c r="RDQ368" s="296"/>
      <c r="RDR368" s="266"/>
      <c r="RDS368" s="591"/>
      <c r="RDT368" s="326"/>
      <c r="RDU368" s="362"/>
      <c r="RDV368" s="295"/>
      <c r="RDW368" s="656"/>
      <c r="RDX368" s="286"/>
      <c r="RDY368" s="287"/>
      <c r="RDZ368" s="296"/>
      <c r="REA368" s="266"/>
      <c r="REB368" s="591"/>
      <c r="REC368" s="326"/>
      <c r="RED368" s="362"/>
      <c r="REE368" s="295"/>
      <c r="REF368" s="656"/>
      <c r="REG368" s="286"/>
      <c r="REH368" s="287"/>
      <c r="REI368" s="296"/>
      <c r="REJ368" s="266"/>
      <c r="REK368" s="591"/>
      <c r="REL368" s="326"/>
      <c r="REM368" s="362"/>
      <c r="REN368" s="295"/>
      <c r="REO368" s="656"/>
      <c r="REP368" s="286"/>
      <c r="REQ368" s="287"/>
      <c r="RER368" s="296"/>
      <c r="RES368" s="266"/>
      <c r="RET368" s="591"/>
      <c r="REU368" s="326"/>
      <c r="REV368" s="362"/>
      <c r="REW368" s="295"/>
      <c r="REX368" s="656"/>
      <c r="REY368" s="286"/>
      <c r="REZ368" s="287"/>
      <c r="RFA368" s="296"/>
      <c r="RFB368" s="266"/>
      <c r="RFC368" s="591"/>
      <c r="RFD368" s="326"/>
      <c r="RFE368" s="362"/>
      <c r="RFF368" s="295"/>
      <c r="RFG368" s="656"/>
      <c r="RFH368" s="286"/>
      <c r="RFI368" s="287"/>
      <c r="RFJ368" s="296"/>
      <c r="RFK368" s="266"/>
      <c r="RFL368" s="591"/>
      <c r="RFM368" s="326"/>
      <c r="RFN368" s="362"/>
      <c r="RFO368" s="295"/>
      <c r="RFP368" s="656"/>
      <c r="RFQ368" s="286"/>
      <c r="RFR368" s="287"/>
      <c r="RFS368" s="296"/>
      <c r="RFT368" s="266"/>
      <c r="RFU368" s="591"/>
      <c r="RFV368" s="326"/>
      <c r="RFW368" s="362"/>
      <c r="RFX368" s="295"/>
      <c r="RFY368" s="656"/>
      <c r="RFZ368" s="286"/>
      <c r="RGA368" s="287"/>
      <c r="RGB368" s="296"/>
      <c r="RGC368" s="266"/>
      <c r="RGD368" s="591"/>
      <c r="RGE368" s="326"/>
      <c r="RGF368" s="362"/>
      <c r="RGG368" s="295"/>
      <c r="RGH368" s="656"/>
      <c r="RGI368" s="286"/>
      <c r="RGJ368" s="287"/>
      <c r="RGK368" s="296"/>
      <c r="RGL368" s="266"/>
      <c r="RGM368" s="591"/>
      <c r="RGN368" s="326"/>
      <c r="RGO368" s="362"/>
      <c r="RGP368" s="295"/>
      <c r="RGQ368" s="656"/>
      <c r="RGR368" s="286"/>
      <c r="RGS368" s="287"/>
      <c r="RGT368" s="296"/>
      <c r="RGU368" s="266"/>
      <c r="RGV368" s="591"/>
      <c r="RGW368" s="326"/>
      <c r="RGX368" s="362"/>
      <c r="RGY368" s="295"/>
      <c r="RGZ368" s="656"/>
      <c r="RHA368" s="286"/>
      <c r="RHB368" s="287"/>
      <c r="RHC368" s="296"/>
      <c r="RHD368" s="266"/>
      <c r="RHE368" s="591"/>
      <c r="RHF368" s="326"/>
      <c r="RHG368" s="362"/>
      <c r="RHH368" s="295"/>
      <c r="RHI368" s="656"/>
      <c r="RHJ368" s="286"/>
      <c r="RHK368" s="287"/>
      <c r="RHL368" s="296"/>
      <c r="RHM368" s="266"/>
      <c r="RHN368" s="591"/>
      <c r="RHO368" s="326"/>
      <c r="RHP368" s="362"/>
      <c r="RHQ368" s="295"/>
      <c r="RHR368" s="656"/>
      <c r="RHS368" s="286"/>
      <c r="RHT368" s="287"/>
      <c r="RHU368" s="296"/>
      <c r="RHV368" s="266"/>
      <c r="RHW368" s="591"/>
      <c r="RHX368" s="326"/>
      <c r="RHY368" s="362"/>
      <c r="RHZ368" s="295"/>
      <c r="RIA368" s="656"/>
      <c r="RIB368" s="286"/>
      <c r="RIC368" s="287"/>
      <c r="RID368" s="296"/>
      <c r="RIE368" s="266"/>
      <c r="RIF368" s="591"/>
      <c r="RIG368" s="326"/>
      <c r="RIH368" s="362"/>
      <c r="RII368" s="295"/>
      <c r="RIJ368" s="656"/>
      <c r="RIK368" s="286"/>
      <c r="RIL368" s="287"/>
      <c r="RIM368" s="296"/>
      <c r="RIN368" s="266"/>
      <c r="RIO368" s="591"/>
      <c r="RIP368" s="326"/>
      <c r="RIQ368" s="362"/>
      <c r="RIR368" s="295"/>
      <c r="RIS368" s="656"/>
      <c r="RIT368" s="286"/>
      <c r="RIU368" s="287"/>
      <c r="RIV368" s="296"/>
      <c r="RIW368" s="266"/>
      <c r="RIX368" s="591"/>
      <c r="RIY368" s="326"/>
      <c r="RIZ368" s="362"/>
      <c r="RJA368" s="295"/>
      <c r="RJB368" s="656"/>
      <c r="RJC368" s="286"/>
      <c r="RJD368" s="287"/>
      <c r="RJE368" s="296"/>
      <c r="RJF368" s="266"/>
      <c r="RJG368" s="591"/>
      <c r="RJH368" s="326"/>
      <c r="RJI368" s="362"/>
      <c r="RJJ368" s="295"/>
      <c r="RJK368" s="656"/>
      <c r="RJL368" s="286"/>
      <c r="RJM368" s="287"/>
      <c r="RJN368" s="296"/>
      <c r="RJO368" s="266"/>
      <c r="RJP368" s="591"/>
      <c r="RJQ368" s="326"/>
      <c r="RJR368" s="362"/>
      <c r="RJS368" s="295"/>
      <c r="RJT368" s="656"/>
      <c r="RJU368" s="286"/>
      <c r="RJV368" s="287"/>
      <c r="RJW368" s="296"/>
      <c r="RJX368" s="266"/>
      <c r="RJY368" s="591"/>
      <c r="RJZ368" s="326"/>
      <c r="RKA368" s="362"/>
      <c r="RKB368" s="295"/>
      <c r="RKC368" s="656"/>
      <c r="RKD368" s="286"/>
      <c r="RKE368" s="287"/>
      <c r="RKF368" s="296"/>
      <c r="RKG368" s="266"/>
      <c r="RKH368" s="591"/>
      <c r="RKI368" s="326"/>
      <c r="RKJ368" s="362"/>
      <c r="RKK368" s="295"/>
      <c r="RKL368" s="656"/>
      <c r="RKM368" s="286"/>
      <c r="RKN368" s="287"/>
      <c r="RKO368" s="296"/>
      <c r="RKP368" s="266"/>
      <c r="RKQ368" s="591"/>
      <c r="RKR368" s="326"/>
      <c r="RKS368" s="362"/>
      <c r="RKT368" s="295"/>
      <c r="RKU368" s="656"/>
      <c r="RKV368" s="286"/>
      <c r="RKW368" s="287"/>
      <c r="RKX368" s="296"/>
      <c r="RKY368" s="266"/>
      <c r="RKZ368" s="591"/>
      <c r="RLA368" s="326"/>
      <c r="RLB368" s="362"/>
      <c r="RLC368" s="295"/>
      <c r="RLD368" s="656"/>
      <c r="RLE368" s="286"/>
      <c r="RLF368" s="287"/>
      <c r="RLG368" s="296"/>
      <c r="RLH368" s="266"/>
      <c r="RLI368" s="591"/>
      <c r="RLJ368" s="326"/>
      <c r="RLK368" s="362"/>
      <c r="RLL368" s="295"/>
      <c r="RLM368" s="656"/>
      <c r="RLN368" s="286"/>
      <c r="RLO368" s="287"/>
      <c r="RLP368" s="296"/>
      <c r="RLQ368" s="266"/>
      <c r="RLR368" s="591"/>
      <c r="RLS368" s="326"/>
      <c r="RLT368" s="362"/>
      <c r="RLU368" s="295"/>
      <c r="RLV368" s="656"/>
      <c r="RLW368" s="286"/>
      <c r="RLX368" s="287"/>
      <c r="RLY368" s="296"/>
      <c r="RLZ368" s="266"/>
      <c r="RMA368" s="591"/>
      <c r="RMB368" s="326"/>
      <c r="RMC368" s="362"/>
      <c r="RMD368" s="295"/>
      <c r="RME368" s="656"/>
      <c r="RMF368" s="286"/>
      <c r="RMG368" s="287"/>
      <c r="RMH368" s="296"/>
      <c r="RMI368" s="266"/>
      <c r="RMJ368" s="591"/>
      <c r="RMK368" s="326"/>
      <c r="RML368" s="362"/>
      <c r="RMM368" s="295"/>
      <c r="RMN368" s="656"/>
      <c r="RMO368" s="286"/>
      <c r="RMP368" s="287"/>
      <c r="RMQ368" s="296"/>
      <c r="RMR368" s="266"/>
      <c r="RMS368" s="591"/>
      <c r="RMT368" s="326"/>
      <c r="RMU368" s="362"/>
      <c r="RMV368" s="295"/>
      <c r="RMW368" s="656"/>
      <c r="RMX368" s="286"/>
      <c r="RMY368" s="287"/>
      <c r="RMZ368" s="296"/>
      <c r="RNA368" s="266"/>
      <c r="RNB368" s="591"/>
      <c r="RNC368" s="326"/>
      <c r="RND368" s="362"/>
      <c r="RNE368" s="295"/>
      <c r="RNF368" s="656"/>
      <c r="RNG368" s="286"/>
      <c r="RNH368" s="287"/>
      <c r="RNI368" s="296"/>
      <c r="RNJ368" s="266"/>
      <c r="RNK368" s="591"/>
      <c r="RNL368" s="326"/>
      <c r="RNM368" s="362"/>
      <c r="RNN368" s="295"/>
      <c r="RNO368" s="656"/>
      <c r="RNP368" s="286"/>
      <c r="RNQ368" s="287"/>
      <c r="RNR368" s="296"/>
      <c r="RNS368" s="266"/>
      <c r="RNT368" s="591"/>
      <c r="RNU368" s="326"/>
      <c r="RNV368" s="362"/>
      <c r="RNW368" s="295"/>
      <c r="RNX368" s="656"/>
      <c r="RNY368" s="286"/>
      <c r="RNZ368" s="287"/>
      <c r="ROA368" s="296"/>
      <c r="ROB368" s="266"/>
      <c r="ROC368" s="591"/>
      <c r="ROD368" s="326"/>
      <c r="ROE368" s="362"/>
      <c r="ROF368" s="295"/>
      <c r="ROG368" s="656"/>
      <c r="ROH368" s="286"/>
      <c r="ROI368" s="287"/>
      <c r="ROJ368" s="296"/>
      <c r="ROK368" s="266"/>
      <c r="ROL368" s="591"/>
      <c r="ROM368" s="326"/>
      <c r="RON368" s="362"/>
      <c r="ROO368" s="295"/>
      <c r="ROP368" s="656"/>
      <c r="ROQ368" s="286"/>
      <c r="ROR368" s="287"/>
      <c r="ROS368" s="296"/>
      <c r="ROT368" s="266"/>
      <c r="ROU368" s="591"/>
      <c r="ROV368" s="326"/>
      <c r="ROW368" s="362"/>
      <c r="ROX368" s="295"/>
      <c r="ROY368" s="656"/>
      <c r="ROZ368" s="286"/>
      <c r="RPA368" s="287"/>
      <c r="RPB368" s="296"/>
      <c r="RPC368" s="266"/>
      <c r="RPD368" s="591"/>
      <c r="RPE368" s="326"/>
      <c r="RPF368" s="362"/>
      <c r="RPG368" s="295"/>
      <c r="RPH368" s="656"/>
      <c r="RPI368" s="286"/>
      <c r="RPJ368" s="287"/>
      <c r="RPK368" s="296"/>
      <c r="RPL368" s="266"/>
      <c r="RPM368" s="591"/>
      <c r="RPN368" s="326"/>
      <c r="RPO368" s="362"/>
      <c r="RPP368" s="295"/>
      <c r="RPQ368" s="656"/>
      <c r="RPR368" s="286"/>
      <c r="RPS368" s="287"/>
      <c r="RPT368" s="296"/>
      <c r="RPU368" s="266"/>
      <c r="RPV368" s="591"/>
      <c r="RPW368" s="326"/>
      <c r="RPX368" s="362"/>
      <c r="RPY368" s="295"/>
      <c r="RPZ368" s="656"/>
      <c r="RQA368" s="286"/>
      <c r="RQB368" s="287"/>
      <c r="RQC368" s="296"/>
      <c r="RQD368" s="266"/>
      <c r="RQE368" s="591"/>
      <c r="RQF368" s="326"/>
      <c r="RQG368" s="362"/>
      <c r="RQH368" s="295"/>
      <c r="RQI368" s="656"/>
      <c r="RQJ368" s="286"/>
      <c r="RQK368" s="287"/>
      <c r="RQL368" s="296"/>
      <c r="RQM368" s="266"/>
      <c r="RQN368" s="591"/>
      <c r="RQO368" s="326"/>
      <c r="RQP368" s="362"/>
      <c r="RQQ368" s="295"/>
      <c r="RQR368" s="656"/>
      <c r="RQS368" s="286"/>
      <c r="RQT368" s="287"/>
      <c r="RQU368" s="296"/>
      <c r="RQV368" s="266"/>
      <c r="RQW368" s="591"/>
      <c r="RQX368" s="326"/>
      <c r="RQY368" s="362"/>
      <c r="RQZ368" s="295"/>
      <c r="RRA368" s="656"/>
      <c r="RRB368" s="286"/>
      <c r="RRC368" s="287"/>
      <c r="RRD368" s="296"/>
      <c r="RRE368" s="266"/>
      <c r="RRF368" s="591"/>
      <c r="RRG368" s="326"/>
      <c r="RRH368" s="362"/>
      <c r="RRI368" s="295"/>
      <c r="RRJ368" s="656"/>
      <c r="RRK368" s="286"/>
      <c r="RRL368" s="287"/>
      <c r="RRM368" s="296"/>
      <c r="RRN368" s="266"/>
      <c r="RRO368" s="591"/>
      <c r="RRP368" s="326"/>
      <c r="RRQ368" s="362"/>
      <c r="RRR368" s="295"/>
      <c r="RRS368" s="656"/>
      <c r="RRT368" s="286"/>
      <c r="RRU368" s="287"/>
      <c r="RRV368" s="296"/>
      <c r="RRW368" s="266"/>
      <c r="RRX368" s="591"/>
      <c r="RRY368" s="326"/>
      <c r="RRZ368" s="362"/>
      <c r="RSA368" s="295"/>
      <c r="RSB368" s="656"/>
      <c r="RSC368" s="286"/>
      <c r="RSD368" s="287"/>
      <c r="RSE368" s="296"/>
      <c r="RSF368" s="266"/>
      <c r="RSG368" s="591"/>
      <c r="RSH368" s="326"/>
      <c r="RSI368" s="362"/>
      <c r="RSJ368" s="295"/>
      <c r="RSK368" s="656"/>
      <c r="RSL368" s="286"/>
      <c r="RSM368" s="287"/>
      <c r="RSN368" s="296"/>
      <c r="RSO368" s="266"/>
      <c r="RSP368" s="591"/>
      <c r="RSQ368" s="326"/>
      <c r="RSR368" s="362"/>
      <c r="RSS368" s="295"/>
      <c r="RST368" s="656"/>
      <c r="RSU368" s="286"/>
      <c r="RSV368" s="287"/>
      <c r="RSW368" s="296"/>
      <c r="RSX368" s="266"/>
      <c r="RSY368" s="591"/>
      <c r="RSZ368" s="326"/>
      <c r="RTA368" s="362"/>
      <c r="RTB368" s="295"/>
      <c r="RTC368" s="656"/>
      <c r="RTD368" s="286"/>
      <c r="RTE368" s="287"/>
      <c r="RTF368" s="296"/>
      <c r="RTG368" s="266"/>
      <c r="RTH368" s="591"/>
      <c r="RTI368" s="326"/>
      <c r="RTJ368" s="362"/>
      <c r="RTK368" s="295"/>
      <c r="RTL368" s="656"/>
      <c r="RTM368" s="286"/>
      <c r="RTN368" s="287"/>
      <c r="RTO368" s="296"/>
      <c r="RTP368" s="266"/>
      <c r="RTQ368" s="591"/>
      <c r="RTR368" s="326"/>
      <c r="RTS368" s="362"/>
      <c r="RTT368" s="295"/>
      <c r="RTU368" s="656"/>
      <c r="RTV368" s="286"/>
      <c r="RTW368" s="287"/>
      <c r="RTX368" s="296"/>
      <c r="RTY368" s="266"/>
      <c r="RTZ368" s="591"/>
      <c r="RUA368" s="326"/>
      <c r="RUB368" s="362"/>
      <c r="RUC368" s="295"/>
      <c r="RUD368" s="656"/>
      <c r="RUE368" s="286"/>
      <c r="RUF368" s="287"/>
      <c r="RUG368" s="296"/>
      <c r="RUH368" s="266"/>
      <c r="RUI368" s="591"/>
      <c r="RUJ368" s="326"/>
      <c r="RUK368" s="362"/>
      <c r="RUL368" s="295"/>
      <c r="RUM368" s="656"/>
      <c r="RUN368" s="286"/>
      <c r="RUO368" s="287"/>
      <c r="RUP368" s="296"/>
      <c r="RUQ368" s="266"/>
      <c r="RUR368" s="591"/>
      <c r="RUS368" s="326"/>
      <c r="RUT368" s="362"/>
      <c r="RUU368" s="295"/>
      <c r="RUV368" s="656"/>
      <c r="RUW368" s="286"/>
      <c r="RUX368" s="287"/>
      <c r="RUY368" s="296"/>
      <c r="RUZ368" s="266"/>
      <c r="RVA368" s="591"/>
      <c r="RVB368" s="326"/>
      <c r="RVC368" s="362"/>
      <c r="RVD368" s="295"/>
      <c r="RVE368" s="656"/>
      <c r="RVF368" s="286"/>
      <c r="RVG368" s="287"/>
      <c r="RVH368" s="296"/>
      <c r="RVI368" s="266"/>
      <c r="RVJ368" s="591"/>
      <c r="RVK368" s="326"/>
      <c r="RVL368" s="362"/>
      <c r="RVM368" s="295"/>
      <c r="RVN368" s="656"/>
      <c r="RVO368" s="286"/>
      <c r="RVP368" s="287"/>
      <c r="RVQ368" s="296"/>
      <c r="RVR368" s="266"/>
      <c r="RVS368" s="591"/>
      <c r="RVT368" s="326"/>
      <c r="RVU368" s="362"/>
      <c r="RVV368" s="295"/>
      <c r="RVW368" s="656"/>
      <c r="RVX368" s="286"/>
      <c r="RVY368" s="287"/>
      <c r="RVZ368" s="296"/>
      <c r="RWA368" s="266"/>
      <c r="RWB368" s="591"/>
      <c r="RWC368" s="326"/>
      <c r="RWD368" s="362"/>
      <c r="RWE368" s="295"/>
      <c r="RWF368" s="656"/>
      <c r="RWG368" s="286"/>
      <c r="RWH368" s="287"/>
      <c r="RWI368" s="296"/>
      <c r="RWJ368" s="266"/>
      <c r="RWK368" s="591"/>
      <c r="RWL368" s="326"/>
      <c r="RWM368" s="362"/>
      <c r="RWN368" s="295"/>
      <c r="RWO368" s="656"/>
      <c r="RWP368" s="286"/>
      <c r="RWQ368" s="287"/>
      <c r="RWR368" s="296"/>
      <c r="RWS368" s="266"/>
      <c r="RWT368" s="591"/>
      <c r="RWU368" s="326"/>
      <c r="RWV368" s="362"/>
      <c r="RWW368" s="295"/>
      <c r="RWX368" s="656"/>
      <c r="RWY368" s="286"/>
      <c r="RWZ368" s="287"/>
      <c r="RXA368" s="296"/>
      <c r="RXB368" s="266"/>
      <c r="RXC368" s="591"/>
      <c r="RXD368" s="326"/>
      <c r="RXE368" s="362"/>
      <c r="RXF368" s="295"/>
      <c r="RXG368" s="656"/>
      <c r="RXH368" s="286"/>
      <c r="RXI368" s="287"/>
      <c r="RXJ368" s="296"/>
      <c r="RXK368" s="266"/>
      <c r="RXL368" s="591"/>
      <c r="RXM368" s="326"/>
      <c r="RXN368" s="362"/>
      <c r="RXO368" s="295"/>
      <c r="RXP368" s="656"/>
      <c r="RXQ368" s="286"/>
      <c r="RXR368" s="287"/>
      <c r="RXS368" s="296"/>
      <c r="RXT368" s="266"/>
      <c r="RXU368" s="591"/>
      <c r="RXV368" s="326"/>
      <c r="RXW368" s="362"/>
      <c r="RXX368" s="295"/>
      <c r="RXY368" s="656"/>
      <c r="RXZ368" s="286"/>
      <c r="RYA368" s="287"/>
      <c r="RYB368" s="296"/>
      <c r="RYC368" s="266"/>
      <c r="RYD368" s="591"/>
      <c r="RYE368" s="326"/>
      <c r="RYF368" s="362"/>
      <c r="RYG368" s="295"/>
      <c r="RYH368" s="656"/>
      <c r="RYI368" s="286"/>
      <c r="RYJ368" s="287"/>
      <c r="RYK368" s="296"/>
      <c r="RYL368" s="266"/>
      <c r="RYM368" s="591"/>
      <c r="RYN368" s="326"/>
      <c r="RYO368" s="362"/>
      <c r="RYP368" s="295"/>
      <c r="RYQ368" s="656"/>
      <c r="RYR368" s="286"/>
      <c r="RYS368" s="287"/>
      <c r="RYT368" s="296"/>
      <c r="RYU368" s="266"/>
      <c r="RYV368" s="591"/>
      <c r="RYW368" s="326"/>
      <c r="RYX368" s="362"/>
      <c r="RYY368" s="295"/>
      <c r="RYZ368" s="656"/>
      <c r="RZA368" s="286"/>
      <c r="RZB368" s="287"/>
      <c r="RZC368" s="296"/>
      <c r="RZD368" s="266"/>
      <c r="RZE368" s="591"/>
      <c r="RZF368" s="326"/>
      <c r="RZG368" s="362"/>
      <c r="RZH368" s="295"/>
      <c r="RZI368" s="656"/>
      <c r="RZJ368" s="286"/>
      <c r="RZK368" s="287"/>
      <c r="RZL368" s="296"/>
      <c r="RZM368" s="266"/>
      <c r="RZN368" s="591"/>
      <c r="RZO368" s="326"/>
      <c r="RZP368" s="362"/>
      <c r="RZQ368" s="295"/>
      <c r="RZR368" s="656"/>
      <c r="RZS368" s="286"/>
      <c r="RZT368" s="287"/>
      <c r="RZU368" s="296"/>
      <c r="RZV368" s="266"/>
      <c r="RZW368" s="591"/>
      <c r="RZX368" s="326"/>
      <c r="RZY368" s="362"/>
      <c r="RZZ368" s="295"/>
      <c r="SAA368" s="656"/>
      <c r="SAB368" s="286"/>
      <c r="SAC368" s="287"/>
      <c r="SAD368" s="296"/>
      <c r="SAE368" s="266"/>
      <c r="SAF368" s="591"/>
      <c r="SAG368" s="326"/>
      <c r="SAH368" s="362"/>
      <c r="SAI368" s="295"/>
      <c r="SAJ368" s="656"/>
      <c r="SAK368" s="286"/>
      <c r="SAL368" s="287"/>
      <c r="SAM368" s="296"/>
      <c r="SAN368" s="266"/>
      <c r="SAO368" s="591"/>
      <c r="SAP368" s="326"/>
      <c r="SAQ368" s="362"/>
      <c r="SAR368" s="295"/>
      <c r="SAS368" s="656"/>
      <c r="SAT368" s="286"/>
      <c r="SAU368" s="287"/>
      <c r="SAV368" s="296"/>
      <c r="SAW368" s="266"/>
      <c r="SAX368" s="591"/>
      <c r="SAY368" s="326"/>
      <c r="SAZ368" s="362"/>
      <c r="SBA368" s="295"/>
      <c r="SBB368" s="656"/>
      <c r="SBC368" s="286"/>
      <c r="SBD368" s="287"/>
      <c r="SBE368" s="296"/>
      <c r="SBF368" s="266"/>
      <c r="SBG368" s="591"/>
      <c r="SBH368" s="326"/>
      <c r="SBI368" s="362"/>
      <c r="SBJ368" s="295"/>
      <c r="SBK368" s="656"/>
      <c r="SBL368" s="286"/>
      <c r="SBM368" s="287"/>
      <c r="SBN368" s="296"/>
      <c r="SBO368" s="266"/>
      <c r="SBP368" s="591"/>
      <c r="SBQ368" s="326"/>
      <c r="SBR368" s="362"/>
      <c r="SBS368" s="295"/>
      <c r="SBT368" s="656"/>
      <c r="SBU368" s="286"/>
      <c r="SBV368" s="287"/>
      <c r="SBW368" s="296"/>
      <c r="SBX368" s="266"/>
      <c r="SBY368" s="591"/>
      <c r="SBZ368" s="326"/>
      <c r="SCA368" s="362"/>
      <c r="SCB368" s="295"/>
      <c r="SCC368" s="656"/>
      <c r="SCD368" s="286"/>
      <c r="SCE368" s="287"/>
      <c r="SCF368" s="296"/>
      <c r="SCG368" s="266"/>
      <c r="SCH368" s="591"/>
      <c r="SCI368" s="326"/>
      <c r="SCJ368" s="362"/>
      <c r="SCK368" s="295"/>
      <c r="SCL368" s="656"/>
      <c r="SCM368" s="286"/>
      <c r="SCN368" s="287"/>
      <c r="SCO368" s="296"/>
      <c r="SCP368" s="266"/>
      <c r="SCQ368" s="591"/>
      <c r="SCR368" s="326"/>
      <c r="SCS368" s="362"/>
      <c r="SCT368" s="295"/>
      <c r="SCU368" s="656"/>
      <c r="SCV368" s="286"/>
      <c r="SCW368" s="287"/>
      <c r="SCX368" s="296"/>
      <c r="SCY368" s="266"/>
      <c r="SCZ368" s="591"/>
      <c r="SDA368" s="326"/>
      <c r="SDB368" s="362"/>
      <c r="SDC368" s="295"/>
      <c r="SDD368" s="656"/>
      <c r="SDE368" s="286"/>
      <c r="SDF368" s="287"/>
      <c r="SDG368" s="296"/>
      <c r="SDH368" s="266"/>
      <c r="SDI368" s="591"/>
      <c r="SDJ368" s="326"/>
      <c r="SDK368" s="362"/>
      <c r="SDL368" s="295"/>
      <c r="SDM368" s="656"/>
      <c r="SDN368" s="286"/>
      <c r="SDO368" s="287"/>
      <c r="SDP368" s="296"/>
      <c r="SDQ368" s="266"/>
      <c r="SDR368" s="591"/>
      <c r="SDS368" s="326"/>
      <c r="SDT368" s="362"/>
      <c r="SDU368" s="295"/>
      <c r="SDV368" s="656"/>
      <c r="SDW368" s="286"/>
      <c r="SDX368" s="287"/>
      <c r="SDY368" s="296"/>
      <c r="SDZ368" s="266"/>
      <c r="SEA368" s="591"/>
      <c r="SEB368" s="326"/>
      <c r="SEC368" s="362"/>
      <c r="SED368" s="295"/>
      <c r="SEE368" s="656"/>
      <c r="SEF368" s="286"/>
      <c r="SEG368" s="287"/>
      <c r="SEH368" s="296"/>
      <c r="SEI368" s="266"/>
      <c r="SEJ368" s="591"/>
      <c r="SEK368" s="326"/>
      <c r="SEL368" s="362"/>
      <c r="SEM368" s="295"/>
      <c r="SEN368" s="656"/>
      <c r="SEO368" s="286"/>
      <c r="SEP368" s="287"/>
      <c r="SEQ368" s="296"/>
      <c r="SER368" s="266"/>
      <c r="SES368" s="591"/>
      <c r="SET368" s="326"/>
      <c r="SEU368" s="362"/>
      <c r="SEV368" s="295"/>
      <c r="SEW368" s="656"/>
      <c r="SEX368" s="286"/>
      <c r="SEY368" s="287"/>
      <c r="SEZ368" s="296"/>
      <c r="SFA368" s="266"/>
      <c r="SFB368" s="591"/>
      <c r="SFC368" s="326"/>
      <c r="SFD368" s="362"/>
      <c r="SFE368" s="295"/>
      <c r="SFF368" s="656"/>
      <c r="SFG368" s="286"/>
      <c r="SFH368" s="287"/>
      <c r="SFI368" s="296"/>
      <c r="SFJ368" s="266"/>
      <c r="SFK368" s="591"/>
      <c r="SFL368" s="326"/>
      <c r="SFM368" s="362"/>
      <c r="SFN368" s="295"/>
      <c r="SFO368" s="656"/>
      <c r="SFP368" s="286"/>
      <c r="SFQ368" s="287"/>
      <c r="SFR368" s="296"/>
      <c r="SFS368" s="266"/>
      <c r="SFT368" s="591"/>
      <c r="SFU368" s="326"/>
      <c r="SFV368" s="362"/>
      <c r="SFW368" s="295"/>
      <c r="SFX368" s="656"/>
      <c r="SFY368" s="286"/>
      <c r="SFZ368" s="287"/>
      <c r="SGA368" s="296"/>
      <c r="SGB368" s="266"/>
      <c r="SGC368" s="591"/>
      <c r="SGD368" s="326"/>
      <c r="SGE368" s="362"/>
      <c r="SGF368" s="295"/>
      <c r="SGG368" s="656"/>
      <c r="SGH368" s="286"/>
      <c r="SGI368" s="287"/>
      <c r="SGJ368" s="296"/>
      <c r="SGK368" s="266"/>
      <c r="SGL368" s="591"/>
      <c r="SGM368" s="326"/>
      <c r="SGN368" s="362"/>
      <c r="SGO368" s="295"/>
      <c r="SGP368" s="656"/>
      <c r="SGQ368" s="286"/>
      <c r="SGR368" s="287"/>
      <c r="SGS368" s="296"/>
      <c r="SGT368" s="266"/>
      <c r="SGU368" s="591"/>
      <c r="SGV368" s="326"/>
      <c r="SGW368" s="362"/>
      <c r="SGX368" s="295"/>
      <c r="SGY368" s="656"/>
      <c r="SGZ368" s="286"/>
      <c r="SHA368" s="287"/>
      <c r="SHB368" s="296"/>
      <c r="SHC368" s="266"/>
      <c r="SHD368" s="591"/>
      <c r="SHE368" s="326"/>
      <c r="SHF368" s="362"/>
      <c r="SHG368" s="295"/>
      <c r="SHH368" s="656"/>
      <c r="SHI368" s="286"/>
      <c r="SHJ368" s="287"/>
      <c r="SHK368" s="296"/>
      <c r="SHL368" s="266"/>
      <c r="SHM368" s="591"/>
      <c r="SHN368" s="326"/>
      <c r="SHO368" s="362"/>
      <c r="SHP368" s="295"/>
      <c r="SHQ368" s="656"/>
      <c r="SHR368" s="286"/>
      <c r="SHS368" s="287"/>
      <c r="SHT368" s="296"/>
      <c r="SHU368" s="266"/>
      <c r="SHV368" s="591"/>
      <c r="SHW368" s="326"/>
      <c r="SHX368" s="362"/>
      <c r="SHY368" s="295"/>
      <c r="SHZ368" s="656"/>
      <c r="SIA368" s="286"/>
      <c r="SIB368" s="287"/>
      <c r="SIC368" s="296"/>
      <c r="SID368" s="266"/>
      <c r="SIE368" s="591"/>
      <c r="SIF368" s="326"/>
      <c r="SIG368" s="362"/>
      <c r="SIH368" s="295"/>
      <c r="SII368" s="656"/>
      <c r="SIJ368" s="286"/>
      <c r="SIK368" s="287"/>
      <c r="SIL368" s="296"/>
      <c r="SIM368" s="266"/>
      <c r="SIN368" s="591"/>
      <c r="SIO368" s="326"/>
      <c r="SIP368" s="362"/>
      <c r="SIQ368" s="295"/>
      <c r="SIR368" s="656"/>
      <c r="SIS368" s="286"/>
      <c r="SIT368" s="287"/>
      <c r="SIU368" s="296"/>
      <c r="SIV368" s="266"/>
      <c r="SIW368" s="591"/>
      <c r="SIX368" s="326"/>
      <c r="SIY368" s="362"/>
      <c r="SIZ368" s="295"/>
      <c r="SJA368" s="656"/>
      <c r="SJB368" s="286"/>
      <c r="SJC368" s="287"/>
      <c r="SJD368" s="296"/>
      <c r="SJE368" s="266"/>
      <c r="SJF368" s="591"/>
      <c r="SJG368" s="326"/>
      <c r="SJH368" s="362"/>
      <c r="SJI368" s="295"/>
      <c r="SJJ368" s="656"/>
      <c r="SJK368" s="286"/>
      <c r="SJL368" s="287"/>
      <c r="SJM368" s="296"/>
      <c r="SJN368" s="266"/>
      <c r="SJO368" s="591"/>
      <c r="SJP368" s="326"/>
      <c r="SJQ368" s="362"/>
      <c r="SJR368" s="295"/>
      <c r="SJS368" s="656"/>
      <c r="SJT368" s="286"/>
      <c r="SJU368" s="287"/>
      <c r="SJV368" s="296"/>
      <c r="SJW368" s="266"/>
      <c r="SJX368" s="591"/>
      <c r="SJY368" s="326"/>
      <c r="SJZ368" s="362"/>
      <c r="SKA368" s="295"/>
      <c r="SKB368" s="656"/>
      <c r="SKC368" s="286"/>
      <c r="SKD368" s="287"/>
      <c r="SKE368" s="296"/>
      <c r="SKF368" s="266"/>
      <c r="SKG368" s="591"/>
      <c r="SKH368" s="326"/>
      <c r="SKI368" s="362"/>
      <c r="SKJ368" s="295"/>
      <c r="SKK368" s="656"/>
      <c r="SKL368" s="286"/>
      <c r="SKM368" s="287"/>
      <c r="SKN368" s="296"/>
      <c r="SKO368" s="266"/>
      <c r="SKP368" s="591"/>
      <c r="SKQ368" s="326"/>
      <c r="SKR368" s="362"/>
      <c r="SKS368" s="295"/>
      <c r="SKT368" s="656"/>
      <c r="SKU368" s="286"/>
      <c r="SKV368" s="287"/>
      <c r="SKW368" s="296"/>
      <c r="SKX368" s="266"/>
      <c r="SKY368" s="591"/>
      <c r="SKZ368" s="326"/>
      <c r="SLA368" s="362"/>
      <c r="SLB368" s="295"/>
      <c r="SLC368" s="656"/>
      <c r="SLD368" s="286"/>
      <c r="SLE368" s="287"/>
      <c r="SLF368" s="296"/>
      <c r="SLG368" s="266"/>
      <c r="SLH368" s="591"/>
      <c r="SLI368" s="326"/>
      <c r="SLJ368" s="362"/>
      <c r="SLK368" s="295"/>
      <c r="SLL368" s="656"/>
      <c r="SLM368" s="286"/>
      <c r="SLN368" s="287"/>
      <c r="SLO368" s="296"/>
      <c r="SLP368" s="266"/>
      <c r="SLQ368" s="591"/>
      <c r="SLR368" s="326"/>
      <c r="SLS368" s="362"/>
      <c r="SLT368" s="295"/>
      <c r="SLU368" s="656"/>
      <c r="SLV368" s="286"/>
      <c r="SLW368" s="287"/>
      <c r="SLX368" s="296"/>
      <c r="SLY368" s="266"/>
      <c r="SLZ368" s="591"/>
      <c r="SMA368" s="326"/>
      <c r="SMB368" s="362"/>
      <c r="SMC368" s="295"/>
      <c r="SMD368" s="656"/>
      <c r="SME368" s="286"/>
      <c r="SMF368" s="287"/>
      <c r="SMG368" s="296"/>
      <c r="SMH368" s="266"/>
      <c r="SMI368" s="591"/>
      <c r="SMJ368" s="326"/>
      <c r="SMK368" s="362"/>
      <c r="SML368" s="295"/>
      <c r="SMM368" s="656"/>
      <c r="SMN368" s="286"/>
      <c r="SMO368" s="287"/>
      <c r="SMP368" s="296"/>
      <c r="SMQ368" s="266"/>
      <c r="SMR368" s="591"/>
      <c r="SMS368" s="326"/>
      <c r="SMT368" s="362"/>
      <c r="SMU368" s="295"/>
      <c r="SMV368" s="656"/>
      <c r="SMW368" s="286"/>
      <c r="SMX368" s="287"/>
      <c r="SMY368" s="296"/>
      <c r="SMZ368" s="266"/>
      <c r="SNA368" s="591"/>
      <c r="SNB368" s="326"/>
      <c r="SNC368" s="362"/>
      <c r="SND368" s="295"/>
      <c r="SNE368" s="656"/>
      <c r="SNF368" s="286"/>
      <c r="SNG368" s="287"/>
      <c r="SNH368" s="296"/>
      <c r="SNI368" s="266"/>
      <c r="SNJ368" s="591"/>
      <c r="SNK368" s="326"/>
      <c r="SNL368" s="362"/>
      <c r="SNM368" s="295"/>
      <c r="SNN368" s="656"/>
      <c r="SNO368" s="286"/>
      <c r="SNP368" s="287"/>
      <c r="SNQ368" s="296"/>
      <c r="SNR368" s="266"/>
      <c r="SNS368" s="591"/>
      <c r="SNT368" s="326"/>
      <c r="SNU368" s="362"/>
      <c r="SNV368" s="295"/>
      <c r="SNW368" s="656"/>
      <c r="SNX368" s="286"/>
      <c r="SNY368" s="287"/>
      <c r="SNZ368" s="296"/>
      <c r="SOA368" s="266"/>
      <c r="SOB368" s="591"/>
      <c r="SOC368" s="326"/>
      <c r="SOD368" s="362"/>
      <c r="SOE368" s="295"/>
      <c r="SOF368" s="656"/>
      <c r="SOG368" s="286"/>
      <c r="SOH368" s="287"/>
      <c r="SOI368" s="296"/>
      <c r="SOJ368" s="266"/>
      <c r="SOK368" s="591"/>
      <c r="SOL368" s="326"/>
      <c r="SOM368" s="362"/>
      <c r="SON368" s="295"/>
      <c r="SOO368" s="656"/>
      <c r="SOP368" s="286"/>
      <c r="SOQ368" s="287"/>
      <c r="SOR368" s="296"/>
      <c r="SOS368" s="266"/>
      <c r="SOT368" s="591"/>
      <c r="SOU368" s="326"/>
      <c r="SOV368" s="362"/>
      <c r="SOW368" s="295"/>
      <c r="SOX368" s="656"/>
      <c r="SOY368" s="286"/>
      <c r="SOZ368" s="287"/>
      <c r="SPA368" s="296"/>
      <c r="SPB368" s="266"/>
      <c r="SPC368" s="591"/>
      <c r="SPD368" s="326"/>
      <c r="SPE368" s="362"/>
      <c r="SPF368" s="295"/>
      <c r="SPG368" s="656"/>
      <c r="SPH368" s="286"/>
      <c r="SPI368" s="287"/>
      <c r="SPJ368" s="296"/>
      <c r="SPK368" s="266"/>
      <c r="SPL368" s="591"/>
      <c r="SPM368" s="326"/>
      <c r="SPN368" s="362"/>
      <c r="SPO368" s="295"/>
      <c r="SPP368" s="656"/>
      <c r="SPQ368" s="286"/>
      <c r="SPR368" s="287"/>
      <c r="SPS368" s="296"/>
      <c r="SPT368" s="266"/>
      <c r="SPU368" s="591"/>
      <c r="SPV368" s="326"/>
      <c r="SPW368" s="362"/>
      <c r="SPX368" s="295"/>
      <c r="SPY368" s="656"/>
      <c r="SPZ368" s="286"/>
      <c r="SQA368" s="287"/>
      <c r="SQB368" s="296"/>
      <c r="SQC368" s="266"/>
      <c r="SQD368" s="591"/>
      <c r="SQE368" s="326"/>
      <c r="SQF368" s="362"/>
      <c r="SQG368" s="295"/>
      <c r="SQH368" s="656"/>
      <c r="SQI368" s="286"/>
      <c r="SQJ368" s="287"/>
      <c r="SQK368" s="296"/>
      <c r="SQL368" s="266"/>
      <c r="SQM368" s="591"/>
      <c r="SQN368" s="326"/>
      <c r="SQO368" s="362"/>
      <c r="SQP368" s="295"/>
      <c r="SQQ368" s="656"/>
      <c r="SQR368" s="286"/>
      <c r="SQS368" s="287"/>
      <c r="SQT368" s="296"/>
      <c r="SQU368" s="266"/>
      <c r="SQV368" s="591"/>
      <c r="SQW368" s="326"/>
      <c r="SQX368" s="362"/>
      <c r="SQY368" s="295"/>
      <c r="SQZ368" s="656"/>
      <c r="SRA368" s="286"/>
      <c r="SRB368" s="287"/>
      <c r="SRC368" s="296"/>
      <c r="SRD368" s="266"/>
      <c r="SRE368" s="591"/>
      <c r="SRF368" s="326"/>
      <c r="SRG368" s="362"/>
      <c r="SRH368" s="295"/>
      <c r="SRI368" s="656"/>
      <c r="SRJ368" s="286"/>
      <c r="SRK368" s="287"/>
      <c r="SRL368" s="296"/>
      <c r="SRM368" s="266"/>
      <c r="SRN368" s="591"/>
      <c r="SRO368" s="326"/>
      <c r="SRP368" s="362"/>
      <c r="SRQ368" s="295"/>
      <c r="SRR368" s="656"/>
      <c r="SRS368" s="286"/>
      <c r="SRT368" s="287"/>
      <c r="SRU368" s="296"/>
      <c r="SRV368" s="266"/>
      <c r="SRW368" s="591"/>
      <c r="SRX368" s="326"/>
      <c r="SRY368" s="362"/>
      <c r="SRZ368" s="295"/>
      <c r="SSA368" s="656"/>
      <c r="SSB368" s="286"/>
      <c r="SSC368" s="287"/>
      <c r="SSD368" s="296"/>
      <c r="SSE368" s="266"/>
      <c r="SSF368" s="591"/>
      <c r="SSG368" s="326"/>
      <c r="SSH368" s="362"/>
      <c r="SSI368" s="295"/>
      <c r="SSJ368" s="656"/>
      <c r="SSK368" s="286"/>
      <c r="SSL368" s="287"/>
      <c r="SSM368" s="296"/>
      <c r="SSN368" s="266"/>
      <c r="SSO368" s="591"/>
      <c r="SSP368" s="326"/>
      <c r="SSQ368" s="362"/>
      <c r="SSR368" s="295"/>
      <c r="SSS368" s="656"/>
      <c r="SST368" s="286"/>
      <c r="SSU368" s="287"/>
      <c r="SSV368" s="296"/>
      <c r="SSW368" s="266"/>
      <c r="SSX368" s="591"/>
      <c r="SSY368" s="326"/>
      <c r="SSZ368" s="362"/>
      <c r="STA368" s="295"/>
      <c r="STB368" s="656"/>
      <c r="STC368" s="286"/>
      <c r="STD368" s="287"/>
      <c r="STE368" s="296"/>
      <c r="STF368" s="266"/>
      <c r="STG368" s="591"/>
      <c r="STH368" s="326"/>
      <c r="STI368" s="362"/>
      <c r="STJ368" s="295"/>
      <c r="STK368" s="656"/>
      <c r="STL368" s="286"/>
      <c r="STM368" s="287"/>
      <c r="STN368" s="296"/>
      <c r="STO368" s="266"/>
      <c r="STP368" s="591"/>
      <c r="STQ368" s="326"/>
      <c r="STR368" s="362"/>
      <c r="STS368" s="295"/>
      <c r="STT368" s="656"/>
      <c r="STU368" s="286"/>
      <c r="STV368" s="287"/>
      <c r="STW368" s="296"/>
      <c r="STX368" s="266"/>
      <c r="STY368" s="591"/>
      <c r="STZ368" s="326"/>
      <c r="SUA368" s="362"/>
      <c r="SUB368" s="295"/>
      <c r="SUC368" s="656"/>
      <c r="SUD368" s="286"/>
      <c r="SUE368" s="287"/>
      <c r="SUF368" s="296"/>
      <c r="SUG368" s="266"/>
      <c r="SUH368" s="591"/>
      <c r="SUI368" s="326"/>
      <c r="SUJ368" s="362"/>
      <c r="SUK368" s="295"/>
      <c r="SUL368" s="656"/>
      <c r="SUM368" s="286"/>
      <c r="SUN368" s="287"/>
      <c r="SUO368" s="296"/>
      <c r="SUP368" s="266"/>
      <c r="SUQ368" s="591"/>
      <c r="SUR368" s="326"/>
      <c r="SUS368" s="362"/>
      <c r="SUT368" s="295"/>
      <c r="SUU368" s="656"/>
      <c r="SUV368" s="286"/>
      <c r="SUW368" s="287"/>
      <c r="SUX368" s="296"/>
      <c r="SUY368" s="266"/>
      <c r="SUZ368" s="591"/>
      <c r="SVA368" s="326"/>
      <c r="SVB368" s="362"/>
      <c r="SVC368" s="295"/>
      <c r="SVD368" s="656"/>
      <c r="SVE368" s="286"/>
      <c r="SVF368" s="287"/>
      <c r="SVG368" s="296"/>
      <c r="SVH368" s="266"/>
      <c r="SVI368" s="591"/>
      <c r="SVJ368" s="326"/>
      <c r="SVK368" s="362"/>
      <c r="SVL368" s="295"/>
      <c r="SVM368" s="656"/>
      <c r="SVN368" s="286"/>
      <c r="SVO368" s="287"/>
      <c r="SVP368" s="296"/>
      <c r="SVQ368" s="266"/>
      <c r="SVR368" s="591"/>
      <c r="SVS368" s="326"/>
      <c r="SVT368" s="362"/>
      <c r="SVU368" s="295"/>
      <c r="SVV368" s="656"/>
      <c r="SVW368" s="286"/>
      <c r="SVX368" s="287"/>
      <c r="SVY368" s="296"/>
      <c r="SVZ368" s="266"/>
      <c r="SWA368" s="591"/>
      <c r="SWB368" s="326"/>
      <c r="SWC368" s="362"/>
      <c r="SWD368" s="295"/>
      <c r="SWE368" s="656"/>
      <c r="SWF368" s="286"/>
      <c r="SWG368" s="287"/>
      <c r="SWH368" s="296"/>
      <c r="SWI368" s="266"/>
      <c r="SWJ368" s="591"/>
      <c r="SWK368" s="326"/>
      <c r="SWL368" s="362"/>
      <c r="SWM368" s="295"/>
      <c r="SWN368" s="656"/>
      <c r="SWO368" s="286"/>
      <c r="SWP368" s="287"/>
      <c r="SWQ368" s="296"/>
      <c r="SWR368" s="266"/>
      <c r="SWS368" s="591"/>
      <c r="SWT368" s="326"/>
      <c r="SWU368" s="362"/>
      <c r="SWV368" s="295"/>
      <c r="SWW368" s="656"/>
      <c r="SWX368" s="286"/>
      <c r="SWY368" s="287"/>
      <c r="SWZ368" s="296"/>
      <c r="SXA368" s="266"/>
      <c r="SXB368" s="591"/>
      <c r="SXC368" s="326"/>
      <c r="SXD368" s="362"/>
      <c r="SXE368" s="295"/>
      <c r="SXF368" s="656"/>
      <c r="SXG368" s="286"/>
      <c r="SXH368" s="287"/>
      <c r="SXI368" s="296"/>
      <c r="SXJ368" s="266"/>
      <c r="SXK368" s="591"/>
      <c r="SXL368" s="326"/>
      <c r="SXM368" s="362"/>
      <c r="SXN368" s="295"/>
      <c r="SXO368" s="656"/>
      <c r="SXP368" s="286"/>
      <c r="SXQ368" s="287"/>
      <c r="SXR368" s="296"/>
      <c r="SXS368" s="266"/>
      <c r="SXT368" s="591"/>
      <c r="SXU368" s="326"/>
      <c r="SXV368" s="362"/>
      <c r="SXW368" s="295"/>
      <c r="SXX368" s="656"/>
      <c r="SXY368" s="286"/>
      <c r="SXZ368" s="287"/>
      <c r="SYA368" s="296"/>
      <c r="SYB368" s="266"/>
      <c r="SYC368" s="591"/>
      <c r="SYD368" s="326"/>
      <c r="SYE368" s="362"/>
      <c r="SYF368" s="295"/>
      <c r="SYG368" s="656"/>
      <c r="SYH368" s="286"/>
      <c r="SYI368" s="287"/>
      <c r="SYJ368" s="296"/>
      <c r="SYK368" s="266"/>
      <c r="SYL368" s="591"/>
      <c r="SYM368" s="326"/>
      <c r="SYN368" s="362"/>
      <c r="SYO368" s="295"/>
      <c r="SYP368" s="656"/>
      <c r="SYQ368" s="286"/>
      <c r="SYR368" s="287"/>
      <c r="SYS368" s="296"/>
      <c r="SYT368" s="266"/>
      <c r="SYU368" s="591"/>
      <c r="SYV368" s="326"/>
      <c r="SYW368" s="362"/>
      <c r="SYX368" s="295"/>
      <c r="SYY368" s="656"/>
      <c r="SYZ368" s="286"/>
      <c r="SZA368" s="287"/>
      <c r="SZB368" s="296"/>
      <c r="SZC368" s="266"/>
      <c r="SZD368" s="591"/>
      <c r="SZE368" s="326"/>
      <c r="SZF368" s="362"/>
      <c r="SZG368" s="295"/>
      <c r="SZH368" s="656"/>
      <c r="SZI368" s="286"/>
      <c r="SZJ368" s="287"/>
      <c r="SZK368" s="296"/>
      <c r="SZL368" s="266"/>
      <c r="SZM368" s="591"/>
      <c r="SZN368" s="326"/>
      <c r="SZO368" s="362"/>
      <c r="SZP368" s="295"/>
      <c r="SZQ368" s="656"/>
      <c r="SZR368" s="286"/>
      <c r="SZS368" s="287"/>
      <c r="SZT368" s="296"/>
      <c r="SZU368" s="266"/>
      <c r="SZV368" s="591"/>
      <c r="SZW368" s="326"/>
      <c r="SZX368" s="362"/>
      <c r="SZY368" s="295"/>
      <c r="SZZ368" s="656"/>
      <c r="TAA368" s="286"/>
      <c r="TAB368" s="287"/>
      <c r="TAC368" s="296"/>
      <c r="TAD368" s="266"/>
      <c r="TAE368" s="591"/>
      <c r="TAF368" s="326"/>
      <c r="TAG368" s="362"/>
      <c r="TAH368" s="295"/>
      <c r="TAI368" s="656"/>
      <c r="TAJ368" s="286"/>
      <c r="TAK368" s="287"/>
      <c r="TAL368" s="296"/>
      <c r="TAM368" s="266"/>
      <c r="TAN368" s="591"/>
      <c r="TAO368" s="326"/>
      <c r="TAP368" s="362"/>
      <c r="TAQ368" s="295"/>
      <c r="TAR368" s="656"/>
      <c r="TAS368" s="286"/>
      <c r="TAT368" s="287"/>
      <c r="TAU368" s="296"/>
      <c r="TAV368" s="266"/>
      <c r="TAW368" s="591"/>
      <c r="TAX368" s="326"/>
      <c r="TAY368" s="362"/>
      <c r="TAZ368" s="295"/>
      <c r="TBA368" s="656"/>
      <c r="TBB368" s="286"/>
      <c r="TBC368" s="287"/>
      <c r="TBD368" s="296"/>
      <c r="TBE368" s="266"/>
      <c r="TBF368" s="591"/>
      <c r="TBG368" s="326"/>
      <c r="TBH368" s="362"/>
      <c r="TBI368" s="295"/>
      <c r="TBJ368" s="656"/>
      <c r="TBK368" s="286"/>
      <c r="TBL368" s="287"/>
      <c r="TBM368" s="296"/>
      <c r="TBN368" s="266"/>
      <c r="TBO368" s="591"/>
      <c r="TBP368" s="326"/>
      <c r="TBQ368" s="362"/>
      <c r="TBR368" s="295"/>
      <c r="TBS368" s="656"/>
      <c r="TBT368" s="286"/>
      <c r="TBU368" s="287"/>
      <c r="TBV368" s="296"/>
      <c r="TBW368" s="266"/>
      <c r="TBX368" s="591"/>
      <c r="TBY368" s="326"/>
      <c r="TBZ368" s="362"/>
      <c r="TCA368" s="295"/>
      <c r="TCB368" s="656"/>
      <c r="TCC368" s="286"/>
      <c r="TCD368" s="287"/>
      <c r="TCE368" s="296"/>
      <c r="TCF368" s="266"/>
      <c r="TCG368" s="591"/>
      <c r="TCH368" s="326"/>
      <c r="TCI368" s="362"/>
      <c r="TCJ368" s="295"/>
      <c r="TCK368" s="656"/>
      <c r="TCL368" s="286"/>
      <c r="TCM368" s="287"/>
      <c r="TCN368" s="296"/>
      <c r="TCO368" s="266"/>
      <c r="TCP368" s="591"/>
      <c r="TCQ368" s="326"/>
      <c r="TCR368" s="362"/>
      <c r="TCS368" s="295"/>
      <c r="TCT368" s="656"/>
      <c r="TCU368" s="286"/>
      <c r="TCV368" s="287"/>
      <c r="TCW368" s="296"/>
      <c r="TCX368" s="266"/>
      <c r="TCY368" s="591"/>
      <c r="TCZ368" s="326"/>
      <c r="TDA368" s="362"/>
      <c r="TDB368" s="295"/>
      <c r="TDC368" s="656"/>
      <c r="TDD368" s="286"/>
      <c r="TDE368" s="287"/>
      <c r="TDF368" s="296"/>
      <c r="TDG368" s="266"/>
      <c r="TDH368" s="591"/>
      <c r="TDI368" s="326"/>
      <c r="TDJ368" s="362"/>
      <c r="TDK368" s="295"/>
      <c r="TDL368" s="656"/>
      <c r="TDM368" s="286"/>
      <c r="TDN368" s="287"/>
      <c r="TDO368" s="296"/>
      <c r="TDP368" s="266"/>
      <c r="TDQ368" s="591"/>
      <c r="TDR368" s="326"/>
      <c r="TDS368" s="362"/>
      <c r="TDT368" s="295"/>
      <c r="TDU368" s="656"/>
      <c r="TDV368" s="286"/>
      <c r="TDW368" s="287"/>
      <c r="TDX368" s="296"/>
      <c r="TDY368" s="266"/>
      <c r="TDZ368" s="591"/>
      <c r="TEA368" s="326"/>
      <c r="TEB368" s="362"/>
      <c r="TEC368" s="295"/>
      <c r="TED368" s="656"/>
      <c r="TEE368" s="286"/>
      <c r="TEF368" s="287"/>
      <c r="TEG368" s="296"/>
      <c r="TEH368" s="266"/>
      <c r="TEI368" s="591"/>
      <c r="TEJ368" s="326"/>
      <c r="TEK368" s="362"/>
      <c r="TEL368" s="295"/>
      <c r="TEM368" s="656"/>
      <c r="TEN368" s="286"/>
      <c r="TEO368" s="287"/>
      <c r="TEP368" s="296"/>
      <c r="TEQ368" s="266"/>
      <c r="TER368" s="591"/>
      <c r="TES368" s="326"/>
      <c r="TET368" s="362"/>
      <c r="TEU368" s="295"/>
      <c r="TEV368" s="656"/>
      <c r="TEW368" s="286"/>
      <c r="TEX368" s="287"/>
      <c r="TEY368" s="296"/>
      <c r="TEZ368" s="266"/>
      <c r="TFA368" s="591"/>
      <c r="TFB368" s="326"/>
      <c r="TFC368" s="362"/>
      <c r="TFD368" s="295"/>
      <c r="TFE368" s="656"/>
      <c r="TFF368" s="286"/>
      <c r="TFG368" s="287"/>
      <c r="TFH368" s="296"/>
      <c r="TFI368" s="266"/>
      <c r="TFJ368" s="591"/>
      <c r="TFK368" s="326"/>
      <c r="TFL368" s="362"/>
      <c r="TFM368" s="295"/>
      <c r="TFN368" s="656"/>
      <c r="TFO368" s="286"/>
      <c r="TFP368" s="287"/>
      <c r="TFQ368" s="296"/>
      <c r="TFR368" s="266"/>
      <c r="TFS368" s="591"/>
      <c r="TFT368" s="326"/>
      <c r="TFU368" s="362"/>
      <c r="TFV368" s="295"/>
      <c r="TFW368" s="656"/>
      <c r="TFX368" s="286"/>
      <c r="TFY368" s="287"/>
      <c r="TFZ368" s="296"/>
      <c r="TGA368" s="266"/>
      <c r="TGB368" s="591"/>
      <c r="TGC368" s="326"/>
      <c r="TGD368" s="362"/>
      <c r="TGE368" s="295"/>
      <c r="TGF368" s="656"/>
      <c r="TGG368" s="286"/>
      <c r="TGH368" s="287"/>
      <c r="TGI368" s="296"/>
      <c r="TGJ368" s="266"/>
      <c r="TGK368" s="591"/>
      <c r="TGL368" s="326"/>
      <c r="TGM368" s="362"/>
      <c r="TGN368" s="295"/>
      <c r="TGO368" s="656"/>
      <c r="TGP368" s="286"/>
      <c r="TGQ368" s="287"/>
      <c r="TGR368" s="296"/>
      <c r="TGS368" s="266"/>
      <c r="TGT368" s="591"/>
      <c r="TGU368" s="326"/>
      <c r="TGV368" s="362"/>
      <c r="TGW368" s="295"/>
      <c r="TGX368" s="656"/>
      <c r="TGY368" s="286"/>
      <c r="TGZ368" s="287"/>
      <c r="THA368" s="296"/>
      <c r="THB368" s="266"/>
      <c r="THC368" s="591"/>
      <c r="THD368" s="326"/>
      <c r="THE368" s="362"/>
      <c r="THF368" s="295"/>
      <c r="THG368" s="656"/>
      <c r="THH368" s="286"/>
      <c r="THI368" s="287"/>
      <c r="THJ368" s="296"/>
      <c r="THK368" s="266"/>
      <c r="THL368" s="591"/>
      <c r="THM368" s="326"/>
      <c r="THN368" s="362"/>
      <c r="THO368" s="295"/>
      <c r="THP368" s="656"/>
      <c r="THQ368" s="286"/>
      <c r="THR368" s="287"/>
      <c r="THS368" s="296"/>
      <c r="THT368" s="266"/>
      <c r="THU368" s="591"/>
      <c r="THV368" s="326"/>
      <c r="THW368" s="362"/>
      <c r="THX368" s="295"/>
      <c r="THY368" s="656"/>
      <c r="THZ368" s="286"/>
      <c r="TIA368" s="287"/>
      <c r="TIB368" s="296"/>
      <c r="TIC368" s="266"/>
      <c r="TID368" s="591"/>
      <c r="TIE368" s="326"/>
      <c r="TIF368" s="362"/>
      <c r="TIG368" s="295"/>
      <c r="TIH368" s="656"/>
      <c r="TII368" s="286"/>
      <c r="TIJ368" s="287"/>
      <c r="TIK368" s="296"/>
      <c r="TIL368" s="266"/>
      <c r="TIM368" s="591"/>
      <c r="TIN368" s="326"/>
      <c r="TIO368" s="362"/>
      <c r="TIP368" s="295"/>
      <c r="TIQ368" s="656"/>
      <c r="TIR368" s="286"/>
      <c r="TIS368" s="287"/>
      <c r="TIT368" s="296"/>
      <c r="TIU368" s="266"/>
      <c r="TIV368" s="591"/>
      <c r="TIW368" s="326"/>
      <c r="TIX368" s="362"/>
      <c r="TIY368" s="295"/>
      <c r="TIZ368" s="656"/>
      <c r="TJA368" s="286"/>
      <c r="TJB368" s="287"/>
      <c r="TJC368" s="296"/>
      <c r="TJD368" s="266"/>
      <c r="TJE368" s="591"/>
      <c r="TJF368" s="326"/>
      <c r="TJG368" s="362"/>
      <c r="TJH368" s="295"/>
      <c r="TJI368" s="656"/>
      <c r="TJJ368" s="286"/>
      <c r="TJK368" s="287"/>
      <c r="TJL368" s="296"/>
      <c r="TJM368" s="266"/>
      <c r="TJN368" s="591"/>
      <c r="TJO368" s="326"/>
      <c r="TJP368" s="362"/>
      <c r="TJQ368" s="295"/>
      <c r="TJR368" s="656"/>
      <c r="TJS368" s="286"/>
      <c r="TJT368" s="287"/>
      <c r="TJU368" s="296"/>
      <c r="TJV368" s="266"/>
      <c r="TJW368" s="591"/>
      <c r="TJX368" s="326"/>
      <c r="TJY368" s="362"/>
      <c r="TJZ368" s="295"/>
      <c r="TKA368" s="656"/>
      <c r="TKB368" s="286"/>
      <c r="TKC368" s="287"/>
      <c r="TKD368" s="296"/>
      <c r="TKE368" s="266"/>
      <c r="TKF368" s="591"/>
      <c r="TKG368" s="326"/>
      <c r="TKH368" s="362"/>
      <c r="TKI368" s="295"/>
      <c r="TKJ368" s="656"/>
      <c r="TKK368" s="286"/>
      <c r="TKL368" s="287"/>
      <c r="TKM368" s="296"/>
      <c r="TKN368" s="266"/>
      <c r="TKO368" s="591"/>
      <c r="TKP368" s="326"/>
      <c r="TKQ368" s="362"/>
      <c r="TKR368" s="295"/>
      <c r="TKS368" s="656"/>
      <c r="TKT368" s="286"/>
      <c r="TKU368" s="287"/>
      <c r="TKV368" s="296"/>
      <c r="TKW368" s="266"/>
      <c r="TKX368" s="591"/>
      <c r="TKY368" s="326"/>
      <c r="TKZ368" s="362"/>
      <c r="TLA368" s="295"/>
      <c r="TLB368" s="656"/>
      <c r="TLC368" s="286"/>
      <c r="TLD368" s="287"/>
      <c r="TLE368" s="296"/>
      <c r="TLF368" s="266"/>
      <c r="TLG368" s="591"/>
      <c r="TLH368" s="326"/>
      <c r="TLI368" s="362"/>
      <c r="TLJ368" s="295"/>
      <c r="TLK368" s="656"/>
      <c r="TLL368" s="286"/>
      <c r="TLM368" s="287"/>
      <c r="TLN368" s="296"/>
      <c r="TLO368" s="266"/>
      <c r="TLP368" s="591"/>
      <c r="TLQ368" s="326"/>
      <c r="TLR368" s="362"/>
      <c r="TLS368" s="295"/>
      <c r="TLT368" s="656"/>
      <c r="TLU368" s="286"/>
      <c r="TLV368" s="287"/>
      <c r="TLW368" s="296"/>
      <c r="TLX368" s="266"/>
      <c r="TLY368" s="591"/>
      <c r="TLZ368" s="326"/>
      <c r="TMA368" s="362"/>
      <c r="TMB368" s="295"/>
      <c r="TMC368" s="656"/>
      <c r="TMD368" s="286"/>
      <c r="TME368" s="287"/>
      <c r="TMF368" s="296"/>
      <c r="TMG368" s="266"/>
      <c r="TMH368" s="591"/>
      <c r="TMI368" s="326"/>
      <c r="TMJ368" s="362"/>
      <c r="TMK368" s="295"/>
      <c r="TML368" s="656"/>
      <c r="TMM368" s="286"/>
      <c r="TMN368" s="287"/>
      <c r="TMO368" s="296"/>
      <c r="TMP368" s="266"/>
      <c r="TMQ368" s="591"/>
      <c r="TMR368" s="326"/>
      <c r="TMS368" s="362"/>
      <c r="TMT368" s="295"/>
      <c r="TMU368" s="656"/>
      <c r="TMV368" s="286"/>
      <c r="TMW368" s="287"/>
      <c r="TMX368" s="296"/>
      <c r="TMY368" s="266"/>
      <c r="TMZ368" s="591"/>
      <c r="TNA368" s="326"/>
      <c r="TNB368" s="362"/>
      <c r="TNC368" s="295"/>
      <c r="TND368" s="656"/>
      <c r="TNE368" s="286"/>
      <c r="TNF368" s="287"/>
      <c r="TNG368" s="296"/>
      <c r="TNH368" s="266"/>
      <c r="TNI368" s="591"/>
      <c r="TNJ368" s="326"/>
      <c r="TNK368" s="362"/>
      <c r="TNL368" s="295"/>
      <c r="TNM368" s="656"/>
      <c r="TNN368" s="286"/>
      <c r="TNO368" s="287"/>
      <c r="TNP368" s="296"/>
      <c r="TNQ368" s="266"/>
      <c r="TNR368" s="591"/>
      <c r="TNS368" s="326"/>
      <c r="TNT368" s="362"/>
      <c r="TNU368" s="295"/>
      <c r="TNV368" s="656"/>
      <c r="TNW368" s="286"/>
      <c r="TNX368" s="287"/>
      <c r="TNY368" s="296"/>
      <c r="TNZ368" s="266"/>
      <c r="TOA368" s="591"/>
      <c r="TOB368" s="326"/>
      <c r="TOC368" s="362"/>
      <c r="TOD368" s="295"/>
      <c r="TOE368" s="656"/>
      <c r="TOF368" s="286"/>
      <c r="TOG368" s="287"/>
      <c r="TOH368" s="296"/>
      <c r="TOI368" s="266"/>
      <c r="TOJ368" s="591"/>
      <c r="TOK368" s="326"/>
      <c r="TOL368" s="362"/>
      <c r="TOM368" s="295"/>
      <c r="TON368" s="656"/>
      <c r="TOO368" s="286"/>
      <c r="TOP368" s="287"/>
      <c r="TOQ368" s="296"/>
      <c r="TOR368" s="266"/>
      <c r="TOS368" s="591"/>
      <c r="TOT368" s="326"/>
      <c r="TOU368" s="362"/>
      <c r="TOV368" s="295"/>
      <c r="TOW368" s="656"/>
      <c r="TOX368" s="286"/>
      <c r="TOY368" s="287"/>
      <c r="TOZ368" s="296"/>
      <c r="TPA368" s="266"/>
      <c r="TPB368" s="591"/>
      <c r="TPC368" s="326"/>
      <c r="TPD368" s="362"/>
      <c r="TPE368" s="295"/>
      <c r="TPF368" s="656"/>
      <c r="TPG368" s="286"/>
      <c r="TPH368" s="287"/>
      <c r="TPI368" s="296"/>
      <c r="TPJ368" s="266"/>
      <c r="TPK368" s="591"/>
      <c r="TPL368" s="326"/>
      <c r="TPM368" s="362"/>
      <c r="TPN368" s="295"/>
      <c r="TPO368" s="656"/>
      <c r="TPP368" s="286"/>
      <c r="TPQ368" s="287"/>
      <c r="TPR368" s="296"/>
      <c r="TPS368" s="266"/>
      <c r="TPT368" s="591"/>
      <c r="TPU368" s="326"/>
      <c r="TPV368" s="362"/>
      <c r="TPW368" s="295"/>
      <c r="TPX368" s="656"/>
      <c r="TPY368" s="286"/>
      <c r="TPZ368" s="287"/>
      <c r="TQA368" s="296"/>
      <c r="TQB368" s="266"/>
      <c r="TQC368" s="591"/>
      <c r="TQD368" s="326"/>
      <c r="TQE368" s="362"/>
      <c r="TQF368" s="295"/>
      <c r="TQG368" s="656"/>
      <c r="TQH368" s="286"/>
      <c r="TQI368" s="287"/>
      <c r="TQJ368" s="296"/>
      <c r="TQK368" s="266"/>
      <c r="TQL368" s="591"/>
      <c r="TQM368" s="326"/>
      <c r="TQN368" s="362"/>
      <c r="TQO368" s="295"/>
      <c r="TQP368" s="656"/>
      <c r="TQQ368" s="286"/>
      <c r="TQR368" s="287"/>
      <c r="TQS368" s="296"/>
      <c r="TQT368" s="266"/>
      <c r="TQU368" s="591"/>
      <c r="TQV368" s="326"/>
      <c r="TQW368" s="362"/>
      <c r="TQX368" s="295"/>
      <c r="TQY368" s="656"/>
      <c r="TQZ368" s="286"/>
      <c r="TRA368" s="287"/>
      <c r="TRB368" s="296"/>
      <c r="TRC368" s="266"/>
      <c r="TRD368" s="591"/>
      <c r="TRE368" s="326"/>
      <c r="TRF368" s="362"/>
      <c r="TRG368" s="295"/>
      <c r="TRH368" s="656"/>
      <c r="TRI368" s="286"/>
      <c r="TRJ368" s="287"/>
      <c r="TRK368" s="296"/>
      <c r="TRL368" s="266"/>
      <c r="TRM368" s="591"/>
      <c r="TRN368" s="326"/>
      <c r="TRO368" s="362"/>
      <c r="TRP368" s="295"/>
      <c r="TRQ368" s="656"/>
      <c r="TRR368" s="286"/>
      <c r="TRS368" s="287"/>
      <c r="TRT368" s="296"/>
      <c r="TRU368" s="266"/>
      <c r="TRV368" s="591"/>
      <c r="TRW368" s="326"/>
      <c r="TRX368" s="362"/>
      <c r="TRY368" s="295"/>
      <c r="TRZ368" s="656"/>
      <c r="TSA368" s="286"/>
      <c r="TSB368" s="287"/>
      <c r="TSC368" s="296"/>
      <c r="TSD368" s="266"/>
      <c r="TSE368" s="591"/>
      <c r="TSF368" s="326"/>
      <c r="TSG368" s="362"/>
      <c r="TSH368" s="295"/>
      <c r="TSI368" s="656"/>
      <c r="TSJ368" s="286"/>
      <c r="TSK368" s="287"/>
      <c r="TSL368" s="296"/>
      <c r="TSM368" s="266"/>
      <c r="TSN368" s="591"/>
      <c r="TSO368" s="326"/>
      <c r="TSP368" s="362"/>
      <c r="TSQ368" s="295"/>
      <c r="TSR368" s="656"/>
      <c r="TSS368" s="286"/>
      <c r="TST368" s="287"/>
      <c r="TSU368" s="296"/>
      <c r="TSV368" s="266"/>
      <c r="TSW368" s="591"/>
      <c r="TSX368" s="326"/>
      <c r="TSY368" s="362"/>
      <c r="TSZ368" s="295"/>
      <c r="TTA368" s="656"/>
      <c r="TTB368" s="286"/>
      <c r="TTC368" s="287"/>
      <c r="TTD368" s="296"/>
      <c r="TTE368" s="266"/>
      <c r="TTF368" s="591"/>
      <c r="TTG368" s="326"/>
      <c r="TTH368" s="362"/>
      <c r="TTI368" s="295"/>
      <c r="TTJ368" s="656"/>
      <c r="TTK368" s="286"/>
      <c r="TTL368" s="287"/>
      <c r="TTM368" s="296"/>
      <c r="TTN368" s="266"/>
      <c r="TTO368" s="591"/>
      <c r="TTP368" s="326"/>
      <c r="TTQ368" s="362"/>
      <c r="TTR368" s="295"/>
      <c r="TTS368" s="656"/>
      <c r="TTT368" s="286"/>
      <c r="TTU368" s="287"/>
      <c r="TTV368" s="296"/>
      <c r="TTW368" s="266"/>
      <c r="TTX368" s="591"/>
      <c r="TTY368" s="326"/>
      <c r="TTZ368" s="362"/>
      <c r="TUA368" s="295"/>
      <c r="TUB368" s="656"/>
      <c r="TUC368" s="286"/>
      <c r="TUD368" s="287"/>
      <c r="TUE368" s="296"/>
      <c r="TUF368" s="266"/>
      <c r="TUG368" s="591"/>
      <c r="TUH368" s="326"/>
      <c r="TUI368" s="362"/>
      <c r="TUJ368" s="295"/>
      <c r="TUK368" s="656"/>
      <c r="TUL368" s="286"/>
      <c r="TUM368" s="287"/>
      <c r="TUN368" s="296"/>
      <c r="TUO368" s="266"/>
      <c r="TUP368" s="591"/>
      <c r="TUQ368" s="326"/>
      <c r="TUR368" s="362"/>
      <c r="TUS368" s="295"/>
      <c r="TUT368" s="656"/>
      <c r="TUU368" s="286"/>
      <c r="TUV368" s="287"/>
      <c r="TUW368" s="296"/>
      <c r="TUX368" s="266"/>
      <c r="TUY368" s="591"/>
      <c r="TUZ368" s="326"/>
      <c r="TVA368" s="362"/>
      <c r="TVB368" s="295"/>
      <c r="TVC368" s="656"/>
      <c r="TVD368" s="286"/>
      <c r="TVE368" s="287"/>
      <c r="TVF368" s="296"/>
      <c r="TVG368" s="266"/>
      <c r="TVH368" s="591"/>
      <c r="TVI368" s="326"/>
      <c r="TVJ368" s="362"/>
      <c r="TVK368" s="295"/>
      <c r="TVL368" s="656"/>
      <c r="TVM368" s="286"/>
      <c r="TVN368" s="287"/>
      <c r="TVO368" s="296"/>
      <c r="TVP368" s="266"/>
      <c r="TVQ368" s="591"/>
      <c r="TVR368" s="326"/>
      <c r="TVS368" s="362"/>
      <c r="TVT368" s="295"/>
      <c r="TVU368" s="656"/>
      <c r="TVV368" s="286"/>
      <c r="TVW368" s="287"/>
      <c r="TVX368" s="296"/>
      <c r="TVY368" s="266"/>
      <c r="TVZ368" s="591"/>
      <c r="TWA368" s="326"/>
      <c r="TWB368" s="362"/>
      <c r="TWC368" s="295"/>
      <c r="TWD368" s="656"/>
      <c r="TWE368" s="286"/>
      <c r="TWF368" s="287"/>
      <c r="TWG368" s="296"/>
      <c r="TWH368" s="266"/>
      <c r="TWI368" s="591"/>
      <c r="TWJ368" s="326"/>
      <c r="TWK368" s="362"/>
      <c r="TWL368" s="295"/>
      <c r="TWM368" s="656"/>
      <c r="TWN368" s="286"/>
      <c r="TWO368" s="287"/>
      <c r="TWP368" s="296"/>
      <c r="TWQ368" s="266"/>
      <c r="TWR368" s="591"/>
      <c r="TWS368" s="326"/>
      <c r="TWT368" s="362"/>
      <c r="TWU368" s="295"/>
      <c r="TWV368" s="656"/>
      <c r="TWW368" s="286"/>
      <c r="TWX368" s="287"/>
      <c r="TWY368" s="296"/>
      <c r="TWZ368" s="266"/>
      <c r="TXA368" s="591"/>
      <c r="TXB368" s="326"/>
      <c r="TXC368" s="362"/>
      <c r="TXD368" s="295"/>
      <c r="TXE368" s="656"/>
      <c r="TXF368" s="286"/>
      <c r="TXG368" s="287"/>
      <c r="TXH368" s="296"/>
      <c r="TXI368" s="266"/>
      <c r="TXJ368" s="591"/>
      <c r="TXK368" s="326"/>
      <c r="TXL368" s="362"/>
      <c r="TXM368" s="295"/>
      <c r="TXN368" s="656"/>
      <c r="TXO368" s="286"/>
      <c r="TXP368" s="287"/>
      <c r="TXQ368" s="296"/>
      <c r="TXR368" s="266"/>
      <c r="TXS368" s="591"/>
      <c r="TXT368" s="326"/>
      <c r="TXU368" s="362"/>
      <c r="TXV368" s="295"/>
      <c r="TXW368" s="656"/>
      <c r="TXX368" s="286"/>
      <c r="TXY368" s="287"/>
      <c r="TXZ368" s="296"/>
      <c r="TYA368" s="266"/>
      <c r="TYB368" s="591"/>
      <c r="TYC368" s="326"/>
      <c r="TYD368" s="362"/>
      <c r="TYE368" s="295"/>
      <c r="TYF368" s="656"/>
      <c r="TYG368" s="286"/>
      <c r="TYH368" s="287"/>
      <c r="TYI368" s="296"/>
      <c r="TYJ368" s="266"/>
      <c r="TYK368" s="591"/>
      <c r="TYL368" s="326"/>
      <c r="TYM368" s="362"/>
      <c r="TYN368" s="295"/>
      <c r="TYO368" s="656"/>
      <c r="TYP368" s="286"/>
      <c r="TYQ368" s="287"/>
      <c r="TYR368" s="296"/>
      <c r="TYS368" s="266"/>
      <c r="TYT368" s="591"/>
      <c r="TYU368" s="326"/>
      <c r="TYV368" s="362"/>
      <c r="TYW368" s="295"/>
      <c r="TYX368" s="656"/>
      <c r="TYY368" s="286"/>
      <c r="TYZ368" s="287"/>
      <c r="TZA368" s="296"/>
      <c r="TZB368" s="266"/>
      <c r="TZC368" s="591"/>
      <c r="TZD368" s="326"/>
      <c r="TZE368" s="362"/>
      <c r="TZF368" s="295"/>
      <c r="TZG368" s="656"/>
      <c r="TZH368" s="286"/>
      <c r="TZI368" s="287"/>
      <c r="TZJ368" s="296"/>
      <c r="TZK368" s="266"/>
      <c r="TZL368" s="591"/>
      <c r="TZM368" s="326"/>
      <c r="TZN368" s="362"/>
      <c r="TZO368" s="295"/>
      <c r="TZP368" s="656"/>
      <c r="TZQ368" s="286"/>
      <c r="TZR368" s="287"/>
      <c r="TZS368" s="296"/>
      <c r="TZT368" s="266"/>
      <c r="TZU368" s="591"/>
      <c r="TZV368" s="326"/>
      <c r="TZW368" s="362"/>
      <c r="TZX368" s="295"/>
      <c r="TZY368" s="656"/>
      <c r="TZZ368" s="286"/>
      <c r="UAA368" s="287"/>
      <c r="UAB368" s="296"/>
      <c r="UAC368" s="266"/>
      <c r="UAD368" s="591"/>
      <c r="UAE368" s="326"/>
      <c r="UAF368" s="362"/>
      <c r="UAG368" s="295"/>
      <c r="UAH368" s="656"/>
      <c r="UAI368" s="286"/>
      <c r="UAJ368" s="287"/>
      <c r="UAK368" s="296"/>
      <c r="UAL368" s="266"/>
      <c r="UAM368" s="591"/>
      <c r="UAN368" s="326"/>
      <c r="UAO368" s="362"/>
      <c r="UAP368" s="295"/>
      <c r="UAQ368" s="656"/>
      <c r="UAR368" s="286"/>
      <c r="UAS368" s="287"/>
      <c r="UAT368" s="296"/>
      <c r="UAU368" s="266"/>
      <c r="UAV368" s="591"/>
      <c r="UAW368" s="326"/>
      <c r="UAX368" s="362"/>
      <c r="UAY368" s="295"/>
      <c r="UAZ368" s="656"/>
      <c r="UBA368" s="286"/>
      <c r="UBB368" s="287"/>
      <c r="UBC368" s="296"/>
      <c r="UBD368" s="266"/>
      <c r="UBE368" s="591"/>
      <c r="UBF368" s="326"/>
      <c r="UBG368" s="362"/>
      <c r="UBH368" s="295"/>
      <c r="UBI368" s="656"/>
      <c r="UBJ368" s="286"/>
      <c r="UBK368" s="287"/>
      <c r="UBL368" s="296"/>
      <c r="UBM368" s="266"/>
      <c r="UBN368" s="591"/>
      <c r="UBO368" s="326"/>
      <c r="UBP368" s="362"/>
      <c r="UBQ368" s="295"/>
      <c r="UBR368" s="656"/>
      <c r="UBS368" s="286"/>
      <c r="UBT368" s="287"/>
      <c r="UBU368" s="296"/>
      <c r="UBV368" s="266"/>
      <c r="UBW368" s="591"/>
      <c r="UBX368" s="326"/>
      <c r="UBY368" s="362"/>
      <c r="UBZ368" s="295"/>
      <c r="UCA368" s="656"/>
      <c r="UCB368" s="286"/>
      <c r="UCC368" s="287"/>
      <c r="UCD368" s="296"/>
      <c r="UCE368" s="266"/>
      <c r="UCF368" s="591"/>
      <c r="UCG368" s="326"/>
      <c r="UCH368" s="362"/>
      <c r="UCI368" s="295"/>
      <c r="UCJ368" s="656"/>
      <c r="UCK368" s="286"/>
      <c r="UCL368" s="287"/>
      <c r="UCM368" s="296"/>
      <c r="UCN368" s="266"/>
      <c r="UCO368" s="591"/>
      <c r="UCP368" s="326"/>
      <c r="UCQ368" s="362"/>
      <c r="UCR368" s="295"/>
      <c r="UCS368" s="656"/>
      <c r="UCT368" s="286"/>
      <c r="UCU368" s="287"/>
      <c r="UCV368" s="296"/>
      <c r="UCW368" s="266"/>
      <c r="UCX368" s="591"/>
      <c r="UCY368" s="326"/>
      <c r="UCZ368" s="362"/>
      <c r="UDA368" s="295"/>
      <c r="UDB368" s="656"/>
      <c r="UDC368" s="286"/>
      <c r="UDD368" s="287"/>
      <c r="UDE368" s="296"/>
      <c r="UDF368" s="266"/>
      <c r="UDG368" s="591"/>
      <c r="UDH368" s="326"/>
      <c r="UDI368" s="362"/>
      <c r="UDJ368" s="295"/>
      <c r="UDK368" s="656"/>
      <c r="UDL368" s="286"/>
      <c r="UDM368" s="287"/>
      <c r="UDN368" s="296"/>
      <c r="UDO368" s="266"/>
      <c r="UDP368" s="591"/>
      <c r="UDQ368" s="326"/>
      <c r="UDR368" s="362"/>
      <c r="UDS368" s="295"/>
      <c r="UDT368" s="656"/>
      <c r="UDU368" s="286"/>
      <c r="UDV368" s="287"/>
      <c r="UDW368" s="296"/>
      <c r="UDX368" s="266"/>
      <c r="UDY368" s="591"/>
      <c r="UDZ368" s="326"/>
      <c r="UEA368" s="362"/>
      <c r="UEB368" s="295"/>
      <c r="UEC368" s="656"/>
      <c r="UED368" s="286"/>
      <c r="UEE368" s="287"/>
      <c r="UEF368" s="296"/>
      <c r="UEG368" s="266"/>
      <c r="UEH368" s="591"/>
      <c r="UEI368" s="326"/>
      <c r="UEJ368" s="362"/>
      <c r="UEK368" s="295"/>
      <c r="UEL368" s="656"/>
      <c r="UEM368" s="286"/>
      <c r="UEN368" s="287"/>
      <c r="UEO368" s="296"/>
      <c r="UEP368" s="266"/>
      <c r="UEQ368" s="591"/>
      <c r="UER368" s="326"/>
      <c r="UES368" s="362"/>
      <c r="UET368" s="295"/>
      <c r="UEU368" s="656"/>
      <c r="UEV368" s="286"/>
      <c r="UEW368" s="287"/>
      <c r="UEX368" s="296"/>
      <c r="UEY368" s="266"/>
      <c r="UEZ368" s="591"/>
      <c r="UFA368" s="326"/>
      <c r="UFB368" s="362"/>
      <c r="UFC368" s="295"/>
      <c r="UFD368" s="656"/>
      <c r="UFE368" s="286"/>
      <c r="UFF368" s="287"/>
      <c r="UFG368" s="296"/>
      <c r="UFH368" s="266"/>
      <c r="UFI368" s="591"/>
      <c r="UFJ368" s="326"/>
      <c r="UFK368" s="362"/>
      <c r="UFL368" s="295"/>
      <c r="UFM368" s="656"/>
      <c r="UFN368" s="286"/>
      <c r="UFO368" s="287"/>
      <c r="UFP368" s="296"/>
      <c r="UFQ368" s="266"/>
      <c r="UFR368" s="591"/>
      <c r="UFS368" s="326"/>
      <c r="UFT368" s="362"/>
      <c r="UFU368" s="295"/>
      <c r="UFV368" s="656"/>
      <c r="UFW368" s="286"/>
      <c r="UFX368" s="287"/>
      <c r="UFY368" s="296"/>
      <c r="UFZ368" s="266"/>
      <c r="UGA368" s="591"/>
      <c r="UGB368" s="326"/>
      <c r="UGC368" s="362"/>
      <c r="UGD368" s="295"/>
      <c r="UGE368" s="656"/>
      <c r="UGF368" s="286"/>
      <c r="UGG368" s="287"/>
      <c r="UGH368" s="296"/>
      <c r="UGI368" s="266"/>
      <c r="UGJ368" s="591"/>
      <c r="UGK368" s="326"/>
      <c r="UGL368" s="362"/>
      <c r="UGM368" s="295"/>
      <c r="UGN368" s="656"/>
      <c r="UGO368" s="286"/>
      <c r="UGP368" s="287"/>
      <c r="UGQ368" s="296"/>
      <c r="UGR368" s="266"/>
      <c r="UGS368" s="591"/>
      <c r="UGT368" s="326"/>
      <c r="UGU368" s="362"/>
      <c r="UGV368" s="295"/>
      <c r="UGW368" s="656"/>
      <c r="UGX368" s="286"/>
      <c r="UGY368" s="287"/>
      <c r="UGZ368" s="296"/>
      <c r="UHA368" s="266"/>
      <c r="UHB368" s="591"/>
      <c r="UHC368" s="326"/>
      <c r="UHD368" s="362"/>
      <c r="UHE368" s="295"/>
      <c r="UHF368" s="656"/>
      <c r="UHG368" s="286"/>
      <c r="UHH368" s="287"/>
      <c r="UHI368" s="296"/>
      <c r="UHJ368" s="266"/>
      <c r="UHK368" s="591"/>
      <c r="UHL368" s="326"/>
      <c r="UHM368" s="362"/>
      <c r="UHN368" s="295"/>
      <c r="UHO368" s="656"/>
      <c r="UHP368" s="286"/>
      <c r="UHQ368" s="287"/>
      <c r="UHR368" s="296"/>
      <c r="UHS368" s="266"/>
      <c r="UHT368" s="591"/>
      <c r="UHU368" s="326"/>
      <c r="UHV368" s="362"/>
      <c r="UHW368" s="295"/>
      <c r="UHX368" s="656"/>
      <c r="UHY368" s="286"/>
      <c r="UHZ368" s="287"/>
      <c r="UIA368" s="296"/>
      <c r="UIB368" s="266"/>
      <c r="UIC368" s="591"/>
      <c r="UID368" s="326"/>
      <c r="UIE368" s="362"/>
      <c r="UIF368" s="295"/>
      <c r="UIG368" s="656"/>
      <c r="UIH368" s="286"/>
      <c r="UII368" s="287"/>
      <c r="UIJ368" s="296"/>
      <c r="UIK368" s="266"/>
      <c r="UIL368" s="591"/>
      <c r="UIM368" s="326"/>
      <c r="UIN368" s="362"/>
      <c r="UIO368" s="295"/>
      <c r="UIP368" s="656"/>
      <c r="UIQ368" s="286"/>
      <c r="UIR368" s="287"/>
      <c r="UIS368" s="296"/>
      <c r="UIT368" s="266"/>
      <c r="UIU368" s="591"/>
      <c r="UIV368" s="326"/>
      <c r="UIW368" s="362"/>
      <c r="UIX368" s="295"/>
      <c r="UIY368" s="656"/>
      <c r="UIZ368" s="286"/>
      <c r="UJA368" s="287"/>
      <c r="UJB368" s="296"/>
      <c r="UJC368" s="266"/>
      <c r="UJD368" s="591"/>
      <c r="UJE368" s="326"/>
      <c r="UJF368" s="362"/>
      <c r="UJG368" s="295"/>
      <c r="UJH368" s="656"/>
      <c r="UJI368" s="286"/>
      <c r="UJJ368" s="287"/>
      <c r="UJK368" s="296"/>
      <c r="UJL368" s="266"/>
      <c r="UJM368" s="591"/>
      <c r="UJN368" s="326"/>
      <c r="UJO368" s="362"/>
      <c r="UJP368" s="295"/>
      <c r="UJQ368" s="656"/>
      <c r="UJR368" s="286"/>
      <c r="UJS368" s="287"/>
      <c r="UJT368" s="296"/>
      <c r="UJU368" s="266"/>
      <c r="UJV368" s="591"/>
      <c r="UJW368" s="326"/>
      <c r="UJX368" s="362"/>
      <c r="UJY368" s="295"/>
      <c r="UJZ368" s="656"/>
      <c r="UKA368" s="286"/>
      <c r="UKB368" s="287"/>
      <c r="UKC368" s="296"/>
      <c r="UKD368" s="266"/>
      <c r="UKE368" s="591"/>
      <c r="UKF368" s="326"/>
      <c r="UKG368" s="362"/>
      <c r="UKH368" s="295"/>
      <c r="UKI368" s="656"/>
      <c r="UKJ368" s="286"/>
      <c r="UKK368" s="287"/>
      <c r="UKL368" s="296"/>
      <c r="UKM368" s="266"/>
      <c r="UKN368" s="591"/>
      <c r="UKO368" s="326"/>
      <c r="UKP368" s="362"/>
      <c r="UKQ368" s="295"/>
      <c r="UKR368" s="656"/>
      <c r="UKS368" s="286"/>
      <c r="UKT368" s="287"/>
      <c r="UKU368" s="296"/>
      <c r="UKV368" s="266"/>
      <c r="UKW368" s="591"/>
      <c r="UKX368" s="326"/>
      <c r="UKY368" s="362"/>
      <c r="UKZ368" s="295"/>
      <c r="ULA368" s="656"/>
      <c r="ULB368" s="286"/>
      <c r="ULC368" s="287"/>
      <c r="ULD368" s="296"/>
      <c r="ULE368" s="266"/>
      <c r="ULF368" s="591"/>
      <c r="ULG368" s="326"/>
      <c r="ULH368" s="362"/>
      <c r="ULI368" s="295"/>
      <c r="ULJ368" s="656"/>
      <c r="ULK368" s="286"/>
      <c r="ULL368" s="287"/>
      <c r="ULM368" s="296"/>
      <c r="ULN368" s="266"/>
      <c r="ULO368" s="591"/>
      <c r="ULP368" s="326"/>
      <c r="ULQ368" s="362"/>
      <c r="ULR368" s="295"/>
      <c r="ULS368" s="656"/>
      <c r="ULT368" s="286"/>
      <c r="ULU368" s="287"/>
      <c r="ULV368" s="296"/>
      <c r="ULW368" s="266"/>
      <c r="ULX368" s="591"/>
      <c r="ULY368" s="326"/>
      <c r="ULZ368" s="362"/>
      <c r="UMA368" s="295"/>
      <c r="UMB368" s="656"/>
      <c r="UMC368" s="286"/>
      <c r="UMD368" s="287"/>
      <c r="UME368" s="296"/>
      <c r="UMF368" s="266"/>
      <c r="UMG368" s="591"/>
      <c r="UMH368" s="326"/>
      <c r="UMI368" s="362"/>
      <c r="UMJ368" s="295"/>
      <c r="UMK368" s="656"/>
      <c r="UML368" s="286"/>
      <c r="UMM368" s="287"/>
      <c r="UMN368" s="296"/>
      <c r="UMO368" s="266"/>
      <c r="UMP368" s="591"/>
      <c r="UMQ368" s="326"/>
      <c r="UMR368" s="362"/>
      <c r="UMS368" s="295"/>
      <c r="UMT368" s="656"/>
      <c r="UMU368" s="286"/>
      <c r="UMV368" s="287"/>
      <c r="UMW368" s="296"/>
      <c r="UMX368" s="266"/>
      <c r="UMY368" s="591"/>
      <c r="UMZ368" s="326"/>
      <c r="UNA368" s="362"/>
      <c r="UNB368" s="295"/>
      <c r="UNC368" s="656"/>
      <c r="UND368" s="286"/>
      <c r="UNE368" s="287"/>
      <c r="UNF368" s="296"/>
      <c r="UNG368" s="266"/>
      <c r="UNH368" s="591"/>
      <c r="UNI368" s="326"/>
      <c r="UNJ368" s="362"/>
      <c r="UNK368" s="295"/>
      <c r="UNL368" s="656"/>
      <c r="UNM368" s="286"/>
      <c r="UNN368" s="287"/>
      <c r="UNO368" s="296"/>
      <c r="UNP368" s="266"/>
      <c r="UNQ368" s="591"/>
      <c r="UNR368" s="326"/>
      <c r="UNS368" s="362"/>
      <c r="UNT368" s="295"/>
      <c r="UNU368" s="656"/>
      <c r="UNV368" s="286"/>
      <c r="UNW368" s="287"/>
      <c r="UNX368" s="296"/>
      <c r="UNY368" s="266"/>
      <c r="UNZ368" s="591"/>
      <c r="UOA368" s="326"/>
      <c r="UOB368" s="362"/>
      <c r="UOC368" s="295"/>
      <c r="UOD368" s="656"/>
      <c r="UOE368" s="286"/>
      <c r="UOF368" s="287"/>
      <c r="UOG368" s="296"/>
      <c r="UOH368" s="266"/>
      <c r="UOI368" s="591"/>
      <c r="UOJ368" s="326"/>
      <c r="UOK368" s="362"/>
      <c r="UOL368" s="295"/>
      <c r="UOM368" s="656"/>
      <c r="UON368" s="286"/>
      <c r="UOO368" s="287"/>
      <c r="UOP368" s="296"/>
      <c r="UOQ368" s="266"/>
      <c r="UOR368" s="591"/>
      <c r="UOS368" s="326"/>
      <c r="UOT368" s="362"/>
      <c r="UOU368" s="295"/>
      <c r="UOV368" s="656"/>
      <c r="UOW368" s="286"/>
      <c r="UOX368" s="287"/>
      <c r="UOY368" s="296"/>
      <c r="UOZ368" s="266"/>
      <c r="UPA368" s="591"/>
      <c r="UPB368" s="326"/>
      <c r="UPC368" s="362"/>
      <c r="UPD368" s="295"/>
      <c r="UPE368" s="656"/>
      <c r="UPF368" s="286"/>
      <c r="UPG368" s="287"/>
      <c r="UPH368" s="296"/>
      <c r="UPI368" s="266"/>
      <c r="UPJ368" s="591"/>
      <c r="UPK368" s="326"/>
      <c r="UPL368" s="362"/>
      <c r="UPM368" s="295"/>
      <c r="UPN368" s="656"/>
      <c r="UPO368" s="286"/>
      <c r="UPP368" s="287"/>
      <c r="UPQ368" s="296"/>
      <c r="UPR368" s="266"/>
      <c r="UPS368" s="591"/>
      <c r="UPT368" s="326"/>
      <c r="UPU368" s="362"/>
      <c r="UPV368" s="295"/>
      <c r="UPW368" s="656"/>
      <c r="UPX368" s="286"/>
      <c r="UPY368" s="287"/>
      <c r="UPZ368" s="296"/>
      <c r="UQA368" s="266"/>
      <c r="UQB368" s="591"/>
      <c r="UQC368" s="326"/>
      <c r="UQD368" s="362"/>
      <c r="UQE368" s="295"/>
      <c r="UQF368" s="656"/>
      <c r="UQG368" s="286"/>
      <c r="UQH368" s="287"/>
      <c r="UQI368" s="296"/>
      <c r="UQJ368" s="266"/>
      <c r="UQK368" s="591"/>
      <c r="UQL368" s="326"/>
      <c r="UQM368" s="362"/>
      <c r="UQN368" s="295"/>
      <c r="UQO368" s="656"/>
      <c r="UQP368" s="286"/>
      <c r="UQQ368" s="287"/>
      <c r="UQR368" s="296"/>
      <c r="UQS368" s="266"/>
      <c r="UQT368" s="591"/>
      <c r="UQU368" s="326"/>
      <c r="UQV368" s="362"/>
      <c r="UQW368" s="295"/>
      <c r="UQX368" s="656"/>
      <c r="UQY368" s="286"/>
      <c r="UQZ368" s="287"/>
      <c r="URA368" s="296"/>
      <c r="URB368" s="266"/>
      <c r="URC368" s="591"/>
      <c r="URD368" s="326"/>
      <c r="URE368" s="362"/>
      <c r="URF368" s="295"/>
      <c r="URG368" s="656"/>
      <c r="URH368" s="286"/>
      <c r="URI368" s="287"/>
      <c r="URJ368" s="296"/>
      <c r="URK368" s="266"/>
      <c r="URL368" s="591"/>
      <c r="URM368" s="326"/>
      <c r="URN368" s="362"/>
      <c r="URO368" s="295"/>
      <c r="URP368" s="656"/>
      <c r="URQ368" s="286"/>
      <c r="URR368" s="287"/>
      <c r="URS368" s="296"/>
      <c r="URT368" s="266"/>
      <c r="URU368" s="591"/>
      <c r="URV368" s="326"/>
      <c r="URW368" s="362"/>
      <c r="URX368" s="295"/>
      <c r="URY368" s="656"/>
      <c r="URZ368" s="286"/>
      <c r="USA368" s="287"/>
      <c r="USB368" s="296"/>
      <c r="USC368" s="266"/>
      <c r="USD368" s="591"/>
      <c r="USE368" s="326"/>
      <c r="USF368" s="362"/>
      <c r="USG368" s="295"/>
      <c r="USH368" s="656"/>
      <c r="USI368" s="286"/>
      <c r="USJ368" s="287"/>
      <c r="USK368" s="296"/>
      <c r="USL368" s="266"/>
      <c r="USM368" s="591"/>
      <c r="USN368" s="326"/>
      <c r="USO368" s="362"/>
      <c r="USP368" s="295"/>
      <c r="USQ368" s="656"/>
      <c r="USR368" s="286"/>
      <c r="USS368" s="287"/>
      <c r="UST368" s="296"/>
      <c r="USU368" s="266"/>
      <c r="USV368" s="591"/>
      <c r="USW368" s="326"/>
      <c r="USX368" s="362"/>
      <c r="USY368" s="295"/>
      <c r="USZ368" s="656"/>
      <c r="UTA368" s="286"/>
      <c r="UTB368" s="287"/>
      <c r="UTC368" s="296"/>
      <c r="UTD368" s="266"/>
      <c r="UTE368" s="591"/>
      <c r="UTF368" s="326"/>
      <c r="UTG368" s="362"/>
      <c r="UTH368" s="295"/>
      <c r="UTI368" s="656"/>
      <c r="UTJ368" s="286"/>
      <c r="UTK368" s="287"/>
      <c r="UTL368" s="296"/>
      <c r="UTM368" s="266"/>
      <c r="UTN368" s="591"/>
      <c r="UTO368" s="326"/>
      <c r="UTP368" s="362"/>
      <c r="UTQ368" s="295"/>
      <c r="UTR368" s="656"/>
      <c r="UTS368" s="286"/>
      <c r="UTT368" s="287"/>
      <c r="UTU368" s="296"/>
      <c r="UTV368" s="266"/>
      <c r="UTW368" s="591"/>
      <c r="UTX368" s="326"/>
      <c r="UTY368" s="362"/>
      <c r="UTZ368" s="295"/>
      <c r="UUA368" s="656"/>
      <c r="UUB368" s="286"/>
      <c r="UUC368" s="287"/>
      <c r="UUD368" s="296"/>
      <c r="UUE368" s="266"/>
      <c r="UUF368" s="591"/>
      <c r="UUG368" s="326"/>
      <c r="UUH368" s="362"/>
      <c r="UUI368" s="295"/>
      <c r="UUJ368" s="656"/>
      <c r="UUK368" s="286"/>
      <c r="UUL368" s="287"/>
      <c r="UUM368" s="296"/>
      <c r="UUN368" s="266"/>
      <c r="UUO368" s="591"/>
      <c r="UUP368" s="326"/>
      <c r="UUQ368" s="362"/>
      <c r="UUR368" s="295"/>
      <c r="UUS368" s="656"/>
      <c r="UUT368" s="286"/>
      <c r="UUU368" s="287"/>
      <c r="UUV368" s="296"/>
      <c r="UUW368" s="266"/>
      <c r="UUX368" s="591"/>
      <c r="UUY368" s="326"/>
      <c r="UUZ368" s="362"/>
      <c r="UVA368" s="295"/>
      <c r="UVB368" s="656"/>
      <c r="UVC368" s="286"/>
      <c r="UVD368" s="287"/>
      <c r="UVE368" s="296"/>
      <c r="UVF368" s="266"/>
      <c r="UVG368" s="591"/>
      <c r="UVH368" s="326"/>
      <c r="UVI368" s="362"/>
      <c r="UVJ368" s="295"/>
      <c r="UVK368" s="656"/>
      <c r="UVL368" s="286"/>
      <c r="UVM368" s="287"/>
      <c r="UVN368" s="296"/>
      <c r="UVO368" s="266"/>
      <c r="UVP368" s="591"/>
      <c r="UVQ368" s="326"/>
      <c r="UVR368" s="362"/>
      <c r="UVS368" s="295"/>
      <c r="UVT368" s="656"/>
      <c r="UVU368" s="286"/>
      <c r="UVV368" s="287"/>
      <c r="UVW368" s="296"/>
      <c r="UVX368" s="266"/>
      <c r="UVY368" s="591"/>
      <c r="UVZ368" s="326"/>
      <c r="UWA368" s="362"/>
      <c r="UWB368" s="295"/>
      <c r="UWC368" s="656"/>
      <c r="UWD368" s="286"/>
      <c r="UWE368" s="287"/>
      <c r="UWF368" s="296"/>
      <c r="UWG368" s="266"/>
      <c r="UWH368" s="591"/>
      <c r="UWI368" s="326"/>
      <c r="UWJ368" s="362"/>
      <c r="UWK368" s="295"/>
      <c r="UWL368" s="656"/>
      <c r="UWM368" s="286"/>
      <c r="UWN368" s="287"/>
      <c r="UWO368" s="296"/>
      <c r="UWP368" s="266"/>
      <c r="UWQ368" s="591"/>
      <c r="UWR368" s="326"/>
      <c r="UWS368" s="362"/>
      <c r="UWT368" s="295"/>
      <c r="UWU368" s="656"/>
      <c r="UWV368" s="286"/>
      <c r="UWW368" s="287"/>
      <c r="UWX368" s="296"/>
      <c r="UWY368" s="266"/>
      <c r="UWZ368" s="591"/>
      <c r="UXA368" s="326"/>
      <c r="UXB368" s="362"/>
      <c r="UXC368" s="295"/>
      <c r="UXD368" s="656"/>
      <c r="UXE368" s="286"/>
      <c r="UXF368" s="287"/>
      <c r="UXG368" s="296"/>
      <c r="UXH368" s="266"/>
      <c r="UXI368" s="591"/>
      <c r="UXJ368" s="326"/>
      <c r="UXK368" s="362"/>
      <c r="UXL368" s="295"/>
      <c r="UXM368" s="656"/>
      <c r="UXN368" s="286"/>
      <c r="UXO368" s="287"/>
      <c r="UXP368" s="296"/>
      <c r="UXQ368" s="266"/>
      <c r="UXR368" s="591"/>
      <c r="UXS368" s="326"/>
      <c r="UXT368" s="362"/>
      <c r="UXU368" s="295"/>
      <c r="UXV368" s="656"/>
      <c r="UXW368" s="286"/>
      <c r="UXX368" s="287"/>
      <c r="UXY368" s="296"/>
      <c r="UXZ368" s="266"/>
      <c r="UYA368" s="591"/>
      <c r="UYB368" s="326"/>
      <c r="UYC368" s="362"/>
      <c r="UYD368" s="295"/>
      <c r="UYE368" s="656"/>
      <c r="UYF368" s="286"/>
      <c r="UYG368" s="287"/>
      <c r="UYH368" s="296"/>
      <c r="UYI368" s="266"/>
      <c r="UYJ368" s="591"/>
      <c r="UYK368" s="326"/>
      <c r="UYL368" s="362"/>
      <c r="UYM368" s="295"/>
      <c r="UYN368" s="656"/>
      <c r="UYO368" s="286"/>
      <c r="UYP368" s="287"/>
      <c r="UYQ368" s="296"/>
      <c r="UYR368" s="266"/>
      <c r="UYS368" s="591"/>
      <c r="UYT368" s="326"/>
      <c r="UYU368" s="362"/>
      <c r="UYV368" s="295"/>
      <c r="UYW368" s="656"/>
      <c r="UYX368" s="286"/>
      <c r="UYY368" s="287"/>
      <c r="UYZ368" s="296"/>
      <c r="UZA368" s="266"/>
      <c r="UZB368" s="591"/>
      <c r="UZC368" s="326"/>
      <c r="UZD368" s="362"/>
      <c r="UZE368" s="295"/>
      <c r="UZF368" s="656"/>
      <c r="UZG368" s="286"/>
      <c r="UZH368" s="287"/>
      <c r="UZI368" s="296"/>
      <c r="UZJ368" s="266"/>
      <c r="UZK368" s="591"/>
      <c r="UZL368" s="326"/>
      <c r="UZM368" s="362"/>
      <c r="UZN368" s="295"/>
      <c r="UZO368" s="656"/>
      <c r="UZP368" s="286"/>
      <c r="UZQ368" s="287"/>
      <c r="UZR368" s="296"/>
      <c r="UZS368" s="266"/>
      <c r="UZT368" s="591"/>
      <c r="UZU368" s="326"/>
      <c r="UZV368" s="362"/>
      <c r="UZW368" s="295"/>
      <c r="UZX368" s="656"/>
      <c r="UZY368" s="286"/>
      <c r="UZZ368" s="287"/>
      <c r="VAA368" s="296"/>
      <c r="VAB368" s="266"/>
      <c r="VAC368" s="591"/>
      <c r="VAD368" s="326"/>
      <c r="VAE368" s="362"/>
      <c r="VAF368" s="295"/>
      <c r="VAG368" s="656"/>
      <c r="VAH368" s="286"/>
      <c r="VAI368" s="287"/>
      <c r="VAJ368" s="296"/>
      <c r="VAK368" s="266"/>
      <c r="VAL368" s="591"/>
      <c r="VAM368" s="326"/>
      <c r="VAN368" s="362"/>
      <c r="VAO368" s="295"/>
      <c r="VAP368" s="656"/>
      <c r="VAQ368" s="286"/>
      <c r="VAR368" s="287"/>
      <c r="VAS368" s="296"/>
      <c r="VAT368" s="266"/>
      <c r="VAU368" s="591"/>
      <c r="VAV368" s="326"/>
      <c r="VAW368" s="362"/>
      <c r="VAX368" s="295"/>
      <c r="VAY368" s="656"/>
      <c r="VAZ368" s="286"/>
      <c r="VBA368" s="287"/>
      <c r="VBB368" s="296"/>
      <c r="VBC368" s="266"/>
      <c r="VBD368" s="591"/>
      <c r="VBE368" s="326"/>
      <c r="VBF368" s="362"/>
      <c r="VBG368" s="295"/>
      <c r="VBH368" s="656"/>
      <c r="VBI368" s="286"/>
      <c r="VBJ368" s="287"/>
      <c r="VBK368" s="296"/>
      <c r="VBL368" s="266"/>
      <c r="VBM368" s="591"/>
      <c r="VBN368" s="326"/>
      <c r="VBO368" s="362"/>
      <c r="VBP368" s="295"/>
      <c r="VBQ368" s="656"/>
      <c r="VBR368" s="286"/>
      <c r="VBS368" s="287"/>
      <c r="VBT368" s="296"/>
      <c r="VBU368" s="266"/>
      <c r="VBV368" s="591"/>
      <c r="VBW368" s="326"/>
      <c r="VBX368" s="362"/>
      <c r="VBY368" s="295"/>
      <c r="VBZ368" s="656"/>
      <c r="VCA368" s="286"/>
      <c r="VCB368" s="287"/>
      <c r="VCC368" s="296"/>
      <c r="VCD368" s="266"/>
      <c r="VCE368" s="591"/>
      <c r="VCF368" s="326"/>
      <c r="VCG368" s="362"/>
      <c r="VCH368" s="295"/>
      <c r="VCI368" s="656"/>
      <c r="VCJ368" s="286"/>
      <c r="VCK368" s="287"/>
      <c r="VCL368" s="296"/>
      <c r="VCM368" s="266"/>
      <c r="VCN368" s="591"/>
      <c r="VCO368" s="326"/>
      <c r="VCP368" s="362"/>
      <c r="VCQ368" s="295"/>
      <c r="VCR368" s="656"/>
      <c r="VCS368" s="286"/>
      <c r="VCT368" s="287"/>
      <c r="VCU368" s="296"/>
      <c r="VCV368" s="266"/>
      <c r="VCW368" s="591"/>
      <c r="VCX368" s="326"/>
      <c r="VCY368" s="362"/>
      <c r="VCZ368" s="295"/>
      <c r="VDA368" s="656"/>
      <c r="VDB368" s="286"/>
      <c r="VDC368" s="287"/>
      <c r="VDD368" s="296"/>
      <c r="VDE368" s="266"/>
      <c r="VDF368" s="591"/>
      <c r="VDG368" s="326"/>
      <c r="VDH368" s="362"/>
      <c r="VDI368" s="295"/>
      <c r="VDJ368" s="656"/>
      <c r="VDK368" s="286"/>
      <c r="VDL368" s="287"/>
      <c r="VDM368" s="296"/>
      <c r="VDN368" s="266"/>
      <c r="VDO368" s="591"/>
      <c r="VDP368" s="326"/>
      <c r="VDQ368" s="362"/>
      <c r="VDR368" s="295"/>
      <c r="VDS368" s="656"/>
      <c r="VDT368" s="286"/>
      <c r="VDU368" s="287"/>
      <c r="VDV368" s="296"/>
      <c r="VDW368" s="266"/>
      <c r="VDX368" s="591"/>
      <c r="VDY368" s="326"/>
      <c r="VDZ368" s="362"/>
      <c r="VEA368" s="295"/>
      <c r="VEB368" s="656"/>
      <c r="VEC368" s="286"/>
      <c r="VED368" s="287"/>
      <c r="VEE368" s="296"/>
      <c r="VEF368" s="266"/>
      <c r="VEG368" s="591"/>
      <c r="VEH368" s="326"/>
      <c r="VEI368" s="362"/>
      <c r="VEJ368" s="295"/>
      <c r="VEK368" s="656"/>
      <c r="VEL368" s="286"/>
      <c r="VEM368" s="287"/>
      <c r="VEN368" s="296"/>
      <c r="VEO368" s="266"/>
      <c r="VEP368" s="591"/>
      <c r="VEQ368" s="326"/>
      <c r="VER368" s="362"/>
      <c r="VES368" s="295"/>
      <c r="VET368" s="656"/>
      <c r="VEU368" s="286"/>
      <c r="VEV368" s="287"/>
      <c r="VEW368" s="296"/>
      <c r="VEX368" s="266"/>
      <c r="VEY368" s="591"/>
      <c r="VEZ368" s="326"/>
      <c r="VFA368" s="362"/>
      <c r="VFB368" s="295"/>
      <c r="VFC368" s="656"/>
      <c r="VFD368" s="286"/>
      <c r="VFE368" s="287"/>
      <c r="VFF368" s="296"/>
      <c r="VFG368" s="266"/>
      <c r="VFH368" s="591"/>
      <c r="VFI368" s="326"/>
      <c r="VFJ368" s="362"/>
      <c r="VFK368" s="295"/>
      <c r="VFL368" s="656"/>
      <c r="VFM368" s="286"/>
      <c r="VFN368" s="287"/>
      <c r="VFO368" s="296"/>
      <c r="VFP368" s="266"/>
      <c r="VFQ368" s="591"/>
      <c r="VFR368" s="326"/>
      <c r="VFS368" s="362"/>
      <c r="VFT368" s="295"/>
      <c r="VFU368" s="656"/>
      <c r="VFV368" s="286"/>
      <c r="VFW368" s="287"/>
      <c r="VFX368" s="296"/>
      <c r="VFY368" s="266"/>
      <c r="VFZ368" s="591"/>
      <c r="VGA368" s="326"/>
      <c r="VGB368" s="362"/>
      <c r="VGC368" s="295"/>
      <c r="VGD368" s="656"/>
      <c r="VGE368" s="286"/>
      <c r="VGF368" s="287"/>
      <c r="VGG368" s="296"/>
      <c r="VGH368" s="266"/>
      <c r="VGI368" s="591"/>
      <c r="VGJ368" s="326"/>
      <c r="VGK368" s="362"/>
      <c r="VGL368" s="295"/>
      <c r="VGM368" s="656"/>
      <c r="VGN368" s="286"/>
      <c r="VGO368" s="287"/>
      <c r="VGP368" s="296"/>
      <c r="VGQ368" s="266"/>
      <c r="VGR368" s="591"/>
      <c r="VGS368" s="326"/>
      <c r="VGT368" s="362"/>
      <c r="VGU368" s="295"/>
      <c r="VGV368" s="656"/>
      <c r="VGW368" s="286"/>
      <c r="VGX368" s="287"/>
      <c r="VGY368" s="296"/>
      <c r="VGZ368" s="266"/>
      <c r="VHA368" s="591"/>
      <c r="VHB368" s="326"/>
      <c r="VHC368" s="362"/>
      <c r="VHD368" s="295"/>
      <c r="VHE368" s="656"/>
      <c r="VHF368" s="286"/>
      <c r="VHG368" s="287"/>
      <c r="VHH368" s="296"/>
      <c r="VHI368" s="266"/>
      <c r="VHJ368" s="591"/>
      <c r="VHK368" s="326"/>
      <c r="VHL368" s="362"/>
      <c r="VHM368" s="295"/>
      <c r="VHN368" s="656"/>
      <c r="VHO368" s="286"/>
      <c r="VHP368" s="287"/>
      <c r="VHQ368" s="296"/>
      <c r="VHR368" s="266"/>
      <c r="VHS368" s="591"/>
      <c r="VHT368" s="326"/>
      <c r="VHU368" s="362"/>
      <c r="VHV368" s="295"/>
      <c r="VHW368" s="656"/>
      <c r="VHX368" s="286"/>
      <c r="VHY368" s="287"/>
      <c r="VHZ368" s="296"/>
      <c r="VIA368" s="266"/>
      <c r="VIB368" s="591"/>
      <c r="VIC368" s="326"/>
      <c r="VID368" s="362"/>
      <c r="VIE368" s="295"/>
      <c r="VIF368" s="656"/>
      <c r="VIG368" s="286"/>
      <c r="VIH368" s="287"/>
      <c r="VII368" s="296"/>
      <c r="VIJ368" s="266"/>
      <c r="VIK368" s="591"/>
      <c r="VIL368" s="326"/>
      <c r="VIM368" s="362"/>
      <c r="VIN368" s="295"/>
      <c r="VIO368" s="656"/>
      <c r="VIP368" s="286"/>
      <c r="VIQ368" s="287"/>
      <c r="VIR368" s="296"/>
      <c r="VIS368" s="266"/>
      <c r="VIT368" s="591"/>
      <c r="VIU368" s="326"/>
      <c r="VIV368" s="362"/>
      <c r="VIW368" s="295"/>
      <c r="VIX368" s="656"/>
      <c r="VIY368" s="286"/>
      <c r="VIZ368" s="287"/>
      <c r="VJA368" s="296"/>
      <c r="VJB368" s="266"/>
      <c r="VJC368" s="591"/>
      <c r="VJD368" s="326"/>
      <c r="VJE368" s="362"/>
      <c r="VJF368" s="295"/>
      <c r="VJG368" s="656"/>
      <c r="VJH368" s="286"/>
      <c r="VJI368" s="287"/>
      <c r="VJJ368" s="296"/>
      <c r="VJK368" s="266"/>
      <c r="VJL368" s="591"/>
      <c r="VJM368" s="326"/>
      <c r="VJN368" s="362"/>
      <c r="VJO368" s="295"/>
      <c r="VJP368" s="656"/>
      <c r="VJQ368" s="286"/>
      <c r="VJR368" s="287"/>
      <c r="VJS368" s="296"/>
      <c r="VJT368" s="266"/>
      <c r="VJU368" s="591"/>
      <c r="VJV368" s="326"/>
      <c r="VJW368" s="362"/>
      <c r="VJX368" s="295"/>
      <c r="VJY368" s="656"/>
      <c r="VJZ368" s="286"/>
      <c r="VKA368" s="287"/>
      <c r="VKB368" s="296"/>
      <c r="VKC368" s="266"/>
      <c r="VKD368" s="591"/>
      <c r="VKE368" s="326"/>
      <c r="VKF368" s="362"/>
      <c r="VKG368" s="295"/>
      <c r="VKH368" s="656"/>
      <c r="VKI368" s="286"/>
      <c r="VKJ368" s="287"/>
      <c r="VKK368" s="296"/>
      <c r="VKL368" s="266"/>
      <c r="VKM368" s="591"/>
      <c r="VKN368" s="326"/>
      <c r="VKO368" s="362"/>
      <c r="VKP368" s="295"/>
      <c r="VKQ368" s="656"/>
      <c r="VKR368" s="286"/>
      <c r="VKS368" s="287"/>
      <c r="VKT368" s="296"/>
      <c r="VKU368" s="266"/>
      <c r="VKV368" s="591"/>
      <c r="VKW368" s="326"/>
      <c r="VKX368" s="362"/>
      <c r="VKY368" s="295"/>
      <c r="VKZ368" s="656"/>
      <c r="VLA368" s="286"/>
      <c r="VLB368" s="287"/>
      <c r="VLC368" s="296"/>
      <c r="VLD368" s="266"/>
      <c r="VLE368" s="591"/>
      <c r="VLF368" s="326"/>
      <c r="VLG368" s="362"/>
      <c r="VLH368" s="295"/>
      <c r="VLI368" s="656"/>
      <c r="VLJ368" s="286"/>
      <c r="VLK368" s="287"/>
      <c r="VLL368" s="296"/>
      <c r="VLM368" s="266"/>
      <c r="VLN368" s="591"/>
      <c r="VLO368" s="326"/>
      <c r="VLP368" s="362"/>
      <c r="VLQ368" s="295"/>
      <c r="VLR368" s="656"/>
      <c r="VLS368" s="286"/>
      <c r="VLT368" s="287"/>
      <c r="VLU368" s="296"/>
      <c r="VLV368" s="266"/>
      <c r="VLW368" s="591"/>
      <c r="VLX368" s="326"/>
      <c r="VLY368" s="362"/>
      <c r="VLZ368" s="295"/>
      <c r="VMA368" s="656"/>
      <c r="VMB368" s="286"/>
      <c r="VMC368" s="287"/>
      <c r="VMD368" s="296"/>
      <c r="VME368" s="266"/>
      <c r="VMF368" s="591"/>
      <c r="VMG368" s="326"/>
      <c r="VMH368" s="362"/>
      <c r="VMI368" s="295"/>
      <c r="VMJ368" s="656"/>
      <c r="VMK368" s="286"/>
      <c r="VML368" s="287"/>
      <c r="VMM368" s="296"/>
      <c r="VMN368" s="266"/>
      <c r="VMO368" s="591"/>
      <c r="VMP368" s="326"/>
      <c r="VMQ368" s="362"/>
      <c r="VMR368" s="295"/>
      <c r="VMS368" s="656"/>
      <c r="VMT368" s="286"/>
      <c r="VMU368" s="287"/>
      <c r="VMV368" s="296"/>
      <c r="VMW368" s="266"/>
      <c r="VMX368" s="591"/>
      <c r="VMY368" s="326"/>
      <c r="VMZ368" s="362"/>
      <c r="VNA368" s="295"/>
      <c r="VNB368" s="656"/>
      <c r="VNC368" s="286"/>
      <c r="VND368" s="287"/>
      <c r="VNE368" s="296"/>
      <c r="VNF368" s="266"/>
      <c r="VNG368" s="591"/>
      <c r="VNH368" s="326"/>
      <c r="VNI368" s="362"/>
      <c r="VNJ368" s="295"/>
      <c r="VNK368" s="656"/>
      <c r="VNL368" s="286"/>
      <c r="VNM368" s="287"/>
      <c r="VNN368" s="296"/>
      <c r="VNO368" s="266"/>
      <c r="VNP368" s="591"/>
      <c r="VNQ368" s="326"/>
      <c r="VNR368" s="362"/>
      <c r="VNS368" s="295"/>
      <c r="VNT368" s="656"/>
      <c r="VNU368" s="286"/>
      <c r="VNV368" s="287"/>
      <c r="VNW368" s="296"/>
      <c r="VNX368" s="266"/>
      <c r="VNY368" s="591"/>
      <c r="VNZ368" s="326"/>
      <c r="VOA368" s="362"/>
      <c r="VOB368" s="295"/>
      <c r="VOC368" s="656"/>
      <c r="VOD368" s="286"/>
      <c r="VOE368" s="287"/>
      <c r="VOF368" s="296"/>
      <c r="VOG368" s="266"/>
      <c r="VOH368" s="591"/>
      <c r="VOI368" s="326"/>
      <c r="VOJ368" s="362"/>
      <c r="VOK368" s="295"/>
      <c r="VOL368" s="656"/>
      <c r="VOM368" s="286"/>
      <c r="VON368" s="287"/>
      <c r="VOO368" s="296"/>
      <c r="VOP368" s="266"/>
      <c r="VOQ368" s="591"/>
      <c r="VOR368" s="326"/>
      <c r="VOS368" s="362"/>
      <c r="VOT368" s="295"/>
      <c r="VOU368" s="656"/>
      <c r="VOV368" s="286"/>
      <c r="VOW368" s="287"/>
      <c r="VOX368" s="296"/>
      <c r="VOY368" s="266"/>
      <c r="VOZ368" s="591"/>
      <c r="VPA368" s="326"/>
      <c r="VPB368" s="362"/>
      <c r="VPC368" s="295"/>
      <c r="VPD368" s="656"/>
      <c r="VPE368" s="286"/>
      <c r="VPF368" s="287"/>
      <c r="VPG368" s="296"/>
      <c r="VPH368" s="266"/>
      <c r="VPI368" s="591"/>
      <c r="VPJ368" s="326"/>
      <c r="VPK368" s="362"/>
      <c r="VPL368" s="295"/>
      <c r="VPM368" s="656"/>
      <c r="VPN368" s="286"/>
      <c r="VPO368" s="287"/>
      <c r="VPP368" s="296"/>
      <c r="VPQ368" s="266"/>
      <c r="VPR368" s="591"/>
      <c r="VPS368" s="326"/>
      <c r="VPT368" s="362"/>
      <c r="VPU368" s="295"/>
      <c r="VPV368" s="656"/>
      <c r="VPW368" s="286"/>
      <c r="VPX368" s="287"/>
      <c r="VPY368" s="296"/>
      <c r="VPZ368" s="266"/>
      <c r="VQA368" s="591"/>
      <c r="VQB368" s="326"/>
      <c r="VQC368" s="362"/>
      <c r="VQD368" s="295"/>
      <c r="VQE368" s="656"/>
      <c r="VQF368" s="286"/>
      <c r="VQG368" s="287"/>
      <c r="VQH368" s="296"/>
      <c r="VQI368" s="266"/>
      <c r="VQJ368" s="591"/>
      <c r="VQK368" s="326"/>
      <c r="VQL368" s="362"/>
      <c r="VQM368" s="295"/>
      <c r="VQN368" s="656"/>
      <c r="VQO368" s="286"/>
      <c r="VQP368" s="287"/>
      <c r="VQQ368" s="296"/>
      <c r="VQR368" s="266"/>
      <c r="VQS368" s="591"/>
      <c r="VQT368" s="326"/>
      <c r="VQU368" s="362"/>
      <c r="VQV368" s="295"/>
      <c r="VQW368" s="656"/>
      <c r="VQX368" s="286"/>
      <c r="VQY368" s="287"/>
      <c r="VQZ368" s="296"/>
      <c r="VRA368" s="266"/>
      <c r="VRB368" s="591"/>
      <c r="VRC368" s="326"/>
      <c r="VRD368" s="362"/>
      <c r="VRE368" s="295"/>
      <c r="VRF368" s="656"/>
      <c r="VRG368" s="286"/>
      <c r="VRH368" s="287"/>
      <c r="VRI368" s="296"/>
      <c r="VRJ368" s="266"/>
      <c r="VRK368" s="591"/>
      <c r="VRL368" s="326"/>
      <c r="VRM368" s="362"/>
      <c r="VRN368" s="295"/>
      <c r="VRO368" s="656"/>
      <c r="VRP368" s="286"/>
      <c r="VRQ368" s="287"/>
      <c r="VRR368" s="296"/>
      <c r="VRS368" s="266"/>
      <c r="VRT368" s="591"/>
      <c r="VRU368" s="326"/>
      <c r="VRV368" s="362"/>
      <c r="VRW368" s="295"/>
      <c r="VRX368" s="656"/>
      <c r="VRY368" s="286"/>
      <c r="VRZ368" s="287"/>
      <c r="VSA368" s="296"/>
      <c r="VSB368" s="266"/>
      <c r="VSC368" s="591"/>
      <c r="VSD368" s="326"/>
      <c r="VSE368" s="362"/>
      <c r="VSF368" s="295"/>
      <c r="VSG368" s="656"/>
      <c r="VSH368" s="286"/>
      <c r="VSI368" s="287"/>
      <c r="VSJ368" s="296"/>
      <c r="VSK368" s="266"/>
      <c r="VSL368" s="591"/>
      <c r="VSM368" s="326"/>
      <c r="VSN368" s="362"/>
      <c r="VSO368" s="295"/>
      <c r="VSP368" s="656"/>
      <c r="VSQ368" s="286"/>
      <c r="VSR368" s="287"/>
      <c r="VSS368" s="296"/>
      <c r="VST368" s="266"/>
      <c r="VSU368" s="591"/>
      <c r="VSV368" s="326"/>
      <c r="VSW368" s="362"/>
      <c r="VSX368" s="295"/>
      <c r="VSY368" s="656"/>
      <c r="VSZ368" s="286"/>
      <c r="VTA368" s="287"/>
      <c r="VTB368" s="296"/>
      <c r="VTC368" s="266"/>
      <c r="VTD368" s="591"/>
      <c r="VTE368" s="326"/>
      <c r="VTF368" s="362"/>
      <c r="VTG368" s="295"/>
      <c r="VTH368" s="656"/>
      <c r="VTI368" s="286"/>
      <c r="VTJ368" s="287"/>
      <c r="VTK368" s="296"/>
      <c r="VTL368" s="266"/>
      <c r="VTM368" s="591"/>
      <c r="VTN368" s="326"/>
      <c r="VTO368" s="362"/>
      <c r="VTP368" s="295"/>
      <c r="VTQ368" s="656"/>
      <c r="VTR368" s="286"/>
      <c r="VTS368" s="287"/>
      <c r="VTT368" s="296"/>
      <c r="VTU368" s="266"/>
      <c r="VTV368" s="591"/>
      <c r="VTW368" s="326"/>
      <c r="VTX368" s="362"/>
      <c r="VTY368" s="295"/>
      <c r="VTZ368" s="656"/>
      <c r="VUA368" s="286"/>
      <c r="VUB368" s="287"/>
      <c r="VUC368" s="296"/>
      <c r="VUD368" s="266"/>
      <c r="VUE368" s="591"/>
      <c r="VUF368" s="326"/>
      <c r="VUG368" s="362"/>
      <c r="VUH368" s="295"/>
      <c r="VUI368" s="656"/>
      <c r="VUJ368" s="286"/>
      <c r="VUK368" s="287"/>
      <c r="VUL368" s="296"/>
      <c r="VUM368" s="266"/>
      <c r="VUN368" s="591"/>
      <c r="VUO368" s="326"/>
      <c r="VUP368" s="362"/>
      <c r="VUQ368" s="295"/>
      <c r="VUR368" s="656"/>
      <c r="VUS368" s="286"/>
      <c r="VUT368" s="287"/>
      <c r="VUU368" s="296"/>
      <c r="VUV368" s="266"/>
      <c r="VUW368" s="591"/>
      <c r="VUX368" s="326"/>
      <c r="VUY368" s="362"/>
      <c r="VUZ368" s="295"/>
      <c r="VVA368" s="656"/>
      <c r="VVB368" s="286"/>
      <c r="VVC368" s="287"/>
      <c r="VVD368" s="296"/>
      <c r="VVE368" s="266"/>
      <c r="VVF368" s="591"/>
      <c r="VVG368" s="326"/>
      <c r="VVH368" s="362"/>
      <c r="VVI368" s="295"/>
      <c r="VVJ368" s="656"/>
      <c r="VVK368" s="286"/>
      <c r="VVL368" s="287"/>
      <c r="VVM368" s="296"/>
      <c r="VVN368" s="266"/>
      <c r="VVO368" s="591"/>
      <c r="VVP368" s="326"/>
      <c r="VVQ368" s="362"/>
      <c r="VVR368" s="295"/>
      <c r="VVS368" s="656"/>
      <c r="VVT368" s="286"/>
      <c r="VVU368" s="287"/>
      <c r="VVV368" s="296"/>
      <c r="VVW368" s="266"/>
      <c r="VVX368" s="591"/>
      <c r="VVY368" s="326"/>
      <c r="VVZ368" s="362"/>
      <c r="VWA368" s="295"/>
      <c r="VWB368" s="656"/>
      <c r="VWC368" s="286"/>
      <c r="VWD368" s="287"/>
      <c r="VWE368" s="296"/>
      <c r="VWF368" s="266"/>
      <c r="VWG368" s="591"/>
      <c r="VWH368" s="326"/>
      <c r="VWI368" s="362"/>
      <c r="VWJ368" s="295"/>
      <c r="VWK368" s="656"/>
      <c r="VWL368" s="286"/>
      <c r="VWM368" s="287"/>
      <c r="VWN368" s="296"/>
      <c r="VWO368" s="266"/>
      <c r="VWP368" s="591"/>
      <c r="VWQ368" s="326"/>
      <c r="VWR368" s="362"/>
      <c r="VWS368" s="295"/>
      <c r="VWT368" s="656"/>
      <c r="VWU368" s="286"/>
      <c r="VWV368" s="287"/>
      <c r="VWW368" s="296"/>
      <c r="VWX368" s="266"/>
      <c r="VWY368" s="591"/>
      <c r="VWZ368" s="326"/>
      <c r="VXA368" s="362"/>
      <c r="VXB368" s="295"/>
      <c r="VXC368" s="656"/>
      <c r="VXD368" s="286"/>
      <c r="VXE368" s="287"/>
      <c r="VXF368" s="296"/>
      <c r="VXG368" s="266"/>
      <c r="VXH368" s="591"/>
      <c r="VXI368" s="326"/>
      <c r="VXJ368" s="362"/>
      <c r="VXK368" s="295"/>
      <c r="VXL368" s="656"/>
      <c r="VXM368" s="286"/>
      <c r="VXN368" s="287"/>
      <c r="VXO368" s="296"/>
      <c r="VXP368" s="266"/>
      <c r="VXQ368" s="591"/>
      <c r="VXR368" s="326"/>
      <c r="VXS368" s="362"/>
      <c r="VXT368" s="295"/>
      <c r="VXU368" s="656"/>
      <c r="VXV368" s="286"/>
      <c r="VXW368" s="287"/>
      <c r="VXX368" s="296"/>
      <c r="VXY368" s="266"/>
      <c r="VXZ368" s="591"/>
      <c r="VYA368" s="326"/>
      <c r="VYB368" s="362"/>
      <c r="VYC368" s="295"/>
      <c r="VYD368" s="656"/>
      <c r="VYE368" s="286"/>
      <c r="VYF368" s="287"/>
      <c r="VYG368" s="296"/>
      <c r="VYH368" s="266"/>
      <c r="VYI368" s="591"/>
      <c r="VYJ368" s="326"/>
      <c r="VYK368" s="362"/>
      <c r="VYL368" s="295"/>
      <c r="VYM368" s="656"/>
      <c r="VYN368" s="286"/>
      <c r="VYO368" s="287"/>
      <c r="VYP368" s="296"/>
      <c r="VYQ368" s="266"/>
      <c r="VYR368" s="591"/>
      <c r="VYS368" s="326"/>
      <c r="VYT368" s="362"/>
      <c r="VYU368" s="295"/>
      <c r="VYV368" s="656"/>
      <c r="VYW368" s="286"/>
      <c r="VYX368" s="287"/>
      <c r="VYY368" s="296"/>
      <c r="VYZ368" s="266"/>
      <c r="VZA368" s="591"/>
      <c r="VZB368" s="326"/>
      <c r="VZC368" s="362"/>
      <c r="VZD368" s="295"/>
      <c r="VZE368" s="656"/>
      <c r="VZF368" s="286"/>
      <c r="VZG368" s="287"/>
      <c r="VZH368" s="296"/>
      <c r="VZI368" s="266"/>
      <c r="VZJ368" s="591"/>
      <c r="VZK368" s="326"/>
      <c r="VZL368" s="362"/>
      <c r="VZM368" s="295"/>
      <c r="VZN368" s="656"/>
      <c r="VZO368" s="286"/>
      <c r="VZP368" s="287"/>
      <c r="VZQ368" s="296"/>
      <c r="VZR368" s="266"/>
      <c r="VZS368" s="591"/>
      <c r="VZT368" s="326"/>
      <c r="VZU368" s="362"/>
      <c r="VZV368" s="295"/>
      <c r="VZW368" s="656"/>
      <c r="VZX368" s="286"/>
      <c r="VZY368" s="287"/>
      <c r="VZZ368" s="296"/>
      <c r="WAA368" s="266"/>
      <c r="WAB368" s="591"/>
      <c r="WAC368" s="326"/>
      <c r="WAD368" s="362"/>
      <c r="WAE368" s="295"/>
      <c r="WAF368" s="656"/>
      <c r="WAG368" s="286"/>
      <c r="WAH368" s="287"/>
      <c r="WAI368" s="296"/>
      <c r="WAJ368" s="266"/>
      <c r="WAK368" s="591"/>
      <c r="WAL368" s="326"/>
      <c r="WAM368" s="362"/>
      <c r="WAN368" s="295"/>
      <c r="WAO368" s="656"/>
      <c r="WAP368" s="286"/>
      <c r="WAQ368" s="287"/>
      <c r="WAR368" s="296"/>
      <c r="WAS368" s="266"/>
      <c r="WAT368" s="591"/>
      <c r="WAU368" s="326"/>
      <c r="WAV368" s="362"/>
      <c r="WAW368" s="295"/>
      <c r="WAX368" s="656"/>
      <c r="WAY368" s="286"/>
      <c r="WAZ368" s="287"/>
      <c r="WBA368" s="296"/>
      <c r="WBB368" s="266"/>
      <c r="WBC368" s="591"/>
      <c r="WBD368" s="326"/>
      <c r="WBE368" s="362"/>
      <c r="WBF368" s="295"/>
      <c r="WBG368" s="656"/>
      <c r="WBH368" s="286"/>
      <c r="WBI368" s="287"/>
      <c r="WBJ368" s="296"/>
      <c r="WBK368" s="266"/>
      <c r="WBL368" s="591"/>
      <c r="WBM368" s="326"/>
      <c r="WBN368" s="362"/>
      <c r="WBO368" s="295"/>
      <c r="WBP368" s="656"/>
      <c r="WBQ368" s="286"/>
      <c r="WBR368" s="287"/>
      <c r="WBS368" s="296"/>
      <c r="WBT368" s="266"/>
      <c r="WBU368" s="591"/>
      <c r="WBV368" s="326"/>
      <c r="WBW368" s="362"/>
      <c r="WBX368" s="295"/>
      <c r="WBY368" s="656"/>
      <c r="WBZ368" s="286"/>
      <c r="WCA368" s="287"/>
      <c r="WCB368" s="296"/>
      <c r="WCC368" s="266"/>
      <c r="WCD368" s="591"/>
      <c r="WCE368" s="326"/>
      <c r="WCF368" s="362"/>
      <c r="WCG368" s="295"/>
      <c r="WCH368" s="656"/>
      <c r="WCI368" s="286"/>
      <c r="WCJ368" s="287"/>
      <c r="WCK368" s="296"/>
      <c r="WCL368" s="266"/>
      <c r="WCM368" s="591"/>
      <c r="WCN368" s="326"/>
      <c r="WCO368" s="362"/>
      <c r="WCP368" s="295"/>
      <c r="WCQ368" s="656"/>
      <c r="WCR368" s="286"/>
      <c r="WCS368" s="287"/>
      <c r="WCT368" s="296"/>
      <c r="WCU368" s="266"/>
      <c r="WCV368" s="591"/>
      <c r="WCW368" s="326"/>
      <c r="WCX368" s="362"/>
      <c r="WCY368" s="295"/>
      <c r="WCZ368" s="656"/>
      <c r="WDA368" s="286"/>
      <c r="WDB368" s="287"/>
      <c r="WDC368" s="296"/>
      <c r="WDD368" s="266"/>
      <c r="WDE368" s="591"/>
      <c r="WDF368" s="326"/>
      <c r="WDG368" s="362"/>
      <c r="WDH368" s="295"/>
      <c r="WDI368" s="656"/>
      <c r="WDJ368" s="286"/>
      <c r="WDK368" s="287"/>
      <c r="WDL368" s="296"/>
      <c r="WDM368" s="266"/>
      <c r="WDN368" s="591"/>
      <c r="WDO368" s="326"/>
      <c r="WDP368" s="362"/>
      <c r="WDQ368" s="295"/>
      <c r="WDR368" s="656"/>
      <c r="WDS368" s="286"/>
      <c r="WDT368" s="287"/>
      <c r="WDU368" s="296"/>
      <c r="WDV368" s="266"/>
      <c r="WDW368" s="591"/>
      <c r="WDX368" s="326"/>
      <c r="WDY368" s="362"/>
      <c r="WDZ368" s="295"/>
      <c r="WEA368" s="656"/>
      <c r="WEB368" s="286"/>
      <c r="WEC368" s="287"/>
      <c r="WED368" s="296"/>
      <c r="WEE368" s="266"/>
      <c r="WEF368" s="591"/>
      <c r="WEG368" s="326"/>
      <c r="WEH368" s="362"/>
      <c r="WEI368" s="295"/>
      <c r="WEJ368" s="656"/>
      <c r="WEK368" s="286"/>
      <c r="WEL368" s="287"/>
      <c r="WEM368" s="296"/>
      <c r="WEN368" s="266"/>
      <c r="WEO368" s="591"/>
      <c r="WEP368" s="326"/>
      <c r="WEQ368" s="362"/>
      <c r="WER368" s="295"/>
      <c r="WES368" s="656"/>
      <c r="WET368" s="286"/>
      <c r="WEU368" s="287"/>
      <c r="WEV368" s="296"/>
      <c r="WEW368" s="266"/>
      <c r="WEX368" s="591"/>
      <c r="WEY368" s="326"/>
      <c r="WEZ368" s="362"/>
      <c r="WFA368" s="295"/>
      <c r="WFB368" s="656"/>
      <c r="WFC368" s="286"/>
      <c r="WFD368" s="287"/>
      <c r="WFE368" s="296"/>
      <c r="WFF368" s="266"/>
      <c r="WFG368" s="591"/>
      <c r="WFH368" s="326"/>
      <c r="WFI368" s="362"/>
      <c r="WFJ368" s="295"/>
      <c r="WFK368" s="656"/>
      <c r="WFL368" s="286"/>
      <c r="WFM368" s="287"/>
      <c r="WFN368" s="296"/>
      <c r="WFO368" s="266"/>
      <c r="WFP368" s="591"/>
      <c r="WFQ368" s="326"/>
      <c r="WFR368" s="362"/>
      <c r="WFS368" s="295"/>
      <c r="WFT368" s="656"/>
      <c r="WFU368" s="286"/>
      <c r="WFV368" s="287"/>
      <c r="WFW368" s="296"/>
      <c r="WFX368" s="266"/>
      <c r="WFY368" s="591"/>
      <c r="WFZ368" s="326"/>
      <c r="WGA368" s="362"/>
      <c r="WGB368" s="295"/>
      <c r="WGC368" s="656"/>
      <c r="WGD368" s="286"/>
      <c r="WGE368" s="287"/>
      <c r="WGF368" s="296"/>
      <c r="WGG368" s="266"/>
      <c r="WGH368" s="591"/>
      <c r="WGI368" s="326"/>
      <c r="WGJ368" s="362"/>
      <c r="WGK368" s="295"/>
      <c r="WGL368" s="656"/>
      <c r="WGM368" s="286"/>
      <c r="WGN368" s="287"/>
      <c r="WGO368" s="296"/>
      <c r="WGP368" s="266"/>
      <c r="WGQ368" s="591"/>
      <c r="WGR368" s="326"/>
      <c r="WGS368" s="362"/>
      <c r="WGT368" s="295"/>
      <c r="WGU368" s="656"/>
      <c r="WGV368" s="286"/>
      <c r="WGW368" s="287"/>
      <c r="WGX368" s="296"/>
      <c r="WGY368" s="266"/>
      <c r="WGZ368" s="591"/>
      <c r="WHA368" s="326"/>
      <c r="WHB368" s="362"/>
      <c r="WHC368" s="295"/>
      <c r="WHD368" s="656"/>
      <c r="WHE368" s="286"/>
      <c r="WHF368" s="287"/>
      <c r="WHG368" s="296"/>
      <c r="WHH368" s="266"/>
      <c r="WHI368" s="591"/>
      <c r="WHJ368" s="326"/>
      <c r="WHK368" s="362"/>
      <c r="WHL368" s="295"/>
      <c r="WHM368" s="656"/>
      <c r="WHN368" s="286"/>
      <c r="WHO368" s="287"/>
      <c r="WHP368" s="296"/>
      <c r="WHQ368" s="266"/>
      <c r="WHR368" s="591"/>
      <c r="WHS368" s="326"/>
      <c r="WHT368" s="362"/>
      <c r="WHU368" s="295"/>
      <c r="WHV368" s="656"/>
      <c r="WHW368" s="286"/>
      <c r="WHX368" s="287"/>
      <c r="WHY368" s="296"/>
      <c r="WHZ368" s="266"/>
      <c r="WIA368" s="591"/>
      <c r="WIB368" s="326"/>
      <c r="WIC368" s="362"/>
      <c r="WID368" s="295"/>
      <c r="WIE368" s="656"/>
      <c r="WIF368" s="286"/>
      <c r="WIG368" s="287"/>
      <c r="WIH368" s="296"/>
      <c r="WII368" s="266"/>
      <c r="WIJ368" s="591"/>
      <c r="WIK368" s="326"/>
      <c r="WIL368" s="362"/>
      <c r="WIM368" s="295"/>
      <c r="WIN368" s="656"/>
      <c r="WIO368" s="286"/>
      <c r="WIP368" s="287"/>
      <c r="WIQ368" s="296"/>
      <c r="WIR368" s="266"/>
      <c r="WIS368" s="591"/>
      <c r="WIT368" s="326"/>
      <c r="WIU368" s="362"/>
      <c r="WIV368" s="295"/>
      <c r="WIW368" s="656"/>
      <c r="WIX368" s="286"/>
      <c r="WIY368" s="287"/>
      <c r="WIZ368" s="296"/>
      <c r="WJA368" s="266"/>
      <c r="WJB368" s="591"/>
      <c r="WJC368" s="326"/>
      <c r="WJD368" s="362"/>
      <c r="WJE368" s="295"/>
      <c r="WJF368" s="656"/>
      <c r="WJG368" s="286"/>
      <c r="WJH368" s="287"/>
      <c r="WJI368" s="296"/>
      <c r="WJJ368" s="266"/>
      <c r="WJK368" s="591"/>
      <c r="WJL368" s="326"/>
      <c r="WJM368" s="362"/>
      <c r="WJN368" s="295"/>
      <c r="WJO368" s="656"/>
      <c r="WJP368" s="286"/>
      <c r="WJQ368" s="287"/>
      <c r="WJR368" s="296"/>
      <c r="WJS368" s="266"/>
      <c r="WJT368" s="591"/>
      <c r="WJU368" s="326"/>
      <c r="WJV368" s="362"/>
      <c r="WJW368" s="295"/>
      <c r="WJX368" s="656"/>
      <c r="WJY368" s="286"/>
      <c r="WJZ368" s="287"/>
      <c r="WKA368" s="296"/>
      <c r="WKB368" s="266"/>
      <c r="WKC368" s="591"/>
      <c r="WKD368" s="326"/>
      <c r="WKE368" s="362"/>
      <c r="WKF368" s="295"/>
      <c r="WKG368" s="656"/>
      <c r="WKH368" s="286"/>
      <c r="WKI368" s="287"/>
      <c r="WKJ368" s="296"/>
      <c r="WKK368" s="266"/>
      <c r="WKL368" s="591"/>
      <c r="WKM368" s="326"/>
      <c r="WKN368" s="362"/>
      <c r="WKO368" s="295"/>
      <c r="WKP368" s="656"/>
      <c r="WKQ368" s="286"/>
      <c r="WKR368" s="287"/>
      <c r="WKS368" s="296"/>
      <c r="WKT368" s="266"/>
      <c r="WKU368" s="591"/>
      <c r="WKV368" s="326"/>
      <c r="WKW368" s="362"/>
      <c r="WKX368" s="295"/>
      <c r="WKY368" s="656"/>
      <c r="WKZ368" s="286"/>
      <c r="WLA368" s="287"/>
      <c r="WLB368" s="296"/>
      <c r="WLC368" s="266"/>
      <c r="WLD368" s="591"/>
      <c r="WLE368" s="326"/>
      <c r="WLF368" s="362"/>
      <c r="WLG368" s="295"/>
      <c r="WLH368" s="656"/>
      <c r="WLI368" s="286"/>
      <c r="WLJ368" s="287"/>
      <c r="WLK368" s="296"/>
      <c r="WLL368" s="266"/>
      <c r="WLM368" s="591"/>
      <c r="WLN368" s="326"/>
      <c r="WLO368" s="362"/>
      <c r="WLP368" s="295"/>
      <c r="WLQ368" s="656"/>
      <c r="WLR368" s="286"/>
      <c r="WLS368" s="287"/>
      <c r="WLT368" s="296"/>
      <c r="WLU368" s="266"/>
      <c r="WLV368" s="591"/>
      <c r="WLW368" s="326"/>
      <c r="WLX368" s="362"/>
      <c r="WLY368" s="295"/>
      <c r="WLZ368" s="656"/>
      <c r="WMA368" s="286"/>
      <c r="WMB368" s="287"/>
      <c r="WMC368" s="296"/>
      <c r="WMD368" s="266"/>
      <c r="WME368" s="591"/>
      <c r="WMF368" s="326"/>
      <c r="WMG368" s="362"/>
      <c r="WMH368" s="295"/>
      <c r="WMI368" s="656"/>
      <c r="WMJ368" s="286"/>
      <c r="WMK368" s="287"/>
      <c r="WML368" s="296"/>
      <c r="WMM368" s="266"/>
      <c r="WMN368" s="591"/>
      <c r="WMO368" s="326"/>
      <c r="WMP368" s="362"/>
      <c r="WMQ368" s="295"/>
      <c r="WMR368" s="656"/>
      <c r="WMS368" s="286"/>
      <c r="WMT368" s="287"/>
      <c r="WMU368" s="296"/>
      <c r="WMV368" s="266"/>
      <c r="WMW368" s="591"/>
      <c r="WMX368" s="326"/>
      <c r="WMY368" s="362"/>
      <c r="WMZ368" s="295"/>
      <c r="WNA368" s="656"/>
      <c r="WNB368" s="286"/>
      <c r="WNC368" s="287"/>
      <c r="WND368" s="296"/>
      <c r="WNE368" s="266"/>
      <c r="WNF368" s="591"/>
      <c r="WNG368" s="326"/>
      <c r="WNH368" s="362"/>
      <c r="WNI368" s="295"/>
      <c r="WNJ368" s="656"/>
      <c r="WNK368" s="286"/>
      <c r="WNL368" s="287"/>
      <c r="WNM368" s="296"/>
      <c r="WNN368" s="266"/>
      <c r="WNO368" s="591"/>
      <c r="WNP368" s="326"/>
      <c r="WNQ368" s="362"/>
      <c r="WNR368" s="295"/>
      <c r="WNS368" s="656"/>
      <c r="WNT368" s="286"/>
      <c r="WNU368" s="287"/>
      <c r="WNV368" s="296"/>
      <c r="WNW368" s="266"/>
      <c r="WNX368" s="591"/>
      <c r="WNY368" s="326"/>
      <c r="WNZ368" s="362"/>
      <c r="WOA368" s="295"/>
      <c r="WOB368" s="656"/>
      <c r="WOC368" s="286"/>
      <c r="WOD368" s="287"/>
      <c r="WOE368" s="296"/>
      <c r="WOF368" s="266"/>
      <c r="WOG368" s="591"/>
      <c r="WOH368" s="326"/>
      <c r="WOI368" s="362"/>
      <c r="WOJ368" s="295"/>
      <c r="WOK368" s="656"/>
      <c r="WOL368" s="286"/>
      <c r="WOM368" s="287"/>
      <c r="WON368" s="296"/>
      <c r="WOO368" s="266"/>
      <c r="WOP368" s="591"/>
      <c r="WOQ368" s="326"/>
      <c r="WOR368" s="362"/>
      <c r="WOS368" s="295"/>
      <c r="WOT368" s="656"/>
      <c r="WOU368" s="286"/>
      <c r="WOV368" s="287"/>
      <c r="WOW368" s="296"/>
      <c r="WOX368" s="266"/>
      <c r="WOY368" s="591"/>
      <c r="WOZ368" s="326"/>
      <c r="WPA368" s="362"/>
      <c r="WPB368" s="295"/>
      <c r="WPC368" s="656"/>
      <c r="WPD368" s="286"/>
      <c r="WPE368" s="287"/>
      <c r="WPF368" s="296"/>
      <c r="WPG368" s="266"/>
      <c r="WPH368" s="591"/>
      <c r="WPI368" s="326"/>
      <c r="WPJ368" s="362"/>
      <c r="WPK368" s="295"/>
      <c r="WPL368" s="656"/>
      <c r="WPM368" s="286"/>
      <c r="WPN368" s="287"/>
      <c r="WPO368" s="296"/>
      <c r="WPP368" s="266"/>
      <c r="WPQ368" s="591"/>
      <c r="WPR368" s="326"/>
      <c r="WPS368" s="362"/>
      <c r="WPT368" s="295"/>
      <c r="WPU368" s="656"/>
      <c r="WPV368" s="286"/>
      <c r="WPW368" s="287"/>
      <c r="WPX368" s="296"/>
      <c r="WPY368" s="266"/>
      <c r="WPZ368" s="591"/>
      <c r="WQA368" s="326"/>
      <c r="WQB368" s="362"/>
      <c r="WQC368" s="295"/>
      <c r="WQD368" s="656"/>
      <c r="WQE368" s="286"/>
      <c r="WQF368" s="287"/>
      <c r="WQG368" s="296"/>
      <c r="WQH368" s="266"/>
      <c r="WQI368" s="591"/>
      <c r="WQJ368" s="326"/>
      <c r="WQK368" s="362"/>
      <c r="WQL368" s="295"/>
      <c r="WQM368" s="656"/>
      <c r="WQN368" s="286"/>
      <c r="WQO368" s="287"/>
      <c r="WQP368" s="296"/>
      <c r="WQQ368" s="266"/>
      <c r="WQR368" s="591"/>
      <c r="WQS368" s="326"/>
      <c r="WQT368" s="362"/>
      <c r="WQU368" s="295"/>
      <c r="WQV368" s="656"/>
      <c r="WQW368" s="286"/>
      <c r="WQX368" s="287"/>
      <c r="WQY368" s="296"/>
      <c r="WQZ368" s="266"/>
      <c r="WRA368" s="591"/>
      <c r="WRB368" s="326"/>
      <c r="WRC368" s="362"/>
      <c r="WRD368" s="295"/>
      <c r="WRE368" s="656"/>
      <c r="WRF368" s="286"/>
      <c r="WRG368" s="287"/>
      <c r="WRH368" s="296"/>
      <c r="WRI368" s="266"/>
      <c r="WRJ368" s="591"/>
      <c r="WRK368" s="326"/>
      <c r="WRL368" s="362"/>
      <c r="WRM368" s="295"/>
      <c r="WRN368" s="656"/>
      <c r="WRO368" s="286"/>
      <c r="WRP368" s="287"/>
      <c r="WRQ368" s="296"/>
      <c r="WRR368" s="266"/>
      <c r="WRS368" s="591"/>
      <c r="WRT368" s="326"/>
      <c r="WRU368" s="362"/>
      <c r="WRV368" s="295"/>
      <c r="WRW368" s="656"/>
      <c r="WRX368" s="286"/>
      <c r="WRY368" s="287"/>
      <c r="WRZ368" s="296"/>
      <c r="WSA368" s="266"/>
      <c r="WSB368" s="591"/>
      <c r="WSC368" s="326"/>
      <c r="WSD368" s="362"/>
      <c r="WSE368" s="295"/>
      <c r="WSF368" s="656"/>
      <c r="WSG368" s="286"/>
      <c r="WSH368" s="287"/>
      <c r="WSI368" s="296"/>
      <c r="WSJ368" s="266"/>
      <c r="WSK368" s="591"/>
      <c r="WSL368" s="326"/>
      <c r="WSM368" s="362"/>
      <c r="WSN368" s="295"/>
      <c r="WSO368" s="656"/>
      <c r="WSP368" s="286"/>
      <c r="WSQ368" s="287"/>
      <c r="WSR368" s="296"/>
      <c r="WSS368" s="266"/>
      <c r="WST368" s="591"/>
      <c r="WSU368" s="326"/>
      <c r="WSV368" s="362"/>
      <c r="WSW368" s="295"/>
      <c r="WSX368" s="656"/>
      <c r="WSY368" s="286"/>
      <c r="WSZ368" s="287"/>
      <c r="WTA368" s="296"/>
      <c r="WTB368" s="266"/>
      <c r="WTC368" s="591"/>
      <c r="WTD368" s="326"/>
      <c r="WTE368" s="362"/>
      <c r="WTF368" s="295"/>
      <c r="WTG368" s="656"/>
      <c r="WTH368" s="286"/>
      <c r="WTI368" s="287"/>
      <c r="WTJ368" s="296"/>
      <c r="WTK368" s="266"/>
      <c r="WTL368" s="591"/>
      <c r="WTM368" s="326"/>
      <c r="WTN368" s="362"/>
      <c r="WTO368" s="295"/>
      <c r="WTP368" s="656"/>
      <c r="WTQ368" s="286"/>
      <c r="WTR368" s="287"/>
      <c r="WTS368" s="296"/>
      <c r="WTT368" s="266"/>
      <c r="WTU368" s="591"/>
      <c r="WTV368" s="326"/>
      <c r="WTW368" s="362"/>
      <c r="WTX368" s="295"/>
      <c r="WTY368" s="656"/>
      <c r="WTZ368" s="286"/>
      <c r="WUA368" s="287"/>
      <c r="WUB368" s="296"/>
      <c r="WUC368" s="266"/>
      <c r="WUD368" s="591"/>
      <c r="WUE368" s="326"/>
      <c r="WUF368" s="362"/>
      <c r="WUG368" s="295"/>
      <c r="WUH368" s="656"/>
      <c r="WUI368" s="286"/>
      <c r="WUJ368" s="287"/>
      <c r="WUK368" s="296"/>
      <c r="WUL368" s="266"/>
      <c r="WUM368" s="591"/>
      <c r="WUN368" s="326"/>
      <c r="WUO368" s="362"/>
      <c r="WUP368" s="295"/>
      <c r="WUQ368" s="656"/>
      <c r="WUR368" s="286"/>
      <c r="WUS368" s="287"/>
      <c r="WUT368" s="296"/>
      <c r="WUU368" s="266"/>
      <c r="WUV368" s="591"/>
      <c r="WUW368" s="326"/>
      <c r="WUX368" s="362"/>
      <c r="WUY368" s="295"/>
      <c r="WUZ368" s="656"/>
      <c r="WVA368" s="286"/>
      <c r="WVB368" s="287"/>
      <c r="WVC368" s="296"/>
      <c r="WVD368" s="266"/>
      <c r="WVE368" s="591"/>
      <c r="WVF368" s="326"/>
      <c r="WVG368" s="362"/>
      <c r="WVH368" s="295"/>
      <c r="WVI368" s="656"/>
      <c r="WVJ368" s="286"/>
      <c r="WVK368" s="287"/>
      <c r="WVL368" s="296"/>
      <c r="WVM368" s="266"/>
      <c r="WVN368" s="591"/>
      <c r="WVO368" s="326"/>
      <c r="WVP368" s="362"/>
      <c r="WVQ368" s="295"/>
      <c r="WVR368" s="656"/>
      <c r="WVS368" s="286"/>
      <c r="WVT368" s="287"/>
      <c r="WVU368" s="296"/>
      <c r="WVV368" s="266"/>
      <c r="WVW368" s="591"/>
      <c r="WVX368" s="326"/>
      <c r="WVY368" s="362"/>
      <c r="WVZ368" s="295"/>
      <c r="WWA368" s="656"/>
      <c r="WWB368" s="286"/>
      <c r="WWC368" s="287"/>
      <c r="WWD368" s="296"/>
      <c r="WWE368" s="266"/>
      <c r="WWF368" s="591"/>
      <c r="WWG368" s="326"/>
      <c r="WWH368" s="362"/>
      <c r="WWI368" s="295"/>
      <c r="WWJ368" s="656"/>
      <c r="WWK368" s="286"/>
      <c r="WWL368" s="287"/>
      <c r="WWM368" s="296"/>
      <c r="WWN368" s="266"/>
      <c r="WWO368" s="591"/>
      <c r="WWP368" s="326"/>
      <c r="WWQ368" s="362"/>
      <c r="WWR368" s="295"/>
      <c r="WWS368" s="656"/>
      <c r="WWT368" s="286"/>
      <c r="WWU368" s="287"/>
      <c r="WWV368" s="296"/>
      <c r="WWW368" s="266"/>
      <c r="WWX368" s="591"/>
      <c r="WWY368" s="326"/>
      <c r="WWZ368" s="362"/>
      <c r="WXA368" s="295"/>
      <c r="WXB368" s="656"/>
      <c r="WXC368" s="286"/>
      <c r="WXD368" s="287"/>
      <c r="WXE368" s="296"/>
      <c r="WXF368" s="266"/>
      <c r="WXG368" s="591"/>
      <c r="WXH368" s="326"/>
      <c r="WXI368" s="362"/>
      <c r="WXJ368" s="295"/>
      <c r="WXK368" s="656"/>
      <c r="WXL368" s="286"/>
      <c r="WXM368" s="287"/>
      <c r="WXN368" s="296"/>
      <c r="WXO368" s="266"/>
      <c r="WXP368" s="591"/>
      <c r="WXQ368" s="326"/>
      <c r="WXR368" s="362"/>
      <c r="WXS368" s="295"/>
      <c r="WXT368" s="656"/>
      <c r="WXU368" s="286"/>
      <c r="WXV368" s="287"/>
      <c r="WXW368" s="296"/>
      <c r="WXX368" s="266"/>
      <c r="WXY368" s="591"/>
      <c r="WXZ368" s="326"/>
      <c r="WYA368" s="362"/>
      <c r="WYB368" s="295"/>
      <c r="WYC368" s="656"/>
      <c r="WYD368" s="286"/>
      <c r="WYE368" s="287"/>
      <c r="WYF368" s="296"/>
      <c r="WYG368" s="266"/>
      <c r="WYH368" s="591"/>
      <c r="WYI368" s="326"/>
      <c r="WYJ368" s="362"/>
      <c r="WYK368" s="295"/>
      <c r="WYL368" s="656"/>
      <c r="WYM368" s="286"/>
      <c r="WYN368" s="287"/>
      <c r="WYO368" s="296"/>
      <c r="WYP368" s="266"/>
      <c r="WYQ368" s="591"/>
      <c r="WYR368" s="326"/>
      <c r="WYS368" s="362"/>
      <c r="WYT368" s="295"/>
      <c r="WYU368" s="656"/>
      <c r="WYV368" s="286"/>
      <c r="WYW368" s="287"/>
      <c r="WYX368" s="296"/>
      <c r="WYY368" s="266"/>
      <c r="WYZ368" s="591"/>
      <c r="WZA368" s="326"/>
      <c r="WZB368" s="362"/>
      <c r="WZC368" s="295"/>
      <c r="WZD368" s="656"/>
      <c r="WZE368" s="286"/>
      <c r="WZF368" s="287"/>
      <c r="WZG368" s="296"/>
      <c r="WZH368" s="266"/>
      <c r="WZI368" s="591"/>
      <c r="WZJ368" s="326"/>
      <c r="WZK368" s="362"/>
      <c r="WZL368" s="295"/>
      <c r="WZM368" s="656"/>
      <c r="WZN368" s="286"/>
      <c r="WZO368" s="287"/>
      <c r="WZP368" s="296"/>
      <c r="WZQ368" s="266"/>
      <c r="WZR368" s="591"/>
      <c r="WZS368" s="326"/>
      <c r="WZT368" s="362"/>
      <c r="WZU368" s="295"/>
      <c r="WZV368" s="656"/>
      <c r="WZW368" s="286"/>
      <c r="WZX368" s="287"/>
      <c r="WZY368" s="296"/>
      <c r="WZZ368" s="266"/>
      <c r="XAA368" s="591"/>
      <c r="XAB368" s="326"/>
      <c r="XAC368" s="362"/>
      <c r="XAD368" s="295"/>
      <c r="XAE368" s="656"/>
      <c r="XAF368" s="286"/>
      <c r="XAG368" s="287"/>
      <c r="XAH368" s="296"/>
      <c r="XAI368" s="266"/>
      <c r="XAJ368" s="591"/>
      <c r="XAK368" s="326"/>
      <c r="XAL368" s="362"/>
      <c r="XAM368" s="295"/>
      <c r="XAN368" s="656"/>
      <c r="XAO368" s="286"/>
      <c r="XAP368" s="287"/>
      <c r="XAQ368" s="296"/>
      <c r="XAR368" s="266"/>
      <c r="XAS368" s="591"/>
      <c r="XAT368" s="326"/>
      <c r="XAU368" s="362"/>
      <c r="XAV368" s="295"/>
      <c r="XAW368" s="656"/>
      <c r="XAX368" s="286"/>
      <c r="XAY368" s="287"/>
      <c r="XAZ368" s="296"/>
      <c r="XBA368" s="266"/>
      <c r="XBB368" s="591"/>
      <c r="XBC368" s="326"/>
      <c r="XBD368" s="362"/>
      <c r="XBE368" s="295"/>
      <c r="XBF368" s="656"/>
      <c r="XBG368" s="286"/>
      <c r="XBH368" s="287"/>
      <c r="XBI368" s="296"/>
      <c r="XBJ368" s="266"/>
      <c r="XBK368" s="591"/>
      <c r="XBL368" s="326"/>
      <c r="XBM368" s="362"/>
      <c r="XBN368" s="295"/>
      <c r="XBO368" s="656"/>
      <c r="XBP368" s="286"/>
      <c r="XBQ368" s="287"/>
      <c r="XBR368" s="296"/>
      <c r="XBS368" s="266"/>
      <c r="XBT368" s="591"/>
      <c r="XBU368" s="326"/>
      <c r="XBV368" s="362"/>
      <c r="XBW368" s="295"/>
      <c r="XBX368" s="656"/>
      <c r="XBY368" s="286"/>
      <c r="XBZ368" s="287"/>
      <c r="XCA368" s="296"/>
      <c r="XCB368" s="266"/>
      <c r="XCC368" s="591"/>
      <c r="XCD368" s="326"/>
      <c r="XCE368" s="362"/>
      <c r="XCF368" s="295"/>
      <c r="XCG368" s="656"/>
      <c r="XCH368" s="286"/>
      <c r="XCI368" s="287"/>
      <c r="XCJ368" s="296"/>
      <c r="XCK368" s="266"/>
      <c r="XCL368" s="591"/>
      <c r="XCM368" s="326"/>
      <c r="XCN368" s="362"/>
      <c r="XCO368" s="295"/>
      <c r="XCP368" s="656"/>
      <c r="XCQ368" s="286"/>
      <c r="XCR368" s="287"/>
      <c r="XCS368" s="296"/>
      <c r="XCT368" s="266"/>
      <c r="XCU368" s="591"/>
      <c r="XCV368" s="326"/>
      <c r="XCW368" s="362"/>
      <c r="XCX368" s="295"/>
      <c r="XCY368" s="656"/>
      <c r="XCZ368" s="286"/>
      <c r="XDA368" s="287"/>
      <c r="XDB368" s="296"/>
      <c r="XDC368" s="266"/>
      <c r="XDD368" s="591"/>
      <c r="XDE368" s="326"/>
      <c r="XDF368" s="362"/>
      <c r="XDG368" s="295"/>
      <c r="XDH368" s="656"/>
      <c r="XDI368" s="286"/>
      <c r="XDJ368" s="287"/>
      <c r="XDK368" s="296"/>
      <c r="XDL368" s="266"/>
      <c r="XDM368" s="591"/>
      <c r="XDN368" s="326"/>
      <c r="XDO368" s="362"/>
      <c r="XDP368" s="295"/>
      <c r="XDQ368" s="656"/>
      <c r="XDR368" s="286"/>
      <c r="XDS368" s="287"/>
      <c r="XDT368" s="296"/>
      <c r="XDU368" s="266"/>
      <c r="XDV368" s="591"/>
      <c r="XDW368" s="326"/>
      <c r="XDX368" s="362"/>
      <c r="XDY368" s="295"/>
      <c r="XDZ368" s="656"/>
      <c r="XEA368" s="286"/>
      <c r="XEB368" s="287"/>
      <c r="XEC368" s="296"/>
      <c r="XED368" s="266"/>
      <c r="XEE368" s="591"/>
      <c r="XEF368" s="326"/>
      <c r="XEG368" s="362"/>
      <c r="XEH368" s="295"/>
      <c r="XEI368" s="656"/>
      <c r="XEJ368" s="286"/>
      <c r="XEK368" s="287"/>
      <c r="XEL368" s="296"/>
      <c r="XEM368" s="266"/>
      <c r="XEN368" s="591"/>
      <c r="XEO368" s="326"/>
      <c r="XEP368" s="362"/>
      <c r="XEQ368" s="295"/>
      <c r="XER368" s="656"/>
      <c r="XES368" s="286"/>
      <c r="XET368" s="287"/>
      <c r="XEU368" s="296"/>
      <c r="XEV368" s="266"/>
      <c r="XEW368" s="591"/>
      <c r="XEX368" s="326"/>
      <c r="XEY368" s="362"/>
      <c r="XEZ368" s="295"/>
      <c r="XFA368" s="656"/>
      <c r="XFB368" s="286"/>
      <c r="XFC368" s="287"/>
    </row>
    <row r="369" spans="1:16383" ht="16" hidden="1" outlineLevel="2" thickBot="1" x14ac:dyDescent="0.4">
      <c r="A369" s="295" t="s">
        <v>137</v>
      </c>
      <c r="B369" s="285">
        <v>12</v>
      </c>
      <c r="C369" s="286">
        <v>163.96</v>
      </c>
      <c r="D369" s="287">
        <f t="shared" si="26"/>
        <v>1967.52</v>
      </c>
      <c r="E369" s="296">
        <f>(163.96-164.88)/164.88</f>
        <v>-5.5798156234836702E-3</v>
      </c>
      <c r="F369" s="662">
        <f>D369/D372</f>
        <v>7.6462914909159654E-3</v>
      </c>
      <c r="G369" s="663">
        <v>95</v>
      </c>
      <c r="H369" s="521">
        <v>1.89</v>
      </c>
      <c r="I369" s="542">
        <f>(163.96-164.88)*12</f>
        <v>-11.03999999999985</v>
      </c>
      <c r="J369" s="95"/>
      <c r="K369" s="595"/>
      <c r="L369" s="633"/>
      <c r="M369" s="634"/>
      <c r="N369" s="635"/>
      <c r="O369" s="622"/>
      <c r="P369" s="660"/>
      <c r="Q369" s="637"/>
      <c r="R369" s="638"/>
      <c r="S369" s="95"/>
      <c r="T369" s="595"/>
      <c r="U369" s="633"/>
      <c r="V369" s="634"/>
      <c r="W369" s="635"/>
      <c r="X369" s="622"/>
      <c r="Y369" s="660"/>
      <c r="Z369" s="637"/>
      <c r="AA369" s="95"/>
      <c r="AB369" s="595"/>
      <c r="AC369" s="633"/>
      <c r="AD369" s="634"/>
      <c r="AE369" s="635"/>
      <c r="AF369" s="622"/>
      <c r="AG369" s="660"/>
      <c r="AH369" s="637"/>
      <c r="AI369" s="638"/>
      <c r="AJ369" s="95"/>
      <c r="AK369" s="595"/>
      <c r="AL369" s="633"/>
      <c r="AM369" s="634"/>
      <c r="AN369" s="635"/>
      <c r="AO369" s="622"/>
      <c r="AP369" s="660"/>
      <c r="AQ369" s="637"/>
      <c r="AR369" s="638"/>
      <c r="AS369" s="95"/>
      <c r="AT369" s="595"/>
      <c r="AU369" s="633"/>
      <c r="AV369" s="634"/>
      <c r="AW369" s="635"/>
      <c r="AX369" s="622"/>
      <c r="AY369" s="660"/>
      <c r="AZ369" s="637"/>
      <c r="BA369" s="638"/>
      <c r="BB369" s="95"/>
      <c r="BC369" s="595"/>
      <c r="BD369" s="633"/>
      <c r="BE369" s="634"/>
      <c r="BF369" s="635"/>
      <c r="BG369" s="622"/>
      <c r="BH369" s="660"/>
      <c r="BI369" s="637"/>
      <c r="BJ369" s="638"/>
      <c r="BK369" s="95"/>
      <c r="BL369" s="595"/>
      <c r="BM369" s="633"/>
      <c r="BN369" s="634"/>
      <c r="BO369" s="635"/>
      <c r="BP369" s="622"/>
      <c r="BQ369" s="660"/>
      <c r="BR369" s="637"/>
      <c r="BS369" s="638"/>
      <c r="BT369" s="95"/>
      <c r="BU369" s="595"/>
      <c r="BV369" s="633"/>
      <c r="BW369" s="634"/>
      <c r="BX369" s="635"/>
      <c r="BY369" s="622"/>
      <c r="BZ369" s="660"/>
      <c r="CA369" s="637"/>
      <c r="CB369" s="638"/>
      <c r="CC369" s="95"/>
      <c r="CD369" s="595"/>
      <c r="CE369" s="633"/>
      <c r="CF369" s="634"/>
      <c r="CG369" s="635"/>
      <c r="CH369" s="622"/>
      <c r="CI369" s="660"/>
      <c r="CJ369" s="637"/>
      <c r="CK369" s="638"/>
      <c r="CL369" s="95"/>
      <c r="CM369" s="595"/>
      <c r="CN369" s="633"/>
      <c r="CO369" s="634"/>
      <c r="CP369" s="635"/>
      <c r="CQ369" s="622"/>
      <c r="CR369" s="660"/>
      <c r="CS369" s="637"/>
      <c r="CT369" s="638"/>
      <c r="CU369" s="95"/>
      <c r="CV369" s="595"/>
      <c r="CW369" s="633"/>
      <c r="CX369" s="634"/>
      <c r="CY369" s="635"/>
      <c r="CZ369" s="622"/>
      <c r="DA369" s="660"/>
      <c r="DB369" s="637"/>
      <c r="DC369" s="638"/>
      <c r="DD369" s="95"/>
      <c r="DE369" s="595"/>
      <c r="DF369" s="633"/>
      <c r="DG369" s="634"/>
      <c r="DH369" s="635"/>
      <c r="DI369" s="622"/>
      <c r="DJ369" s="660"/>
      <c r="DK369" s="637"/>
      <c r="DL369" s="638"/>
      <c r="DM369" s="95"/>
      <c r="DN369" s="595"/>
      <c r="DO369" s="633"/>
      <c r="DP369" s="634"/>
      <c r="DQ369" s="635"/>
      <c r="DR369" s="622"/>
      <c r="DS369" s="660"/>
      <c r="DT369" s="637"/>
      <c r="DU369" s="638"/>
      <c r="DV369" s="95"/>
      <c r="DW369" s="595"/>
      <c r="DX369" s="633"/>
      <c r="DY369" s="634"/>
      <c r="DZ369" s="635"/>
      <c r="EA369" s="622"/>
      <c r="EB369" s="660"/>
      <c r="EC369" s="637"/>
      <c r="ED369" s="638"/>
      <c r="EE369" s="95"/>
      <c r="EF369" s="595"/>
      <c r="EG369" s="633"/>
      <c r="EH369" s="634"/>
      <c r="EI369" s="635"/>
      <c r="EJ369" s="622"/>
      <c r="EK369" s="660"/>
      <c r="EL369" s="637"/>
      <c r="EM369" s="638"/>
      <c r="EN369" s="95"/>
      <c r="EO369" s="595"/>
      <c r="EP369" s="633"/>
      <c r="EQ369" s="634"/>
      <c r="ER369" s="635"/>
      <c r="ES369" s="622"/>
      <c r="ET369" s="660"/>
      <c r="EU369" s="637"/>
      <c r="EV369" s="638"/>
      <c r="EW369" s="95"/>
      <c r="EX369" s="595"/>
      <c r="EY369" s="633"/>
      <c r="EZ369" s="634"/>
      <c r="FA369" s="635"/>
      <c r="FB369" s="622"/>
      <c r="FC369" s="660"/>
      <c r="FD369" s="637"/>
      <c r="FE369" s="638"/>
      <c r="FF369" s="95"/>
      <c r="FG369" s="595"/>
      <c r="FH369" s="633"/>
      <c r="FI369" s="634"/>
      <c r="FJ369" s="635"/>
      <c r="FK369" s="622"/>
      <c r="FL369" s="660"/>
      <c r="FM369" s="637"/>
      <c r="FN369" s="638"/>
      <c r="FO369" s="95"/>
      <c r="FP369" s="595"/>
      <c r="FQ369" s="633"/>
      <c r="FR369" s="634"/>
      <c r="FS369" s="652"/>
      <c r="FT369" s="626"/>
      <c r="FU369" s="661"/>
      <c r="FV369" s="641"/>
      <c r="FW369" s="653"/>
      <c r="FY369" s="118"/>
      <c r="FZ369" s="219"/>
      <c r="GA369" s="247"/>
      <c r="GB369" s="652"/>
      <c r="GC369" s="626"/>
      <c r="GD369" s="661"/>
      <c r="GE369" s="641"/>
      <c r="GF369" s="653"/>
      <c r="GH369" s="118"/>
      <c r="GI369" s="219"/>
      <c r="GJ369" s="247"/>
      <c r="GK369" s="652"/>
      <c r="GL369" s="626"/>
      <c r="GM369" s="661"/>
      <c r="GN369" s="641"/>
      <c r="GO369" s="653"/>
      <c r="GQ369" s="118"/>
      <c r="GR369" s="219"/>
      <c r="GS369" s="247"/>
      <c r="GT369" s="652"/>
      <c r="GU369" s="626"/>
      <c r="GV369" s="661"/>
      <c r="GW369" s="641"/>
      <c r="GX369" s="653"/>
      <c r="GZ369" s="118"/>
      <c r="HA369" s="219"/>
      <c r="HB369" s="247"/>
      <c r="HC369" s="652"/>
      <c r="HD369" s="626"/>
      <c r="HE369" s="661"/>
      <c r="HF369" s="641"/>
      <c r="HG369" s="653"/>
      <c r="HI369" s="118"/>
      <c r="HJ369" s="219"/>
      <c r="HK369" s="247"/>
      <c r="HL369" s="652"/>
      <c r="HM369" s="626"/>
      <c r="HN369" s="661"/>
      <c r="HO369" s="641"/>
      <c r="HP369" s="653"/>
      <c r="HR369" s="118"/>
      <c r="HS369" s="219"/>
      <c r="HT369" s="247"/>
      <c r="HU369" s="652"/>
      <c r="HV369" s="626"/>
      <c r="HW369" s="661"/>
      <c r="HX369" s="641"/>
      <c r="HY369" s="653"/>
      <c r="IA369" s="118"/>
      <c r="IB369" s="219"/>
      <c r="IC369" s="247"/>
      <c r="ID369" s="652"/>
      <c r="IE369" s="626"/>
      <c r="IF369" s="661"/>
      <c r="IG369" s="641"/>
      <c r="IH369" s="653"/>
      <c r="IJ369" s="118"/>
      <c r="IK369" s="219"/>
      <c r="IL369" s="247"/>
      <c r="IM369" s="652"/>
      <c r="IN369" s="626"/>
      <c r="IO369" s="661"/>
      <c r="IP369" s="641"/>
      <c r="IQ369" s="653"/>
      <c r="IS369" s="118"/>
      <c r="IT369" s="219"/>
      <c r="IU369" s="247"/>
      <c r="IV369" s="652"/>
      <c r="IW369" s="626"/>
      <c r="IX369" s="661"/>
      <c r="IY369" s="641"/>
      <c r="IZ369" s="653"/>
      <c r="JB369" s="118"/>
      <c r="JC369" s="219"/>
      <c r="JD369" s="247"/>
      <c r="JE369" s="652"/>
      <c r="JF369" s="626"/>
      <c r="JG369" s="661"/>
      <c r="JH369" s="641"/>
      <c r="JI369" s="653"/>
      <c r="JK369" s="118"/>
      <c r="JL369" s="219"/>
      <c r="JM369" s="247"/>
      <c r="JN369" s="652"/>
      <c r="JO369" s="626"/>
      <c r="JP369" s="661"/>
      <c r="JQ369" s="641"/>
      <c r="JR369" s="653"/>
      <c r="JT369" s="118"/>
      <c r="JU369" s="219"/>
      <c r="JV369" s="247"/>
      <c r="JW369" s="652"/>
      <c r="JX369" s="626"/>
      <c r="JY369" s="661"/>
      <c r="JZ369" s="641"/>
      <c r="KA369" s="653"/>
      <c r="KC369" s="118"/>
      <c r="KD369" s="219"/>
      <c r="KE369" s="247"/>
      <c r="KF369" s="652"/>
      <c r="KG369" s="626"/>
      <c r="KH369" s="661"/>
      <c r="KI369" s="641"/>
      <c r="KJ369" s="653"/>
      <c r="KL369" s="118"/>
      <c r="KM369" s="219"/>
      <c r="KN369" s="247"/>
      <c r="KO369" s="652"/>
      <c r="KP369" s="626"/>
      <c r="KQ369" s="661"/>
      <c r="KR369" s="641"/>
      <c r="KS369" s="653"/>
      <c r="KU369" s="118"/>
      <c r="KV369" s="219"/>
      <c r="KW369" s="247"/>
      <c r="KX369" s="652"/>
      <c r="KY369" s="626"/>
      <c r="KZ369" s="661"/>
      <c r="LA369" s="641"/>
      <c r="LB369" s="653"/>
      <c r="LD369" s="118"/>
      <c r="LE369" s="219"/>
      <c r="LF369" s="247"/>
      <c r="LG369" s="652"/>
      <c r="LH369" s="626"/>
      <c r="LI369" s="661"/>
      <c r="LJ369" s="641"/>
      <c r="LK369" s="653"/>
      <c r="LM369" s="118"/>
      <c r="LN369" s="219"/>
      <c r="LO369" s="247"/>
      <c r="LP369" s="652"/>
      <c r="LQ369" s="626"/>
      <c r="LR369" s="661"/>
      <c r="LS369" s="641"/>
      <c r="LT369" s="653"/>
      <c r="LV369" s="118"/>
      <c r="LW369" s="219"/>
      <c r="LX369" s="247"/>
      <c r="LY369" s="652"/>
      <c r="LZ369" s="626"/>
      <c r="MA369" s="661"/>
      <c r="MB369" s="641"/>
      <c r="MC369" s="653"/>
      <c r="ME369" s="118"/>
      <c r="MF369" s="219"/>
      <c r="MG369" s="247"/>
      <c r="MH369" s="652"/>
      <c r="MI369" s="626"/>
      <c r="MJ369" s="661"/>
      <c r="MK369" s="641"/>
      <c r="ML369" s="653"/>
      <c r="MN369" s="118"/>
      <c r="MO369" s="219"/>
      <c r="MP369" s="247"/>
      <c r="MQ369" s="652"/>
      <c r="MR369" s="626"/>
      <c r="MS369" s="661"/>
      <c r="MT369" s="641"/>
      <c r="MU369" s="653"/>
      <c r="MW369" s="118"/>
      <c r="MX369" s="219"/>
      <c r="MY369" s="247"/>
      <c r="MZ369" s="652"/>
      <c r="NA369" s="626"/>
      <c r="NB369" s="661"/>
      <c r="NC369" s="641"/>
      <c r="ND369" s="653"/>
      <c r="NF369" s="118"/>
      <c r="NG369" s="219"/>
      <c r="NH369" s="247"/>
      <c r="NI369" s="652"/>
      <c r="NJ369" s="626"/>
      <c r="NK369" s="661"/>
      <c r="NL369" s="641"/>
      <c r="NM369" s="653"/>
      <c r="NO369" s="118"/>
      <c r="NP369" s="219"/>
      <c r="NQ369" s="247"/>
      <c r="NR369" s="652"/>
      <c r="NS369" s="626"/>
      <c r="NT369" s="661"/>
      <c r="NU369" s="641"/>
      <c r="NV369" s="653"/>
      <c r="NX369" s="118"/>
      <c r="NY369" s="219"/>
      <c r="NZ369" s="247"/>
      <c r="OA369" s="652"/>
      <c r="OB369" s="626"/>
      <c r="OC369" s="661"/>
      <c r="OD369" s="641"/>
      <c r="OE369" s="653"/>
      <c r="OG369" s="118"/>
      <c r="OH369" s="219"/>
      <c r="OI369" s="247"/>
      <c r="OJ369" s="652"/>
      <c r="OK369" s="626"/>
      <c r="OL369" s="661"/>
      <c r="OM369" s="641"/>
      <c r="ON369" s="653"/>
      <c r="OP369" s="118"/>
      <c r="OQ369" s="219"/>
      <c r="OR369" s="247"/>
      <c r="OS369" s="652"/>
      <c r="OT369" s="626"/>
      <c r="OU369" s="661"/>
      <c r="OV369" s="641"/>
      <c r="OW369" s="653"/>
      <c r="OY369" s="118"/>
      <c r="OZ369" s="219"/>
      <c r="PA369" s="247"/>
      <c r="PB369" s="652"/>
      <c r="PC369" s="626"/>
      <c r="PD369" s="661"/>
      <c r="PE369" s="641"/>
      <c r="PF369" s="653"/>
      <c r="PH369" s="118"/>
      <c r="PI369" s="219"/>
      <c r="PJ369" s="247"/>
      <c r="PK369" s="652"/>
      <c r="PL369" s="626"/>
      <c r="PM369" s="661"/>
      <c r="PN369" s="641"/>
      <c r="PO369" s="653"/>
      <c r="PQ369" s="118"/>
      <c r="PR369" s="219"/>
      <c r="PS369" s="247"/>
      <c r="PT369" s="652"/>
      <c r="PU369" s="626"/>
      <c r="PV369" s="661"/>
      <c r="PW369" s="641"/>
      <c r="PX369" s="653"/>
      <c r="PZ369" s="118"/>
      <c r="QA369" s="219"/>
      <c r="QB369" s="247"/>
      <c r="QC369" s="652"/>
      <c r="QD369" s="626"/>
      <c r="QE369" s="661"/>
      <c r="QF369" s="641"/>
      <c r="QG369" s="653"/>
      <c r="QI369" s="118"/>
      <c r="QJ369" s="219"/>
      <c r="QK369" s="247"/>
      <c r="QL369" s="652"/>
      <c r="QM369" s="626"/>
      <c r="QN369" s="661"/>
      <c r="QO369" s="641"/>
      <c r="QP369" s="653"/>
      <c r="QR369" s="118"/>
      <c r="QS369" s="219"/>
      <c r="QT369" s="247"/>
      <c r="QU369" s="652"/>
      <c r="QV369" s="626"/>
      <c r="QW369" s="661"/>
      <c r="QX369" s="641"/>
      <c r="QY369" s="653"/>
      <c r="RA369" s="118"/>
      <c r="RB369" s="219"/>
      <c r="RC369" s="247"/>
      <c r="RD369" s="652"/>
      <c r="RE369" s="626"/>
      <c r="RF369" s="661"/>
      <c r="RG369" s="641"/>
      <c r="RH369" s="653"/>
      <c r="RJ369" s="118"/>
      <c r="RK369" s="219"/>
      <c r="RL369" s="247"/>
      <c r="RM369" s="652"/>
      <c r="RN369" s="626"/>
      <c r="RO369" s="661"/>
      <c r="RP369" s="641"/>
      <c r="RQ369" s="653"/>
      <c r="RS369" s="118"/>
      <c r="RT369" s="219"/>
      <c r="RU369" s="247"/>
      <c r="RV369" s="652"/>
      <c r="RW369" s="626"/>
      <c r="RX369" s="661"/>
      <c r="RY369" s="641"/>
      <c r="RZ369" s="653"/>
      <c r="SB369" s="118"/>
      <c r="SC369" s="219"/>
      <c r="SD369" s="247"/>
      <c r="SE369" s="652"/>
      <c r="SF369" s="626"/>
      <c r="SG369" s="661"/>
      <c r="SH369" s="641"/>
      <c r="SI369" s="653"/>
      <c r="SK369" s="118"/>
      <c r="SL369" s="219"/>
      <c r="SM369" s="247"/>
      <c r="SN369" s="652"/>
      <c r="SO369" s="626"/>
      <c r="SP369" s="661"/>
      <c r="SQ369" s="641"/>
      <c r="SR369" s="653"/>
      <c r="ST369" s="118"/>
      <c r="SU369" s="219"/>
      <c r="SV369" s="247"/>
      <c r="SW369" s="652"/>
      <c r="SX369" s="626"/>
      <c r="SY369" s="661"/>
      <c r="SZ369" s="641"/>
      <c r="TA369" s="653"/>
      <c r="TC369" s="118"/>
      <c r="TD369" s="219"/>
      <c r="TE369" s="247"/>
      <c r="TF369" s="652"/>
      <c r="TG369" s="626"/>
      <c r="TH369" s="661"/>
      <c r="TI369" s="641"/>
      <c r="TJ369" s="653"/>
      <c r="TL369" s="118"/>
      <c r="TM369" s="219"/>
      <c r="TN369" s="247"/>
      <c r="TO369" s="652"/>
      <c r="TP369" s="626"/>
      <c r="TQ369" s="661"/>
      <c r="TR369" s="641"/>
      <c r="TS369" s="653"/>
      <c r="TU369" s="118"/>
      <c r="TV369" s="219"/>
      <c r="TW369" s="247"/>
      <c r="TX369" s="652"/>
      <c r="TY369" s="626"/>
      <c r="TZ369" s="661"/>
      <c r="UA369" s="641"/>
      <c r="UB369" s="653"/>
      <c r="UD369" s="118"/>
      <c r="UE369" s="219"/>
      <c r="UF369" s="247"/>
      <c r="UG369" s="652"/>
      <c r="UH369" s="626"/>
      <c r="UI369" s="661"/>
      <c r="UJ369" s="641"/>
      <c r="UK369" s="653"/>
      <c r="UM369" s="118"/>
      <c r="UN369" s="219"/>
      <c r="UO369" s="247"/>
      <c r="UP369" s="652"/>
      <c r="UQ369" s="626"/>
      <c r="UR369" s="661"/>
      <c r="US369" s="641"/>
      <c r="UT369" s="653"/>
      <c r="UV369" s="118"/>
      <c r="UW369" s="219"/>
      <c r="UX369" s="247"/>
      <c r="UY369" s="652"/>
      <c r="UZ369" s="626"/>
      <c r="VA369" s="661"/>
      <c r="VB369" s="641"/>
      <c r="VC369" s="653"/>
      <c r="VE369" s="118"/>
      <c r="VF369" s="219"/>
      <c r="VG369" s="247"/>
      <c r="VH369" s="652"/>
      <c r="VI369" s="626"/>
      <c r="VJ369" s="661"/>
      <c r="VK369" s="641"/>
      <c r="VL369" s="653"/>
      <c r="VN369" s="118"/>
      <c r="VO369" s="219"/>
      <c r="VP369" s="247"/>
      <c r="VQ369" s="652"/>
      <c r="VR369" s="626"/>
      <c r="VS369" s="661"/>
      <c r="VT369" s="641"/>
      <c r="VU369" s="653"/>
      <c r="VW369" s="118"/>
      <c r="VX369" s="219"/>
      <c r="VY369" s="247"/>
      <c r="VZ369" s="652"/>
      <c r="WA369" s="626"/>
      <c r="WB369" s="661"/>
      <c r="WC369" s="641"/>
      <c r="WD369" s="653"/>
      <c r="WF369" s="118"/>
      <c r="WG369" s="219"/>
      <c r="WH369" s="247"/>
      <c r="WI369" s="652"/>
      <c r="WJ369" s="626"/>
      <c r="WK369" s="661"/>
      <c r="WL369" s="641"/>
      <c r="WM369" s="653"/>
      <c r="WO369" s="118"/>
      <c r="WP369" s="219"/>
      <c r="WQ369" s="247"/>
      <c r="WR369" s="652"/>
      <c r="WS369" s="626"/>
      <c r="WT369" s="661"/>
      <c r="WU369" s="641"/>
      <c r="WV369" s="653"/>
      <c r="WX369" s="118"/>
      <c r="WY369" s="219"/>
      <c r="WZ369" s="247"/>
      <c r="XA369" s="652"/>
      <c r="XB369" s="626"/>
      <c r="XC369" s="661"/>
      <c r="XD369" s="641"/>
      <c r="XE369" s="653"/>
      <c r="XG369" s="118"/>
      <c r="XH369" s="219"/>
      <c r="XI369" s="247"/>
      <c r="XJ369" s="652"/>
      <c r="XK369" s="626"/>
      <c r="XL369" s="661"/>
      <c r="XM369" s="641"/>
      <c r="XN369" s="653"/>
      <c r="XP369" s="118"/>
      <c r="XQ369" s="219"/>
      <c r="XR369" s="247"/>
      <c r="XS369" s="652"/>
      <c r="XT369" s="626"/>
      <c r="XU369" s="661"/>
      <c r="XV369" s="641"/>
      <c r="XW369" s="653"/>
      <c r="XY369" s="118"/>
      <c r="XZ369" s="219"/>
      <c r="YA369" s="247"/>
      <c r="YB369" s="652"/>
      <c r="YC369" s="626"/>
      <c r="YD369" s="661"/>
      <c r="YE369" s="641"/>
      <c r="YF369" s="653"/>
      <c r="YH369" s="118"/>
      <c r="YI369" s="219"/>
      <c r="YJ369" s="247"/>
      <c r="YK369" s="652"/>
      <c r="YL369" s="626"/>
      <c r="YM369" s="661"/>
      <c r="YN369" s="641"/>
      <c r="YO369" s="653"/>
      <c r="YQ369" s="118"/>
      <c r="YR369" s="219"/>
      <c r="YS369" s="247"/>
      <c r="YT369" s="652"/>
      <c r="YU369" s="626"/>
      <c r="YV369" s="661"/>
      <c r="YW369" s="641"/>
      <c r="YX369" s="653"/>
      <c r="YZ369" s="118"/>
      <c r="ZA369" s="219"/>
      <c r="ZB369" s="247"/>
      <c r="ZC369" s="652"/>
      <c r="ZD369" s="626"/>
      <c r="ZE369" s="661"/>
      <c r="ZF369" s="641"/>
      <c r="ZG369" s="653"/>
      <c r="ZI369" s="118"/>
      <c r="ZJ369" s="219"/>
      <c r="ZK369" s="247"/>
      <c r="ZL369" s="652"/>
      <c r="ZM369" s="626"/>
      <c r="ZN369" s="661"/>
      <c r="ZO369" s="641"/>
      <c r="ZP369" s="653"/>
      <c r="ZR369" s="118"/>
      <c r="ZS369" s="219"/>
      <c r="ZT369" s="247"/>
      <c r="ZU369" s="652"/>
      <c r="ZV369" s="626"/>
      <c r="ZW369" s="661"/>
      <c r="ZX369" s="641"/>
      <c r="ZY369" s="653"/>
      <c r="AAA369" s="118"/>
      <c r="AAB369" s="219"/>
      <c r="AAC369" s="247"/>
      <c r="AAD369" s="652"/>
      <c r="AAE369" s="626"/>
      <c r="AAF369" s="661"/>
      <c r="AAG369" s="641"/>
      <c r="AAH369" s="653"/>
      <c r="AAJ369" s="118"/>
      <c r="AAK369" s="219"/>
      <c r="AAL369" s="247"/>
      <c r="AAM369" s="652"/>
      <c r="AAN369" s="626"/>
      <c r="AAO369" s="661"/>
      <c r="AAP369" s="641"/>
      <c r="AAQ369" s="653"/>
      <c r="AAS369" s="118"/>
      <c r="AAT369" s="219"/>
      <c r="AAU369" s="247"/>
      <c r="AAV369" s="652"/>
      <c r="AAW369" s="626"/>
      <c r="AAX369" s="661"/>
      <c r="AAY369" s="641"/>
      <c r="AAZ369" s="653"/>
      <c r="ABB369" s="118"/>
      <c r="ABC369" s="219"/>
      <c r="ABD369" s="247"/>
      <c r="ABE369" s="652"/>
      <c r="ABF369" s="626"/>
      <c r="ABG369" s="661"/>
      <c r="ABH369" s="641"/>
      <c r="ABI369" s="653"/>
      <c r="ABK369" s="118"/>
      <c r="ABL369" s="219"/>
      <c r="ABM369" s="247"/>
      <c r="ABN369" s="652"/>
      <c r="ABO369" s="626"/>
      <c r="ABP369" s="661"/>
      <c r="ABQ369" s="641"/>
      <c r="ABR369" s="653"/>
      <c r="ABT369" s="118"/>
      <c r="ABU369" s="219"/>
      <c r="ABV369" s="247"/>
      <c r="ABW369" s="652"/>
      <c r="ABX369" s="626"/>
      <c r="ABY369" s="661"/>
      <c r="ABZ369" s="641"/>
      <c r="ACA369" s="653"/>
      <c r="ACC369" s="118"/>
      <c r="ACD369" s="219"/>
      <c r="ACE369" s="247"/>
      <c r="ACF369" s="652"/>
      <c r="ACG369" s="626"/>
      <c r="ACH369" s="661"/>
      <c r="ACI369" s="641"/>
      <c r="ACJ369" s="653"/>
      <c r="ACL369" s="118"/>
      <c r="ACM369" s="219"/>
      <c r="ACN369" s="247"/>
      <c r="ACO369" s="652"/>
      <c r="ACP369" s="626"/>
      <c r="ACQ369" s="661"/>
      <c r="ACR369" s="641"/>
      <c r="ACS369" s="653"/>
      <c r="ACU369" s="118"/>
      <c r="ACV369" s="219"/>
      <c r="ACW369" s="247"/>
      <c r="ACX369" s="652"/>
      <c r="ACY369" s="626"/>
      <c r="ACZ369" s="661"/>
      <c r="ADA369" s="641"/>
      <c r="ADB369" s="653"/>
      <c r="ADD369" s="118"/>
      <c r="ADE369" s="219"/>
      <c r="ADF369" s="247"/>
      <c r="ADG369" s="652"/>
      <c r="ADH369" s="626"/>
      <c r="ADI369" s="661"/>
      <c r="ADJ369" s="641"/>
      <c r="ADK369" s="653"/>
      <c r="ADM369" s="118"/>
      <c r="ADN369" s="219"/>
      <c r="ADO369" s="247"/>
      <c r="ADP369" s="652"/>
      <c r="ADQ369" s="626"/>
      <c r="ADR369" s="661"/>
      <c r="ADS369" s="641"/>
      <c r="ADT369" s="653"/>
      <c r="ADV369" s="118"/>
      <c r="ADW369" s="219"/>
      <c r="ADX369" s="247"/>
      <c r="ADY369" s="652"/>
      <c r="ADZ369" s="626"/>
      <c r="AEA369" s="661"/>
      <c r="AEB369" s="641"/>
      <c r="AEC369" s="653"/>
      <c r="AEE369" s="118"/>
      <c r="AEF369" s="219"/>
      <c r="AEG369" s="247"/>
      <c r="AEH369" s="652"/>
      <c r="AEI369" s="626"/>
      <c r="AEJ369" s="661"/>
      <c r="AEK369" s="641"/>
      <c r="AEL369" s="653"/>
      <c r="AEN369" s="118"/>
      <c r="AEO369" s="219"/>
      <c r="AEP369" s="247"/>
      <c r="AEQ369" s="652"/>
      <c r="AER369" s="626"/>
      <c r="AES369" s="661"/>
      <c r="AET369" s="641"/>
      <c r="AEU369" s="653"/>
      <c r="AEW369" s="118"/>
      <c r="AEX369" s="219"/>
      <c r="AEY369" s="247"/>
      <c r="AEZ369" s="652"/>
      <c r="AFA369" s="626"/>
      <c r="AFB369" s="661"/>
      <c r="AFC369" s="641"/>
      <c r="AFD369" s="653"/>
      <c r="AFF369" s="118"/>
      <c r="AFG369" s="219"/>
      <c r="AFH369" s="247"/>
      <c r="AFI369" s="652"/>
      <c r="AFJ369" s="626"/>
      <c r="AFK369" s="661"/>
      <c r="AFL369" s="641"/>
      <c r="AFM369" s="653"/>
      <c r="AFO369" s="118"/>
      <c r="AFP369" s="219"/>
      <c r="AFQ369" s="247"/>
      <c r="AFR369" s="652"/>
      <c r="AFS369" s="626"/>
      <c r="AFT369" s="661"/>
      <c r="AFU369" s="641"/>
      <c r="AFV369" s="653"/>
      <c r="AFX369" s="118"/>
      <c r="AFY369" s="219"/>
      <c r="AFZ369" s="247"/>
      <c r="AGA369" s="652"/>
      <c r="AGB369" s="626"/>
      <c r="AGC369" s="661"/>
      <c r="AGD369" s="641"/>
      <c r="AGE369" s="653"/>
      <c r="AGG369" s="118"/>
      <c r="AGH369" s="219"/>
      <c r="AGI369" s="247"/>
      <c r="AGJ369" s="652"/>
      <c r="AGK369" s="626"/>
      <c r="AGL369" s="661"/>
      <c r="AGM369" s="641"/>
      <c r="AGN369" s="653"/>
      <c r="AGP369" s="118"/>
      <c r="AGQ369" s="219"/>
      <c r="AGR369" s="247"/>
      <c r="AGS369" s="652"/>
      <c r="AGT369" s="626"/>
      <c r="AGU369" s="661"/>
      <c r="AGV369" s="641"/>
      <c r="AGW369" s="653"/>
      <c r="AGY369" s="118"/>
      <c r="AGZ369" s="219"/>
      <c r="AHA369" s="247"/>
      <c r="AHB369" s="652"/>
      <c r="AHC369" s="626"/>
      <c r="AHD369" s="661"/>
      <c r="AHE369" s="641"/>
      <c r="AHF369" s="653"/>
      <c r="AHH369" s="118"/>
      <c r="AHI369" s="219"/>
      <c r="AHJ369" s="247"/>
      <c r="AHK369" s="652"/>
      <c r="AHL369" s="626"/>
      <c r="AHM369" s="661"/>
      <c r="AHN369" s="641"/>
      <c r="AHO369" s="653"/>
      <c r="AHQ369" s="118"/>
      <c r="AHR369" s="219"/>
      <c r="AHS369" s="247"/>
      <c r="AHT369" s="652"/>
      <c r="AHU369" s="626"/>
      <c r="AHV369" s="661"/>
      <c r="AHW369" s="641"/>
      <c r="AHX369" s="653"/>
      <c r="AHZ369" s="118"/>
      <c r="AIA369" s="219"/>
      <c r="AIB369" s="247"/>
      <c r="AIC369" s="652"/>
      <c r="AID369" s="626"/>
      <c r="AIE369" s="661"/>
      <c r="AIF369" s="641"/>
      <c r="AIG369" s="653"/>
      <c r="AII369" s="118"/>
      <c r="AIJ369" s="219"/>
      <c r="AIK369" s="247"/>
      <c r="AIL369" s="652"/>
      <c r="AIM369" s="626"/>
      <c r="AIN369" s="661"/>
      <c r="AIO369" s="641"/>
      <c r="AIP369" s="653"/>
      <c r="AIR369" s="118"/>
      <c r="AIS369" s="219"/>
      <c r="AIT369" s="247"/>
      <c r="AIU369" s="652"/>
      <c r="AIV369" s="626"/>
      <c r="AIW369" s="661"/>
      <c r="AIX369" s="641"/>
      <c r="AIY369" s="653"/>
      <c r="AJA369" s="118"/>
      <c r="AJB369" s="219"/>
      <c r="AJC369" s="247"/>
      <c r="AJD369" s="652"/>
      <c r="AJE369" s="626"/>
      <c r="AJF369" s="661"/>
      <c r="AJG369" s="641"/>
      <c r="AJH369" s="653"/>
      <c r="AJJ369" s="118"/>
      <c r="AJK369" s="219"/>
      <c r="AJL369" s="247"/>
      <c r="AJM369" s="652"/>
      <c r="AJN369" s="626"/>
      <c r="AJO369" s="661"/>
      <c r="AJP369" s="641"/>
      <c r="AJQ369" s="653"/>
      <c r="AJS369" s="118"/>
      <c r="AJT369" s="219"/>
      <c r="AJU369" s="247"/>
      <c r="AJV369" s="652"/>
      <c r="AJW369" s="626"/>
      <c r="AJX369" s="661"/>
      <c r="AJY369" s="641"/>
      <c r="AJZ369" s="653"/>
      <c r="AKB369" s="118"/>
      <c r="AKC369" s="219"/>
      <c r="AKD369" s="247"/>
      <c r="AKE369" s="652"/>
      <c r="AKF369" s="626"/>
      <c r="AKG369" s="661"/>
      <c r="AKH369" s="641"/>
      <c r="AKI369" s="653"/>
      <c r="AKK369" s="118"/>
      <c r="AKL369" s="219"/>
      <c r="AKM369" s="247"/>
      <c r="AKN369" s="652"/>
      <c r="AKO369" s="626"/>
      <c r="AKP369" s="661"/>
      <c r="AKQ369" s="641"/>
      <c r="AKR369" s="653"/>
      <c r="AKT369" s="118"/>
      <c r="AKU369" s="219"/>
      <c r="AKV369" s="247"/>
      <c r="AKW369" s="652"/>
      <c r="AKX369" s="626"/>
      <c r="AKY369" s="661"/>
      <c r="AKZ369" s="641"/>
      <c r="ALA369" s="653"/>
      <c r="ALC369" s="118"/>
      <c r="ALD369" s="219"/>
      <c r="ALE369" s="247"/>
      <c r="ALF369" s="652"/>
      <c r="ALG369" s="626"/>
      <c r="ALH369" s="661"/>
      <c r="ALI369" s="641"/>
      <c r="ALJ369" s="653"/>
      <c r="ALL369" s="118"/>
      <c r="ALM369" s="219"/>
      <c r="ALN369" s="247"/>
      <c r="ALO369" s="652"/>
      <c r="ALP369" s="626"/>
      <c r="ALQ369" s="661"/>
      <c r="ALR369" s="641"/>
      <c r="ALS369" s="653"/>
      <c r="ALU369" s="118"/>
      <c r="ALV369" s="219"/>
      <c r="ALW369" s="247"/>
      <c r="ALX369" s="652"/>
      <c r="ALY369" s="626"/>
      <c r="ALZ369" s="661"/>
      <c r="AMA369" s="641"/>
      <c r="AMB369" s="653"/>
      <c r="AMD369" s="118"/>
      <c r="AME369" s="219"/>
      <c r="AMF369" s="247"/>
      <c r="AMG369" s="652"/>
      <c r="AMH369" s="626"/>
      <c r="AMI369" s="661"/>
      <c r="AMJ369" s="641"/>
      <c r="AMK369" s="653"/>
      <c r="AMM369" s="118"/>
      <c r="AMN369" s="219"/>
      <c r="AMO369" s="247"/>
      <c r="AMP369" s="652"/>
      <c r="AMQ369" s="626"/>
      <c r="AMR369" s="661"/>
      <c r="AMS369" s="641"/>
      <c r="AMT369" s="653"/>
      <c r="AMV369" s="118"/>
      <c r="AMW369" s="219"/>
      <c r="AMX369" s="247"/>
      <c r="AMY369" s="652"/>
      <c r="AMZ369" s="626"/>
      <c r="ANA369" s="661"/>
      <c r="ANB369" s="641"/>
      <c r="ANC369" s="653"/>
      <c r="ANE369" s="118"/>
      <c r="ANF369" s="219"/>
      <c r="ANG369" s="247"/>
      <c r="ANH369" s="652"/>
      <c r="ANI369" s="626"/>
      <c r="ANJ369" s="661"/>
      <c r="ANK369" s="641"/>
      <c r="ANL369" s="653"/>
      <c r="ANN369" s="118"/>
      <c r="ANO369" s="219"/>
      <c r="ANP369" s="247"/>
      <c r="ANQ369" s="652"/>
      <c r="ANR369" s="626"/>
      <c r="ANS369" s="661"/>
      <c r="ANT369" s="641"/>
      <c r="ANU369" s="653"/>
      <c r="ANW369" s="118"/>
      <c r="ANX369" s="219"/>
      <c r="ANY369" s="247"/>
      <c r="ANZ369" s="652"/>
      <c r="AOA369" s="626"/>
      <c r="AOB369" s="661"/>
      <c r="AOC369" s="641"/>
      <c r="AOD369" s="653"/>
      <c r="AOF369" s="118"/>
      <c r="AOG369" s="219"/>
      <c r="AOH369" s="247"/>
      <c r="AOI369" s="652"/>
      <c r="AOJ369" s="626"/>
      <c r="AOK369" s="661"/>
      <c r="AOL369" s="641"/>
      <c r="AOM369" s="653"/>
      <c r="AOO369" s="118"/>
      <c r="AOP369" s="219"/>
      <c r="AOQ369" s="247"/>
      <c r="AOR369" s="652"/>
      <c r="AOS369" s="626"/>
      <c r="AOT369" s="661"/>
      <c r="AOU369" s="641"/>
      <c r="AOV369" s="653"/>
      <c r="AOX369" s="118"/>
      <c r="AOY369" s="219"/>
      <c r="AOZ369" s="247"/>
      <c r="APA369" s="652"/>
      <c r="APB369" s="626"/>
      <c r="APC369" s="661"/>
      <c r="APD369" s="641"/>
      <c r="APE369" s="653"/>
      <c r="APG369" s="118"/>
      <c r="APH369" s="219"/>
      <c r="API369" s="247"/>
      <c r="APJ369" s="652"/>
      <c r="APK369" s="626"/>
      <c r="APL369" s="661"/>
      <c r="APM369" s="641"/>
      <c r="APN369" s="653"/>
      <c r="APP369" s="118"/>
      <c r="APQ369" s="219"/>
      <c r="APR369" s="247"/>
      <c r="APS369" s="652"/>
      <c r="APT369" s="626"/>
      <c r="APU369" s="661"/>
      <c r="APV369" s="641"/>
      <c r="APW369" s="653"/>
      <c r="APY369" s="118"/>
      <c r="APZ369" s="219"/>
      <c r="AQA369" s="247"/>
      <c r="AQB369" s="652"/>
      <c r="AQC369" s="626"/>
      <c r="AQD369" s="661"/>
      <c r="AQE369" s="641"/>
      <c r="AQF369" s="653"/>
      <c r="AQH369" s="118"/>
      <c r="AQI369" s="219"/>
      <c r="AQJ369" s="247"/>
      <c r="AQK369" s="652"/>
      <c r="AQL369" s="626"/>
      <c r="AQM369" s="661"/>
      <c r="AQN369" s="641"/>
      <c r="AQO369" s="653"/>
      <c r="AQQ369" s="118"/>
      <c r="AQR369" s="219"/>
      <c r="AQS369" s="247"/>
      <c r="AQT369" s="652"/>
      <c r="AQU369" s="626"/>
      <c r="AQV369" s="661"/>
      <c r="AQW369" s="641"/>
      <c r="AQX369" s="653"/>
      <c r="AQZ369" s="118"/>
      <c r="ARA369" s="219"/>
      <c r="ARB369" s="247"/>
      <c r="ARC369" s="652"/>
      <c r="ARD369" s="626"/>
      <c r="ARE369" s="661"/>
      <c r="ARF369" s="641"/>
      <c r="ARG369" s="653"/>
      <c r="ARI369" s="118"/>
      <c r="ARJ369" s="219"/>
      <c r="ARK369" s="247"/>
      <c r="ARL369" s="652"/>
      <c r="ARM369" s="626"/>
      <c r="ARN369" s="661"/>
      <c r="ARO369" s="641"/>
      <c r="ARP369" s="653"/>
      <c r="ARR369" s="118"/>
      <c r="ARS369" s="219"/>
      <c r="ART369" s="247"/>
      <c r="ARU369" s="652"/>
      <c r="ARV369" s="626"/>
      <c r="ARW369" s="661"/>
      <c r="ARX369" s="641"/>
      <c r="ARY369" s="653"/>
      <c r="ASA369" s="118"/>
      <c r="ASB369" s="219"/>
      <c r="ASC369" s="247"/>
      <c r="ASD369" s="652"/>
      <c r="ASE369" s="626"/>
      <c r="ASF369" s="661"/>
      <c r="ASG369" s="641"/>
      <c r="ASH369" s="653"/>
      <c r="ASJ369" s="118"/>
      <c r="ASK369" s="219"/>
      <c r="ASL369" s="247"/>
      <c r="ASM369" s="652"/>
      <c r="ASN369" s="626"/>
      <c r="ASO369" s="661"/>
      <c r="ASP369" s="641"/>
      <c r="ASQ369" s="653"/>
      <c r="ASS369" s="118"/>
      <c r="AST369" s="219"/>
      <c r="ASU369" s="247"/>
      <c r="ASV369" s="652"/>
      <c r="ASW369" s="626"/>
      <c r="ASX369" s="661"/>
      <c r="ASY369" s="641"/>
      <c r="ASZ369" s="653"/>
      <c r="ATB369" s="118"/>
      <c r="ATC369" s="219"/>
      <c r="ATD369" s="247"/>
      <c r="ATE369" s="652"/>
      <c r="ATF369" s="626"/>
      <c r="ATG369" s="661"/>
      <c r="ATH369" s="641"/>
      <c r="ATI369" s="653"/>
      <c r="ATK369" s="118"/>
      <c r="ATL369" s="219"/>
      <c r="ATM369" s="247"/>
      <c r="ATN369" s="652"/>
      <c r="ATO369" s="626"/>
      <c r="ATP369" s="661"/>
      <c r="ATQ369" s="641"/>
      <c r="ATR369" s="653"/>
      <c r="ATT369" s="118"/>
      <c r="ATU369" s="219"/>
      <c r="ATV369" s="247"/>
      <c r="ATW369" s="652"/>
      <c r="ATX369" s="626"/>
      <c r="ATY369" s="661"/>
      <c r="ATZ369" s="641"/>
      <c r="AUA369" s="653"/>
      <c r="AUC369" s="118"/>
      <c r="AUD369" s="219"/>
      <c r="AUE369" s="247"/>
      <c r="AUF369" s="652"/>
      <c r="AUG369" s="626"/>
      <c r="AUH369" s="661"/>
      <c r="AUI369" s="641"/>
      <c r="AUJ369" s="653"/>
      <c r="AUL369" s="118"/>
      <c r="AUM369" s="219"/>
      <c r="AUN369" s="247"/>
      <c r="AUO369" s="652"/>
      <c r="AUP369" s="626"/>
      <c r="AUQ369" s="661"/>
      <c r="AUR369" s="641"/>
      <c r="AUS369" s="653"/>
      <c r="AUU369" s="118"/>
      <c r="AUV369" s="219"/>
      <c r="AUW369" s="247"/>
      <c r="AUX369" s="652"/>
      <c r="AUY369" s="626"/>
      <c r="AUZ369" s="661"/>
      <c r="AVA369" s="641"/>
      <c r="AVB369" s="653"/>
      <c r="AVD369" s="118"/>
      <c r="AVE369" s="219"/>
      <c r="AVF369" s="247"/>
      <c r="AVG369" s="652"/>
      <c r="AVH369" s="626"/>
      <c r="AVI369" s="661"/>
      <c r="AVJ369" s="641"/>
      <c r="AVK369" s="653"/>
      <c r="AVM369" s="118"/>
      <c r="AVN369" s="219"/>
      <c r="AVO369" s="247"/>
      <c r="AVP369" s="652"/>
      <c r="AVQ369" s="626"/>
      <c r="AVR369" s="661"/>
      <c r="AVS369" s="641"/>
      <c r="AVT369" s="653"/>
      <c r="AVV369" s="118"/>
      <c r="AVW369" s="219"/>
      <c r="AVX369" s="247"/>
      <c r="AVY369" s="652"/>
      <c r="AVZ369" s="626"/>
      <c r="AWA369" s="661"/>
      <c r="AWB369" s="641"/>
      <c r="AWC369" s="653"/>
      <c r="AWE369" s="118"/>
      <c r="AWF369" s="219"/>
      <c r="AWG369" s="247"/>
      <c r="AWH369" s="652"/>
      <c r="AWI369" s="626"/>
      <c r="AWJ369" s="661"/>
      <c r="AWK369" s="641"/>
      <c r="AWL369" s="653"/>
      <c r="AWN369" s="118"/>
      <c r="AWO369" s="219"/>
      <c r="AWP369" s="247"/>
      <c r="AWQ369" s="652"/>
      <c r="AWR369" s="626"/>
      <c r="AWS369" s="661"/>
      <c r="AWT369" s="641"/>
      <c r="AWU369" s="653"/>
      <c r="AWW369" s="118"/>
      <c r="AWX369" s="219"/>
      <c r="AWY369" s="247"/>
      <c r="AWZ369" s="652"/>
      <c r="AXA369" s="626"/>
      <c r="AXB369" s="661"/>
      <c r="AXC369" s="641"/>
      <c r="AXD369" s="653"/>
      <c r="AXF369" s="118"/>
      <c r="AXG369" s="219"/>
      <c r="AXH369" s="247"/>
      <c r="AXI369" s="652"/>
      <c r="AXJ369" s="626"/>
      <c r="AXK369" s="661"/>
      <c r="AXL369" s="641"/>
      <c r="AXM369" s="653"/>
      <c r="AXO369" s="118"/>
      <c r="AXP369" s="219"/>
      <c r="AXQ369" s="247"/>
      <c r="AXR369" s="652"/>
      <c r="AXS369" s="626"/>
      <c r="AXT369" s="661"/>
      <c r="AXU369" s="641"/>
      <c r="AXV369" s="653"/>
      <c r="AXX369" s="118"/>
      <c r="AXY369" s="219"/>
      <c r="AXZ369" s="247"/>
      <c r="AYA369" s="652"/>
      <c r="AYB369" s="626"/>
      <c r="AYC369" s="661"/>
      <c r="AYD369" s="641"/>
      <c r="AYE369" s="653"/>
      <c r="AYG369" s="118"/>
      <c r="AYH369" s="219"/>
      <c r="AYI369" s="247"/>
      <c r="AYJ369" s="652"/>
      <c r="AYK369" s="626"/>
      <c r="AYL369" s="661"/>
      <c r="AYM369" s="641"/>
      <c r="AYN369" s="653"/>
      <c r="AYP369" s="118"/>
      <c r="AYQ369" s="219"/>
      <c r="AYR369" s="247"/>
      <c r="AYS369" s="652"/>
      <c r="AYT369" s="626"/>
      <c r="AYU369" s="661"/>
      <c r="AYV369" s="641"/>
      <c r="AYW369" s="653"/>
      <c r="AYY369" s="118"/>
      <c r="AYZ369" s="219"/>
      <c r="AZA369" s="247"/>
      <c r="AZB369" s="652"/>
      <c r="AZC369" s="626"/>
      <c r="AZD369" s="661"/>
      <c r="AZE369" s="641"/>
      <c r="AZF369" s="653"/>
      <c r="AZH369" s="118"/>
      <c r="AZI369" s="219"/>
      <c r="AZJ369" s="247"/>
      <c r="AZK369" s="652"/>
      <c r="AZL369" s="626"/>
      <c r="AZM369" s="661"/>
      <c r="AZN369" s="641"/>
      <c r="AZO369" s="653"/>
      <c r="AZQ369" s="118"/>
      <c r="AZR369" s="219"/>
      <c r="AZS369" s="247"/>
      <c r="AZT369" s="652"/>
      <c r="AZU369" s="626"/>
      <c r="AZV369" s="661"/>
      <c r="AZW369" s="641"/>
      <c r="AZX369" s="653"/>
      <c r="AZZ369" s="118"/>
      <c r="BAA369" s="219"/>
      <c r="BAB369" s="247"/>
      <c r="BAC369" s="652"/>
      <c r="BAD369" s="626"/>
      <c r="BAE369" s="661"/>
      <c r="BAF369" s="641"/>
      <c r="BAG369" s="653"/>
      <c r="BAI369" s="118"/>
      <c r="BAJ369" s="219"/>
      <c r="BAK369" s="247"/>
      <c r="BAL369" s="652"/>
      <c r="BAM369" s="626"/>
      <c r="BAN369" s="661"/>
      <c r="BAO369" s="641"/>
      <c r="BAP369" s="653"/>
      <c r="BAR369" s="118"/>
      <c r="BAS369" s="219"/>
      <c r="BAT369" s="247"/>
      <c r="BAU369" s="652"/>
      <c r="BAV369" s="626"/>
      <c r="BAW369" s="661"/>
      <c r="BAX369" s="641"/>
      <c r="BAY369" s="653"/>
      <c r="BBA369" s="118"/>
      <c r="BBB369" s="219"/>
      <c r="BBC369" s="247"/>
      <c r="BBD369" s="652"/>
      <c r="BBE369" s="626"/>
      <c r="BBF369" s="661"/>
      <c r="BBG369" s="641"/>
      <c r="BBH369" s="653"/>
      <c r="BBJ369" s="118"/>
      <c r="BBK369" s="219"/>
      <c r="BBL369" s="247"/>
      <c r="BBM369" s="652"/>
      <c r="BBN369" s="626"/>
      <c r="BBO369" s="661"/>
      <c r="BBP369" s="641"/>
      <c r="BBQ369" s="653"/>
      <c r="BBS369" s="118"/>
      <c r="BBT369" s="219"/>
      <c r="BBU369" s="247"/>
      <c r="BBV369" s="652"/>
      <c r="BBW369" s="626"/>
      <c r="BBX369" s="661"/>
      <c r="BBY369" s="641"/>
      <c r="BBZ369" s="653"/>
      <c r="BCB369" s="118"/>
      <c r="BCC369" s="219"/>
      <c r="BCD369" s="247"/>
      <c r="BCE369" s="652"/>
      <c r="BCF369" s="626"/>
      <c r="BCG369" s="661"/>
      <c r="BCH369" s="641"/>
      <c r="BCI369" s="653"/>
      <c r="BCK369" s="118"/>
      <c r="BCL369" s="219"/>
      <c r="BCM369" s="247"/>
      <c r="BCN369" s="652"/>
      <c r="BCO369" s="626"/>
      <c r="BCP369" s="661"/>
      <c r="BCQ369" s="641"/>
      <c r="BCR369" s="653"/>
      <c r="BCT369" s="118"/>
      <c r="BCU369" s="219"/>
      <c r="BCV369" s="247"/>
      <c r="BCW369" s="652"/>
      <c r="BCX369" s="626"/>
      <c r="BCY369" s="661"/>
      <c r="BCZ369" s="641"/>
      <c r="BDA369" s="653"/>
      <c r="BDC369" s="118"/>
      <c r="BDD369" s="219"/>
      <c r="BDE369" s="247"/>
      <c r="BDF369" s="652"/>
      <c r="BDG369" s="626"/>
      <c r="BDH369" s="661"/>
      <c r="BDI369" s="641"/>
      <c r="BDJ369" s="653"/>
      <c r="BDL369" s="118"/>
      <c r="BDM369" s="219"/>
      <c r="BDN369" s="247"/>
      <c r="BDO369" s="652"/>
      <c r="BDP369" s="626"/>
      <c r="BDQ369" s="661"/>
      <c r="BDR369" s="641"/>
      <c r="BDS369" s="653"/>
      <c r="BDU369" s="118"/>
      <c r="BDV369" s="219"/>
      <c r="BDW369" s="247"/>
      <c r="BDX369" s="652"/>
      <c r="BDY369" s="626"/>
      <c r="BDZ369" s="661"/>
      <c r="BEA369" s="641"/>
      <c r="BEB369" s="653"/>
      <c r="BED369" s="118"/>
      <c r="BEE369" s="219"/>
      <c r="BEF369" s="247"/>
      <c r="BEG369" s="652"/>
      <c r="BEH369" s="626"/>
      <c r="BEI369" s="661"/>
      <c r="BEJ369" s="641"/>
      <c r="BEK369" s="653"/>
      <c r="BEM369" s="118"/>
      <c r="BEN369" s="219"/>
      <c r="BEO369" s="247"/>
      <c r="BEP369" s="652"/>
      <c r="BEQ369" s="626"/>
      <c r="BER369" s="661"/>
      <c r="BES369" s="641"/>
      <c r="BET369" s="653"/>
      <c r="BEV369" s="118"/>
      <c r="BEW369" s="219"/>
      <c r="BEX369" s="247"/>
      <c r="BEY369" s="652"/>
      <c r="BEZ369" s="626"/>
      <c r="BFA369" s="661"/>
      <c r="BFB369" s="641"/>
      <c r="BFC369" s="653"/>
      <c r="BFE369" s="118"/>
      <c r="BFF369" s="219"/>
      <c r="BFG369" s="247"/>
      <c r="BFH369" s="652"/>
      <c r="BFI369" s="626"/>
      <c r="BFJ369" s="661"/>
      <c r="BFK369" s="641"/>
      <c r="BFL369" s="653"/>
      <c r="BFN369" s="118"/>
      <c r="BFO369" s="219"/>
      <c r="BFP369" s="247"/>
      <c r="BFQ369" s="652"/>
      <c r="BFR369" s="626"/>
      <c r="BFS369" s="661"/>
      <c r="BFT369" s="641"/>
      <c r="BFU369" s="653"/>
      <c r="BFW369" s="118"/>
      <c r="BFX369" s="219"/>
      <c r="BFY369" s="247"/>
      <c r="BFZ369" s="652"/>
      <c r="BGA369" s="626"/>
      <c r="BGB369" s="661"/>
      <c r="BGC369" s="641"/>
      <c r="BGD369" s="653"/>
      <c r="BGF369" s="118"/>
      <c r="BGG369" s="219"/>
      <c r="BGH369" s="247"/>
      <c r="BGI369" s="652"/>
      <c r="BGJ369" s="626"/>
      <c r="BGK369" s="661"/>
      <c r="BGL369" s="641"/>
      <c r="BGM369" s="653"/>
      <c r="BGO369" s="118"/>
      <c r="BGP369" s="219"/>
      <c r="BGQ369" s="247"/>
      <c r="BGR369" s="652"/>
      <c r="BGS369" s="626"/>
      <c r="BGT369" s="661"/>
      <c r="BGU369" s="641"/>
      <c r="BGV369" s="653"/>
      <c r="BGX369" s="118"/>
      <c r="BGY369" s="219"/>
      <c r="BGZ369" s="247"/>
      <c r="BHA369" s="652"/>
      <c r="BHB369" s="626"/>
      <c r="BHC369" s="661"/>
      <c r="BHD369" s="641"/>
      <c r="BHE369" s="653"/>
      <c r="BHG369" s="118"/>
      <c r="BHH369" s="219"/>
      <c r="BHI369" s="247"/>
      <c r="BHJ369" s="652"/>
      <c r="BHK369" s="626"/>
      <c r="BHL369" s="661"/>
      <c r="BHM369" s="641"/>
      <c r="BHN369" s="653"/>
      <c r="BHP369" s="118"/>
      <c r="BHQ369" s="219"/>
      <c r="BHR369" s="247"/>
      <c r="BHS369" s="652"/>
      <c r="BHT369" s="626"/>
      <c r="BHU369" s="661"/>
      <c r="BHV369" s="641"/>
      <c r="BHW369" s="653"/>
      <c r="BHY369" s="118"/>
      <c r="BHZ369" s="219"/>
      <c r="BIA369" s="247"/>
      <c r="BIB369" s="652"/>
      <c r="BIC369" s="626"/>
      <c r="BID369" s="661"/>
      <c r="BIE369" s="641"/>
      <c r="BIF369" s="653"/>
      <c r="BIH369" s="118"/>
      <c r="BII369" s="219"/>
      <c r="BIJ369" s="247"/>
      <c r="BIK369" s="652"/>
      <c r="BIL369" s="626"/>
      <c r="BIM369" s="661"/>
      <c r="BIN369" s="641"/>
      <c r="BIO369" s="653"/>
      <c r="BIQ369" s="118"/>
      <c r="BIR369" s="219"/>
      <c r="BIS369" s="247"/>
      <c r="BIT369" s="652"/>
      <c r="BIU369" s="626"/>
      <c r="BIV369" s="661"/>
      <c r="BIW369" s="641"/>
      <c r="BIX369" s="653"/>
      <c r="BIZ369" s="118"/>
      <c r="BJA369" s="219"/>
      <c r="BJB369" s="247"/>
      <c r="BJC369" s="652"/>
      <c r="BJD369" s="626"/>
      <c r="BJE369" s="661"/>
      <c r="BJF369" s="641"/>
      <c r="BJG369" s="653"/>
      <c r="BJI369" s="118"/>
      <c r="BJJ369" s="219"/>
      <c r="BJK369" s="247"/>
      <c r="BJL369" s="652"/>
      <c r="BJM369" s="626"/>
      <c r="BJN369" s="661"/>
      <c r="BJO369" s="641"/>
      <c r="BJP369" s="653"/>
      <c r="BJR369" s="118"/>
      <c r="BJS369" s="219"/>
      <c r="BJT369" s="247"/>
      <c r="BJU369" s="652"/>
      <c r="BJV369" s="626"/>
      <c r="BJW369" s="661"/>
      <c r="BJX369" s="641"/>
      <c r="BJY369" s="653"/>
      <c r="BKA369" s="118"/>
      <c r="BKB369" s="219"/>
      <c r="BKC369" s="247"/>
      <c r="BKD369" s="652"/>
      <c r="BKE369" s="626"/>
      <c r="BKF369" s="661"/>
      <c r="BKG369" s="641"/>
      <c r="BKH369" s="653"/>
      <c r="BKJ369" s="118"/>
      <c r="BKK369" s="219"/>
      <c r="BKL369" s="247"/>
      <c r="BKM369" s="652"/>
      <c r="BKN369" s="626"/>
      <c r="BKO369" s="661"/>
      <c r="BKP369" s="641"/>
      <c r="BKQ369" s="653"/>
      <c r="BKS369" s="118"/>
      <c r="BKT369" s="219"/>
      <c r="BKU369" s="247"/>
      <c r="BKV369" s="652"/>
      <c r="BKW369" s="626"/>
      <c r="BKX369" s="661"/>
      <c r="BKY369" s="641"/>
      <c r="BKZ369" s="653"/>
      <c r="BLB369" s="118"/>
      <c r="BLC369" s="219"/>
      <c r="BLD369" s="247"/>
      <c r="BLE369" s="652"/>
      <c r="BLF369" s="626"/>
      <c r="BLG369" s="661"/>
      <c r="BLH369" s="641"/>
      <c r="BLI369" s="653"/>
      <c r="BLK369" s="118"/>
      <c r="BLL369" s="219"/>
      <c r="BLM369" s="247"/>
      <c r="BLN369" s="652"/>
      <c r="BLO369" s="626"/>
      <c r="BLP369" s="661"/>
      <c r="BLQ369" s="641"/>
      <c r="BLR369" s="653"/>
      <c r="BLT369" s="118"/>
      <c r="BLU369" s="219"/>
      <c r="BLV369" s="247"/>
      <c r="BLW369" s="652"/>
      <c r="BLX369" s="626"/>
      <c r="BLY369" s="661"/>
      <c r="BLZ369" s="641"/>
      <c r="BMA369" s="653"/>
      <c r="BMC369" s="118"/>
      <c r="BMD369" s="219"/>
      <c r="BME369" s="247"/>
      <c r="BMF369" s="652"/>
      <c r="BMG369" s="626"/>
      <c r="BMH369" s="661"/>
      <c r="BMI369" s="641"/>
      <c r="BMJ369" s="653"/>
      <c r="BML369" s="118"/>
      <c r="BMM369" s="219"/>
      <c r="BMN369" s="247"/>
      <c r="BMO369" s="652"/>
      <c r="BMP369" s="626"/>
      <c r="BMQ369" s="661"/>
      <c r="BMR369" s="641"/>
      <c r="BMS369" s="653"/>
      <c r="BMU369" s="118"/>
      <c r="BMV369" s="219"/>
      <c r="BMW369" s="247"/>
      <c r="BMX369" s="652"/>
      <c r="BMY369" s="626"/>
      <c r="BMZ369" s="661"/>
      <c r="BNA369" s="641"/>
      <c r="BNB369" s="653"/>
      <c r="BND369" s="118"/>
      <c r="BNE369" s="219"/>
      <c r="BNF369" s="247"/>
      <c r="BNG369" s="652"/>
      <c r="BNH369" s="626"/>
      <c r="BNI369" s="661"/>
      <c r="BNJ369" s="641"/>
      <c r="BNK369" s="653"/>
      <c r="BNM369" s="118"/>
      <c r="BNN369" s="219"/>
      <c r="BNO369" s="247"/>
      <c r="BNP369" s="652"/>
      <c r="BNQ369" s="626"/>
      <c r="BNR369" s="661"/>
      <c r="BNS369" s="641"/>
      <c r="BNT369" s="653"/>
      <c r="BNV369" s="118"/>
      <c r="BNW369" s="219"/>
      <c r="BNX369" s="247"/>
      <c r="BNY369" s="652"/>
      <c r="BNZ369" s="626"/>
      <c r="BOA369" s="661"/>
      <c r="BOB369" s="641"/>
      <c r="BOC369" s="653"/>
      <c r="BOE369" s="118"/>
      <c r="BOF369" s="219"/>
      <c r="BOG369" s="247"/>
      <c r="BOH369" s="652"/>
      <c r="BOI369" s="626"/>
      <c r="BOJ369" s="661"/>
      <c r="BOK369" s="641"/>
      <c r="BOL369" s="653"/>
      <c r="BON369" s="118"/>
      <c r="BOO369" s="219"/>
      <c r="BOP369" s="247"/>
      <c r="BOQ369" s="652"/>
      <c r="BOR369" s="626"/>
      <c r="BOS369" s="661"/>
      <c r="BOT369" s="641"/>
      <c r="BOU369" s="653"/>
      <c r="BOW369" s="118"/>
      <c r="BOX369" s="219"/>
      <c r="BOY369" s="247"/>
      <c r="BOZ369" s="652"/>
      <c r="BPA369" s="626"/>
      <c r="BPB369" s="661"/>
      <c r="BPC369" s="641"/>
      <c r="BPD369" s="653"/>
      <c r="BPF369" s="118"/>
      <c r="BPG369" s="219"/>
      <c r="BPH369" s="247"/>
      <c r="BPI369" s="652"/>
      <c r="BPJ369" s="626"/>
      <c r="BPK369" s="661"/>
      <c r="BPL369" s="641"/>
      <c r="BPM369" s="653"/>
      <c r="BPO369" s="118"/>
      <c r="BPP369" s="219"/>
      <c r="BPQ369" s="247"/>
      <c r="BPR369" s="652"/>
      <c r="BPS369" s="626"/>
      <c r="BPT369" s="661"/>
      <c r="BPU369" s="641"/>
      <c r="BPV369" s="653"/>
      <c r="BPX369" s="118"/>
      <c r="BPY369" s="219"/>
      <c r="BPZ369" s="247"/>
      <c r="BQA369" s="652"/>
      <c r="BQB369" s="626"/>
      <c r="BQC369" s="661"/>
      <c r="BQD369" s="641"/>
      <c r="BQE369" s="653"/>
      <c r="BQG369" s="118"/>
      <c r="BQH369" s="219"/>
      <c r="BQI369" s="247"/>
      <c r="BQJ369" s="652"/>
      <c r="BQK369" s="626"/>
      <c r="BQL369" s="661"/>
      <c r="BQM369" s="641"/>
      <c r="BQN369" s="653"/>
      <c r="BQP369" s="118"/>
      <c r="BQQ369" s="219"/>
      <c r="BQR369" s="247"/>
      <c r="BQS369" s="652"/>
      <c r="BQT369" s="626"/>
      <c r="BQU369" s="661"/>
      <c r="BQV369" s="641"/>
      <c r="BQW369" s="653"/>
      <c r="BQY369" s="118"/>
      <c r="BQZ369" s="219"/>
      <c r="BRA369" s="247"/>
      <c r="BRB369" s="652"/>
      <c r="BRC369" s="626"/>
      <c r="BRD369" s="661"/>
      <c r="BRE369" s="641"/>
      <c r="BRF369" s="653"/>
      <c r="BRH369" s="118"/>
      <c r="BRI369" s="219"/>
      <c r="BRJ369" s="247"/>
      <c r="BRK369" s="652"/>
      <c r="BRL369" s="626"/>
      <c r="BRM369" s="661"/>
      <c r="BRN369" s="641"/>
      <c r="BRO369" s="653"/>
      <c r="BRQ369" s="118"/>
      <c r="BRR369" s="219"/>
      <c r="BRS369" s="247"/>
      <c r="BRT369" s="652"/>
      <c r="BRU369" s="626"/>
      <c r="BRV369" s="661"/>
      <c r="BRW369" s="641"/>
      <c r="BRX369" s="653"/>
      <c r="BRZ369" s="118"/>
      <c r="BSA369" s="219"/>
      <c r="BSB369" s="247"/>
      <c r="BSC369" s="652"/>
      <c r="BSD369" s="626"/>
      <c r="BSE369" s="661"/>
      <c r="BSF369" s="641"/>
      <c r="BSG369" s="653"/>
      <c r="BSI369" s="118"/>
      <c r="BSJ369" s="219"/>
      <c r="BSK369" s="247"/>
      <c r="BSL369" s="652"/>
      <c r="BSM369" s="626"/>
      <c r="BSN369" s="661"/>
      <c r="BSO369" s="641"/>
      <c r="BSP369" s="653"/>
      <c r="BSR369" s="118"/>
      <c r="BSS369" s="219"/>
      <c r="BST369" s="247"/>
      <c r="BSU369" s="652"/>
      <c r="BSV369" s="626"/>
      <c r="BSW369" s="661"/>
      <c r="BSX369" s="641"/>
      <c r="BSY369" s="653"/>
      <c r="BTA369" s="118"/>
      <c r="BTB369" s="219"/>
      <c r="BTC369" s="247"/>
      <c r="BTD369" s="652"/>
      <c r="BTE369" s="626"/>
      <c r="BTF369" s="661"/>
      <c r="BTG369" s="641"/>
      <c r="BTH369" s="653"/>
      <c r="BTJ369" s="118"/>
      <c r="BTK369" s="219"/>
      <c r="BTL369" s="247"/>
      <c r="BTM369" s="652"/>
      <c r="BTN369" s="626"/>
      <c r="BTO369" s="661"/>
      <c r="BTP369" s="641"/>
      <c r="BTQ369" s="653"/>
      <c r="BTS369" s="118"/>
      <c r="BTT369" s="219"/>
      <c r="BTU369" s="247"/>
      <c r="BTV369" s="652"/>
      <c r="BTW369" s="626"/>
      <c r="BTX369" s="661"/>
      <c r="BTY369" s="641"/>
      <c r="BTZ369" s="653"/>
      <c r="BUB369" s="118"/>
      <c r="BUC369" s="219"/>
      <c r="BUD369" s="247"/>
      <c r="BUE369" s="652"/>
      <c r="BUF369" s="626"/>
      <c r="BUG369" s="661"/>
      <c r="BUH369" s="641"/>
      <c r="BUI369" s="653"/>
      <c r="BUK369" s="118"/>
      <c r="BUL369" s="219"/>
      <c r="BUM369" s="247"/>
      <c r="BUN369" s="652"/>
      <c r="BUO369" s="626"/>
      <c r="BUP369" s="661"/>
      <c r="BUQ369" s="641"/>
      <c r="BUR369" s="653"/>
      <c r="BUT369" s="118"/>
      <c r="BUU369" s="219"/>
      <c r="BUV369" s="247"/>
      <c r="BUW369" s="652"/>
      <c r="BUX369" s="626"/>
      <c r="BUY369" s="661"/>
      <c r="BUZ369" s="641"/>
      <c r="BVA369" s="653"/>
      <c r="BVC369" s="118"/>
      <c r="BVD369" s="219"/>
      <c r="BVE369" s="247"/>
      <c r="BVF369" s="652"/>
      <c r="BVG369" s="626"/>
      <c r="BVH369" s="661"/>
      <c r="BVI369" s="641"/>
      <c r="BVJ369" s="653"/>
      <c r="BVL369" s="118"/>
      <c r="BVM369" s="219"/>
      <c r="BVN369" s="247"/>
      <c r="BVO369" s="652"/>
      <c r="BVP369" s="626"/>
      <c r="BVQ369" s="661"/>
      <c r="BVR369" s="641"/>
      <c r="BVS369" s="653"/>
      <c r="BVU369" s="118"/>
      <c r="BVV369" s="219"/>
      <c r="BVW369" s="247"/>
      <c r="BVX369" s="652"/>
      <c r="BVY369" s="626"/>
      <c r="BVZ369" s="661"/>
      <c r="BWA369" s="641"/>
      <c r="BWB369" s="653"/>
      <c r="BWD369" s="118"/>
      <c r="BWE369" s="219"/>
      <c r="BWF369" s="247"/>
      <c r="BWG369" s="652"/>
      <c r="BWH369" s="626"/>
      <c r="BWI369" s="661"/>
      <c r="BWJ369" s="641"/>
      <c r="BWK369" s="653"/>
      <c r="BWM369" s="118"/>
      <c r="BWN369" s="219"/>
      <c r="BWO369" s="247"/>
      <c r="BWP369" s="652"/>
      <c r="BWQ369" s="626"/>
      <c r="BWR369" s="661"/>
      <c r="BWS369" s="641"/>
      <c r="BWT369" s="653"/>
      <c r="BWV369" s="118"/>
      <c r="BWW369" s="219"/>
      <c r="BWX369" s="247"/>
      <c r="BWY369" s="652"/>
      <c r="BWZ369" s="626"/>
      <c r="BXA369" s="661"/>
      <c r="BXB369" s="641"/>
      <c r="BXC369" s="653"/>
      <c r="BXE369" s="118"/>
      <c r="BXF369" s="219"/>
      <c r="BXG369" s="247"/>
      <c r="BXH369" s="652"/>
      <c r="BXI369" s="626"/>
      <c r="BXJ369" s="661"/>
      <c r="BXK369" s="641"/>
      <c r="BXL369" s="653"/>
      <c r="BXN369" s="118"/>
      <c r="BXO369" s="219"/>
      <c r="BXP369" s="247"/>
      <c r="BXQ369" s="652"/>
      <c r="BXR369" s="626"/>
      <c r="BXS369" s="661"/>
      <c r="BXT369" s="641"/>
      <c r="BXU369" s="653"/>
      <c r="BXW369" s="118"/>
      <c r="BXX369" s="219"/>
      <c r="BXY369" s="247"/>
      <c r="BXZ369" s="652"/>
      <c r="BYA369" s="626"/>
      <c r="BYB369" s="661"/>
      <c r="BYC369" s="641"/>
      <c r="BYD369" s="653"/>
      <c r="BYF369" s="118"/>
      <c r="BYG369" s="219"/>
      <c r="BYH369" s="247"/>
      <c r="BYI369" s="652"/>
      <c r="BYJ369" s="626"/>
      <c r="BYK369" s="661"/>
      <c r="BYL369" s="641"/>
      <c r="BYM369" s="653"/>
      <c r="BYO369" s="118"/>
      <c r="BYP369" s="219"/>
      <c r="BYQ369" s="247"/>
      <c r="BYR369" s="652"/>
      <c r="BYS369" s="626"/>
      <c r="BYT369" s="661"/>
      <c r="BYU369" s="641"/>
      <c r="BYV369" s="653"/>
      <c r="BYX369" s="118"/>
      <c r="BYY369" s="219"/>
      <c r="BYZ369" s="247"/>
      <c r="BZA369" s="652"/>
      <c r="BZB369" s="626"/>
      <c r="BZC369" s="661"/>
      <c r="BZD369" s="641"/>
      <c r="BZE369" s="653"/>
      <c r="BZG369" s="118"/>
      <c r="BZH369" s="219"/>
      <c r="BZI369" s="247"/>
      <c r="BZJ369" s="652"/>
      <c r="BZK369" s="626"/>
      <c r="BZL369" s="661"/>
      <c r="BZM369" s="641"/>
      <c r="BZN369" s="653"/>
      <c r="BZP369" s="118"/>
      <c r="BZQ369" s="219"/>
      <c r="BZR369" s="247"/>
      <c r="BZS369" s="652"/>
      <c r="BZT369" s="626"/>
      <c r="BZU369" s="661"/>
      <c r="BZV369" s="641"/>
      <c r="BZW369" s="653"/>
      <c r="BZY369" s="118"/>
      <c r="BZZ369" s="219"/>
      <c r="CAA369" s="247"/>
      <c r="CAB369" s="652"/>
      <c r="CAC369" s="626"/>
      <c r="CAD369" s="661"/>
      <c r="CAE369" s="641"/>
      <c r="CAF369" s="653"/>
      <c r="CAH369" s="118"/>
      <c r="CAI369" s="219"/>
      <c r="CAJ369" s="247"/>
      <c r="CAK369" s="652"/>
      <c r="CAL369" s="626"/>
      <c r="CAM369" s="661"/>
      <c r="CAN369" s="641"/>
      <c r="CAO369" s="653"/>
      <c r="CAQ369" s="118"/>
      <c r="CAR369" s="219"/>
      <c r="CAS369" s="247"/>
      <c r="CAT369" s="652"/>
      <c r="CAU369" s="626"/>
      <c r="CAV369" s="661"/>
      <c r="CAW369" s="641"/>
      <c r="CAX369" s="653"/>
      <c r="CAZ369" s="118"/>
      <c r="CBA369" s="219"/>
      <c r="CBB369" s="247"/>
      <c r="CBC369" s="652"/>
      <c r="CBD369" s="626"/>
      <c r="CBE369" s="661"/>
      <c r="CBF369" s="641"/>
      <c r="CBG369" s="653"/>
      <c r="CBI369" s="118"/>
      <c r="CBJ369" s="219"/>
      <c r="CBK369" s="247"/>
      <c r="CBL369" s="652"/>
      <c r="CBM369" s="626"/>
      <c r="CBN369" s="661"/>
      <c r="CBO369" s="641"/>
      <c r="CBP369" s="653"/>
      <c r="CBR369" s="118"/>
      <c r="CBS369" s="219"/>
      <c r="CBT369" s="247"/>
      <c r="CBU369" s="652"/>
      <c r="CBV369" s="626"/>
      <c r="CBW369" s="661"/>
      <c r="CBX369" s="641"/>
      <c r="CBY369" s="653"/>
      <c r="CCA369" s="118"/>
      <c r="CCB369" s="219"/>
      <c r="CCC369" s="247"/>
      <c r="CCD369" s="652"/>
      <c r="CCE369" s="626"/>
      <c r="CCF369" s="661"/>
      <c r="CCG369" s="641"/>
      <c r="CCH369" s="653"/>
      <c r="CCJ369" s="118"/>
      <c r="CCK369" s="219"/>
      <c r="CCL369" s="247"/>
      <c r="CCM369" s="652"/>
      <c r="CCN369" s="626"/>
      <c r="CCO369" s="661"/>
      <c r="CCP369" s="641"/>
      <c r="CCQ369" s="653"/>
      <c r="CCS369" s="118"/>
      <c r="CCT369" s="219"/>
      <c r="CCU369" s="247"/>
      <c r="CCV369" s="652"/>
      <c r="CCW369" s="626"/>
      <c r="CCX369" s="661"/>
      <c r="CCY369" s="641"/>
      <c r="CCZ369" s="653"/>
      <c r="CDB369" s="118"/>
      <c r="CDC369" s="219"/>
      <c r="CDD369" s="247"/>
      <c r="CDE369" s="652"/>
      <c r="CDF369" s="626"/>
      <c r="CDG369" s="661"/>
      <c r="CDH369" s="641"/>
      <c r="CDI369" s="653"/>
      <c r="CDK369" s="118"/>
      <c r="CDL369" s="219"/>
      <c r="CDM369" s="247"/>
      <c r="CDN369" s="652"/>
      <c r="CDO369" s="626"/>
      <c r="CDP369" s="661"/>
      <c r="CDQ369" s="641"/>
      <c r="CDR369" s="653"/>
      <c r="CDT369" s="118"/>
      <c r="CDU369" s="219"/>
      <c r="CDV369" s="247"/>
      <c r="CDW369" s="652"/>
      <c r="CDX369" s="626"/>
      <c r="CDY369" s="661"/>
      <c r="CDZ369" s="641"/>
      <c r="CEA369" s="653"/>
      <c r="CEC369" s="118"/>
      <c r="CED369" s="219"/>
      <c r="CEE369" s="247"/>
      <c r="CEF369" s="652"/>
      <c r="CEG369" s="626"/>
      <c r="CEH369" s="661"/>
      <c r="CEI369" s="641"/>
      <c r="CEJ369" s="653"/>
      <c r="CEL369" s="118"/>
      <c r="CEM369" s="219"/>
      <c r="CEN369" s="247"/>
      <c r="CEO369" s="652"/>
      <c r="CEP369" s="626"/>
      <c r="CEQ369" s="661"/>
      <c r="CER369" s="641"/>
      <c r="CES369" s="653"/>
      <c r="CEU369" s="118"/>
      <c r="CEV369" s="219"/>
      <c r="CEW369" s="247"/>
      <c r="CEX369" s="652"/>
      <c r="CEY369" s="626"/>
      <c r="CEZ369" s="661"/>
      <c r="CFA369" s="641"/>
      <c r="CFB369" s="653"/>
      <c r="CFD369" s="118"/>
      <c r="CFE369" s="219"/>
      <c r="CFF369" s="247"/>
      <c r="CFG369" s="652"/>
      <c r="CFH369" s="626"/>
      <c r="CFI369" s="661"/>
      <c r="CFJ369" s="641"/>
      <c r="CFK369" s="653"/>
      <c r="CFM369" s="118"/>
      <c r="CFN369" s="219"/>
      <c r="CFO369" s="247"/>
      <c r="CFP369" s="652"/>
      <c r="CFQ369" s="626"/>
      <c r="CFR369" s="661"/>
      <c r="CFS369" s="641"/>
      <c r="CFT369" s="653"/>
      <c r="CFV369" s="118"/>
      <c r="CFW369" s="219"/>
      <c r="CFX369" s="247"/>
      <c r="CFY369" s="652"/>
      <c r="CFZ369" s="626"/>
      <c r="CGA369" s="661"/>
      <c r="CGB369" s="641"/>
      <c r="CGC369" s="653"/>
      <c r="CGE369" s="118"/>
      <c r="CGF369" s="219"/>
      <c r="CGG369" s="247"/>
      <c r="CGH369" s="652"/>
      <c r="CGI369" s="626"/>
      <c r="CGJ369" s="661"/>
      <c r="CGK369" s="641"/>
      <c r="CGL369" s="653"/>
      <c r="CGN369" s="118"/>
      <c r="CGO369" s="219"/>
      <c r="CGP369" s="247"/>
      <c r="CGQ369" s="652"/>
      <c r="CGR369" s="626"/>
      <c r="CGS369" s="661"/>
      <c r="CGT369" s="641"/>
      <c r="CGU369" s="653"/>
      <c r="CGW369" s="118"/>
      <c r="CGX369" s="219"/>
      <c r="CGY369" s="247"/>
      <c r="CGZ369" s="652"/>
      <c r="CHA369" s="626"/>
      <c r="CHB369" s="661"/>
      <c r="CHC369" s="641"/>
      <c r="CHD369" s="653"/>
      <c r="CHF369" s="118"/>
      <c r="CHG369" s="219"/>
      <c r="CHH369" s="247"/>
      <c r="CHI369" s="652"/>
      <c r="CHJ369" s="626"/>
      <c r="CHK369" s="661"/>
      <c r="CHL369" s="641"/>
      <c r="CHM369" s="653"/>
      <c r="CHO369" s="118"/>
      <c r="CHP369" s="219"/>
      <c r="CHQ369" s="247"/>
      <c r="CHR369" s="652"/>
      <c r="CHS369" s="626"/>
      <c r="CHT369" s="661"/>
      <c r="CHU369" s="641"/>
      <c r="CHV369" s="653"/>
      <c r="CHX369" s="118"/>
      <c r="CHY369" s="219"/>
      <c r="CHZ369" s="247"/>
      <c r="CIA369" s="652"/>
      <c r="CIB369" s="626"/>
      <c r="CIC369" s="661"/>
      <c r="CID369" s="641"/>
      <c r="CIE369" s="653"/>
      <c r="CIG369" s="118"/>
      <c r="CIH369" s="219"/>
      <c r="CII369" s="247"/>
      <c r="CIJ369" s="652"/>
      <c r="CIK369" s="626"/>
      <c r="CIL369" s="661"/>
      <c r="CIM369" s="641"/>
      <c r="CIN369" s="653"/>
      <c r="CIP369" s="118"/>
      <c r="CIQ369" s="219"/>
      <c r="CIR369" s="247"/>
      <c r="CIS369" s="652"/>
      <c r="CIT369" s="626"/>
      <c r="CIU369" s="661"/>
      <c r="CIV369" s="641"/>
      <c r="CIW369" s="653"/>
      <c r="CIY369" s="118"/>
      <c r="CIZ369" s="219"/>
      <c r="CJA369" s="247"/>
      <c r="CJB369" s="652"/>
      <c r="CJC369" s="626"/>
      <c r="CJD369" s="661"/>
      <c r="CJE369" s="641"/>
      <c r="CJF369" s="653"/>
      <c r="CJH369" s="118"/>
      <c r="CJI369" s="219"/>
      <c r="CJJ369" s="247"/>
      <c r="CJK369" s="652"/>
      <c r="CJL369" s="626"/>
      <c r="CJM369" s="661"/>
      <c r="CJN369" s="641"/>
      <c r="CJO369" s="653"/>
      <c r="CJQ369" s="118"/>
      <c r="CJR369" s="219"/>
      <c r="CJS369" s="247"/>
      <c r="CJT369" s="652"/>
      <c r="CJU369" s="626"/>
      <c r="CJV369" s="661"/>
      <c r="CJW369" s="641"/>
      <c r="CJX369" s="653"/>
      <c r="CJZ369" s="118"/>
      <c r="CKA369" s="219"/>
      <c r="CKB369" s="247"/>
      <c r="CKC369" s="652"/>
      <c r="CKD369" s="626"/>
      <c r="CKE369" s="661"/>
      <c r="CKF369" s="641"/>
      <c r="CKG369" s="653"/>
      <c r="CKI369" s="118"/>
      <c r="CKJ369" s="219"/>
      <c r="CKK369" s="247"/>
      <c r="CKL369" s="652"/>
      <c r="CKM369" s="626"/>
      <c r="CKN369" s="661"/>
      <c r="CKO369" s="641"/>
      <c r="CKP369" s="653"/>
      <c r="CKR369" s="118"/>
      <c r="CKS369" s="219"/>
      <c r="CKT369" s="247"/>
      <c r="CKU369" s="652"/>
      <c r="CKV369" s="626"/>
      <c r="CKW369" s="661"/>
      <c r="CKX369" s="641"/>
      <c r="CKY369" s="653"/>
      <c r="CLA369" s="118"/>
      <c r="CLB369" s="219"/>
      <c r="CLC369" s="247"/>
      <c r="CLD369" s="652"/>
      <c r="CLE369" s="626"/>
      <c r="CLF369" s="661"/>
      <c r="CLG369" s="641"/>
      <c r="CLH369" s="653"/>
      <c r="CLJ369" s="118"/>
      <c r="CLK369" s="219"/>
      <c r="CLL369" s="247"/>
      <c r="CLM369" s="652"/>
      <c r="CLN369" s="626"/>
      <c r="CLO369" s="661"/>
      <c r="CLP369" s="641"/>
      <c r="CLQ369" s="653"/>
      <c r="CLS369" s="118"/>
      <c r="CLT369" s="219"/>
      <c r="CLU369" s="247"/>
      <c r="CLV369" s="652"/>
      <c r="CLW369" s="626"/>
      <c r="CLX369" s="661"/>
      <c r="CLY369" s="641"/>
      <c r="CLZ369" s="653"/>
      <c r="CMB369" s="118"/>
      <c r="CMC369" s="219"/>
      <c r="CMD369" s="247"/>
      <c r="CME369" s="652"/>
      <c r="CMF369" s="626"/>
      <c r="CMG369" s="661"/>
      <c r="CMH369" s="641"/>
      <c r="CMI369" s="653"/>
      <c r="CMK369" s="118"/>
      <c r="CML369" s="219"/>
      <c r="CMM369" s="247"/>
      <c r="CMN369" s="652"/>
      <c r="CMO369" s="626"/>
      <c r="CMP369" s="661"/>
      <c r="CMQ369" s="641"/>
      <c r="CMR369" s="653"/>
      <c r="CMT369" s="118"/>
      <c r="CMU369" s="219"/>
      <c r="CMV369" s="247"/>
      <c r="CMW369" s="652"/>
      <c r="CMX369" s="626"/>
      <c r="CMY369" s="661"/>
      <c r="CMZ369" s="641"/>
      <c r="CNA369" s="653"/>
      <c r="CNC369" s="118"/>
      <c r="CND369" s="219"/>
      <c r="CNE369" s="247"/>
      <c r="CNF369" s="652"/>
      <c r="CNG369" s="626"/>
      <c r="CNH369" s="661"/>
      <c r="CNI369" s="641"/>
      <c r="CNJ369" s="653"/>
      <c r="CNL369" s="118"/>
      <c r="CNM369" s="219"/>
      <c r="CNN369" s="247"/>
      <c r="CNO369" s="652"/>
      <c r="CNP369" s="626"/>
      <c r="CNQ369" s="661"/>
      <c r="CNR369" s="641"/>
      <c r="CNS369" s="653"/>
      <c r="CNU369" s="118"/>
      <c r="CNV369" s="219"/>
      <c r="CNW369" s="247"/>
      <c r="CNX369" s="652"/>
      <c r="CNY369" s="626"/>
      <c r="CNZ369" s="661"/>
      <c r="COA369" s="641"/>
      <c r="COB369" s="653"/>
      <c r="COD369" s="118"/>
      <c r="COE369" s="219"/>
      <c r="COF369" s="247"/>
      <c r="COG369" s="652"/>
      <c r="COH369" s="626"/>
      <c r="COI369" s="661"/>
      <c r="COJ369" s="641"/>
      <c r="COK369" s="653"/>
      <c r="COM369" s="118"/>
      <c r="CON369" s="219"/>
      <c r="COO369" s="247"/>
      <c r="COP369" s="652"/>
      <c r="COQ369" s="626"/>
      <c r="COR369" s="661"/>
      <c r="COS369" s="641"/>
      <c r="COT369" s="653"/>
      <c r="COV369" s="118"/>
      <c r="COW369" s="219"/>
      <c r="COX369" s="247"/>
      <c r="COY369" s="652"/>
      <c r="COZ369" s="626"/>
      <c r="CPA369" s="661"/>
      <c r="CPB369" s="641"/>
      <c r="CPC369" s="653"/>
      <c r="CPE369" s="118"/>
      <c r="CPF369" s="219"/>
      <c r="CPG369" s="247"/>
      <c r="CPH369" s="652"/>
      <c r="CPI369" s="626"/>
      <c r="CPJ369" s="661"/>
      <c r="CPK369" s="641"/>
      <c r="CPL369" s="653"/>
      <c r="CPN369" s="118"/>
      <c r="CPO369" s="219"/>
      <c r="CPP369" s="247"/>
      <c r="CPQ369" s="652"/>
      <c r="CPR369" s="626"/>
      <c r="CPS369" s="661"/>
      <c r="CPT369" s="641"/>
      <c r="CPU369" s="653"/>
      <c r="CPW369" s="118"/>
      <c r="CPX369" s="219"/>
      <c r="CPY369" s="247"/>
      <c r="CPZ369" s="652"/>
      <c r="CQA369" s="626"/>
      <c r="CQB369" s="661"/>
      <c r="CQC369" s="641"/>
      <c r="CQD369" s="653"/>
      <c r="CQF369" s="118"/>
      <c r="CQG369" s="219"/>
      <c r="CQH369" s="247"/>
      <c r="CQI369" s="652"/>
      <c r="CQJ369" s="626"/>
      <c r="CQK369" s="661"/>
      <c r="CQL369" s="641"/>
      <c r="CQM369" s="653"/>
      <c r="CQO369" s="118"/>
      <c r="CQP369" s="219"/>
      <c r="CQQ369" s="247"/>
      <c r="CQR369" s="652"/>
      <c r="CQS369" s="626"/>
      <c r="CQT369" s="661"/>
      <c r="CQU369" s="641"/>
      <c r="CQV369" s="653"/>
      <c r="CQX369" s="118"/>
      <c r="CQY369" s="219"/>
      <c r="CQZ369" s="247"/>
      <c r="CRA369" s="652"/>
      <c r="CRB369" s="626"/>
      <c r="CRC369" s="661"/>
      <c r="CRD369" s="641"/>
      <c r="CRE369" s="653"/>
      <c r="CRG369" s="118"/>
      <c r="CRH369" s="219"/>
      <c r="CRI369" s="247"/>
      <c r="CRJ369" s="652"/>
      <c r="CRK369" s="626"/>
      <c r="CRL369" s="661"/>
      <c r="CRM369" s="641"/>
      <c r="CRN369" s="653"/>
      <c r="CRP369" s="118"/>
      <c r="CRQ369" s="219"/>
      <c r="CRR369" s="247"/>
      <c r="CRS369" s="652"/>
      <c r="CRT369" s="626"/>
      <c r="CRU369" s="661"/>
      <c r="CRV369" s="641"/>
      <c r="CRW369" s="653"/>
      <c r="CRY369" s="118"/>
      <c r="CRZ369" s="219"/>
      <c r="CSA369" s="247"/>
      <c r="CSB369" s="652"/>
      <c r="CSC369" s="626"/>
      <c r="CSD369" s="661"/>
      <c r="CSE369" s="641"/>
      <c r="CSF369" s="653"/>
      <c r="CSH369" s="118"/>
      <c r="CSI369" s="219"/>
      <c r="CSJ369" s="247"/>
      <c r="CSK369" s="652"/>
      <c r="CSL369" s="626"/>
      <c r="CSM369" s="661"/>
      <c r="CSN369" s="641"/>
      <c r="CSO369" s="653"/>
      <c r="CSQ369" s="118"/>
      <c r="CSR369" s="219"/>
      <c r="CSS369" s="247"/>
      <c r="CST369" s="652"/>
      <c r="CSU369" s="626"/>
      <c r="CSV369" s="661"/>
      <c r="CSW369" s="641"/>
      <c r="CSX369" s="653"/>
      <c r="CSZ369" s="118"/>
      <c r="CTA369" s="219"/>
      <c r="CTB369" s="247"/>
      <c r="CTC369" s="652"/>
      <c r="CTD369" s="626"/>
      <c r="CTE369" s="661"/>
      <c r="CTF369" s="641"/>
      <c r="CTG369" s="653"/>
      <c r="CTI369" s="118"/>
      <c r="CTJ369" s="219"/>
      <c r="CTK369" s="247"/>
      <c r="CTL369" s="652"/>
      <c r="CTM369" s="626"/>
      <c r="CTN369" s="661"/>
      <c r="CTO369" s="641"/>
      <c r="CTP369" s="653"/>
      <c r="CTR369" s="118"/>
      <c r="CTS369" s="219"/>
      <c r="CTT369" s="247"/>
      <c r="CTU369" s="652"/>
      <c r="CTV369" s="626"/>
      <c r="CTW369" s="661"/>
      <c r="CTX369" s="641"/>
      <c r="CTY369" s="653"/>
      <c r="CUA369" s="118"/>
      <c r="CUB369" s="219"/>
      <c r="CUC369" s="247"/>
      <c r="CUD369" s="652"/>
      <c r="CUE369" s="626"/>
      <c r="CUF369" s="661"/>
      <c r="CUG369" s="641"/>
      <c r="CUH369" s="653"/>
      <c r="CUJ369" s="118"/>
      <c r="CUK369" s="219"/>
      <c r="CUL369" s="247"/>
      <c r="CUM369" s="652"/>
      <c r="CUN369" s="626"/>
      <c r="CUO369" s="661"/>
      <c r="CUP369" s="641"/>
      <c r="CUQ369" s="653"/>
      <c r="CUS369" s="118"/>
      <c r="CUT369" s="219"/>
      <c r="CUU369" s="247"/>
      <c r="CUV369" s="652"/>
      <c r="CUW369" s="626"/>
      <c r="CUX369" s="661"/>
      <c r="CUY369" s="641"/>
      <c r="CUZ369" s="653"/>
      <c r="CVB369" s="118"/>
      <c r="CVC369" s="219"/>
      <c r="CVD369" s="247"/>
      <c r="CVE369" s="652"/>
      <c r="CVF369" s="626"/>
      <c r="CVG369" s="661"/>
      <c r="CVH369" s="641"/>
      <c r="CVI369" s="653"/>
      <c r="CVK369" s="118"/>
      <c r="CVL369" s="219"/>
      <c r="CVM369" s="247"/>
      <c r="CVN369" s="652"/>
      <c r="CVO369" s="626"/>
      <c r="CVP369" s="661"/>
      <c r="CVQ369" s="641"/>
      <c r="CVR369" s="653"/>
      <c r="CVT369" s="118"/>
      <c r="CVU369" s="219"/>
      <c r="CVV369" s="247"/>
      <c r="CVW369" s="652"/>
      <c r="CVX369" s="626"/>
      <c r="CVY369" s="661"/>
      <c r="CVZ369" s="641"/>
      <c r="CWA369" s="653"/>
      <c r="CWC369" s="118"/>
      <c r="CWD369" s="219"/>
      <c r="CWE369" s="247"/>
      <c r="CWF369" s="652"/>
      <c r="CWG369" s="626"/>
      <c r="CWH369" s="661"/>
      <c r="CWI369" s="641"/>
      <c r="CWJ369" s="653"/>
      <c r="CWL369" s="118"/>
      <c r="CWM369" s="219"/>
      <c r="CWN369" s="247"/>
      <c r="CWO369" s="652"/>
      <c r="CWP369" s="626"/>
      <c r="CWQ369" s="661"/>
      <c r="CWR369" s="641"/>
      <c r="CWS369" s="653"/>
      <c r="CWU369" s="118"/>
      <c r="CWV369" s="219"/>
      <c r="CWW369" s="247"/>
      <c r="CWX369" s="652"/>
      <c r="CWY369" s="626"/>
      <c r="CWZ369" s="661"/>
      <c r="CXA369" s="641"/>
      <c r="CXB369" s="653"/>
      <c r="CXD369" s="118"/>
      <c r="CXE369" s="219"/>
      <c r="CXF369" s="247"/>
      <c r="CXG369" s="652"/>
      <c r="CXH369" s="626"/>
      <c r="CXI369" s="661"/>
      <c r="CXJ369" s="641"/>
      <c r="CXK369" s="653"/>
      <c r="CXM369" s="118"/>
      <c r="CXN369" s="219"/>
      <c r="CXO369" s="247"/>
      <c r="CXP369" s="652"/>
      <c r="CXQ369" s="626"/>
      <c r="CXR369" s="661"/>
      <c r="CXS369" s="641"/>
      <c r="CXT369" s="653"/>
      <c r="CXV369" s="118"/>
      <c r="CXW369" s="219"/>
      <c r="CXX369" s="247"/>
      <c r="CXY369" s="652"/>
      <c r="CXZ369" s="626"/>
      <c r="CYA369" s="661"/>
      <c r="CYB369" s="641"/>
      <c r="CYC369" s="653"/>
      <c r="CYE369" s="118"/>
      <c r="CYF369" s="219"/>
      <c r="CYG369" s="247"/>
      <c r="CYH369" s="652"/>
      <c r="CYI369" s="626"/>
      <c r="CYJ369" s="661"/>
      <c r="CYK369" s="641"/>
      <c r="CYL369" s="653"/>
      <c r="CYN369" s="118"/>
      <c r="CYO369" s="219"/>
      <c r="CYP369" s="247"/>
      <c r="CYQ369" s="652"/>
      <c r="CYR369" s="626"/>
      <c r="CYS369" s="661"/>
      <c r="CYT369" s="641"/>
      <c r="CYU369" s="653"/>
      <c r="CYW369" s="118"/>
      <c r="CYX369" s="219"/>
      <c r="CYY369" s="247"/>
      <c r="CYZ369" s="652"/>
      <c r="CZA369" s="626"/>
      <c r="CZB369" s="661"/>
      <c r="CZC369" s="641"/>
      <c r="CZD369" s="653"/>
      <c r="CZF369" s="118"/>
      <c r="CZG369" s="219"/>
      <c r="CZH369" s="247"/>
      <c r="CZI369" s="652"/>
      <c r="CZJ369" s="626"/>
      <c r="CZK369" s="661"/>
      <c r="CZL369" s="641"/>
      <c r="CZM369" s="653"/>
      <c r="CZO369" s="118"/>
      <c r="CZP369" s="219"/>
      <c r="CZQ369" s="247"/>
      <c r="CZR369" s="652"/>
      <c r="CZS369" s="626"/>
      <c r="CZT369" s="661"/>
      <c r="CZU369" s="641"/>
      <c r="CZV369" s="653"/>
      <c r="CZX369" s="118"/>
      <c r="CZY369" s="219"/>
      <c r="CZZ369" s="247"/>
      <c r="DAA369" s="652"/>
      <c r="DAB369" s="626"/>
      <c r="DAC369" s="661"/>
      <c r="DAD369" s="641"/>
      <c r="DAE369" s="653"/>
      <c r="DAG369" s="118"/>
      <c r="DAH369" s="219"/>
      <c r="DAI369" s="247"/>
      <c r="DAJ369" s="652"/>
      <c r="DAK369" s="626"/>
      <c r="DAL369" s="661"/>
      <c r="DAM369" s="641"/>
      <c r="DAN369" s="653"/>
      <c r="DAP369" s="118"/>
      <c r="DAQ369" s="219"/>
      <c r="DAR369" s="247"/>
      <c r="DAS369" s="652"/>
      <c r="DAT369" s="626"/>
      <c r="DAU369" s="661"/>
      <c r="DAV369" s="641"/>
      <c r="DAW369" s="653"/>
      <c r="DAY369" s="118"/>
      <c r="DAZ369" s="219"/>
      <c r="DBA369" s="247"/>
      <c r="DBB369" s="652"/>
      <c r="DBC369" s="626"/>
      <c r="DBD369" s="661"/>
      <c r="DBE369" s="641"/>
      <c r="DBF369" s="653"/>
      <c r="DBH369" s="118"/>
      <c r="DBI369" s="219"/>
      <c r="DBJ369" s="247"/>
      <c r="DBK369" s="652"/>
      <c r="DBL369" s="626"/>
      <c r="DBM369" s="661"/>
      <c r="DBN369" s="641"/>
      <c r="DBO369" s="653"/>
      <c r="DBQ369" s="118"/>
      <c r="DBR369" s="219"/>
      <c r="DBS369" s="247"/>
      <c r="DBT369" s="652"/>
      <c r="DBU369" s="626"/>
      <c r="DBV369" s="661"/>
      <c r="DBW369" s="641"/>
      <c r="DBX369" s="653"/>
      <c r="DBZ369" s="118"/>
      <c r="DCA369" s="219"/>
      <c r="DCB369" s="247"/>
      <c r="DCC369" s="652"/>
      <c r="DCD369" s="626"/>
      <c r="DCE369" s="661"/>
      <c r="DCF369" s="641"/>
      <c r="DCG369" s="653"/>
      <c r="DCI369" s="118"/>
      <c r="DCJ369" s="219"/>
      <c r="DCK369" s="247"/>
      <c r="DCL369" s="652"/>
      <c r="DCM369" s="626"/>
      <c r="DCN369" s="661"/>
      <c r="DCO369" s="641"/>
      <c r="DCP369" s="653"/>
      <c r="DCR369" s="118"/>
      <c r="DCS369" s="219"/>
      <c r="DCT369" s="247"/>
      <c r="DCU369" s="652"/>
      <c r="DCV369" s="626"/>
      <c r="DCW369" s="661"/>
      <c r="DCX369" s="641"/>
      <c r="DCY369" s="653"/>
      <c r="DDA369" s="118"/>
      <c r="DDB369" s="219"/>
      <c r="DDC369" s="247"/>
      <c r="DDD369" s="652"/>
      <c r="DDE369" s="626"/>
      <c r="DDF369" s="661"/>
      <c r="DDG369" s="641"/>
      <c r="DDH369" s="653"/>
      <c r="DDJ369" s="118"/>
      <c r="DDK369" s="219"/>
      <c r="DDL369" s="247"/>
      <c r="DDM369" s="652"/>
      <c r="DDN369" s="626"/>
      <c r="DDO369" s="661"/>
      <c r="DDP369" s="641"/>
      <c r="DDQ369" s="653"/>
      <c r="DDS369" s="118"/>
      <c r="DDT369" s="219"/>
      <c r="DDU369" s="247"/>
      <c r="DDV369" s="652"/>
      <c r="DDW369" s="626"/>
      <c r="DDX369" s="661"/>
      <c r="DDY369" s="641"/>
      <c r="DDZ369" s="653"/>
      <c r="DEB369" s="118"/>
      <c r="DEC369" s="219"/>
      <c r="DED369" s="247"/>
      <c r="DEE369" s="652"/>
      <c r="DEF369" s="626"/>
      <c r="DEG369" s="661"/>
      <c r="DEH369" s="641"/>
      <c r="DEI369" s="653"/>
      <c r="DEK369" s="118"/>
      <c r="DEL369" s="219"/>
      <c r="DEM369" s="247"/>
      <c r="DEN369" s="652"/>
      <c r="DEO369" s="626"/>
      <c r="DEP369" s="661"/>
      <c r="DEQ369" s="641"/>
      <c r="DER369" s="653"/>
      <c r="DET369" s="118"/>
      <c r="DEU369" s="219"/>
      <c r="DEV369" s="247"/>
      <c r="DEW369" s="652"/>
      <c r="DEX369" s="626"/>
      <c r="DEY369" s="661"/>
      <c r="DEZ369" s="641"/>
      <c r="DFA369" s="653"/>
      <c r="DFC369" s="118"/>
      <c r="DFD369" s="219"/>
      <c r="DFE369" s="247"/>
      <c r="DFF369" s="652"/>
      <c r="DFG369" s="626"/>
      <c r="DFH369" s="661"/>
      <c r="DFI369" s="641"/>
      <c r="DFJ369" s="653"/>
      <c r="DFL369" s="118"/>
      <c r="DFM369" s="219"/>
      <c r="DFN369" s="247"/>
      <c r="DFO369" s="652"/>
      <c r="DFP369" s="626"/>
      <c r="DFQ369" s="661"/>
      <c r="DFR369" s="641"/>
      <c r="DFS369" s="653"/>
      <c r="DFU369" s="118"/>
      <c r="DFV369" s="219"/>
      <c r="DFW369" s="247"/>
      <c r="DFX369" s="652"/>
      <c r="DFY369" s="626"/>
      <c r="DFZ369" s="661"/>
      <c r="DGA369" s="641"/>
      <c r="DGB369" s="653"/>
      <c r="DGD369" s="118"/>
      <c r="DGE369" s="219"/>
      <c r="DGF369" s="247"/>
      <c r="DGG369" s="652"/>
      <c r="DGH369" s="626"/>
      <c r="DGI369" s="661"/>
      <c r="DGJ369" s="641"/>
      <c r="DGK369" s="653"/>
      <c r="DGM369" s="118"/>
      <c r="DGN369" s="219"/>
      <c r="DGO369" s="247"/>
      <c r="DGP369" s="652"/>
      <c r="DGQ369" s="626"/>
      <c r="DGR369" s="661"/>
      <c r="DGS369" s="641"/>
      <c r="DGT369" s="653"/>
      <c r="DGV369" s="118"/>
      <c r="DGW369" s="219"/>
      <c r="DGX369" s="247"/>
      <c r="DGY369" s="652"/>
      <c r="DGZ369" s="626"/>
      <c r="DHA369" s="661"/>
      <c r="DHB369" s="641"/>
      <c r="DHC369" s="653"/>
      <c r="DHE369" s="118"/>
      <c r="DHF369" s="219"/>
      <c r="DHG369" s="247"/>
      <c r="DHH369" s="652"/>
      <c r="DHI369" s="626"/>
      <c r="DHJ369" s="661"/>
      <c r="DHK369" s="641"/>
      <c r="DHL369" s="653"/>
      <c r="DHN369" s="118"/>
      <c r="DHO369" s="219"/>
      <c r="DHP369" s="247"/>
      <c r="DHQ369" s="652"/>
      <c r="DHR369" s="626"/>
      <c r="DHS369" s="661"/>
      <c r="DHT369" s="641"/>
      <c r="DHU369" s="653"/>
      <c r="DHW369" s="118"/>
      <c r="DHX369" s="219"/>
      <c r="DHY369" s="247"/>
      <c r="DHZ369" s="652"/>
      <c r="DIA369" s="626"/>
      <c r="DIB369" s="661"/>
      <c r="DIC369" s="641"/>
      <c r="DID369" s="653"/>
      <c r="DIF369" s="118"/>
      <c r="DIG369" s="219"/>
      <c r="DIH369" s="247"/>
      <c r="DII369" s="652"/>
      <c r="DIJ369" s="626"/>
      <c r="DIK369" s="661"/>
      <c r="DIL369" s="641"/>
      <c r="DIM369" s="653"/>
      <c r="DIO369" s="118"/>
      <c r="DIP369" s="219"/>
      <c r="DIQ369" s="247"/>
      <c r="DIR369" s="652"/>
      <c r="DIS369" s="626"/>
      <c r="DIT369" s="661"/>
      <c r="DIU369" s="641"/>
      <c r="DIV369" s="653"/>
      <c r="DIX369" s="118"/>
      <c r="DIY369" s="219"/>
      <c r="DIZ369" s="247"/>
      <c r="DJA369" s="652"/>
      <c r="DJB369" s="626"/>
      <c r="DJC369" s="661"/>
      <c r="DJD369" s="641"/>
      <c r="DJE369" s="653"/>
      <c r="DJG369" s="118"/>
      <c r="DJH369" s="219"/>
      <c r="DJI369" s="247"/>
      <c r="DJJ369" s="652"/>
      <c r="DJK369" s="626"/>
      <c r="DJL369" s="661"/>
      <c r="DJM369" s="641"/>
      <c r="DJN369" s="653"/>
      <c r="DJP369" s="118"/>
      <c r="DJQ369" s="219"/>
      <c r="DJR369" s="247"/>
      <c r="DJS369" s="652"/>
      <c r="DJT369" s="626"/>
      <c r="DJU369" s="661"/>
      <c r="DJV369" s="641"/>
      <c r="DJW369" s="653"/>
      <c r="DJY369" s="118"/>
      <c r="DJZ369" s="219"/>
      <c r="DKA369" s="247"/>
      <c r="DKB369" s="652"/>
      <c r="DKC369" s="626"/>
      <c r="DKD369" s="661"/>
      <c r="DKE369" s="641"/>
      <c r="DKF369" s="653"/>
      <c r="DKH369" s="118"/>
      <c r="DKI369" s="219"/>
      <c r="DKJ369" s="247"/>
      <c r="DKK369" s="652"/>
      <c r="DKL369" s="626"/>
      <c r="DKM369" s="661"/>
      <c r="DKN369" s="641"/>
      <c r="DKO369" s="653"/>
      <c r="DKQ369" s="118"/>
      <c r="DKR369" s="219"/>
      <c r="DKS369" s="247"/>
      <c r="DKT369" s="652"/>
      <c r="DKU369" s="626"/>
      <c r="DKV369" s="661"/>
      <c r="DKW369" s="641"/>
      <c r="DKX369" s="653"/>
      <c r="DKZ369" s="118"/>
      <c r="DLA369" s="219"/>
      <c r="DLB369" s="247"/>
      <c r="DLC369" s="652"/>
      <c r="DLD369" s="626"/>
      <c r="DLE369" s="661"/>
      <c r="DLF369" s="641"/>
      <c r="DLG369" s="653"/>
      <c r="DLI369" s="118"/>
      <c r="DLJ369" s="219"/>
      <c r="DLK369" s="247"/>
      <c r="DLL369" s="652"/>
      <c r="DLM369" s="626"/>
      <c r="DLN369" s="661"/>
      <c r="DLO369" s="641"/>
      <c r="DLP369" s="653"/>
      <c r="DLR369" s="118"/>
      <c r="DLS369" s="219"/>
      <c r="DLT369" s="247"/>
      <c r="DLU369" s="652"/>
      <c r="DLV369" s="626"/>
      <c r="DLW369" s="661"/>
      <c r="DLX369" s="641"/>
      <c r="DLY369" s="653"/>
      <c r="DMA369" s="118"/>
      <c r="DMB369" s="219"/>
      <c r="DMC369" s="247"/>
      <c r="DMD369" s="652"/>
      <c r="DME369" s="626"/>
      <c r="DMF369" s="661"/>
      <c r="DMG369" s="641"/>
      <c r="DMH369" s="653"/>
      <c r="DMJ369" s="118"/>
      <c r="DMK369" s="219"/>
      <c r="DML369" s="247"/>
      <c r="DMM369" s="652"/>
      <c r="DMN369" s="626"/>
      <c r="DMO369" s="661"/>
      <c r="DMP369" s="641"/>
      <c r="DMQ369" s="653"/>
      <c r="DMS369" s="118"/>
      <c r="DMT369" s="219"/>
      <c r="DMU369" s="247"/>
      <c r="DMV369" s="652"/>
      <c r="DMW369" s="626"/>
      <c r="DMX369" s="661"/>
      <c r="DMY369" s="641"/>
      <c r="DMZ369" s="653"/>
      <c r="DNB369" s="118"/>
      <c r="DNC369" s="219"/>
      <c r="DND369" s="247"/>
      <c r="DNE369" s="652"/>
      <c r="DNF369" s="626"/>
      <c r="DNG369" s="661"/>
      <c r="DNH369" s="641"/>
      <c r="DNI369" s="653"/>
      <c r="DNK369" s="118"/>
      <c r="DNL369" s="219"/>
      <c r="DNM369" s="247"/>
      <c r="DNN369" s="652"/>
      <c r="DNO369" s="626"/>
      <c r="DNP369" s="661"/>
      <c r="DNQ369" s="641"/>
      <c r="DNR369" s="653"/>
      <c r="DNT369" s="118"/>
      <c r="DNU369" s="219"/>
      <c r="DNV369" s="247"/>
      <c r="DNW369" s="652"/>
      <c r="DNX369" s="626"/>
      <c r="DNY369" s="661"/>
      <c r="DNZ369" s="641"/>
      <c r="DOA369" s="653"/>
      <c r="DOC369" s="118"/>
      <c r="DOD369" s="219"/>
      <c r="DOE369" s="247"/>
      <c r="DOF369" s="652"/>
      <c r="DOG369" s="626"/>
      <c r="DOH369" s="661"/>
      <c r="DOI369" s="641"/>
      <c r="DOJ369" s="653"/>
      <c r="DOL369" s="118"/>
      <c r="DOM369" s="219"/>
      <c r="DON369" s="247"/>
      <c r="DOO369" s="652"/>
      <c r="DOP369" s="626"/>
      <c r="DOQ369" s="661"/>
      <c r="DOR369" s="641"/>
      <c r="DOS369" s="653"/>
      <c r="DOU369" s="118"/>
      <c r="DOV369" s="219"/>
      <c r="DOW369" s="247"/>
      <c r="DOX369" s="652"/>
      <c r="DOY369" s="626"/>
      <c r="DOZ369" s="661"/>
      <c r="DPA369" s="641"/>
      <c r="DPB369" s="653"/>
      <c r="DPD369" s="118"/>
      <c r="DPE369" s="219"/>
      <c r="DPF369" s="247"/>
      <c r="DPG369" s="652"/>
      <c r="DPH369" s="626"/>
      <c r="DPI369" s="661"/>
      <c r="DPJ369" s="641"/>
      <c r="DPK369" s="653"/>
      <c r="DPM369" s="118"/>
      <c r="DPN369" s="219"/>
      <c r="DPO369" s="247"/>
      <c r="DPP369" s="652"/>
      <c r="DPQ369" s="626"/>
      <c r="DPR369" s="661"/>
      <c r="DPS369" s="641"/>
      <c r="DPT369" s="653"/>
      <c r="DPV369" s="118"/>
      <c r="DPW369" s="219"/>
      <c r="DPX369" s="247"/>
      <c r="DPY369" s="652"/>
      <c r="DPZ369" s="626"/>
      <c r="DQA369" s="661"/>
      <c r="DQB369" s="641"/>
      <c r="DQC369" s="653"/>
      <c r="DQE369" s="118"/>
      <c r="DQF369" s="219"/>
      <c r="DQG369" s="247"/>
      <c r="DQH369" s="652"/>
      <c r="DQI369" s="626"/>
      <c r="DQJ369" s="661"/>
      <c r="DQK369" s="641"/>
      <c r="DQL369" s="653"/>
      <c r="DQN369" s="118"/>
      <c r="DQO369" s="219"/>
      <c r="DQP369" s="247"/>
      <c r="DQQ369" s="652"/>
      <c r="DQR369" s="626"/>
      <c r="DQS369" s="661"/>
      <c r="DQT369" s="641"/>
      <c r="DQU369" s="653"/>
      <c r="DQW369" s="118"/>
      <c r="DQX369" s="219"/>
      <c r="DQY369" s="247"/>
      <c r="DQZ369" s="652"/>
      <c r="DRA369" s="626"/>
      <c r="DRB369" s="661"/>
      <c r="DRC369" s="641"/>
      <c r="DRD369" s="653"/>
      <c r="DRF369" s="118"/>
      <c r="DRG369" s="219"/>
      <c r="DRH369" s="247"/>
      <c r="DRI369" s="652"/>
      <c r="DRJ369" s="626"/>
      <c r="DRK369" s="661"/>
      <c r="DRL369" s="641"/>
      <c r="DRM369" s="653"/>
      <c r="DRO369" s="118"/>
      <c r="DRP369" s="219"/>
      <c r="DRQ369" s="247"/>
      <c r="DRR369" s="652"/>
      <c r="DRS369" s="626"/>
      <c r="DRT369" s="661"/>
      <c r="DRU369" s="641"/>
      <c r="DRV369" s="653"/>
      <c r="DRX369" s="118"/>
      <c r="DRY369" s="219"/>
      <c r="DRZ369" s="247"/>
      <c r="DSA369" s="652"/>
      <c r="DSB369" s="626"/>
      <c r="DSC369" s="661"/>
      <c r="DSD369" s="641"/>
      <c r="DSE369" s="653"/>
      <c r="DSG369" s="118"/>
      <c r="DSH369" s="219"/>
      <c r="DSI369" s="247"/>
      <c r="DSJ369" s="652"/>
      <c r="DSK369" s="626"/>
      <c r="DSL369" s="661"/>
      <c r="DSM369" s="641"/>
      <c r="DSN369" s="653"/>
      <c r="DSP369" s="118"/>
      <c r="DSQ369" s="219"/>
      <c r="DSR369" s="247"/>
      <c r="DSS369" s="652"/>
      <c r="DST369" s="626"/>
      <c r="DSU369" s="661"/>
      <c r="DSV369" s="641"/>
      <c r="DSW369" s="653"/>
      <c r="DSY369" s="118"/>
      <c r="DSZ369" s="219"/>
      <c r="DTA369" s="247"/>
      <c r="DTB369" s="652"/>
      <c r="DTC369" s="626"/>
      <c r="DTD369" s="661"/>
      <c r="DTE369" s="641"/>
      <c r="DTF369" s="653"/>
      <c r="DTH369" s="118"/>
      <c r="DTI369" s="219"/>
      <c r="DTJ369" s="247"/>
      <c r="DTK369" s="652"/>
      <c r="DTL369" s="626"/>
      <c r="DTM369" s="661"/>
      <c r="DTN369" s="641"/>
      <c r="DTO369" s="653"/>
      <c r="DTQ369" s="118"/>
      <c r="DTR369" s="219"/>
      <c r="DTS369" s="247"/>
      <c r="DTT369" s="652"/>
      <c r="DTU369" s="626"/>
      <c r="DTV369" s="661"/>
      <c r="DTW369" s="641"/>
      <c r="DTX369" s="653"/>
      <c r="DTZ369" s="118"/>
      <c r="DUA369" s="219"/>
      <c r="DUB369" s="247"/>
      <c r="DUC369" s="652"/>
      <c r="DUD369" s="626"/>
      <c r="DUE369" s="661"/>
      <c r="DUF369" s="641"/>
      <c r="DUG369" s="653"/>
      <c r="DUI369" s="118"/>
      <c r="DUJ369" s="219"/>
      <c r="DUK369" s="247"/>
      <c r="DUL369" s="652"/>
      <c r="DUM369" s="626"/>
      <c r="DUN369" s="661"/>
      <c r="DUO369" s="641"/>
      <c r="DUP369" s="653"/>
      <c r="DUR369" s="118"/>
      <c r="DUS369" s="219"/>
      <c r="DUT369" s="247"/>
      <c r="DUU369" s="652"/>
      <c r="DUV369" s="626"/>
      <c r="DUW369" s="661"/>
      <c r="DUX369" s="641"/>
      <c r="DUY369" s="653"/>
      <c r="DVA369" s="118"/>
      <c r="DVB369" s="219"/>
      <c r="DVC369" s="247"/>
      <c r="DVD369" s="652"/>
      <c r="DVE369" s="626"/>
      <c r="DVF369" s="661"/>
      <c r="DVG369" s="641"/>
      <c r="DVH369" s="653"/>
      <c r="DVJ369" s="118"/>
      <c r="DVK369" s="219"/>
      <c r="DVL369" s="247"/>
      <c r="DVM369" s="652"/>
      <c r="DVN369" s="626"/>
      <c r="DVO369" s="661"/>
      <c r="DVP369" s="641"/>
      <c r="DVQ369" s="653"/>
      <c r="DVS369" s="118"/>
      <c r="DVT369" s="219"/>
      <c r="DVU369" s="247"/>
      <c r="DVV369" s="652"/>
      <c r="DVW369" s="626"/>
      <c r="DVX369" s="661"/>
      <c r="DVY369" s="641"/>
      <c r="DVZ369" s="653"/>
      <c r="DWB369" s="118"/>
      <c r="DWC369" s="219"/>
      <c r="DWD369" s="247"/>
      <c r="DWE369" s="652"/>
      <c r="DWF369" s="626"/>
      <c r="DWG369" s="661"/>
      <c r="DWH369" s="641"/>
      <c r="DWI369" s="653"/>
      <c r="DWK369" s="118"/>
      <c r="DWL369" s="219"/>
      <c r="DWM369" s="247"/>
      <c r="DWN369" s="652"/>
      <c r="DWO369" s="626"/>
      <c r="DWP369" s="661"/>
      <c r="DWQ369" s="641"/>
      <c r="DWR369" s="653"/>
      <c r="DWT369" s="118"/>
      <c r="DWU369" s="219"/>
      <c r="DWV369" s="247"/>
      <c r="DWW369" s="652"/>
      <c r="DWX369" s="626"/>
      <c r="DWY369" s="661"/>
      <c r="DWZ369" s="641"/>
      <c r="DXA369" s="653"/>
      <c r="DXC369" s="118"/>
      <c r="DXD369" s="219"/>
      <c r="DXE369" s="247"/>
      <c r="DXF369" s="652"/>
      <c r="DXG369" s="626"/>
      <c r="DXH369" s="661"/>
      <c r="DXI369" s="641"/>
      <c r="DXJ369" s="653"/>
      <c r="DXL369" s="118"/>
      <c r="DXM369" s="219"/>
      <c r="DXN369" s="247"/>
      <c r="DXO369" s="652"/>
      <c r="DXP369" s="626"/>
      <c r="DXQ369" s="661"/>
      <c r="DXR369" s="641"/>
      <c r="DXS369" s="653"/>
      <c r="DXU369" s="118"/>
      <c r="DXV369" s="219"/>
      <c r="DXW369" s="247"/>
      <c r="DXX369" s="652"/>
      <c r="DXY369" s="626"/>
      <c r="DXZ369" s="661"/>
      <c r="DYA369" s="641"/>
      <c r="DYB369" s="653"/>
      <c r="DYD369" s="118"/>
      <c r="DYE369" s="219"/>
      <c r="DYF369" s="247"/>
      <c r="DYG369" s="652"/>
      <c r="DYH369" s="626"/>
      <c r="DYI369" s="661"/>
      <c r="DYJ369" s="641"/>
      <c r="DYK369" s="653"/>
      <c r="DYM369" s="118"/>
      <c r="DYN369" s="219"/>
      <c r="DYO369" s="247"/>
      <c r="DYP369" s="652"/>
      <c r="DYQ369" s="626"/>
      <c r="DYR369" s="661"/>
      <c r="DYS369" s="641"/>
      <c r="DYT369" s="653"/>
      <c r="DYV369" s="118"/>
      <c r="DYW369" s="219"/>
      <c r="DYX369" s="247"/>
      <c r="DYY369" s="652"/>
      <c r="DYZ369" s="626"/>
      <c r="DZA369" s="661"/>
      <c r="DZB369" s="641"/>
      <c r="DZC369" s="653"/>
      <c r="DZE369" s="118"/>
      <c r="DZF369" s="219"/>
      <c r="DZG369" s="247"/>
      <c r="DZH369" s="652"/>
      <c r="DZI369" s="626"/>
      <c r="DZJ369" s="661"/>
      <c r="DZK369" s="641"/>
      <c r="DZL369" s="653"/>
      <c r="DZN369" s="118"/>
      <c r="DZO369" s="219"/>
      <c r="DZP369" s="247"/>
      <c r="DZQ369" s="652"/>
      <c r="DZR369" s="626"/>
      <c r="DZS369" s="661"/>
      <c r="DZT369" s="641"/>
      <c r="DZU369" s="653"/>
      <c r="DZW369" s="118"/>
      <c r="DZX369" s="219"/>
      <c r="DZY369" s="247"/>
      <c r="DZZ369" s="652"/>
      <c r="EAA369" s="626"/>
      <c r="EAB369" s="661"/>
      <c r="EAC369" s="641"/>
      <c r="EAD369" s="653"/>
      <c r="EAF369" s="118"/>
      <c r="EAG369" s="219"/>
      <c r="EAH369" s="247"/>
      <c r="EAI369" s="652"/>
      <c r="EAJ369" s="626"/>
      <c r="EAK369" s="661"/>
      <c r="EAL369" s="641"/>
      <c r="EAM369" s="653"/>
      <c r="EAO369" s="118"/>
      <c r="EAP369" s="219"/>
      <c r="EAQ369" s="247"/>
      <c r="EAR369" s="652"/>
      <c r="EAS369" s="626"/>
      <c r="EAT369" s="661"/>
      <c r="EAU369" s="641"/>
      <c r="EAV369" s="653"/>
      <c r="EAX369" s="118"/>
      <c r="EAY369" s="219"/>
      <c r="EAZ369" s="247"/>
      <c r="EBA369" s="652"/>
      <c r="EBB369" s="626"/>
      <c r="EBC369" s="661"/>
      <c r="EBD369" s="641"/>
      <c r="EBE369" s="653"/>
      <c r="EBG369" s="118"/>
      <c r="EBH369" s="219"/>
      <c r="EBI369" s="247"/>
      <c r="EBJ369" s="652"/>
      <c r="EBK369" s="626"/>
      <c r="EBL369" s="661"/>
      <c r="EBM369" s="641"/>
      <c r="EBN369" s="653"/>
      <c r="EBP369" s="118"/>
      <c r="EBQ369" s="219"/>
      <c r="EBR369" s="247"/>
      <c r="EBS369" s="652"/>
      <c r="EBT369" s="626"/>
      <c r="EBU369" s="661"/>
      <c r="EBV369" s="641"/>
      <c r="EBW369" s="653"/>
      <c r="EBY369" s="118"/>
      <c r="EBZ369" s="219"/>
      <c r="ECA369" s="247"/>
      <c r="ECB369" s="652"/>
      <c r="ECC369" s="626"/>
      <c r="ECD369" s="661"/>
      <c r="ECE369" s="641"/>
      <c r="ECF369" s="653"/>
      <c r="ECH369" s="118"/>
      <c r="ECI369" s="219"/>
      <c r="ECJ369" s="247"/>
      <c r="ECK369" s="652"/>
      <c r="ECL369" s="626"/>
      <c r="ECM369" s="661"/>
      <c r="ECN369" s="641"/>
      <c r="ECO369" s="653"/>
      <c r="ECQ369" s="118"/>
      <c r="ECR369" s="219"/>
      <c r="ECS369" s="247"/>
      <c r="ECT369" s="652"/>
      <c r="ECU369" s="626"/>
      <c r="ECV369" s="661"/>
      <c r="ECW369" s="641"/>
      <c r="ECX369" s="653"/>
      <c r="ECZ369" s="118"/>
      <c r="EDA369" s="219"/>
      <c r="EDB369" s="247"/>
      <c r="EDC369" s="652"/>
      <c r="EDD369" s="626"/>
      <c r="EDE369" s="661"/>
      <c r="EDF369" s="641"/>
      <c r="EDG369" s="653"/>
      <c r="EDI369" s="118"/>
      <c r="EDJ369" s="219"/>
      <c r="EDK369" s="247"/>
      <c r="EDL369" s="652"/>
      <c r="EDM369" s="626"/>
      <c r="EDN369" s="661"/>
      <c r="EDO369" s="641"/>
      <c r="EDP369" s="653"/>
      <c r="EDR369" s="118"/>
      <c r="EDS369" s="219"/>
      <c r="EDT369" s="247"/>
      <c r="EDU369" s="652"/>
      <c r="EDV369" s="626"/>
      <c r="EDW369" s="661"/>
      <c r="EDX369" s="641"/>
      <c r="EDY369" s="653"/>
      <c r="EEA369" s="118"/>
      <c r="EEB369" s="219"/>
      <c r="EEC369" s="247"/>
      <c r="EED369" s="652"/>
      <c r="EEE369" s="626"/>
      <c r="EEF369" s="661"/>
      <c r="EEG369" s="641"/>
      <c r="EEH369" s="653"/>
      <c r="EEJ369" s="118"/>
      <c r="EEK369" s="219"/>
      <c r="EEL369" s="247"/>
      <c r="EEM369" s="652"/>
      <c r="EEN369" s="626"/>
      <c r="EEO369" s="661"/>
      <c r="EEP369" s="641"/>
      <c r="EEQ369" s="653"/>
      <c r="EES369" s="118"/>
      <c r="EET369" s="219"/>
      <c r="EEU369" s="247"/>
      <c r="EEV369" s="652"/>
      <c r="EEW369" s="626"/>
      <c r="EEX369" s="661"/>
      <c r="EEY369" s="641"/>
      <c r="EEZ369" s="653"/>
      <c r="EFB369" s="118"/>
      <c r="EFC369" s="219"/>
      <c r="EFD369" s="247"/>
      <c r="EFE369" s="652"/>
      <c r="EFF369" s="626"/>
      <c r="EFG369" s="661"/>
      <c r="EFH369" s="641"/>
      <c r="EFI369" s="653"/>
      <c r="EFK369" s="118"/>
      <c r="EFL369" s="219"/>
      <c r="EFM369" s="247"/>
      <c r="EFN369" s="652"/>
      <c r="EFO369" s="626"/>
      <c r="EFP369" s="661"/>
      <c r="EFQ369" s="641"/>
      <c r="EFR369" s="653"/>
      <c r="EFT369" s="118"/>
      <c r="EFU369" s="219"/>
      <c r="EFV369" s="247"/>
      <c r="EFW369" s="652"/>
      <c r="EFX369" s="626"/>
      <c r="EFY369" s="661"/>
      <c r="EFZ369" s="641"/>
      <c r="EGA369" s="653"/>
      <c r="EGC369" s="118"/>
      <c r="EGD369" s="219"/>
      <c r="EGE369" s="247"/>
      <c r="EGF369" s="652"/>
      <c r="EGG369" s="626"/>
      <c r="EGH369" s="661"/>
      <c r="EGI369" s="641"/>
      <c r="EGJ369" s="653"/>
      <c r="EGL369" s="118"/>
      <c r="EGM369" s="219"/>
      <c r="EGN369" s="247"/>
      <c r="EGO369" s="652"/>
      <c r="EGP369" s="626"/>
      <c r="EGQ369" s="661"/>
      <c r="EGR369" s="641"/>
      <c r="EGS369" s="653"/>
      <c r="EGU369" s="118"/>
      <c r="EGV369" s="219"/>
      <c r="EGW369" s="247"/>
      <c r="EGX369" s="652"/>
      <c r="EGY369" s="626"/>
      <c r="EGZ369" s="661"/>
      <c r="EHA369" s="641"/>
      <c r="EHB369" s="653"/>
      <c r="EHD369" s="118"/>
      <c r="EHE369" s="219"/>
      <c r="EHF369" s="247"/>
      <c r="EHG369" s="652"/>
      <c r="EHH369" s="626"/>
      <c r="EHI369" s="661"/>
      <c r="EHJ369" s="641"/>
      <c r="EHK369" s="653"/>
      <c r="EHM369" s="118"/>
      <c r="EHN369" s="219"/>
      <c r="EHO369" s="247"/>
      <c r="EHP369" s="652"/>
      <c r="EHQ369" s="626"/>
      <c r="EHR369" s="661"/>
      <c r="EHS369" s="641"/>
      <c r="EHT369" s="653"/>
      <c r="EHV369" s="118"/>
      <c r="EHW369" s="219"/>
      <c r="EHX369" s="247"/>
      <c r="EHY369" s="652"/>
      <c r="EHZ369" s="626"/>
      <c r="EIA369" s="661"/>
      <c r="EIB369" s="641"/>
      <c r="EIC369" s="653"/>
      <c r="EIE369" s="118"/>
      <c r="EIF369" s="219"/>
      <c r="EIG369" s="247"/>
      <c r="EIH369" s="652"/>
      <c r="EII369" s="626"/>
      <c r="EIJ369" s="661"/>
      <c r="EIK369" s="641"/>
      <c r="EIL369" s="653"/>
      <c r="EIN369" s="118"/>
      <c r="EIO369" s="219"/>
      <c r="EIP369" s="247"/>
      <c r="EIQ369" s="652"/>
      <c r="EIR369" s="626"/>
      <c r="EIS369" s="661"/>
      <c r="EIT369" s="641"/>
      <c r="EIU369" s="653"/>
      <c r="EIW369" s="118"/>
      <c r="EIX369" s="219"/>
      <c r="EIY369" s="247"/>
      <c r="EIZ369" s="652"/>
      <c r="EJA369" s="626"/>
      <c r="EJB369" s="661"/>
      <c r="EJC369" s="641"/>
      <c r="EJD369" s="653"/>
      <c r="EJF369" s="118"/>
      <c r="EJG369" s="219"/>
      <c r="EJH369" s="247"/>
      <c r="EJI369" s="652"/>
      <c r="EJJ369" s="626"/>
      <c r="EJK369" s="661"/>
      <c r="EJL369" s="641"/>
      <c r="EJM369" s="653"/>
      <c r="EJO369" s="118"/>
      <c r="EJP369" s="219"/>
      <c r="EJQ369" s="247"/>
      <c r="EJR369" s="652"/>
      <c r="EJS369" s="626"/>
      <c r="EJT369" s="661"/>
      <c r="EJU369" s="641"/>
      <c r="EJV369" s="653"/>
      <c r="EJX369" s="118"/>
      <c r="EJY369" s="219"/>
      <c r="EJZ369" s="247"/>
      <c r="EKA369" s="652"/>
      <c r="EKB369" s="626"/>
      <c r="EKC369" s="661"/>
      <c r="EKD369" s="641"/>
      <c r="EKE369" s="653"/>
      <c r="EKG369" s="118"/>
      <c r="EKH369" s="219"/>
      <c r="EKI369" s="247"/>
      <c r="EKJ369" s="652"/>
      <c r="EKK369" s="626"/>
      <c r="EKL369" s="661"/>
      <c r="EKM369" s="641"/>
      <c r="EKN369" s="653"/>
      <c r="EKP369" s="118"/>
      <c r="EKQ369" s="219"/>
      <c r="EKR369" s="247"/>
      <c r="EKS369" s="652"/>
      <c r="EKT369" s="626"/>
      <c r="EKU369" s="661"/>
      <c r="EKV369" s="641"/>
      <c r="EKW369" s="653"/>
      <c r="EKY369" s="118"/>
      <c r="EKZ369" s="219"/>
      <c r="ELA369" s="247"/>
      <c r="ELB369" s="652"/>
      <c r="ELC369" s="626"/>
      <c r="ELD369" s="661"/>
      <c r="ELE369" s="641"/>
      <c r="ELF369" s="653"/>
      <c r="ELH369" s="118"/>
      <c r="ELI369" s="219"/>
      <c r="ELJ369" s="247"/>
      <c r="ELK369" s="652"/>
      <c r="ELL369" s="626"/>
      <c r="ELM369" s="661"/>
      <c r="ELN369" s="641"/>
      <c r="ELO369" s="653"/>
      <c r="ELQ369" s="118"/>
      <c r="ELR369" s="219"/>
      <c r="ELS369" s="247"/>
      <c r="ELT369" s="652"/>
      <c r="ELU369" s="626"/>
      <c r="ELV369" s="661"/>
      <c r="ELW369" s="641"/>
      <c r="ELX369" s="653"/>
      <c r="ELZ369" s="118"/>
      <c r="EMA369" s="219"/>
      <c r="EMB369" s="247"/>
      <c r="EMC369" s="652"/>
      <c r="EMD369" s="626"/>
      <c r="EME369" s="661"/>
      <c r="EMF369" s="641"/>
      <c r="EMG369" s="653"/>
      <c r="EMI369" s="118"/>
      <c r="EMJ369" s="219"/>
      <c r="EMK369" s="247"/>
      <c r="EML369" s="652"/>
      <c r="EMM369" s="626"/>
      <c r="EMN369" s="661"/>
      <c r="EMO369" s="641"/>
      <c r="EMP369" s="653"/>
      <c r="EMR369" s="118"/>
      <c r="EMS369" s="219"/>
      <c r="EMT369" s="247"/>
      <c r="EMU369" s="652"/>
      <c r="EMV369" s="626"/>
      <c r="EMW369" s="661"/>
      <c r="EMX369" s="641"/>
      <c r="EMY369" s="653"/>
      <c r="ENA369" s="118"/>
      <c r="ENB369" s="219"/>
      <c r="ENC369" s="247"/>
      <c r="END369" s="652"/>
      <c r="ENE369" s="626"/>
      <c r="ENF369" s="661"/>
      <c r="ENG369" s="641"/>
      <c r="ENH369" s="653"/>
      <c r="ENJ369" s="118"/>
      <c r="ENK369" s="219"/>
      <c r="ENL369" s="247"/>
      <c r="ENM369" s="652"/>
      <c r="ENN369" s="626"/>
      <c r="ENO369" s="661"/>
      <c r="ENP369" s="641"/>
      <c r="ENQ369" s="653"/>
      <c r="ENS369" s="118"/>
      <c r="ENT369" s="219"/>
      <c r="ENU369" s="247"/>
      <c r="ENV369" s="652"/>
      <c r="ENW369" s="626"/>
      <c r="ENX369" s="661"/>
      <c r="ENY369" s="641"/>
      <c r="ENZ369" s="653"/>
      <c r="EOB369" s="118"/>
      <c r="EOC369" s="219"/>
      <c r="EOD369" s="247"/>
      <c r="EOE369" s="652"/>
      <c r="EOF369" s="626"/>
      <c r="EOG369" s="661"/>
      <c r="EOH369" s="641"/>
      <c r="EOI369" s="653"/>
      <c r="EOK369" s="118"/>
      <c r="EOL369" s="219"/>
      <c r="EOM369" s="247"/>
      <c r="EON369" s="652"/>
      <c r="EOO369" s="626"/>
      <c r="EOP369" s="661"/>
      <c r="EOQ369" s="641"/>
      <c r="EOR369" s="653"/>
      <c r="EOT369" s="118"/>
      <c r="EOU369" s="219"/>
      <c r="EOV369" s="247"/>
      <c r="EOW369" s="652"/>
      <c r="EOX369" s="626"/>
      <c r="EOY369" s="661"/>
      <c r="EOZ369" s="641"/>
      <c r="EPA369" s="653"/>
      <c r="EPC369" s="118"/>
      <c r="EPD369" s="219"/>
      <c r="EPE369" s="247"/>
      <c r="EPF369" s="652"/>
      <c r="EPG369" s="626"/>
      <c r="EPH369" s="661"/>
      <c r="EPI369" s="641"/>
      <c r="EPJ369" s="653"/>
      <c r="EPL369" s="118"/>
      <c r="EPM369" s="219"/>
      <c r="EPN369" s="247"/>
      <c r="EPO369" s="652"/>
      <c r="EPP369" s="626"/>
      <c r="EPQ369" s="661"/>
      <c r="EPR369" s="641"/>
      <c r="EPS369" s="653"/>
      <c r="EPU369" s="118"/>
      <c r="EPV369" s="219"/>
      <c r="EPW369" s="247"/>
      <c r="EPX369" s="652"/>
      <c r="EPY369" s="626"/>
      <c r="EPZ369" s="661"/>
      <c r="EQA369" s="641"/>
      <c r="EQB369" s="653"/>
      <c r="EQD369" s="118"/>
      <c r="EQE369" s="219"/>
      <c r="EQF369" s="247"/>
      <c r="EQG369" s="652"/>
      <c r="EQH369" s="626"/>
      <c r="EQI369" s="661"/>
      <c r="EQJ369" s="641"/>
      <c r="EQK369" s="653"/>
      <c r="EQM369" s="118"/>
      <c r="EQN369" s="219"/>
      <c r="EQO369" s="247"/>
      <c r="EQP369" s="652"/>
      <c r="EQQ369" s="626"/>
      <c r="EQR369" s="661"/>
      <c r="EQS369" s="641"/>
      <c r="EQT369" s="653"/>
      <c r="EQV369" s="118"/>
      <c r="EQW369" s="219"/>
      <c r="EQX369" s="247"/>
      <c r="EQY369" s="652"/>
      <c r="EQZ369" s="626"/>
      <c r="ERA369" s="661"/>
      <c r="ERB369" s="641"/>
      <c r="ERC369" s="653"/>
      <c r="ERE369" s="118"/>
      <c r="ERF369" s="219"/>
      <c r="ERG369" s="247"/>
      <c r="ERH369" s="652"/>
      <c r="ERI369" s="626"/>
      <c r="ERJ369" s="661"/>
      <c r="ERK369" s="641"/>
      <c r="ERL369" s="653"/>
      <c r="ERN369" s="118"/>
      <c r="ERO369" s="219"/>
      <c r="ERP369" s="247"/>
      <c r="ERQ369" s="652"/>
      <c r="ERR369" s="626"/>
      <c r="ERS369" s="661"/>
      <c r="ERT369" s="641"/>
      <c r="ERU369" s="653"/>
      <c r="ERW369" s="118"/>
      <c r="ERX369" s="219"/>
      <c r="ERY369" s="247"/>
      <c r="ERZ369" s="652"/>
      <c r="ESA369" s="626"/>
      <c r="ESB369" s="661"/>
      <c r="ESC369" s="641"/>
      <c r="ESD369" s="653"/>
      <c r="ESF369" s="118"/>
      <c r="ESG369" s="219"/>
      <c r="ESH369" s="247"/>
      <c r="ESI369" s="652"/>
      <c r="ESJ369" s="626"/>
      <c r="ESK369" s="661"/>
      <c r="ESL369" s="641"/>
      <c r="ESM369" s="653"/>
      <c r="ESO369" s="118"/>
      <c r="ESP369" s="219"/>
      <c r="ESQ369" s="247"/>
      <c r="ESR369" s="652"/>
      <c r="ESS369" s="626"/>
      <c r="EST369" s="661"/>
      <c r="ESU369" s="641"/>
      <c r="ESV369" s="653"/>
      <c r="ESX369" s="118"/>
      <c r="ESY369" s="219"/>
      <c r="ESZ369" s="247"/>
      <c r="ETA369" s="652"/>
      <c r="ETB369" s="626"/>
      <c r="ETC369" s="661"/>
      <c r="ETD369" s="641"/>
      <c r="ETE369" s="653"/>
      <c r="ETG369" s="118"/>
      <c r="ETH369" s="219"/>
      <c r="ETI369" s="247"/>
      <c r="ETJ369" s="652"/>
      <c r="ETK369" s="626"/>
      <c r="ETL369" s="661"/>
      <c r="ETM369" s="641"/>
      <c r="ETN369" s="653"/>
      <c r="ETP369" s="118"/>
      <c r="ETQ369" s="219"/>
      <c r="ETR369" s="247"/>
      <c r="ETS369" s="652"/>
      <c r="ETT369" s="626"/>
      <c r="ETU369" s="661"/>
      <c r="ETV369" s="641"/>
      <c r="ETW369" s="653"/>
      <c r="ETY369" s="118"/>
      <c r="ETZ369" s="219"/>
      <c r="EUA369" s="247"/>
      <c r="EUB369" s="652"/>
      <c r="EUC369" s="626"/>
      <c r="EUD369" s="661"/>
      <c r="EUE369" s="641"/>
      <c r="EUF369" s="653"/>
      <c r="EUH369" s="118"/>
      <c r="EUI369" s="219"/>
      <c r="EUJ369" s="247"/>
      <c r="EUK369" s="652"/>
      <c r="EUL369" s="626"/>
      <c r="EUM369" s="661"/>
      <c r="EUN369" s="641"/>
      <c r="EUO369" s="653"/>
      <c r="EUQ369" s="118"/>
      <c r="EUR369" s="219"/>
      <c r="EUS369" s="247"/>
      <c r="EUT369" s="652"/>
      <c r="EUU369" s="626"/>
      <c r="EUV369" s="661"/>
      <c r="EUW369" s="641"/>
      <c r="EUX369" s="653"/>
      <c r="EUZ369" s="118"/>
      <c r="EVA369" s="219"/>
      <c r="EVB369" s="247"/>
      <c r="EVC369" s="652"/>
      <c r="EVD369" s="626"/>
      <c r="EVE369" s="661"/>
      <c r="EVF369" s="641"/>
      <c r="EVG369" s="653"/>
      <c r="EVI369" s="118"/>
      <c r="EVJ369" s="219"/>
      <c r="EVK369" s="247"/>
      <c r="EVL369" s="652"/>
      <c r="EVM369" s="626"/>
      <c r="EVN369" s="661"/>
      <c r="EVO369" s="641"/>
      <c r="EVP369" s="653"/>
      <c r="EVR369" s="118"/>
      <c r="EVS369" s="219"/>
      <c r="EVT369" s="247"/>
      <c r="EVU369" s="652"/>
      <c r="EVV369" s="626"/>
      <c r="EVW369" s="661"/>
      <c r="EVX369" s="641"/>
      <c r="EVY369" s="653"/>
      <c r="EWA369" s="118"/>
      <c r="EWB369" s="219"/>
      <c r="EWC369" s="247"/>
      <c r="EWD369" s="652"/>
      <c r="EWE369" s="626"/>
      <c r="EWF369" s="661"/>
      <c r="EWG369" s="641"/>
      <c r="EWH369" s="653"/>
      <c r="EWJ369" s="118"/>
      <c r="EWK369" s="219"/>
      <c r="EWL369" s="247"/>
      <c r="EWM369" s="652"/>
      <c r="EWN369" s="626"/>
      <c r="EWO369" s="661"/>
      <c r="EWP369" s="641"/>
      <c r="EWQ369" s="653"/>
      <c r="EWS369" s="118"/>
      <c r="EWT369" s="219"/>
      <c r="EWU369" s="247"/>
      <c r="EWV369" s="652"/>
      <c r="EWW369" s="626"/>
      <c r="EWX369" s="661"/>
      <c r="EWY369" s="641"/>
      <c r="EWZ369" s="653"/>
      <c r="EXB369" s="118"/>
      <c r="EXC369" s="219"/>
      <c r="EXD369" s="247"/>
      <c r="EXE369" s="652"/>
      <c r="EXF369" s="626"/>
      <c r="EXG369" s="661"/>
      <c r="EXH369" s="641"/>
      <c r="EXI369" s="653"/>
      <c r="EXK369" s="118"/>
      <c r="EXL369" s="219"/>
      <c r="EXM369" s="247"/>
      <c r="EXN369" s="652"/>
      <c r="EXO369" s="626"/>
      <c r="EXP369" s="661"/>
      <c r="EXQ369" s="641"/>
      <c r="EXR369" s="653"/>
      <c r="EXT369" s="118"/>
      <c r="EXU369" s="219"/>
      <c r="EXV369" s="247"/>
      <c r="EXW369" s="652"/>
      <c r="EXX369" s="626"/>
      <c r="EXY369" s="661"/>
      <c r="EXZ369" s="641"/>
      <c r="EYA369" s="653"/>
      <c r="EYC369" s="118"/>
      <c r="EYD369" s="219"/>
      <c r="EYE369" s="247"/>
      <c r="EYF369" s="652"/>
      <c r="EYG369" s="626"/>
      <c r="EYH369" s="661"/>
      <c r="EYI369" s="641"/>
      <c r="EYJ369" s="653"/>
      <c r="EYL369" s="118"/>
      <c r="EYM369" s="219"/>
      <c r="EYN369" s="247"/>
      <c r="EYO369" s="652"/>
      <c r="EYP369" s="626"/>
      <c r="EYQ369" s="661"/>
      <c r="EYR369" s="641"/>
      <c r="EYS369" s="653"/>
      <c r="EYU369" s="118"/>
      <c r="EYV369" s="219"/>
      <c r="EYW369" s="247"/>
      <c r="EYX369" s="652"/>
      <c r="EYY369" s="626"/>
      <c r="EYZ369" s="661"/>
      <c r="EZA369" s="641"/>
      <c r="EZB369" s="653"/>
      <c r="EZD369" s="118"/>
      <c r="EZE369" s="219"/>
      <c r="EZF369" s="247"/>
      <c r="EZG369" s="652"/>
      <c r="EZH369" s="626"/>
      <c r="EZI369" s="661"/>
      <c r="EZJ369" s="641"/>
      <c r="EZK369" s="653"/>
      <c r="EZM369" s="118"/>
      <c r="EZN369" s="219"/>
      <c r="EZO369" s="247"/>
      <c r="EZP369" s="652"/>
      <c r="EZQ369" s="626"/>
      <c r="EZR369" s="661"/>
      <c r="EZS369" s="641"/>
      <c r="EZT369" s="653"/>
      <c r="EZV369" s="118"/>
      <c r="EZW369" s="219"/>
      <c r="EZX369" s="247"/>
      <c r="EZY369" s="652"/>
      <c r="EZZ369" s="626"/>
      <c r="FAA369" s="661"/>
      <c r="FAB369" s="641"/>
      <c r="FAC369" s="653"/>
      <c r="FAE369" s="118"/>
      <c r="FAF369" s="219"/>
      <c r="FAG369" s="247"/>
      <c r="FAH369" s="652"/>
      <c r="FAI369" s="626"/>
      <c r="FAJ369" s="661"/>
      <c r="FAK369" s="641"/>
      <c r="FAL369" s="653"/>
      <c r="FAN369" s="118"/>
      <c r="FAO369" s="219"/>
      <c r="FAP369" s="247"/>
      <c r="FAQ369" s="652"/>
      <c r="FAR369" s="626"/>
      <c r="FAS369" s="661"/>
      <c r="FAT369" s="641"/>
      <c r="FAU369" s="653"/>
      <c r="FAW369" s="118"/>
      <c r="FAX369" s="219"/>
      <c r="FAY369" s="247"/>
      <c r="FAZ369" s="652"/>
      <c r="FBA369" s="626"/>
      <c r="FBB369" s="661"/>
      <c r="FBC369" s="641"/>
      <c r="FBD369" s="653"/>
      <c r="FBF369" s="118"/>
      <c r="FBG369" s="219"/>
      <c r="FBH369" s="247"/>
      <c r="FBI369" s="652"/>
      <c r="FBJ369" s="626"/>
      <c r="FBK369" s="661"/>
      <c r="FBL369" s="641"/>
      <c r="FBM369" s="653"/>
      <c r="FBO369" s="118"/>
      <c r="FBP369" s="219"/>
      <c r="FBQ369" s="247"/>
      <c r="FBR369" s="652"/>
      <c r="FBS369" s="626"/>
      <c r="FBT369" s="661"/>
      <c r="FBU369" s="641"/>
      <c r="FBV369" s="653"/>
      <c r="FBX369" s="118"/>
      <c r="FBY369" s="219"/>
      <c r="FBZ369" s="247"/>
      <c r="FCA369" s="652"/>
      <c r="FCB369" s="626"/>
      <c r="FCC369" s="661"/>
      <c r="FCD369" s="641"/>
      <c r="FCE369" s="653"/>
      <c r="FCG369" s="118"/>
      <c r="FCH369" s="219"/>
      <c r="FCI369" s="247"/>
      <c r="FCJ369" s="652"/>
      <c r="FCK369" s="626"/>
      <c r="FCL369" s="661"/>
      <c r="FCM369" s="641"/>
      <c r="FCN369" s="653"/>
      <c r="FCP369" s="118"/>
      <c r="FCQ369" s="219"/>
      <c r="FCR369" s="247"/>
      <c r="FCS369" s="652"/>
      <c r="FCT369" s="626"/>
      <c r="FCU369" s="661"/>
      <c r="FCV369" s="641"/>
      <c r="FCW369" s="653"/>
      <c r="FCY369" s="118"/>
      <c r="FCZ369" s="219"/>
      <c r="FDA369" s="247"/>
      <c r="FDB369" s="652"/>
      <c r="FDC369" s="626"/>
      <c r="FDD369" s="661"/>
      <c r="FDE369" s="641"/>
      <c r="FDF369" s="653"/>
      <c r="FDH369" s="118"/>
      <c r="FDI369" s="219"/>
      <c r="FDJ369" s="247"/>
      <c r="FDK369" s="652"/>
      <c r="FDL369" s="626"/>
      <c r="FDM369" s="661"/>
      <c r="FDN369" s="641"/>
      <c r="FDO369" s="653"/>
      <c r="FDQ369" s="118"/>
      <c r="FDR369" s="219"/>
      <c r="FDS369" s="247"/>
      <c r="FDT369" s="652"/>
      <c r="FDU369" s="626"/>
      <c r="FDV369" s="661"/>
      <c r="FDW369" s="641"/>
      <c r="FDX369" s="653"/>
      <c r="FDZ369" s="118"/>
      <c r="FEA369" s="219"/>
      <c r="FEB369" s="247"/>
      <c r="FEC369" s="652"/>
      <c r="FED369" s="626"/>
      <c r="FEE369" s="661"/>
      <c r="FEF369" s="641"/>
      <c r="FEG369" s="653"/>
      <c r="FEI369" s="118"/>
      <c r="FEJ369" s="219"/>
      <c r="FEK369" s="247"/>
      <c r="FEL369" s="652"/>
      <c r="FEM369" s="626"/>
      <c r="FEN369" s="661"/>
      <c r="FEO369" s="641"/>
      <c r="FEP369" s="653"/>
      <c r="FER369" s="118"/>
      <c r="FES369" s="219"/>
      <c r="FET369" s="247"/>
      <c r="FEU369" s="652"/>
      <c r="FEV369" s="626"/>
      <c r="FEW369" s="661"/>
      <c r="FEX369" s="641"/>
      <c r="FEY369" s="653"/>
      <c r="FFA369" s="118"/>
      <c r="FFB369" s="219"/>
      <c r="FFC369" s="247"/>
      <c r="FFD369" s="652"/>
      <c r="FFE369" s="626"/>
      <c r="FFF369" s="661"/>
      <c r="FFG369" s="641"/>
      <c r="FFH369" s="653"/>
      <c r="FFJ369" s="118"/>
      <c r="FFK369" s="219"/>
      <c r="FFL369" s="247"/>
      <c r="FFM369" s="652"/>
      <c r="FFN369" s="626"/>
      <c r="FFO369" s="661"/>
      <c r="FFP369" s="641"/>
      <c r="FFQ369" s="653"/>
      <c r="FFS369" s="118"/>
      <c r="FFT369" s="219"/>
      <c r="FFU369" s="247"/>
      <c r="FFV369" s="652"/>
      <c r="FFW369" s="626"/>
      <c r="FFX369" s="661"/>
      <c r="FFY369" s="641"/>
      <c r="FFZ369" s="653"/>
      <c r="FGB369" s="118"/>
      <c r="FGC369" s="219"/>
      <c r="FGD369" s="247"/>
      <c r="FGE369" s="652"/>
      <c r="FGF369" s="626"/>
      <c r="FGG369" s="661"/>
      <c r="FGH369" s="641"/>
      <c r="FGI369" s="653"/>
      <c r="FGK369" s="118"/>
      <c r="FGL369" s="219"/>
      <c r="FGM369" s="247"/>
      <c r="FGN369" s="652"/>
      <c r="FGO369" s="626"/>
      <c r="FGP369" s="661"/>
      <c r="FGQ369" s="641"/>
      <c r="FGR369" s="653"/>
      <c r="FGT369" s="118"/>
      <c r="FGU369" s="219"/>
      <c r="FGV369" s="247"/>
      <c r="FGW369" s="652"/>
      <c r="FGX369" s="626"/>
      <c r="FGY369" s="661"/>
      <c r="FGZ369" s="641"/>
      <c r="FHA369" s="653"/>
      <c r="FHC369" s="118"/>
      <c r="FHD369" s="219"/>
      <c r="FHE369" s="247"/>
      <c r="FHF369" s="652"/>
      <c r="FHG369" s="626"/>
      <c r="FHH369" s="661"/>
      <c r="FHI369" s="641"/>
      <c r="FHJ369" s="653"/>
      <c r="FHL369" s="118"/>
      <c r="FHM369" s="219"/>
      <c r="FHN369" s="247"/>
      <c r="FHO369" s="652"/>
      <c r="FHP369" s="626"/>
      <c r="FHQ369" s="661"/>
      <c r="FHR369" s="641"/>
      <c r="FHS369" s="653"/>
      <c r="FHU369" s="118"/>
      <c r="FHV369" s="219"/>
      <c r="FHW369" s="247"/>
      <c r="FHX369" s="652"/>
      <c r="FHY369" s="626"/>
      <c r="FHZ369" s="661"/>
      <c r="FIA369" s="641"/>
      <c r="FIB369" s="653"/>
      <c r="FID369" s="118"/>
      <c r="FIE369" s="219"/>
      <c r="FIF369" s="247"/>
      <c r="FIG369" s="652"/>
      <c r="FIH369" s="626"/>
      <c r="FII369" s="661"/>
      <c r="FIJ369" s="641"/>
      <c r="FIK369" s="653"/>
      <c r="FIM369" s="118"/>
      <c r="FIN369" s="219"/>
      <c r="FIO369" s="247"/>
      <c r="FIP369" s="652"/>
      <c r="FIQ369" s="626"/>
      <c r="FIR369" s="661"/>
      <c r="FIS369" s="641"/>
      <c r="FIT369" s="653"/>
      <c r="FIV369" s="118"/>
      <c r="FIW369" s="219"/>
      <c r="FIX369" s="247"/>
      <c r="FIY369" s="652"/>
      <c r="FIZ369" s="626"/>
      <c r="FJA369" s="661"/>
      <c r="FJB369" s="641"/>
      <c r="FJC369" s="653"/>
      <c r="FJE369" s="118"/>
      <c r="FJF369" s="219"/>
      <c r="FJG369" s="247"/>
      <c r="FJH369" s="652"/>
      <c r="FJI369" s="626"/>
      <c r="FJJ369" s="661"/>
      <c r="FJK369" s="641"/>
      <c r="FJL369" s="653"/>
      <c r="FJN369" s="118"/>
      <c r="FJO369" s="219"/>
      <c r="FJP369" s="247"/>
      <c r="FJQ369" s="652"/>
      <c r="FJR369" s="626"/>
      <c r="FJS369" s="661"/>
      <c r="FJT369" s="641"/>
      <c r="FJU369" s="653"/>
      <c r="FJW369" s="118"/>
      <c r="FJX369" s="219"/>
      <c r="FJY369" s="247"/>
      <c r="FJZ369" s="652"/>
      <c r="FKA369" s="626"/>
      <c r="FKB369" s="661"/>
      <c r="FKC369" s="641"/>
      <c r="FKD369" s="653"/>
      <c r="FKF369" s="118"/>
      <c r="FKG369" s="219"/>
      <c r="FKH369" s="247"/>
      <c r="FKI369" s="652"/>
      <c r="FKJ369" s="626"/>
      <c r="FKK369" s="661"/>
      <c r="FKL369" s="641"/>
      <c r="FKM369" s="653"/>
      <c r="FKO369" s="118"/>
      <c r="FKP369" s="219"/>
      <c r="FKQ369" s="247"/>
      <c r="FKR369" s="652"/>
      <c r="FKS369" s="626"/>
      <c r="FKT369" s="661"/>
      <c r="FKU369" s="641"/>
      <c r="FKV369" s="653"/>
      <c r="FKX369" s="118"/>
      <c r="FKY369" s="219"/>
      <c r="FKZ369" s="247"/>
      <c r="FLA369" s="652"/>
      <c r="FLB369" s="626"/>
      <c r="FLC369" s="661"/>
      <c r="FLD369" s="641"/>
      <c r="FLE369" s="653"/>
      <c r="FLG369" s="118"/>
      <c r="FLH369" s="219"/>
      <c r="FLI369" s="247"/>
      <c r="FLJ369" s="652"/>
      <c r="FLK369" s="626"/>
      <c r="FLL369" s="661"/>
      <c r="FLM369" s="641"/>
      <c r="FLN369" s="653"/>
      <c r="FLP369" s="118"/>
      <c r="FLQ369" s="219"/>
      <c r="FLR369" s="247"/>
      <c r="FLS369" s="652"/>
      <c r="FLT369" s="626"/>
      <c r="FLU369" s="661"/>
      <c r="FLV369" s="641"/>
      <c r="FLW369" s="653"/>
      <c r="FLY369" s="118"/>
      <c r="FLZ369" s="219"/>
      <c r="FMA369" s="247"/>
      <c r="FMB369" s="652"/>
      <c r="FMC369" s="626"/>
      <c r="FMD369" s="661"/>
      <c r="FME369" s="641"/>
      <c r="FMF369" s="653"/>
      <c r="FMH369" s="118"/>
      <c r="FMI369" s="219"/>
      <c r="FMJ369" s="247"/>
      <c r="FMK369" s="652"/>
      <c r="FML369" s="626"/>
      <c r="FMM369" s="661"/>
      <c r="FMN369" s="641"/>
      <c r="FMO369" s="653"/>
      <c r="FMQ369" s="118"/>
      <c r="FMR369" s="219"/>
      <c r="FMS369" s="247"/>
      <c r="FMT369" s="652"/>
      <c r="FMU369" s="626"/>
      <c r="FMV369" s="661"/>
      <c r="FMW369" s="641"/>
      <c r="FMX369" s="653"/>
      <c r="FMZ369" s="118"/>
      <c r="FNA369" s="219"/>
      <c r="FNB369" s="247"/>
      <c r="FNC369" s="652"/>
      <c r="FND369" s="626"/>
      <c r="FNE369" s="661"/>
      <c r="FNF369" s="641"/>
      <c r="FNG369" s="653"/>
      <c r="FNI369" s="118"/>
      <c r="FNJ369" s="219"/>
      <c r="FNK369" s="247"/>
      <c r="FNL369" s="652"/>
      <c r="FNM369" s="626"/>
      <c r="FNN369" s="661"/>
      <c r="FNO369" s="641"/>
      <c r="FNP369" s="653"/>
      <c r="FNR369" s="118"/>
      <c r="FNS369" s="219"/>
      <c r="FNT369" s="247"/>
      <c r="FNU369" s="652"/>
      <c r="FNV369" s="626"/>
      <c r="FNW369" s="661"/>
      <c r="FNX369" s="641"/>
      <c r="FNY369" s="653"/>
      <c r="FOA369" s="118"/>
      <c r="FOB369" s="219"/>
      <c r="FOC369" s="247"/>
      <c r="FOD369" s="652"/>
      <c r="FOE369" s="626"/>
      <c r="FOF369" s="661"/>
      <c r="FOG369" s="641"/>
      <c r="FOH369" s="653"/>
      <c r="FOJ369" s="118"/>
      <c r="FOK369" s="219"/>
      <c r="FOL369" s="247"/>
      <c r="FOM369" s="652"/>
      <c r="FON369" s="626"/>
      <c r="FOO369" s="661"/>
      <c r="FOP369" s="641"/>
      <c r="FOQ369" s="653"/>
      <c r="FOS369" s="118"/>
      <c r="FOT369" s="219"/>
      <c r="FOU369" s="247"/>
      <c r="FOV369" s="652"/>
      <c r="FOW369" s="626"/>
      <c r="FOX369" s="661"/>
      <c r="FOY369" s="641"/>
      <c r="FOZ369" s="653"/>
      <c r="FPB369" s="118"/>
      <c r="FPC369" s="219"/>
      <c r="FPD369" s="247"/>
      <c r="FPE369" s="652"/>
      <c r="FPF369" s="626"/>
      <c r="FPG369" s="661"/>
      <c r="FPH369" s="641"/>
      <c r="FPI369" s="653"/>
      <c r="FPK369" s="118"/>
      <c r="FPL369" s="219"/>
      <c r="FPM369" s="247"/>
      <c r="FPN369" s="652"/>
      <c r="FPO369" s="626"/>
      <c r="FPP369" s="661"/>
      <c r="FPQ369" s="641"/>
      <c r="FPR369" s="653"/>
      <c r="FPT369" s="118"/>
      <c r="FPU369" s="219"/>
      <c r="FPV369" s="247"/>
      <c r="FPW369" s="652"/>
      <c r="FPX369" s="626"/>
      <c r="FPY369" s="661"/>
      <c r="FPZ369" s="641"/>
      <c r="FQA369" s="653"/>
      <c r="FQC369" s="118"/>
      <c r="FQD369" s="219"/>
      <c r="FQE369" s="247"/>
      <c r="FQF369" s="652"/>
      <c r="FQG369" s="626"/>
      <c r="FQH369" s="661"/>
      <c r="FQI369" s="641"/>
      <c r="FQJ369" s="653"/>
      <c r="FQL369" s="118"/>
      <c r="FQM369" s="219"/>
      <c r="FQN369" s="247"/>
      <c r="FQO369" s="652"/>
      <c r="FQP369" s="626"/>
      <c r="FQQ369" s="661"/>
      <c r="FQR369" s="641"/>
      <c r="FQS369" s="653"/>
      <c r="FQU369" s="118"/>
      <c r="FQV369" s="219"/>
      <c r="FQW369" s="247"/>
      <c r="FQX369" s="652"/>
      <c r="FQY369" s="626"/>
      <c r="FQZ369" s="661"/>
      <c r="FRA369" s="641"/>
      <c r="FRB369" s="653"/>
      <c r="FRD369" s="118"/>
      <c r="FRE369" s="219"/>
      <c r="FRF369" s="247"/>
      <c r="FRG369" s="652"/>
      <c r="FRH369" s="626"/>
      <c r="FRI369" s="661"/>
      <c r="FRJ369" s="641"/>
      <c r="FRK369" s="653"/>
      <c r="FRM369" s="118"/>
      <c r="FRN369" s="219"/>
      <c r="FRO369" s="247"/>
      <c r="FRP369" s="652"/>
      <c r="FRQ369" s="626"/>
      <c r="FRR369" s="661"/>
      <c r="FRS369" s="641"/>
      <c r="FRT369" s="653"/>
      <c r="FRV369" s="118"/>
      <c r="FRW369" s="219"/>
      <c r="FRX369" s="247"/>
      <c r="FRY369" s="652"/>
      <c r="FRZ369" s="626"/>
      <c r="FSA369" s="661"/>
      <c r="FSB369" s="641"/>
      <c r="FSC369" s="653"/>
      <c r="FSE369" s="118"/>
      <c r="FSF369" s="219"/>
      <c r="FSG369" s="247"/>
      <c r="FSH369" s="652"/>
      <c r="FSI369" s="626"/>
      <c r="FSJ369" s="661"/>
      <c r="FSK369" s="641"/>
      <c r="FSL369" s="653"/>
      <c r="FSN369" s="118"/>
      <c r="FSO369" s="219"/>
      <c r="FSP369" s="247"/>
      <c r="FSQ369" s="652"/>
      <c r="FSR369" s="626"/>
      <c r="FSS369" s="661"/>
      <c r="FST369" s="641"/>
      <c r="FSU369" s="653"/>
      <c r="FSW369" s="118"/>
      <c r="FSX369" s="219"/>
      <c r="FSY369" s="247"/>
      <c r="FSZ369" s="652"/>
      <c r="FTA369" s="626"/>
      <c r="FTB369" s="661"/>
      <c r="FTC369" s="641"/>
      <c r="FTD369" s="653"/>
      <c r="FTF369" s="118"/>
      <c r="FTG369" s="219"/>
      <c r="FTH369" s="247"/>
      <c r="FTI369" s="652"/>
      <c r="FTJ369" s="626"/>
      <c r="FTK369" s="661"/>
      <c r="FTL369" s="641"/>
      <c r="FTM369" s="653"/>
      <c r="FTO369" s="118"/>
      <c r="FTP369" s="219"/>
      <c r="FTQ369" s="247"/>
      <c r="FTR369" s="652"/>
      <c r="FTS369" s="626"/>
      <c r="FTT369" s="661"/>
      <c r="FTU369" s="641"/>
      <c r="FTV369" s="653"/>
      <c r="FTX369" s="118"/>
      <c r="FTY369" s="219"/>
      <c r="FTZ369" s="247"/>
      <c r="FUA369" s="652"/>
      <c r="FUB369" s="626"/>
      <c r="FUC369" s="661"/>
      <c r="FUD369" s="641"/>
      <c r="FUE369" s="653"/>
      <c r="FUG369" s="118"/>
      <c r="FUH369" s="219"/>
      <c r="FUI369" s="247"/>
      <c r="FUJ369" s="652"/>
      <c r="FUK369" s="626"/>
      <c r="FUL369" s="661"/>
      <c r="FUM369" s="641"/>
      <c r="FUN369" s="653"/>
      <c r="FUP369" s="118"/>
      <c r="FUQ369" s="219"/>
      <c r="FUR369" s="247"/>
      <c r="FUS369" s="652"/>
      <c r="FUT369" s="626"/>
      <c r="FUU369" s="661"/>
      <c r="FUV369" s="641"/>
      <c r="FUW369" s="653"/>
      <c r="FUY369" s="118"/>
      <c r="FUZ369" s="219"/>
      <c r="FVA369" s="247"/>
      <c r="FVB369" s="652"/>
      <c r="FVC369" s="626"/>
      <c r="FVD369" s="661"/>
      <c r="FVE369" s="641"/>
      <c r="FVF369" s="653"/>
      <c r="FVH369" s="654"/>
      <c r="FVI369" s="286"/>
      <c r="FVJ369" s="287"/>
      <c r="FVK369" s="296"/>
      <c r="FVL369" s="457"/>
      <c r="FVM369" s="664"/>
      <c r="FVN369" s="521"/>
      <c r="FVO369" s="362"/>
      <c r="FVP369" s="295"/>
      <c r="FVQ369" s="656"/>
      <c r="FVR369" s="286"/>
      <c r="FVS369" s="287"/>
      <c r="FVT369" s="296"/>
      <c r="FVU369" s="457"/>
      <c r="FVV369" s="664"/>
      <c r="FVW369" s="521"/>
      <c r="FVX369" s="362"/>
      <c r="FVY369" s="295"/>
      <c r="FVZ369" s="656"/>
      <c r="FWA369" s="286"/>
      <c r="FWB369" s="287"/>
      <c r="FWC369" s="296"/>
      <c r="FWD369" s="457"/>
      <c r="FWE369" s="664"/>
      <c r="FWF369" s="521"/>
      <c r="FWG369" s="362"/>
      <c r="FWH369" s="295"/>
      <c r="FWI369" s="656"/>
      <c r="FWJ369" s="286"/>
      <c r="FWK369" s="287"/>
      <c r="FWL369" s="296"/>
      <c r="FWM369" s="457"/>
      <c r="FWN369" s="664"/>
      <c r="FWO369" s="521"/>
      <c r="FWP369" s="362"/>
      <c r="FWQ369" s="295"/>
      <c r="FWR369" s="656"/>
      <c r="FWS369" s="286"/>
      <c r="FWT369" s="287"/>
      <c r="FWU369" s="296"/>
      <c r="FWV369" s="457"/>
      <c r="FWW369" s="664"/>
      <c r="FWX369" s="521"/>
      <c r="FWY369" s="362"/>
      <c r="FWZ369" s="295"/>
      <c r="FXA369" s="656"/>
      <c r="FXB369" s="286"/>
      <c r="FXC369" s="287"/>
      <c r="FXD369" s="296"/>
      <c r="FXE369" s="457"/>
      <c r="FXF369" s="664"/>
      <c r="FXG369" s="521"/>
      <c r="FXH369" s="362"/>
      <c r="FXI369" s="295"/>
      <c r="FXJ369" s="656"/>
      <c r="FXK369" s="286"/>
      <c r="FXL369" s="287"/>
      <c r="FXM369" s="296"/>
      <c r="FXN369" s="457"/>
      <c r="FXO369" s="664"/>
      <c r="FXP369" s="521"/>
      <c r="FXQ369" s="362"/>
      <c r="FXR369" s="295"/>
      <c r="FXS369" s="656"/>
      <c r="FXT369" s="286"/>
      <c r="FXU369" s="287"/>
      <c r="FXV369" s="296"/>
      <c r="FXW369" s="457"/>
      <c r="FXX369" s="664"/>
      <c r="FXY369" s="521"/>
      <c r="FXZ369" s="362"/>
      <c r="FYA369" s="295"/>
      <c r="FYB369" s="656"/>
      <c r="FYC369" s="286"/>
      <c r="FYD369" s="287"/>
      <c r="FYE369" s="296"/>
      <c r="FYF369" s="457"/>
      <c r="FYG369" s="664"/>
      <c r="FYH369" s="521"/>
      <c r="FYI369" s="362"/>
      <c r="FYJ369" s="295"/>
      <c r="FYK369" s="656"/>
      <c r="FYL369" s="286"/>
      <c r="FYM369" s="287"/>
      <c r="FYN369" s="296"/>
      <c r="FYO369" s="457"/>
      <c r="FYP369" s="664"/>
      <c r="FYQ369" s="521"/>
      <c r="FYR369" s="362"/>
      <c r="FYS369" s="295"/>
      <c r="FYT369" s="656"/>
      <c r="FYU369" s="286"/>
      <c r="FYV369" s="287"/>
      <c r="FYW369" s="296"/>
      <c r="FYX369" s="457"/>
      <c r="FYY369" s="664"/>
      <c r="FYZ369" s="521"/>
      <c r="FZA369" s="362"/>
      <c r="FZB369" s="295"/>
      <c r="FZC369" s="656"/>
      <c r="FZD369" s="286"/>
      <c r="FZE369" s="287"/>
      <c r="FZF369" s="296"/>
      <c r="FZG369" s="457"/>
      <c r="FZH369" s="664"/>
      <c r="FZI369" s="521"/>
      <c r="FZJ369" s="362"/>
      <c r="FZK369" s="295"/>
      <c r="FZL369" s="656"/>
      <c r="FZM369" s="286"/>
      <c r="FZN369" s="287"/>
      <c r="FZO369" s="296"/>
      <c r="FZP369" s="457"/>
      <c r="FZQ369" s="664"/>
      <c r="FZR369" s="521"/>
      <c r="FZS369" s="362"/>
      <c r="FZT369" s="295"/>
      <c r="FZU369" s="656"/>
      <c r="FZV369" s="286"/>
      <c r="FZW369" s="287"/>
      <c r="FZX369" s="296"/>
      <c r="FZY369" s="457"/>
      <c r="FZZ369" s="664"/>
      <c r="GAA369" s="521"/>
      <c r="GAB369" s="362"/>
      <c r="GAC369" s="295"/>
      <c r="GAD369" s="656"/>
      <c r="GAE369" s="286"/>
      <c r="GAF369" s="287"/>
      <c r="GAG369" s="296"/>
      <c r="GAH369" s="457"/>
      <c r="GAI369" s="664"/>
      <c r="GAJ369" s="521"/>
      <c r="GAK369" s="362"/>
      <c r="GAL369" s="295"/>
      <c r="GAM369" s="656"/>
      <c r="GAN369" s="286"/>
      <c r="GAO369" s="287"/>
      <c r="GAP369" s="296"/>
      <c r="GAQ369" s="457"/>
      <c r="GAR369" s="664"/>
      <c r="GAS369" s="521"/>
      <c r="GAT369" s="362"/>
      <c r="GAU369" s="295"/>
      <c r="GAV369" s="656"/>
      <c r="GAW369" s="286"/>
      <c r="GAX369" s="287"/>
      <c r="GAY369" s="296"/>
      <c r="GAZ369" s="457"/>
      <c r="GBA369" s="664"/>
      <c r="GBB369" s="521"/>
      <c r="GBC369" s="362"/>
      <c r="GBD369" s="295"/>
      <c r="GBE369" s="656"/>
      <c r="GBF369" s="286"/>
      <c r="GBG369" s="287"/>
      <c r="GBH369" s="296"/>
      <c r="GBI369" s="457"/>
      <c r="GBJ369" s="664"/>
      <c r="GBK369" s="521"/>
      <c r="GBL369" s="362"/>
      <c r="GBM369" s="295"/>
      <c r="GBN369" s="656"/>
      <c r="GBO369" s="286"/>
      <c r="GBP369" s="287"/>
      <c r="GBQ369" s="296"/>
      <c r="GBR369" s="457"/>
      <c r="GBS369" s="664"/>
      <c r="GBT369" s="521"/>
      <c r="GBU369" s="362"/>
      <c r="GBV369" s="295"/>
      <c r="GBW369" s="656"/>
      <c r="GBX369" s="286"/>
      <c r="GBY369" s="287"/>
      <c r="GBZ369" s="296"/>
      <c r="GCA369" s="457"/>
      <c r="GCB369" s="664"/>
      <c r="GCC369" s="521"/>
      <c r="GCD369" s="362"/>
      <c r="GCE369" s="295"/>
      <c r="GCF369" s="656"/>
      <c r="GCG369" s="286"/>
      <c r="GCH369" s="287"/>
      <c r="GCI369" s="296"/>
      <c r="GCJ369" s="457"/>
      <c r="GCK369" s="664"/>
      <c r="GCL369" s="521"/>
      <c r="GCM369" s="362"/>
      <c r="GCN369" s="295"/>
      <c r="GCO369" s="656"/>
      <c r="GCP369" s="286"/>
      <c r="GCQ369" s="287"/>
      <c r="GCR369" s="296"/>
      <c r="GCS369" s="457"/>
      <c r="GCT369" s="664"/>
      <c r="GCU369" s="521"/>
      <c r="GCV369" s="362"/>
      <c r="GCW369" s="295"/>
      <c r="GCX369" s="656"/>
      <c r="GCY369" s="286"/>
      <c r="GCZ369" s="287"/>
      <c r="GDA369" s="296"/>
      <c r="GDB369" s="457"/>
      <c r="GDC369" s="664"/>
      <c r="GDD369" s="521"/>
      <c r="GDE369" s="362"/>
      <c r="GDF369" s="295"/>
      <c r="GDG369" s="656"/>
      <c r="GDH369" s="286"/>
      <c r="GDI369" s="287"/>
      <c r="GDJ369" s="296"/>
      <c r="GDK369" s="457"/>
      <c r="GDL369" s="664"/>
      <c r="GDM369" s="521"/>
      <c r="GDN369" s="362"/>
      <c r="GDO369" s="295"/>
      <c r="GDP369" s="656"/>
      <c r="GDQ369" s="286"/>
      <c r="GDR369" s="287"/>
      <c r="GDS369" s="296"/>
      <c r="GDT369" s="457"/>
      <c r="GDU369" s="664"/>
      <c r="GDV369" s="521"/>
      <c r="GDW369" s="362"/>
      <c r="GDX369" s="295"/>
      <c r="GDY369" s="656"/>
      <c r="GDZ369" s="286"/>
      <c r="GEA369" s="287"/>
      <c r="GEB369" s="296"/>
      <c r="GEC369" s="457"/>
      <c r="GED369" s="664"/>
      <c r="GEE369" s="521"/>
      <c r="GEF369" s="362"/>
      <c r="GEG369" s="295"/>
      <c r="GEH369" s="656"/>
      <c r="GEI369" s="286"/>
      <c r="GEJ369" s="287"/>
      <c r="GEK369" s="296"/>
      <c r="GEL369" s="457"/>
      <c r="GEM369" s="664"/>
      <c r="GEN369" s="521"/>
      <c r="GEO369" s="362"/>
      <c r="GEP369" s="295"/>
      <c r="GEQ369" s="656"/>
      <c r="GER369" s="286"/>
      <c r="GES369" s="287"/>
      <c r="GET369" s="296"/>
      <c r="GEU369" s="457"/>
      <c r="GEV369" s="664"/>
      <c r="GEW369" s="521"/>
      <c r="GEX369" s="362"/>
      <c r="GEY369" s="295"/>
      <c r="GEZ369" s="656"/>
      <c r="GFA369" s="286"/>
      <c r="GFB369" s="287"/>
      <c r="GFC369" s="296"/>
      <c r="GFD369" s="457"/>
      <c r="GFE369" s="664"/>
      <c r="GFF369" s="521"/>
      <c r="GFG369" s="362"/>
      <c r="GFH369" s="295"/>
      <c r="GFI369" s="656"/>
      <c r="GFJ369" s="286"/>
      <c r="GFK369" s="287"/>
      <c r="GFL369" s="296"/>
      <c r="GFM369" s="457"/>
      <c r="GFN369" s="664"/>
      <c r="GFO369" s="521"/>
      <c r="GFP369" s="362"/>
      <c r="GFQ369" s="295"/>
      <c r="GFR369" s="656"/>
      <c r="GFS369" s="286"/>
      <c r="GFT369" s="287"/>
      <c r="GFU369" s="296"/>
      <c r="GFV369" s="457"/>
      <c r="GFW369" s="664"/>
      <c r="GFX369" s="521"/>
      <c r="GFY369" s="362"/>
      <c r="GFZ369" s="295"/>
      <c r="GGA369" s="656"/>
      <c r="GGB369" s="286"/>
      <c r="GGC369" s="287"/>
      <c r="GGD369" s="296"/>
      <c r="GGE369" s="457"/>
      <c r="GGF369" s="664"/>
      <c r="GGG369" s="521"/>
      <c r="GGH369" s="362"/>
      <c r="GGI369" s="295"/>
      <c r="GGJ369" s="656"/>
      <c r="GGK369" s="286"/>
      <c r="GGL369" s="287"/>
      <c r="GGM369" s="296"/>
      <c r="GGN369" s="457"/>
      <c r="GGO369" s="664"/>
      <c r="GGP369" s="521"/>
      <c r="GGQ369" s="362"/>
      <c r="GGR369" s="295"/>
      <c r="GGS369" s="656"/>
      <c r="GGT369" s="286"/>
      <c r="GGU369" s="287"/>
      <c r="GGV369" s="296"/>
      <c r="GGW369" s="457"/>
      <c r="GGX369" s="664"/>
      <c r="GGY369" s="521"/>
      <c r="GGZ369" s="362"/>
      <c r="GHA369" s="295"/>
      <c r="GHB369" s="656"/>
      <c r="GHC369" s="286"/>
      <c r="GHD369" s="287"/>
      <c r="GHE369" s="296"/>
      <c r="GHF369" s="457"/>
      <c r="GHG369" s="664"/>
      <c r="GHH369" s="521"/>
      <c r="GHI369" s="362"/>
      <c r="GHJ369" s="295"/>
      <c r="GHK369" s="656"/>
      <c r="GHL369" s="286"/>
      <c r="GHM369" s="287"/>
      <c r="GHN369" s="296"/>
      <c r="GHO369" s="457"/>
      <c r="GHP369" s="664"/>
      <c r="GHQ369" s="521"/>
      <c r="GHR369" s="362"/>
      <c r="GHS369" s="295"/>
      <c r="GHT369" s="656"/>
      <c r="GHU369" s="286"/>
      <c r="GHV369" s="287"/>
      <c r="GHW369" s="296"/>
      <c r="GHX369" s="457"/>
      <c r="GHY369" s="664"/>
      <c r="GHZ369" s="521"/>
      <c r="GIA369" s="362"/>
      <c r="GIB369" s="295"/>
      <c r="GIC369" s="656"/>
      <c r="GID369" s="286"/>
      <c r="GIE369" s="287"/>
      <c r="GIF369" s="296"/>
      <c r="GIG369" s="457"/>
      <c r="GIH369" s="664"/>
      <c r="GII369" s="521"/>
      <c r="GIJ369" s="362"/>
      <c r="GIK369" s="295"/>
      <c r="GIL369" s="656"/>
      <c r="GIM369" s="286"/>
      <c r="GIN369" s="287"/>
      <c r="GIO369" s="296"/>
      <c r="GIP369" s="457"/>
      <c r="GIQ369" s="664"/>
      <c r="GIR369" s="521"/>
      <c r="GIS369" s="362"/>
      <c r="GIT369" s="295"/>
      <c r="GIU369" s="656"/>
      <c r="GIV369" s="286"/>
      <c r="GIW369" s="287"/>
      <c r="GIX369" s="296"/>
      <c r="GIY369" s="457"/>
      <c r="GIZ369" s="664"/>
      <c r="GJA369" s="521"/>
      <c r="GJB369" s="362"/>
      <c r="GJC369" s="295"/>
      <c r="GJD369" s="656"/>
      <c r="GJE369" s="286"/>
      <c r="GJF369" s="287"/>
      <c r="GJG369" s="296"/>
      <c r="GJH369" s="457"/>
      <c r="GJI369" s="664"/>
      <c r="GJJ369" s="521"/>
      <c r="GJK369" s="362"/>
      <c r="GJL369" s="295"/>
      <c r="GJM369" s="656"/>
      <c r="GJN369" s="286"/>
      <c r="GJO369" s="287"/>
      <c r="GJP369" s="296"/>
      <c r="GJQ369" s="457"/>
      <c r="GJR369" s="664"/>
      <c r="GJS369" s="521"/>
      <c r="GJT369" s="362"/>
      <c r="GJU369" s="295"/>
      <c r="GJV369" s="656"/>
      <c r="GJW369" s="286"/>
      <c r="GJX369" s="287"/>
      <c r="GJY369" s="296"/>
      <c r="GJZ369" s="457"/>
      <c r="GKA369" s="664"/>
      <c r="GKB369" s="521"/>
      <c r="GKC369" s="362"/>
      <c r="GKD369" s="295"/>
      <c r="GKE369" s="656"/>
      <c r="GKF369" s="286"/>
      <c r="GKG369" s="287"/>
      <c r="GKH369" s="296"/>
      <c r="GKI369" s="457"/>
      <c r="GKJ369" s="664"/>
      <c r="GKK369" s="521"/>
      <c r="GKL369" s="362"/>
      <c r="GKM369" s="295"/>
      <c r="GKN369" s="656"/>
      <c r="GKO369" s="286"/>
      <c r="GKP369" s="287"/>
      <c r="GKQ369" s="296"/>
      <c r="GKR369" s="457"/>
      <c r="GKS369" s="664"/>
      <c r="GKT369" s="521"/>
      <c r="GKU369" s="362"/>
      <c r="GKV369" s="295"/>
      <c r="GKW369" s="656"/>
      <c r="GKX369" s="286"/>
      <c r="GKY369" s="287"/>
      <c r="GKZ369" s="296"/>
      <c r="GLA369" s="457"/>
      <c r="GLB369" s="664"/>
      <c r="GLC369" s="521"/>
      <c r="GLD369" s="362"/>
      <c r="GLE369" s="295"/>
      <c r="GLF369" s="656"/>
      <c r="GLG369" s="286"/>
      <c r="GLH369" s="287"/>
      <c r="GLI369" s="296"/>
      <c r="GLJ369" s="457"/>
      <c r="GLK369" s="664"/>
      <c r="GLL369" s="521"/>
      <c r="GLM369" s="362"/>
      <c r="GLN369" s="295"/>
      <c r="GLO369" s="656"/>
      <c r="GLP369" s="286"/>
      <c r="GLQ369" s="287"/>
      <c r="GLR369" s="296"/>
      <c r="GLS369" s="457"/>
      <c r="GLT369" s="664"/>
      <c r="GLU369" s="521"/>
      <c r="GLV369" s="362"/>
      <c r="GLW369" s="295"/>
      <c r="GLX369" s="656"/>
      <c r="GLY369" s="286"/>
      <c r="GLZ369" s="287"/>
      <c r="GMA369" s="296"/>
      <c r="GMB369" s="457"/>
      <c r="GMC369" s="664"/>
      <c r="GMD369" s="521"/>
      <c r="GME369" s="362"/>
      <c r="GMF369" s="295"/>
      <c r="GMG369" s="656"/>
      <c r="GMH369" s="286"/>
      <c r="GMI369" s="287"/>
      <c r="GMJ369" s="296"/>
      <c r="GMK369" s="457"/>
      <c r="GML369" s="664"/>
      <c r="GMM369" s="521"/>
      <c r="GMN369" s="362"/>
      <c r="GMO369" s="295"/>
      <c r="GMP369" s="656"/>
      <c r="GMQ369" s="286"/>
      <c r="GMR369" s="287"/>
      <c r="GMS369" s="296"/>
      <c r="GMT369" s="457"/>
      <c r="GMU369" s="664"/>
      <c r="GMV369" s="521"/>
      <c r="GMW369" s="362"/>
      <c r="GMX369" s="295"/>
      <c r="GMY369" s="656"/>
      <c r="GMZ369" s="286"/>
      <c r="GNA369" s="287"/>
      <c r="GNB369" s="296"/>
      <c r="GNC369" s="457"/>
      <c r="GND369" s="664"/>
      <c r="GNE369" s="521"/>
      <c r="GNF369" s="362"/>
      <c r="GNG369" s="295"/>
      <c r="GNH369" s="656"/>
      <c r="GNI369" s="286"/>
      <c r="GNJ369" s="287"/>
      <c r="GNK369" s="296"/>
      <c r="GNL369" s="457"/>
      <c r="GNM369" s="664"/>
      <c r="GNN369" s="521"/>
      <c r="GNO369" s="362"/>
      <c r="GNP369" s="295"/>
      <c r="GNQ369" s="656"/>
      <c r="GNR369" s="286"/>
      <c r="GNS369" s="287"/>
      <c r="GNT369" s="296"/>
      <c r="GNU369" s="457"/>
      <c r="GNV369" s="664"/>
      <c r="GNW369" s="521"/>
      <c r="GNX369" s="362"/>
      <c r="GNY369" s="295"/>
      <c r="GNZ369" s="656"/>
      <c r="GOA369" s="286"/>
      <c r="GOB369" s="287"/>
      <c r="GOC369" s="296"/>
      <c r="GOD369" s="457"/>
      <c r="GOE369" s="664"/>
      <c r="GOF369" s="521"/>
      <c r="GOG369" s="362"/>
      <c r="GOH369" s="295"/>
      <c r="GOI369" s="656"/>
      <c r="GOJ369" s="286"/>
      <c r="GOK369" s="287"/>
      <c r="GOL369" s="296"/>
      <c r="GOM369" s="457"/>
      <c r="GON369" s="664"/>
      <c r="GOO369" s="521"/>
      <c r="GOP369" s="362"/>
      <c r="GOQ369" s="295"/>
      <c r="GOR369" s="656"/>
      <c r="GOS369" s="286"/>
      <c r="GOT369" s="287"/>
      <c r="GOU369" s="296"/>
      <c r="GOV369" s="457"/>
      <c r="GOW369" s="664"/>
      <c r="GOX369" s="521"/>
      <c r="GOY369" s="362"/>
      <c r="GOZ369" s="295"/>
      <c r="GPA369" s="656"/>
      <c r="GPB369" s="286"/>
      <c r="GPC369" s="287"/>
      <c r="GPD369" s="296"/>
      <c r="GPE369" s="457"/>
      <c r="GPF369" s="664"/>
      <c r="GPG369" s="521"/>
      <c r="GPH369" s="362"/>
      <c r="GPI369" s="295"/>
      <c r="GPJ369" s="656"/>
      <c r="GPK369" s="286"/>
      <c r="GPL369" s="287"/>
      <c r="GPM369" s="296"/>
      <c r="GPN369" s="457"/>
      <c r="GPO369" s="664"/>
      <c r="GPP369" s="521"/>
      <c r="GPQ369" s="362"/>
      <c r="GPR369" s="295"/>
      <c r="GPS369" s="656"/>
      <c r="GPT369" s="286"/>
      <c r="GPU369" s="287"/>
      <c r="GPV369" s="296"/>
      <c r="GPW369" s="457"/>
      <c r="GPX369" s="664"/>
      <c r="GPY369" s="521"/>
      <c r="GPZ369" s="362"/>
      <c r="GQA369" s="295"/>
      <c r="GQB369" s="656"/>
      <c r="GQC369" s="286"/>
      <c r="GQD369" s="287"/>
      <c r="GQE369" s="296"/>
      <c r="GQF369" s="457"/>
      <c r="GQG369" s="664"/>
      <c r="GQH369" s="521"/>
      <c r="GQI369" s="362"/>
      <c r="GQJ369" s="295"/>
      <c r="GQK369" s="656"/>
      <c r="GQL369" s="286"/>
      <c r="GQM369" s="287"/>
      <c r="GQN369" s="296"/>
      <c r="GQO369" s="457"/>
      <c r="GQP369" s="664"/>
      <c r="GQQ369" s="521"/>
      <c r="GQR369" s="362"/>
      <c r="GQS369" s="295"/>
      <c r="GQT369" s="656"/>
      <c r="GQU369" s="286"/>
      <c r="GQV369" s="287"/>
      <c r="GQW369" s="296"/>
      <c r="GQX369" s="457"/>
      <c r="GQY369" s="664"/>
      <c r="GQZ369" s="521"/>
      <c r="GRA369" s="362"/>
      <c r="GRB369" s="295"/>
      <c r="GRC369" s="656"/>
      <c r="GRD369" s="286"/>
      <c r="GRE369" s="287"/>
      <c r="GRF369" s="296"/>
      <c r="GRG369" s="457"/>
      <c r="GRH369" s="664"/>
      <c r="GRI369" s="521"/>
      <c r="GRJ369" s="362"/>
      <c r="GRK369" s="295"/>
      <c r="GRL369" s="656"/>
      <c r="GRM369" s="286"/>
      <c r="GRN369" s="287"/>
      <c r="GRO369" s="296"/>
      <c r="GRP369" s="457"/>
      <c r="GRQ369" s="664"/>
      <c r="GRR369" s="521"/>
      <c r="GRS369" s="362"/>
      <c r="GRT369" s="295"/>
      <c r="GRU369" s="656"/>
      <c r="GRV369" s="286"/>
      <c r="GRW369" s="287"/>
      <c r="GRX369" s="296"/>
      <c r="GRY369" s="457"/>
      <c r="GRZ369" s="664"/>
      <c r="GSA369" s="521"/>
      <c r="GSB369" s="362"/>
      <c r="GSC369" s="295"/>
      <c r="GSD369" s="656"/>
      <c r="GSE369" s="286"/>
      <c r="GSF369" s="287"/>
      <c r="GSG369" s="296"/>
      <c r="GSH369" s="457"/>
      <c r="GSI369" s="664"/>
      <c r="GSJ369" s="521"/>
      <c r="GSK369" s="362"/>
      <c r="GSL369" s="295"/>
      <c r="GSM369" s="656"/>
      <c r="GSN369" s="286"/>
      <c r="GSO369" s="287"/>
      <c r="GSP369" s="296"/>
      <c r="GSQ369" s="457"/>
      <c r="GSR369" s="664"/>
      <c r="GSS369" s="521"/>
      <c r="GST369" s="362"/>
      <c r="GSU369" s="295"/>
      <c r="GSV369" s="656"/>
      <c r="GSW369" s="286"/>
      <c r="GSX369" s="287"/>
      <c r="GSY369" s="296"/>
      <c r="GSZ369" s="457"/>
      <c r="GTA369" s="664"/>
      <c r="GTB369" s="521"/>
      <c r="GTC369" s="362"/>
      <c r="GTD369" s="295"/>
      <c r="GTE369" s="656"/>
      <c r="GTF369" s="286"/>
      <c r="GTG369" s="287"/>
      <c r="GTH369" s="296"/>
      <c r="GTI369" s="457"/>
      <c r="GTJ369" s="664"/>
      <c r="GTK369" s="521"/>
      <c r="GTL369" s="362"/>
      <c r="GTM369" s="295"/>
      <c r="GTN369" s="656"/>
      <c r="GTO369" s="286"/>
      <c r="GTP369" s="287"/>
      <c r="GTQ369" s="296"/>
      <c r="GTR369" s="457"/>
      <c r="GTS369" s="664"/>
      <c r="GTT369" s="521"/>
      <c r="GTU369" s="362"/>
      <c r="GTV369" s="295"/>
      <c r="GTW369" s="656"/>
      <c r="GTX369" s="286"/>
      <c r="GTY369" s="287"/>
      <c r="GTZ369" s="296"/>
      <c r="GUA369" s="457"/>
      <c r="GUB369" s="664"/>
      <c r="GUC369" s="521"/>
      <c r="GUD369" s="362"/>
      <c r="GUE369" s="295"/>
      <c r="GUF369" s="656"/>
      <c r="GUG369" s="286"/>
      <c r="GUH369" s="287"/>
      <c r="GUI369" s="296"/>
      <c r="GUJ369" s="457"/>
      <c r="GUK369" s="664"/>
      <c r="GUL369" s="521"/>
      <c r="GUM369" s="362"/>
      <c r="GUN369" s="295"/>
      <c r="GUO369" s="656"/>
      <c r="GUP369" s="286"/>
      <c r="GUQ369" s="287"/>
      <c r="GUR369" s="296"/>
      <c r="GUS369" s="457"/>
      <c r="GUT369" s="664"/>
      <c r="GUU369" s="521"/>
      <c r="GUV369" s="362"/>
      <c r="GUW369" s="295"/>
      <c r="GUX369" s="656"/>
      <c r="GUY369" s="286"/>
      <c r="GUZ369" s="287"/>
      <c r="GVA369" s="296"/>
      <c r="GVB369" s="457"/>
      <c r="GVC369" s="664"/>
      <c r="GVD369" s="521"/>
      <c r="GVE369" s="362"/>
      <c r="GVF369" s="295"/>
      <c r="GVG369" s="656"/>
      <c r="GVH369" s="286"/>
      <c r="GVI369" s="287"/>
      <c r="GVJ369" s="296"/>
      <c r="GVK369" s="457"/>
      <c r="GVL369" s="664"/>
      <c r="GVM369" s="521"/>
      <c r="GVN369" s="362"/>
      <c r="GVO369" s="295"/>
      <c r="GVP369" s="656"/>
      <c r="GVQ369" s="286"/>
      <c r="GVR369" s="287"/>
      <c r="GVS369" s="296"/>
      <c r="GVT369" s="457"/>
      <c r="GVU369" s="664"/>
      <c r="GVV369" s="521"/>
      <c r="GVW369" s="362"/>
      <c r="GVX369" s="295"/>
      <c r="GVY369" s="656"/>
      <c r="GVZ369" s="286"/>
      <c r="GWA369" s="287"/>
      <c r="GWB369" s="296"/>
      <c r="GWC369" s="457"/>
      <c r="GWD369" s="664"/>
      <c r="GWE369" s="521"/>
      <c r="GWF369" s="362"/>
      <c r="GWG369" s="295"/>
      <c r="GWH369" s="656"/>
      <c r="GWI369" s="286"/>
      <c r="GWJ369" s="287"/>
      <c r="GWK369" s="296"/>
      <c r="GWL369" s="457"/>
      <c r="GWM369" s="664"/>
      <c r="GWN369" s="521"/>
      <c r="GWO369" s="362"/>
      <c r="GWP369" s="295"/>
      <c r="GWQ369" s="656"/>
      <c r="GWR369" s="286"/>
      <c r="GWS369" s="287"/>
      <c r="GWT369" s="296"/>
      <c r="GWU369" s="457"/>
      <c r="GWV369" s="664"/>
      <c r="GWW369" s="521"/>
      <c r="GWX369" s="362"/>
      <c r="GWY369" s="295"/>
      <c r="GWZ369" s="656"/>
      <c r="GXA369" s="286"/>
      <c r="GXB369" s="287"/>
      <c r="GXC369" s="296"/>
      <c r="GXD369" s="457"/>
      <c r="GXE369" s="664"/>
      <c r="GXF369" s="521"/>
      <c r="GXG369" s="362"/>
      <c r="GXH369" s="295"/>
      <c r="GXI369" s="656"/>
      <c r="GXJ369" s="286"/>
      <c r="GXK369" s="287"/>
      <c r="GXL369" s="296"/>
      <c r="GXM369" s="457"/>
      <c r="GXN369" s="664"/>
      <c r="GXO369" s="521"/>
      <c r="GXP369" s="362"/>
      <c r="GXQ369" s="295"/>
      <c r="GXR369" s="656"/>
      <c r="GXS369" s="286"/>
      <c r="GXT369" s="287"/>
      <c r="GXU369" s="296"/>
      <c r="GXV369" s="457"/>
      <c r="GXW369" s="664"/>
      <c r="GXX369" s="521"/>
      <c r="GXY369" s="362"/>
      <c r="GXZ369" s="295"/>
      <c r="GYA369" s="656"/>
      <c r="GYB369" s="286"/>
      <c r="GYC369" s="287"/>
      <c r="GYD369" s="296"/>
      <c r="GYE369" s="457"/>
      <c r="GYF369" s="664"/>
      <c r="GYG369" s="521"/>
      <c r="GYH369" s="362"/>
      <c r="GYI369" s="295"/>
      <c r="GYJ369" s="656"/>
      <c r="GYK369" s="286"/>
      <c r="GYL369" s="287"/>
      <c r="GYM369" s="296"/>
      <c r="GYN369" s="457"/>
      <c r="GYO369" s="664"/>
      <c r="GYP369" s="521"/>
      <c r="GYQ369" s="362"/>
      <c r="GYR369" s="295"/>
      <c r="GYS369" s="656"/>
      <c r="GYT369" s="286"/>
      <c r="GYU369" s="287"/>
      <c r="GYV369" s="296"/>
      <c r="GYW369" s="457"/>
      <c r="GYX369" s="664"/>
      <c r="GYY369" s="521"/>
      <c r="GYZ369" s="362"/>
      <c r="GZA369" s="295"/>
      <c r="GZB369" s="656"/>
      <c r="GZC369" s="286"/>
      <c r="GZD369" s="287"/>
      <c r="GZE369" s="296"/>
      <c r="GZF369" s="457"/>
      <c r="GZG369" s="664"/>
      <c r="GZH369" s="521"/>
      <c r="GZI369" s="362"/>
      <c r="GZJ369" s="295"/>
      <c r="GZK369" s="656"/>
      <c r="GZL369" s="286"/>
      <c r="GZM369" s="287"/>
      <c r="GZN369" s="296"/>
      <c r="GZO369" s="457"/>
      <c r="GZP369" s="664"/>
      <c r="GZQ369" s="521"/>
      <c r="GZR369" s="362"/>
      <c r="GZS369" s="295"/>
      <c r="GZT369" s="656"/>
      <c r="GZU369" s="286"/>
      <c r="GZV369" s="287"/>
      <c r="GZW369" s="296"/>
      <c r="GZX369" s="457"/>
      <c r="GZY369" s="664"/>
      <c r="GZZ369" s="521"/>
      <c r="HAA369" s="362"/>
      <c r="HAB369" s="295"/>
      <c r="HAC369" s="656"/>
      <c r="HAD369" s="286"/>
      <c r="HAE369" s="287"/>
      <c r="HAF369" s="296"/>
      <c r="HAG369" s="457"/>
      <c r="HAH369" s="664"/>
      <c r="HAI369" s="521"/>
      <c r="HAJ369" s="362"/>
      <c r="HAK369" s="295"/>
      <c r="HAL369" s="656"/>
      <c r="HAM369" s="286"/>
      <c r="HAN369" s="287"/>
      <c r="HAO369" s="296"/>
      <c r="HAP369" s="457"/>
      <c r="HAQ369" s="664"/>
      <c r="HAR369" s="521"/>
      <c r="HAS369" s="362"/>
      <c r="HAT369" s="295"/>
      <c r="HAU369" s="656"/>
      <c r="HAV369" s="286"/>
      <c r="HAW369" s="287"/>
      <c r="HAX369" s="296"/>
      <c r="HAY369" s="457"/>
      <c r="HAZ369" s="664"/>
      <c r="HBA369" s="521"/>
      <c r="HBB369" s="362"/>
      <c r="HBC369" s="295"/>
      <c r="HBD369" s="656"/>
      <c r="HBE369" s="286"/>
      <c r="HBF369" s="287"/>
      <c r="HBG369" s="296"/>
      <c r="HBH369" s="457"/>
      <c r="HBI369" s="664"/>
      <c r="HBJ369" s="521"/>
      <c r="HBK369" s="362"/>
      <c r="HBL369" s="295"/>
      <c r="HBM369" s="656"/>
      <c r="HBN369" s="286"/>
      <c r="HBO369" s="287"/>
      <c r="HBP369" s="296"/>
      <c r="HBQ369" s="457"/>
      <c r="HBR369" s="664"/>
      <c r="HBS369" s="521"/>
      <c r="HBT369" s="362"/>
      <c r="HBU369" s="295"/>
      <c r="HBV369" s="656"/>
      <c r="HBW369" s="286"/>
      <c r="HBX369" s="287"/>
      <c r="HBY369" s="296"/>
      <c r="HBZ369" s="457"/>
      <c r="HCA369" s="664"/>
      <c r="HCB369" s="521"/>
      <c r="HCC369" s="362"/>
      <c r="HCD369" s="295"/>
      <c r="HCE369" s="656"/>
      <c r="HCF369" s="286"/>
      <c r="HCG369" s="287"/>
      <c r="HCH369" s="296"/>
      <c r="HCI369" s="457"/>
      <c r="HCJ369" s="664"/>
      <c r="HCK369" s="521"/>
      <c r="HCL369" s="362"/>
      <c r="HCM369" s="295"/>
      <c r="HCN369" s="656"/>
      <c r="HCO369" s="286"/>
      <c r="HCP369" s="287"/>
      <c r="HCQ369" s="296"/>
      <c r="HCR369" s="457"/>
      <c r="HCS369" s="664"/>
      <c r="HCT369" s="521"/>
      <c r="HCU369" s="362"/>
      <c r="HCV369" s="295"/>
      <c r="HCW369" s="656"/>
      <c r="HCX369" s="286"/>
      <c r="HCY369" s="287"/>
      <c r="HCZ369" s="296"/>
      <c r="HDA369" s="457"/>
      <c r="HDB369" s="664"/>
      <c r="HDC369" s="521"/>
      <c r="HDD369" s="362"/>
      <c r="HDE369" s="295"/>
      <c r="HDF369" s="656"/>
      <c r="HDG369" s="286"/>
      <c r="HDH369" s="287"/>
      <c r="HDI369" s="296"/>
      <c r="HDJ369" s="457"/>
      <c r="HDK369" s="664"/>
      <c r="HDL369" s="521"/>
      <c r="HDM369" s="362"/>
      <c r="HDN369" s="295"/>
      <c r="HDO369" s="656"/>
      <c r="HDP369" s="286"/>
      <c r="HDQ369" s="287"/>
      <c r="HDR369" s="296"/>
      <c r="HDS369" s="457"/>
      <c r="HDT369" s="664"/>
      <c r="HDU369" s="521"/>
      <c r="HDV369" s="362"/>
      <c r="HDW369" s="295"/>
      <c r="HDX369" s="656"/>
      <c r="HDY369" s="286"/>
      <c r="HDZ369" s="287"/>
      <c r="HEA369" s="296"/>
      <c r="HEB369" s="457"/>
      <c r="HEC369" s="664"/>
      <c r="HED369" s="521"/>
      <c r="HEE369" s="362"/>
      <c r="HEF369" s="295"/>
      <c r="HEG369" s="656"/>
      <c r="HEH369" s="286"/>
      <c r="HEI369" s="287"/>
      <c r="HEJ369" s="296"/>
      <c r="HEK369" s="457"/>
      <c r="HEL369" s="664"/>
      <c r="HEM369" s="521"/>
      <c r="HEN369" s="362"/>
      <c r="HEO369" s="295"/>
      <c r="HEP369" s="656"/>
      <c r="HEQ369" s="286"/>
      <c r="HER369" s="287"/>
      <c r="HES369" s="296"/>
      <c r="HET369" s="457"/>
      <c r="HEU369" s="664"/>
      <c r="HEV369" s="521"/>
      <c r="HEW369" s="362"/>
      <c r="HEX369" s="295"/>
      <c r="HEY369" s="656"/>
      <c r="HEZ369" s="286"/>
      <c r="HFA369" s="287"/>
      <c r="HFB369" s="296"/>
      <c r="HFC369" s="457"/>
      <c r="HFD369" s="664"/>
      <c r="HFE369" s="521"/>
      <c r="HFF369" s="362"/>
      <c r="HFG369" s="295"/>
      <c r="HFH369" s="656"/>
      <c r="HFI369" s="286"/>
      <c r="HFJ369" s="287"/>
      <c r="HFK369" s="296"/>
      <c r="HFL369" s="457"/>
      <c r="HFM369" s="664"/>
      <c r="HFN369" s="521"/>
      <c r="HFO369" s="362"/>
      <c r="HFP369" s="295"/>
      <c r="HFQ369" s="656"/>
      <c r="HFR369" s="286"/>
      <c r="HFS369" s="287"/>
      <c r="HFT369" s="296"/>
      <c r="HFU369" s="457"/>
      <c r="HFV369" s="664"/>
      <c r="HFW369" s="521"/>
      <c r="HFX369" s="362"/>
      <c r="HFY369" s="295"/>
      <c r="HFZ369" s="656"/>
      <c r="HGA369" s="286"/>
      <c r="HGB369" s="287"/>
      <c r="HGC369" s="296"/>
      <c r="HGD369" s="457"/>
      <c r="HGE369" s="664"/>
      <c r="HGF369" s="521"/>
      <c r="HGG369" s="362"/>
      <c r="HGH369" s="295"/>
      <c r="HGI369" s="656"/>
      <c r="HGJ369" s="286"/>
      <c r="HGK369" s="287"/>
      <c r="HGL369" s="296"/>
      <c r="HGM369" s="457"/>
      <c r="HGN369" s="664"/>
      <c r="HGO369" s="521"/>
      <c r="HGP369" s="362"/>
      <c r="HGQ369" s="295"/>
      <c r="HGR369" s="656"/>
      <c r="HGS369" s="286"/>
      <c r="HGT369" s="287"/>
      <c r="HGU369" s="296"/>
      <c r="HGV369" s="457"/>
      <c r="HGW369" s="664"/>
      <c r="HGX369" s="521"/>
      <c r="HGY369" s="362"/>
      <c r="HGZ369" s="295"/>
      <c r="HHA369" s="656"/>
      <c r="HHB369" s="286"/>
      <c r="HHC369" s="287"/>
      <c r="HHD369" s="296"/>
      <c r="HHE369" s="457"/>
      <c r="HHF369" s="664"/>
      <c r="HHG369" s="521"/>
      <c r="HHH369" s="362"/>
      <c r="HHI369" s="295"/>
      <c r="HHJ369" s="656"/>
      <c r="HHK369" s="286"/>
      <c r="HHL369" s="287"/>
      <c r="HHM369" s="296"/>
      <c r="HHN369" s="457"/>
      <c r="HHO369" s="664"/>
      <c r="HHP369" s="521"/>
      <c r="HHQ369" s="362"/>
      <c r="HHR369" s="295"/>
      <c r="HHS369" s="656"/>
      <c r="HHT369" s="286"/>
      <c r="HHU369" s="287"/>
      <c r="HHV369" s="296"/>
      <c r="HHW369" s="457"/>
      <c r="HHX369" s="664"/>
      <c r="HHY369" s="521"/>
      <c r="HHZ369" s="362"/>
      <c r="HIA369" s="295"/>
      <c r="HIB369" s="656"/>
      <c r="HIC369" s="286"/>
      <c r="HID369" s="287"/>
      <c r="HIE369" s="296"/>
      <c r="HIF369" s="457"/>
      <c r="HIG369" s="664"/>
      <c r="HIH369" s="521"/>
      <c r="HII369" s="362"/>
      <c r="HIJ369" s="295"/>
      <c r="HIK369" s="656"/>
      <c r="HIL369" s="286"/>
      <c r="HIM369" s="287"/>
      <c r="HIN369" s="296"/>
      <c r="HIO369" s="457"/>
      <c r="HIP369" s="664"/>
      <c r="HIQ369" s="521"/>
      <c r="HIR369" s="362"/>
      <c r="HIS369" s="295"/>
      <c r="HIT369" s="656"/>
      <c r="HIU369" s="286"/>
      <c r="HIV369" s="287"/>
      <c r="HIW369" s="296"/>
      <c r="HIX369" s="457"/>
      <c r="HIY369" s="664"/>
      <c r="HIZ369" s="521"/>
      <c r="HJA369" s="362"/>
      <c r="HJB369" s="295"/>
      <c r="HJC369" s="656"/>
      <c r="HJD369" s="286"/>
      <c r="HJE369" s="287"/>
      <c r="HJF369" s="296"/>
      <c r="HJG369" s="457"/>
      <c r="HJH369" s="664"/>
      <c r="HJI369" s="521"/>
      <c r="HJJ369" s="362"/>
      <c r="HJK369" s="295"/>
      <c r="HJL369" s="656"/>
      <c r="HJM369" s="286"/>
      <c r="HJN369" s="287"/>
      <c r="HJO369" s="296"/>
      <c r="HJP369" s="457"/>
      <c r="HJQ369" s="664"/>
      <c r="HJR369" s="521"/>
      <c r="HJS369" s="362"/>
      <c r="HJT369" s="295"/>
      <c r="HJU369" s="656"/>
      <c r="HJV369" s="286"/>
      <c r="HJW369" s="287"/>
      <c r="HJX369" s="296"/>
      <c r="HJY369" s="457"/>
      <c r="HJZ369" s="664"/>
      <c r="HKA369" s="521"/>
      <c r="HKB369" s="362"/>
      <c r="HKC369" s="295"/>
      <c r="HKD369" s="656"/>
      <c r="HKE369" s="286"/>
      <c r="HKF369" s="287"/>
      <c r="HKG369" s="296"/>
      <c r="HKH369" s="457"/>
      <c r="HKI369" s="664"/>
      <c r="HKJ369" s="521"/>
      <c r="HKK369" s="362"/>
      <c r="HKL369" s="295"/>
      <c r="HKM369" s="656"/>
      <c r="HKN369" s="286"/>
      <c r="HKO369" s="287"/>
      <c r="HKP369" s="296"/>
      <c r="HKQ369" s="457"/>
      <c r="HKR369" s="664"/>
      <c r="HKS369" s="521"/>
      <c r="HKT369" s="362"/>
      <c r="HKU369" s="295"/>
      <c r="HKV369" s="656"/>
      <c r="HKW369" s="286"/>
      <c r="HKX369" s="287"/>
      <c r="HKY369" s="296"/>
      <c r="HKZ369" s="457"/>
      <c r="HLA369" s="664"/>
      <c r="HLB369" s="521"/>
      <c r="HLC369" s="362"/>
      <c r="HLD369" s="295"/>
      <c r="HLE369" s="656"/>
      <c r="HLF369" s="286"/>
      <c r="HLG369" s="287"/>
      <c r="HLH369" s="296"/>
      <c r="HLI369" s="457"/>
      <c r="HLJ369" s="664"/>
      <c r="HLK369" s="521"/>
      <c r="HLL369" s="362"/>
      <c r="HLM369" s="295"/>
      <c r="HLN369" s="656"/>
      <c r="HLO369" s="286"/>
      <c r="HLP369" s="287"/>
      <c r="HLQ369" s="296"/>
      <c r="HLR369" s="457"/>
      <c r="HLS369" s="664"/>
      <c r="HLT369" s="521"/>
      <c r="HLU369" s="362"/>
      <c r="HLV369" s="295"/>
      <c r="HLW369" s="656"/>
      <c r="HLX369" s="286"/>
      <c r="HLY369" s="287"/>
      <c r="HLZ369" s="296"/>
      <c r="HMA369" s="457"/>
      <c r="HMB369" s="664"/>
      <c r="HMC369" s="521"/>
      <c r="HMD369" s="362"/>
      <c r="HME369" s="295"/>
      <c r="HMF369" s="656"/>
      <c r="HMG369" s="286"/>
      <c r="HMH369" s="287"/>
      <c r="HMI369" s="296"/>
      <c r="HMJ369" s="457"/>
      <c r="HMK369" s="664"/>
      <c r="HML369" s="521"/>
      <c r="HMM369" s="362"/>
      <c r="HMN369" s="295"/>
      <c r="HMO369" s="656"/>
      <c r="HMP369" s="286"/>
      <c r="HMQ369" s="287"/>
      <c r="HMR369" s="296"/>
      <c r="HMS369" s="457"/>
      <c r="HMT369" s="664"/>
      <c r="HMU369" s="521"/>
      <c r="HMV369" s="362"/>
      <c r="HMW369" s="295"/>
      <c r="HMX369" s="656"/>
      <c r="HMY369" s="286"/>
      <c r="HMZ369" s="287"/>
      <c r="HNA369" s="296"/>
      <c r="HNB369" s="457"/>
      <c r="HNC369" s="664"/>
      <c r="HND369" s="521"/>
      <c r="HNE369" s="362"/>
      <c r="HNF369" s="295"/>
      <c r="HNG369" s="656"/>
      <c r="HNH369" s="286"/>
      <c r="HNI369" s="287"/>
      <c r="HNJ369" s="296"/>
      <c r="HNK369" s="457"/>
      <c r="HNL369" s="664"/>
      <c r="HNM369" s="521"/>
      <c r="HNN369" s="362"/>
      <c r="HNO369" s="295"/>
      <c r="HNP369" s="656"/>
      <c r="HNQ369" s="286"/>
      <c r="HNR369" s="287"/>
      <c r="HNS369" s="296"/>
      <c r="HNT369" s="457"/>
      <c r="HNU369" s="664"/>
      <c r="HNV369" s="521"/>
      <c r="HNW369" s="362"/>
      <c r="HNX369" s="295"/>
      <c r="HNY369" s="656"/>
      <c r="HNZ369" s="286"/>
      <c r="HOA369" s="287"/>
      <c r="HOB369" s="296"/>
      <c r="HOC369" s="457"/>
      <c r="HOD369" s="664"/>
      <c r="HOE369" s="521"/>
      <c r="HOF369" s="362"/>
      <c r="HOG369" s="295"/>
      <c r="HOH369" s="656"/>
      <c r="HOI369" s="286"/>
      <c r="HOJ369" s="287"/>
      <c r="HOK369" s="296"/>
      <c r="HOL369" s="457"/>
      <c r="HOM369" s="664"/>
      <c r="HON369" s="521"/>
      <c r="HOO369" s="362"/>
      <c r="HOP369" s="295"/>
      <c r="HOQ369" s="656"/>
      <c r="HOR369" s="286"/>
      <c r="HOS369" s="287"/>
      <c r="HOT369" s="296"/>
      <c r="HOU369" s="457"/>
      <c r="HOV369" s="664"/>
      <c r="HOW369" s="521"/>
      <c r="HOX369" s="362"/>
      <c r="HOY369" s="295"/>
      <c r="HOZ369" s="656"/>
      <c r="HPA369" s="286"/>
      <c r="HPB369" s="287"/>
      <c r="HPC369" s="296"/>
      <c r="HPD369" s="457"/>
      <c r="HPE369" s="664"/>
      <c r="HPF369" s="521"/>
      <c r="HPG369" s="362"/>
      <c r="HPH369" s="295"/>
      <c r="HPI369" s="656"/>
      <c r="HPJ369" s="286"/>
      <c r="HPK369" s="287"/>
      <c r="HPL369" s="296"/>
      <c r="HPM369" s="457"/>
      <c r="HPN369" s="664"/>
      <c r="HPO369" s="521"/>
      <c r="HPP369" s="362"/>
      <c r="HPQ369" s="295"/>
      <c r="HPR369" s="656"/>
      <c r="HPS369" s="286"/>
      <c r="HPT369" s="287"/>
      <c r="HPU369" s="296"/>
      <c r="HPV369" s="457"/>
      <c r="HPW369" s="664"/>
      <c r="HPX369" s="521"/>
      <c r="HPY369" s="362"/>
      <c r="HPZ369" s="295"/>
      <c r="HQA369" s="656"/>
      <c r="HQB369" s="286"/>
      <c r="HQC369" s="287"/>
      <c r="HQD369" s="296"/>
      <c r="HQE369" s="457"/>
      <c r="HQF369" s="664"/>
      <c r="HQG369" s="521"/>
      <c r="HQH369" s="362"/>
      <c r="HQI369" s="295"/>
      <c r="HQJ369" s="656"/>
      <c r="HQK369" s="286"/>
      <c r="HQL369" s="287"/>
      <c r="HQM369" s="296"/>
      <c r="HQN369" s="457"/>
      <c r="HQO369" s="664"/>
      <c r="HQP369" s="521"/>
      <c r="HQQ369" s="362"/>
      <c r="HQR369" s="295"/>
      <c r="HQS369" s="656"/>
      <c r="HQT369" s="286"/>
      <c r="HQU369" s="287"/>
      <c r="HQV369" s="296"/>
      <c r="HQW369" s="457"/>
      <c r="HQX369" s="664"/>
      <c r="HQY369" s="521"/>
      <c r="HQZ369" s="362"/>
      <c r="HRA369" s="295"/>
      <c r="HRB369" s="656"/>
      <c r="HRC369" s="286"/>
      <c r="HRD369" s="287"/>
      <c r="HRE369" s="296"/>
      <c r="HRF369" s="457"/>
      <c r="HRG369" s="664"/>
      <c r="HRH369" s="521"/>
      <c r="HRI369" s="362"/>
      <c r="HRJ369" s="295"/>
      <c r="HRK369" s="656"/>
      <c r="HRL369" s="286"/>
      <c r="HRM369" s="287"/>
      <c r="HRN369" s="296"/>
      <c r="HRO369" s="457"/>
      <c r="HRP369" s="664"/>
      <c r="HRQ369" s="521"/>
      <c r="HRR369" s="362"/>
      <c r="HRS369" s="295"/>
      <c r="HRT369" s="656"/>
      <c r="HRU369" s="286"/>
      <c r="HRV369" s="287"/>
      <c r="HRW369" s="296"/>
      <c r="HRX369" s="457"/>
      <c r="HRY369" s="664"/>
      <c r="HRZ369" s="521"/>
      <c r="HSA369" s="362"/>
      <c r="HSB369" s="295"/>
      <c r="HSC369" s="656"/>
      <c r="HSD369" s="286"/>
      <c r="HSE369" s="287"/>
      <c r="HSF369" s="296"/>
      <c r="HSG369" s="457"/>
      <c r="HSH369" s="664"/>
      <c r="HSI369" s="521"/>
      <c r="HSJ369" s="362"/>
      <c r="HSK369" s="295"/>
      <c r="HSL369" s="656"/>
      <c r="HSM369" s="286"/>
      <c r="HSN369" s="287"/>
      <c r="HSO369" s="296"/>
      <c r="HSP369" s="457"/>
      <c r="HSQ369" s="664"/>
      <c r="HSR369" s="521"/>
      <c r="HSS369" s="362"/>
      <c r="HST369" s="295"/>
      <c r="HSU369" s="656"/>
      <c r="HSV369" s="286"/>
      <c r="HSW369" s="287"/>
      <c r="HSX369" s="296"/>
      <c r="HSY369" s="457"/>
      <c r="HSZ369" s="664"/>
      <c r="HTA369" s="521"/>
      <c r="HTB369" s="362"/>
      <c r="HTC369" s="295"/>
      <c r="HTD369" s="656"/>
      <c r="HTE369" s="286"/>
      <c r="HTF369" s="287"/>
      <c r="HTG369" s="296"/>
      <c r="HTH369" s="457"/>
      <c r="HTI369" s="664"/>
      <c r="HTJ369" s="521"/>
      <c r="HTK369" s="362"/>
      <c r="HTL369" s="295"/>
      <c r="HTM369" s="656"/>
      <c r="HTN369" s="286"/>
      <c r="HTO369" s="287"/>
      <c r="HTP369" s="296"/>
      <c r="HTQ369" s="457"/>
      <c r="HTR369" s="664"/>
      <c r="HTS369" s="521"/>
      <c r="HTT369" s="362"/>
      <c r="HTU369" s="295"/>
      <c r="HTV369" s="656"/>
      <c r="HTW369" s="286"/>
      <c r="HTX369" s="287"/>
      <c r="HTY369" s="296"/>
      <c r="HTZ369" s="457"/>
      <c r="HUA369" s="664"/>
      <c r="HUB369" s="521"/>
      <c r="HUC369" s="362"/>
      <c r="HUD369" s="295"/>
      <c r="HUE369" s="656"/>
      <c r="HUF369" s="286"/>
      <c r="HUG369" s="287"/>
      <c r="HUH369" s="296"/>
      <c r="HUI369" s="457"/>
      <c r="HUJ369" s="664"/>
      <c r="HUK369" s="521"/>
      <c r="HUL369" s="362"/>
      <c r="HUM369" s="295"/>
      <c r="HUN369" s="656"/>
      <c r="HUO369" s="286"/>
      <c r="HUP369" s="287"/>
      <c r="HUQ369" s="296"/>
      <c r="HUR369" s="457"/>
      <c r="HUS369" s="664"/>
      <c r="HUT369" s="521"/>
      <c r="HUU369" s="362"/>
      <c r="HUV369" s="295"/>
      <c r="HUW369" s="656"/>
      <c r="HUX369" s="286"/>
      <c r="HUY369" s="287"/>
      <c r="HUZ369" s="296"/>
      <c r="HVA369" s="457"/>
      <c r="HVB369" s="664"/>
      <c r="HVC369" s="521"/>
      <c r="HVD369" s="362"/>
      <c r="HVE369" s="295"/>
      <c r="HVF369" s="656"/>
      <c r="HVG369" s="286"/>
      <c r="HVH369" s="287"/>
      <c r="HVI369" s="296"/>
      <c r="HVJ369" s="457"/>
      <c r="HVK369" s="664"/>
      <c r="HVL369" s="521"/>
      <c r="HVM369" s="362"/>
      <c r="HVN369" s="295"/>
      <c r="HVO369" s="656"/>
      <c r="HVP369" s="286"/>
      <c r="HVQ369" s="287"/>
      <c r="HVR369" s="296"/>
      <c r="HVS369" s="457"/>
      <c r="HVT369" s="664"/>
      <c r="HVU369" s="521"/>
      <c r="HVV369" s="362"/>
      <c r="HVW369" s="295"/>
      <c r="HVX369" s="656"/>
      <c r="HVY369" s="286"/>
      <c r="HVZ369" s="287"/>
      <c r="HWA369" s="296"/>
      <c r="HWB369" s="457"/>
      <c r="HWC369" s="664"/>
      <c r="HWD369" s="521"/>
      <c r="HWE369" s="362"/>
      <c r="HWF369" s="295"/>
      <c r="HWG369" s="656"/>
      <c r="HWH369" s="286"/>
      <c r="HWI369" s="287"/>
      <c r="HWJ369" s="296"/>
      <c r="HWK369" s="457"/>
      <c r="HWL369" s="664"/>
      <c r="HWM369" s="521"/>
      <c r="HWN369" s="362"/>
      <c r="HWO369" s="295"/>
      <c r="HWP369" s="656"/>
      <c r="HWQ369" s="286"/>
      <c r="HWR369" s="287"/>
      <c r="HWS369" s="296"/>
      <c r="HWT369" s="457"/>
      <c r="HWU369" s="664"/>
      <c r="HWV369" s="521"/>
      <c r="HWW369" s="362"/>
      <c r="HWX369" s="295"/>
      <c r="HWY369" s="656"/>
      <c r="HWZ369" s="286"/>
      <c r="HXA369" s="287"/>
      <c r="HXB369" s="296"/>
      <c r="HXC369" s="457"/>
      <c r="HXD369" s="664"/>
      <c r="HXE369" s="521"/>
      <c r="HXF369" s="362"/>
      <c r="HXG369" s="295"/>
      <c r="HXH369" s="656"/>
      <c r="HXI369" s="286"/>
      <c r="HXJ369" s="287"/>
      <c r="HXK369" s="296"/>
      <c r="HXL369" s="457"/>
      <c r="HXM369" s="664"/>
      <c r="HXN369" s="521"/>
      <c r="HXO369" s="362"/>
      <c r="HXP369" s="295"/>
      <c r="HXQ369" s="656"/>
      <c r="HXR369" s="286"/>
      <c r="HXS369" s="287"/>
      <c r="HXT369" s="296"/>
      <c r="HXU369" s="457"/>
      <c r="HXV369" s="664"/>
      <c r="HXW369" s="521"/>
      <c r="HXX369" s="362"/>
      <c r="HXY369" s="295"/>
      <c r="HXZ369" s="656"/>
      <c r="HYA369" s="286"/>
      <c r="HYB369" s="287"/>
      <c r="HYC369" s="296"/>
      <c r="HYD369" s="457"/>
      <c r="HYE369" s="664"/>
      <c r="HYF369" s="521"/>
      <c r="HYG369" s="362"/>
      <c r="HYH369" s="295"/>
      <c r="HYI369" s="656"/>
      <c r="HYJ369" s="286"/>
      <c r="HYK369" s="287"/>
      <c r="HYL369" s="296"/>
      <c r="HYM369" s="457"/>
      <c r="HYN369" s="664"/>
      <c r="HYO369" s="521"/>
      <c r="HYP369" s="362"/>
      <c r="HYQ369" s="295"/>
      <c r="HYR369" s="656"/>
      <c r="HYS369" s="286"/>
      <c r="HYT369" s="287"/>
      <c r="HYU369" s="296"/>
      <c r="HYV369" s="457"/>
      <c r="HYW369" s="664"/>
      <c r="HYX369" s="521"/>
      <c r="HYY369" s="362"/>
      <c r="HYZ369" s="295"/>
      <c r="HZA369" s="656"/>
      <c r="HZB369" s="286"/>
      <c r="HZC369" s="287"/>
      <c r="HZD369" s="296"/>
      <c r="HZE369" s="457"/>
      <c r="HZF369" s="664"/>
      <c r="HZG369" s="521"/>
      <c r="HZH369" s="362"/>
      <c r="HZI369" s="295"/>
      <c r="HZJ369" s="656"/>
      <c r="HZK369" s="286"/>
      <c r="HZL369" s="287"/>
      <c r="HZM369" s="296"/>
      <c r="HZN369" s="457"/>
      <c r="HZO369" s="664"/>
      <c r="HZP369" s="521"/>
      <c r="HZQ369" s="362"/>
      <c r="HZR369" s="295"/>
      <c r="HZS369" s="656"/>
      <c r="HZT369" s="286"/>
      <c r="HZU369" s="287"/>
      <c r="HZV369" s="296"/>
      <c r="HZW369" s="457"/>
      <c r="HZX369" s="664"/>
      <c r="HZY369" s="521"/>
      <c r="HZZ369" s="362"/>
      <c r="IAA369" s="295"/>
      <c r="IAB369" s="656"/>
      <c r="IAC369" s="286"/>
      <c r="IAD369" s="287"/>
      <c r="IAE369" s="296"/>
      <c r="IAF369" s="457"/>
      <c r="IAG369" s="664"/>
      <c r="IAH369" s="521"/>
      <c r="IAI369" s="362"/>
      <c r="IAJ369" s="295"/>
      <c r="IAK369" s="656"/>
      <c r="IAL369" s="286"/>
      <c r="IAM369" s="287"/>
      <c r="IAN369" s="296"/>
      <c r="IAO369" s="457"/>
      <c r="IAP369" s="664"/>
      <c r="IAQ369" s="521"/>
      <c r="IAR369" s="362"/>
      <c r="IAS369" s="295"/>
      <c r="IAT369" s="656"/>
      <c r="IAU369" s="286"/>
      <c r="IAV369" s="287"/>
      <c r="IAW369" s="296"/>
      <c r="IAX369" s="457"/>
      <c r="IAY369" s="664"/>
      <c r="IAZ369" s="521"/>
      <c r="IBA369" s="362"/>
      <c r="IBB369" s="295"/>
      <c r="IBC369" s="656"/>
      <c r="IBD369" s="286"/>
      <c r="IBE369" s="287"/>
      <c r="IBF369" s="296"/>
      <c r="IBG369" s="457"/>
      <c r="IBH369" s="664"/>
      <c r="IBI369" s="521"/>
      <c r="IBJ369" s="362"/>
      <c r="IBK369" s="295"/>
      <c r="IBL369" s="656"/>
      <c r="IBM369" s="286"/>
      <c r="IBN369" s="287"/>
      <c r="IBO369" s="296"/>
      <c r="IBP369" s="457"/>
      <c r="IBQ369" s="664"/>
      <c r="IBR369" s="521"/>
      <c r="IBS369" s="362"/>
      <c r="IBT369" s="295"/>
      <c r="IBU369" s="656"/>
      <c r="IBV369" s="286"/>
      <c r="IBW369" s="287"/>
      <c r="IBX369" s="296"/>
      <c r="IBY369" s="457"/>
      <c r="IBZ369" s="664"/>
      <c r="ICA369" s="521"/>
      <c r="ICB369" s="362"/>
      <c r="ICC369" s="295"/>
      <c r="ICD369" s="656"/>
      <c r="ICE369" s="286"/>
      <c r="ICF369" s="287"/>
      <c r="ICG369" s="296"/>
      <c r="ICH369" s="457"/>
      <c r="ICI369" s="664"/>
      <c r="ICJ369" s="521"/>
      <c r="ICK369" s="362"/>
      <c r="ICL369" s="295"/>
      <c r="ICM369" s="656"/>
      <c r="ICN369" s="286"/>
      <c r="ICO369" s="287"/>
      <c r="ICP369" s="296"/>
      <c r="ICQ369" s="457"/>
      <c r="ICR369" s="664"/>
      <c r="ICS369" s="521"/>
      <c r="ICT369" s="362"/>
      <c r="ICU369" s="295"/>
      <c r="ICV369" s="656"/>
      <c r="ICW369" s="286"/>
      <c r="ICX369" s="287"/>
      <c r="ICY369" s="296"/>
      <c r="ICZ369" s="457"/>
      <c r="IDA369" s="664"/>
      <c r="IDB369" s="521"/>
      <c r="IDC369" s="362"/>
      <c r="IDD369" s="295"/>
      <c r="IDE369" s="656"/>
      <c r="IDF369" s="286"/>
      <c r="IDG369" s="287"/>
      <c r="IDH369" s="296"/>
      <c r="IDI369" s="457"/>
      <c r="IDJ369" s="664"/>
      <c r="IDK369" s="521"/>
      <c r="IDL369" s="362"/>
      <c r="IDM369" s="295"/>
      <c r="IDN369" s="656"/>
      <c r="IDO369" s="286"/>
      <c r="IDP369" s="287"/>
      <c r="IDQ369" s="296"/>
      <c r="IDR369" s="457"/>
      <c r="IDS369" s="664"/>
      <c r="IDT369" s="521"/>
      <c r="IDU369" s="362"/>
      <c r="IDV369" s="295"/>
      <c r="IDW369" s="656"/>
      <c r="IDX369" s="286"/>
      <c r="IDY369" s="287"/>
      <c r="IDZ369" s="296"/>
      <c r="IEA369" s="457"/>
      <c r="IEB369" s="664"/>
      <c r="IEC369" s="521"/>
      <c r="IED369" s="362"/>
      <c r="IEE369" s="295"/>
      <c r="IEF369" s="656"/>
      <c r="IEG369" s="286"/>
      <c r="IEH369" s="287"/>
      <c r="IEI369" s="296"/>
      <c r="IEJ369" s="457"/>
      <c r="IEK369" s="664"/>
      <c r="IEL369" s="521"/>
      <c r="IEM369" s="362"/>
      <c r="IEN369" s="295"/>
      <c r="IEO369" s="656"/>
      <c r="IEP369" s="286"/>
      <c r="IEQ369" s="287"/>
      <c r="IER369" s="296"/>
      <c r="IES369" s="457"/>
      <c r="IET369" s="664"/>
      <c r="IEU369" s="521"/>
      <c r="IEV369" s="362"/>
      <c r="IEW369" s="295"/>
      <c r="IEX369" s="656"/>
      <c r="IEY369" s="286"/>
      <c r="IEZ369" s="287"/>
      <c r="IFA369" s="296"/>
      <c r="IFB369" s="457"/>
      <c r="IFC369" s="664"/>
      <c r="IFD369" s="521"/>
      <c r="IFE369" s="362"/>
      <c r="IFF369" s="295"/>
      <c r="IFG369" s="656"/>
      <c r="IFH369" s="286"/>
      <c r="IFI369" s="287"/>
      <c r="IFJ369" s="296"/>
      <c r="IFK369" s="457"/>
      <c r="IFL369" s="664"/>
      <c r="IFM369" s="521"/>
      <c r="IFN369" s="362"/>
      <c r="IFO369" s="295"/>
      <c r="IFP369" s="656"/>
      <c r="IFQ369" s="286"/>
      <c r="IFR369" s="287"/>
      <c r="IFS369" s="296"/>
      <c r="IFT369" s="457"/>
      <c r="IFU369" s="664"/>
      <c r="IFV369" s="521"/>
      <c r="IFW369" s="362"/>
      <c r="IFX369" s="295"/>
      <c r="IFY369" s="656"/>
      <c r="IFZ369" s="286"/>
      <c r="IGA369" s="287"/>
      <c r="IGB369" s="296"/>
      <c r="IGC369" s="457"/>
      <c r="IGD369" s="664"/>
      <c r="IGE369" s="521"/>
      <c r="IGF369" s="362"/>
      <c r="IGG369" s="295"/>
      <c r="IGH369" s="656"/>
      <c r="IGI369" s="286"/>
      <c r="IGJ369" s="287"/>
      <c r="IGK369" s="296"/>
      <c r="IGL369" s="457"/>
      <c r="IGM369" s="664"/>
      <c r="IGN369" s="521"/>
      <c r="IGO369" s="362"/>
      <c r="IGP369" s="295"/>
      <c r="IGQ369" s="656"/>
      <c r="IGR369" s="286"/>
      <c r="IGS369" s="287"/>
      <c r="IGT369" s="296"/>
      <c r="IGU369" s="457"/>
      <c r="IGV369" s="664"/>
      <c r="IGW369" s="521"/>
      <c r="IGX369" s="362"/>
      <c r="IGY369" s="295"/>
      <c r="IGZ369" s="656"/>
      <c r="IHA369" s="286"/>
      <c r="IHB369" s="287"/>
      <c r="IHC369" s="296"/>
      <c r="IHD369" s="457"/>
      <c r="IHE369" s="664"/>
      <c r="IHF369" s="521"/>
      <c r="IHG369" s="362"/>
      <c r="IHH369" s="295"/>
      <c r="IHI369" s="656"/>
      <c r="IHJ369" s="286"/>
      <c r="IHK369" s="287"/>
      <c r="IHL369" s="296"/>
      <c r="IHM369" s="457"/>
      <c r="IHN369" s="664"/>
      <c r="IHO369" s="521"/>
      <c r="IHP369" s="362"/>
      <c r="IHQ369" s="295"/>
      <c r="IHR369" s="656"/>
      <c r="IHS369" s="286"/>
      <c r="IHT369" s="287"/>
      <c r="IHU369" s="296"/>
      <c r="IHV369" s="457"/>
      <c r="IHW369" s="664"/>
      <c r="IHX369" s="521"/>
      <c r="IHY369" s="362"/>
      <c r="IHZ369" s="295"/>
      <c r="IIA369" s="656"/>
      <c r="IIB369" s="286"/>
      <c r="IIC369" s="287"/>
      <c r="IID369" s="296"/>
      <c r="IIE369" s="457"/>
      <c r="IIF369" s="664"/>
      <c r="IIG369" s="521"/>
      <c r="IIH369" s="362"/>
      <c r="III369" s="295"/>
      <c r="IIJ369" s="656"/>
      <c r="IIK369" s="286"/>
      <c r="IIL369" s="287"/>
      <c r="IIM369" s="296"/>
      <c r="IIN369" s="457"/>
      <c r="IIO369" s="664"/>
      <c r="IIP369" s="521"/>
      <c r="IIQ369" s="362"/>
      <c r="IIR369" s="295"/>
      <c r="IIS369" s="656"/>
      <c r="IIT369" s="286"/>
      <c r="IIU369" s="287"/>
      <c r="IIV369" s="296"/>
      <c r="IIW369" s="457"/>
      <c r="IIX369" s="664"/>
      <c r="IIY369" s="521"/>
      <c r="IIZ369" s="362"/>
      <c r="IJA369" s="295"/>
      <c r="IJB369" s="656"/>
      <c r="IJC369" s="286"/>
      <c r="IJD369" s="287"/>
      <c r="IJE369" s="296"/>
      <c r="IJF369" s="457"/>
      <c r="IJG369" s="664"/>
      <c r="IJH369" s="521"/>
      <c r="IJI369" s="362"/>
      <c r="IJJ369" s="295"/>
      <c r="IJK369" s="656"/>
      <c r="IJL369" s="286"/>
      <c r="IJM369" s="287"/>
      <c r="IJN369" s="296"/>
      <c r="IJO369" s="457"/>
      <c r="IJP369" s="664"/>
      <c r="IJQ369" s="521"/>
      <c r="IJR369" s="362"/>
      <c r="IJS369" s="295"/>
      <c r="IJT369" s="656"/>
      <c r="IJU369" s="286"/>
      <c r="IJV369" s="287"/>
      <c r="IJW369" s="296"/>
      <c r="IJX369" s="457"/>
      <c r="IJY369" s="664"/>
      <c r="IJZ369" s="521"/>
      <c r="IKA369" s="362"/>
      <c r="IKB369" s="295"/>
      <c r="IKC369" s="656"/>
      <c r="IKD369" s="286"/>
      <c r="IKE369" s="287"/>
      <c r="IKF369" s="296"/>
      <c r="IKG369" s="457"/>
      <c r="IKH369" s="664"/>
      <c r="IKI369" s="521"/>
      <c r="IKJ369" s="362"/>
      <c r="IKK369" s="295"/>
      <c r="IKL369" s="656"/>
      <c r="IKM369" s="286"/>
      <c r="IKN369" s="287"/>
      <c r="IKO369" s="296"/>
      <c r="IKP369" s="457"/>
      <c r="IKQ369" s="664"/>
      <c r="IKR369" s="521"/>
      <c r="IKS369" s="362"/>
      <c r="IKT369" s="295"/>
      <c r="IKU369" s="656"/>
      <c r="IKV369" s="286"/>
      <c r="IKW369" s="287"/>
      <c r="IKX369" s="296"/>
      <c r="IKY369" s="457"/>
      <c r="IKZ369" s="664"/>
      <c r="ILA369" s="521"/>
      <c r="ILB369" s="362"/>
      <c r="ILC369" s="295"/>
      <c r="ILD369" s="656"/>
      <c r="ILE369" s="286"/>
      <c r="ILF369" s="287"/>
      <c r="ILG369" s="296"/>
      <c r="ILH369" s="457"/>
      <c r="ILI369" s="664"/>
      <c r="ILJ369" s="521"/>
      <c r="ILK369" s="362"/>
      <c r="ILL369" s="295"/>
      <c r="ILM369" s="656"/>
      <c r="ILN369" s="286"/>
      <c r="ILO369" s="287"/>
      <c r="ILP369" s="296"/>
      <c r="ILQ369" s="457"/>
      <c r="ILR369" s="664"/>
      <c r="ILS369" s="521"/>
      <c r="ILT369" s="362"/>
      <c r="ILU369" s="295"/>
      <c r="ILV369" s="656"/>
      <c r="ILW369" s="286"/>
      <c r="ILX369" s="287"/>
      <c r="ILY369" s="296"/>
      <c r="ILZ369" s="457"/>
      <c r="IMA369" s="664"/>
      <c r="IMB369" s="521"/>
      <c r="IMC369" s="362"/>
      <c r="IMD369" s="295"/>
      <c r="IME369" s="656"/>
      <c r="IMF369" s="286"/>
      <c r="IMG369" s="287"/>
      <c r="IMH369" s="296"/>
      <c r="IMI369" s="457"/>
      <c r="IMJ369" s="664"/>
      <c r="IMK369" s="521"/>
      <c r="IML369" s="362"/>
      <c r="IMM369" s="295"/>
      <c r="IMN369" s="656"/>
      <c r="IMO369" s="286"/>
      <c r="IMP369" s="287"/>
      <c r="IMQ369" s="296"/>
      <c r="IMR369" s="457"/>
      <c r="IMS369" s="664"/>
      <c r="IMT369" s="521"/>
      <c r="IMU369" s="362"/>
      <c r="IMV369" s="295"/>
      <c r="IMW369" s="656"/>
      <c r="IMX369" s="286"/>
      <c r="IMY369" s="287"/>
      <c r="IMZ369" s="296"/>
      <c r="INA369" s="457"/>
      <c r="INB369" s="664"/>
      <c r="INC369" s="521"/>
      <c r="IND369" s="362"/>
      <c r="INE369" s="295"/>
      <c r="INF369" s="656"/>
      <c r="ING369" s="286"/>
      <c r="INH369" s="287"/>
      <c r="INI369" s="296"/>
      <c r="INJ369" s="457"/>
      <c r="INK369" s="664"/>
      <c r="INL369" s="521"/>
      <c r="INM369" s="362"/>
      <c r="INN369" s="295"/>
      <c r="INO369" s="656"/>
      <c r="INP369" s="286"/>
      <c r="INQ369" s="287"/>
      <c r="INR369" s="296"/>
      <c r="INS369" s="457"/>
      <c r="INT369" s="664"/>
      <c r="INU369" s="521"/>
      <c r="INV369" s="362"/>
      <c r="INW369" s="295"/>
      <c r="INX369" s="656"/>
      <c r="INY369" s="286"/>
      <c r="INZ369" s="287"/>
      <c r="IOA369" s="296"/>
      <c r="IOB369" s="457"/>
      <c r="IOC369" s="664"/>
      <c r="IOD369" s="521"/>
      <c r="IOE369" s="362"/>
      <c r="IOF369" s="295"/>
      <c r="IOG369" s="656"/>
      <c r="IOH369" s="286"/>
      <c r="IOI369" s="287"/>
      <c r="IOJ369" s="296"/>
      <c r="IOK369" s="457"/>
      <c r="IOL369" s="664"/>
      <c r="IOM369" s="521"/>
      <c r="ION369" s="362"/>
      <c r="IOO369" s="295"/>
      <c r="IOP369" s="656"/>
      <c r="IOQ369" s="286"/>
      <c r="IOR369" s="287"/>
      <c r="IOS369" s="296"/>
      <c r="IOT369" s="457"/>
      <c r="IOU369" s="664"/>
      <c r="IOV369" s="521"/>
      <c r="IOW369" s="362"/>
      <c r="IOX369" s="295"/>
      <c r="IOY369" s="656"/>
      <c r="IOZ369" s="286"/>
      <c r="IPA369" s="287"/>
      <c r="IPB369" s="296"/>
      <c r="IPC369" s="457"/>
      <c r="IPD369" s="664"/>
      <c r="IPE369" s="521"/>
      <c r="IPF369" s="362"/>
      <c r="IPG369" s="295"/>
      <c r="IPH369" s="656"/>
      <c r="IPI369" s="286"/>
      <c r="IPJ369" s="287"/>
      <c r="IPK369" s="296"/>
      <c r="IPL369" s="457"/>
      <c r="IPM369" s="664"/>
      <c r="IPN369" s="521"/>
      <c r="IPO369" s="362"/>
      <c r="IPP369" s="295"/>
      <c r="IPQ369" s="656"/>
      <c r="IPR369" s="286"/>
      <c r="IPS369" s="287"/>
      <c r="IPT369" s="296"/>
      <c r="IPU369" s="457"/>
      <c r="IPV369" s="664"/>
      <c r="IPW369" s="521"/>
      <c r="IPX369" s="362"/>
      <c r="IPY369" s="295"/>
      <c r="IPZ369" s="656"/>
      <c r="IQA369" s="286"/>
      <c r="IQB369" s="287"/>
      <c r="IQC369" s="296"/>
      <c r="IQD369" s="457"/>
      <c r="IQE369" s="664"/>
      <c r="IQF369" s="521"/>
      <c r="IQG369" s="362"/>
      <c r="IQH369" s="295"/>
      <c r="IQI369" s="656"/>
      <c r="IQJ369" s="286"/>
      <c r="IQK369" s="287"/>
      <c r="IQL369" s="296"/>
      <c r="IQM369" s="457"/>
      <c r="IQN369" s="664"/>
      <c r="IQO369" s="521"/>
      <c r="IQP369" s="362"/>
      <c r="IQQ369" s="295"/>
      <c r="IQR369" s="656"/>
      <c r="IQS369" s="286"/>
      <c r="IQT369" s="287"/>
      <c r="IQU369" s="296"/>
      <c r="IQV369" s="457"/>
      <c r="IQW369" s="664"/>
      <c r="IQX369" s="521"/>
      <c r="IQY369" s="362"/>
      <c r="IQZ369" s="295"/>
      <c r="IRA369" s="656"/>
      <c r="IRB369" s="286"/>
      <c r="IRC369" s="287"/>
      <c r="IRD369" s="296"/>
      <c r="IRE369" s="457"/>
      <c r="IRF369" s="664"/>
      <c r="IRG369" s="521"/>
      <c r="IRH369" s="362"/>
      <c r="IRI369" s="295"/>
      <c r="IRJ369" s="656"/>
      <c r="IRK369" s="286"/>
      <c r="IRL369" s="287"/>
      <c r="IRM369" s="296"/>
      <c r="IRN369" s="457"/>
      <c r="IRO369" s="664"/>
      <c r="IRP369" s="521"/>
      <c r="IRQ369" s="362"/>
      <c r="IRR369" s="295"/>
      <c r="IRS369" s="656"/>
      <c r="IRT369" s="286"/>
      <c r="IRU369" s="287"/>
      <c r="IRV369" s="296"/>
      <c r="IRW369" s="457"/>
      <c r="IRX369" s="664"/>
      <c r="IRY369" s="521"/>
      <c r="IRZ369" s="362"/>
      <c r="ISA369" s="295"/>
      <c r="ISB369" s="656"/>
      <c r="ISC369" s="286"/>
      <c r="ISD369" s="287"/>
      <c r="ISE369" s="296"/>
      <c r="ISF369" s="457"/>
      <c r="ISG369" s="664"/>
      <c r="ISH369" s="521"/>
      <c r="ISI369" s="362"/>
      <c r="ISJ369" s="295"/>
      <c r="ISK369" s="656"/>
      <c r="ISL369" s="286"/>
      <c r="ISM369" s="287"/>
      <c r="ISN369" s="296"/>
      <c r="ISO369" s="457"/>
      <c r="ISP369" s="664"/>
      <c r="ISQ369" s="521"/>
      <c r="ISR369" s="362"/>
      <c r="ISS369" s="295"/>
      <c r="IST369" s="656"/>
      <c r="ISU369" s="286"/>
      <c r="ISV369" s="287"/>
      <c r="ISW369" s="296"/>
      <c r="ISX369" s="457"/>
      <c r="ISY369" s="664"/>
      <c r="ISZ369" s="521"/>
      <c r="ITA369" s="362"/>
      <c r="ITB369" s="295"/>
      <c r="ITC369" s="656"/>
      <c r="ITD369" s="286"/>
      <c r="ITE369" s="287"/>
      <c r="ITF369" s="296"/>
      <c r="ITG369" s="457"/>
      <c r="ITH369" s="664"/>
      <c r="ITI369" s="521"/>
      <c r="ITJ369" s="362"/>
      <c r="ITK369" s="295"/>
      <c r="ITL369" s="656"/>
      <c r="ITM369" s="286"/>
      <c r="ITN369" s="287"/>
      <c r="ITO369" s="296"/>
      <c r="ITP369" s="457"/>
      <c r="ITQ369" s="664"/>
      <c r="ITR369" s="521"/>
      <c r="ITS369" s="362"/>
      <c r="ITT369" s="295"/>
      <c r="ITU369" s="656"/>
      <c r="ITV369" s="286"/>
      <c r="ITW369" s="287"/>
      <c r="ITX369" s="296"/>
      <c r="ITY369" s="457"/>
      <c r="ITZ369" s="664"/>
      <c r="IUA369" s="521"/>
      <c r="IUB369" s="362"/>
      <c r="IUC369" s="295"/>
      <c r="IUD369" s="656"/>
      <c r="IUE369" s="286"/>
      <c r="IUF369" s="287"/>
      <c r="IUG369" s="296"/>
      <c r="IUH369" s="457"/>
      <c r="IUI369" s="664"/>
      <c r="IUJ369" s="521"/>
      <c r="IUK369" s="362"/>
      <c r="IUL369" s="295"/>
      <c r="IUM369" s="656"/>
      <c r="IUN369" s="286"/>
      <c r="IUO369" s="287"/>
      <c r="IUP369" s="296"/>
      <c r="IUQ369" s="457"/>
      <c r="IUR369" s="664"/>
      <c r="IUS369" s="521"/>
      <c r="IUT369" s="362"/>
      <c r="IUU369" s="295"/>
      <c r="IUV369" s="656"/>
      <c r="IUW369" s="286"/>
      <c r="IUX369" s="287"/>
      <c r="IUY369" s="296"/>
      <c r="IUZ369" s="457"/>
      <c r="IVA369" s="664"/>
      <c r="IVB369" s="521"/>
      <c r="IVC369" s="362"/>
      <c r="IVD369" s="295"/>
      <c r="IVE369" s="656"/>
      <c r="IVF369" s="286"/>
      <c r="IVG369" s="287"/>
      <c r="IVH369" s="296"/>
      <c r="IVI369" s="457"/>
      <c r="IVJ369" s="664"/>
      <c r="IVK369" s="521"/>
      <c r="IVL369" s="362"/>
      <c r="IVM369" s="295"/>
      <c r="IVN369" s="656"/>
      <c r="IVO369" s="286"/>
      <c r="IVP369" s="287"/>
      <c r="IVQ369" s="296"/>
      <c r="IVR369" s="457"/>
      <c r="IVS369" s="664"/>
      <c r="IVT369" s="521"/>
      <c r="IVU369" s="362"/>
      <c r="IVV369" s="295"/>
      <c r="IVW369" s="656"/>
      <c r="IVX369" s="286"/>
      <c r="IVY369" s="287"/>
      <c r="IVZ369" s="296"/>
      <c r="IWA369" s="457"/>
      <c r="IWB369" s="664"/>
      <c r="IWC369" s="521"/>
      <c r="IWD369" s="362"/>
      <c r="IWE369" s="295"/>
      <c r="IWF369" s="656"/>
      <c r="IWG369" s="286"/>
      <c r="IWH369" s="287"/>
      <c r="IWI369" s="296"/>
      <c r="IWJ369" s="457"/>
      <c r="IWK369" s="664"/>
      <c r="IWL369" s="521"/>
      <c r="IWM369" s="362"/>
      <c r="IWN369" s="295"/>
      <c r="IWO369" s="656"/>
      <c r="IWP369" s="286"/>
      <c r="IWQ369" s="287"/>
      <c r="IWR369" s="296"/>
      <c r="IWS369" s="457"/>
      <c r="IWT369" s="664"/>
      <c r="IWU369" s="521"/>
      <c r="IWV369" s="362"/>
      <c r="IWW369" s="295"/>
      <c r="IWX369" s="656"/>
      <c r="IWY369" s="286"/>
      <c r="IWZ369" s="287"/>
      <c r="IXA369" s="296"/>
      <c r="IXB369" s="457"/>
      <c r="IXC369" s="664"/>
      <c r="IXD369" s="521"/>
      <c r="IXE369" s="362"/>
      <c r="IXF369" s="295"/>
      <c r="IXG369" s="656"/>
      <c r="IXH369" s="286"/>
      <c r="IXI369" s="287"/>
      <c r="IXJ369" s="296"/>
      <c r="IXK369" s="457"/>
      <c r="IXL369" s="664"/>
      <c r="IXM369" s="521"/>
      <c r="IXN369" s="362"/>
      <c r="IXO369" s="295"/>
      <c r="IXP369" s="656"/>
      <c r="IXQ369" s="286"/>
      <c r="IXR369" s="287"/>
      <c r="IXS369" s="296"/>
      <c r="IXT369" s="457"/>
      <c r="IXU369" s="664"/>
      <c r="IXV369" s="521"/>
      <c r="IXW369" s="362"/>
      <c r="IXX369" s="295"/>
      <c r="IXY369" s="656"/>
      <c r="IXZ369" s="286"/>
      <c r="IYA369" s="287"/>
      <c r="IYB369" s="296"/>
      <c r="IYC369" s="457"/>
      <c r="IYD369" s="664"/>
      <c r="IYE369" s="521"/>
      <c r="IYF369" s="362"/>
      <c r="IYG369" s="295"/>
      <c r="IYH369" s="656"/>
      <c r="IYI369" s="286"/>
      <c r="IYJ369" s="287"/>
      <c r="IYK369" s="296"/>
      <c r="IYL369" s="457"/>
      <c r="IYM369" s="664"/>
      <c r="IYN369" s="521"/>
      <c r="IYO369" s="362"/>
      <c r="IYP369" s="295"/>
      <c r="IYQ369" s="656"/>
      <c r="IYR369" s="286"/>
      <c r="IYS369" s="287"/>
      <c r="IYT369" s="296"/>
      <c r="IYU369" s="457"/>
      <c r="IYV369" s="664"/>
      <c r="IYW369" s="521"/>
      <c r="IYX369" s="362"/>
      <c r="IYY369" s="295"/>
      <c r="IYZ369" s="656"/>
      <c r="IZA369" s="286"/>
      <c r="IZB369" s="287"/>
      <c r="IZC369" s="296"/>
      <c r="IZD369" s="457"/>
      <c r="IZE369" s="664"/>
      <c r="IZF369" s="521"/>
      <c r="IZG369" s="362"/>
      <c r="IZH369" s="295"/>
      <c r="IZI369" s="656"/>
      <c r="IZJ369" s="286"/>
      <c r="IZK369" s="287"/>
      <c r="IZL369" s="296"/>
      <c r="IZM369" s="457"/>
      <c r="IZN369" s="664"/>
      <c r="IZO369" s="521"/>
      <c r="IZP369" s="362"/>
      <c r="IZQ369" s="295"/>
      <c r="IZR369" s="656"/>
      <c r="IZS369" s="286"/>
      <c r="IZT369" s="287"/>
      <c r="IZU369" s="296"/>
      <c r="IZV369" s="457"/>
      <c r="IZW369" s="664"/>
      <c r="IZX369" s="521"/>
      <c r="IZY369" s="362"/>
      <c r="IZZ369" s="295"/>
      <c r="JAA369" s="656"/>
      <c r="JAB369" s="286"/>
      <c r="JAC369" s="287"/>
      <c r="JAD369" s="296"/>
      <c r="JAE369" s="457"/>
      <c r="JAF369" s="664"/>
      <c r="JAG369" s="521"/>
      <c r="JAH369" s="362"/>
      <c r="JAI369" s="295"/>
      <c r="JAJ369" s="656"/>
      <c r="JAK369" s="286"/>
      <c r="JAL369" s="287"/>
      <c r="JAM369" s="296"/>
      <c r="JAN369" s="457"/>
      <c r="JAO369" s="664"/>
      <c r="JAP369" s="521"/>
      <c r="JAQ369" s="362"/>
      <c r="JAR369" s="295"/>
      <c r="JAS369" s="656"/>
      <c r="JAT369" s="286"/>
      <c r="JAU369" s="287"/>
      <c r="JAV369" s="296"/>
      <c r="JAW369" s="457"/>
      <c r="JAX369" s="664"/>
      <c r="JAY369" s="521"/>
      <c r="JAZ369" s="362"/>
      <c r="JBA369" s="295"/>
      <c r="JBB369" s="656"/>
      <c r="JBC369" s="286"/>
      <c r="JBD369" s="287"/>
      <c r="JBE369" s="296"/>
      <c r="JBF369" s="457"/>
      <c r="JBG369" s="664"/>
      <c r="JBH369" s="521"/>
      <c r="JBI369" s="362"/>
      <c r="JBJ369" s="295"/>
      <c r="JBK369" s="656"/>
      <c r="JBL369" s="286"/>
      <c r="JBM369" s="287"/>
      <c r="JBN369" s="296"/>
      <c r="JBO369" s="457"/>
      <c r="JBP369" s="664"/>
      <c r="JBQ369" s="521"/>
      <c r="JBR369" s="362"/>
      <c r="JBS369" s="295"/>
      <c r="JBT369" s="656"/>
      <c r="JBU369" s="286"/>
      <c r="JBV369" s="287"/>
      <c r="JBW369" s="296"/>
      <c r="JBX369" s="457"/>
      <c r="JBY369" s="664"/>
      <c r="JBZ369" s="521"/>
      <c r="JCA369" s="362"/>
      <c r="JCB369" s="295"/>
      <c r="JCC369" s="656"/>
      <c r="JCD369" s="286"/>
      <c r="JCE369" s="287"/>
      <c r="JCF369" s="296"/>
      <c r="JCG369" s="457"/>
      <c r="JCH369" s="664"/>
      <c r="JCI369" s="521"/>
      <c r="JCJ369" s="362"/>
      <c r="JCK369" s="295"/>
      <c r="JCL369" s="656"/>
      <c r="JCM369" s="286"/>
      <c r="JCN369" s="287"/>
      <c r="JCO369" s="296"/>
      <c r="JCP369" s="457"/>
      <c r="JCQ369" s="664"/>
      <c r="JCR369" s="521"/>
      <c r="JCS369" s="362"/>
      <c r="JCT369" s="295"/>
      <c r="JCU369" s="656"/>
      <c r="JCV369" s="286"/>
      <c r="JCW369" s="287"/>
      <c r="JCX369" s="296"/>
      <c r="JCY369" s="457"/>
      <c r="JCZ369" s="664"/>
      <c r="JDA369" s="521"/>
      <c r="JDB369" s="362"/>
      <c r="JDC369" s="295"/>
      <c r="JDD369" s="656"/>
      <c r="JDE369" s="286"/>
      <c r="JDF369" s="287"/>
      <c r="JDG369" s="296"/>
      <c r="JDH369" s="457"/>
      <c r="JDI369" s="664"/>
      <c r="JDJ369" s="521"/>
      <c r="JDK369" s="362"/>
      <c r="JDL369" s="295"/>
      <c r="JDM369" s="656"/>
      <c r="JDN369" s="286"/>
      <c r="JDO369" s="287"/>
      <c r="JDP369" s="296"/>
      <c r="JDQ369" s="457"/>
      <c r="JDR369" s="664"/>
      <c r="JDS369" s="521"/>
      <c r="JDT369" s="362"/>
      <c r="JDU369" s="295"/>
      <c r="JDV369" s="656"/>
      <c r="JDW369" s="286"/>
      <c r="JDX369" s="287"/>
      <c r="JDY369" s="296"/>
      <c r="JDZ369" s="457"/>
      <c r="JEA369" s="664"/>
      <c r="JEB369" s="521"/>
      <c r="JEC369" s="362"/>
      <c r="JED369" s="295"/>
      <c r="JEE369" s="656"/>
      <c r="JEF369" s="286"/>
      <c r="JEG369" s="287"/>
      <c r="JEH369" s="296"/>
      <c r="JEI369" s="457"/>
      <c r="JEJ369" s="664"/>
      <c r="JEK369" s="521"/>
      <c r="JEL369" s="362"/>
      <c r="JEM369" s="295"/>
      <c r="JEN369" s="656"/>
      <c r="JEO369" s="286"/>
      <c r="JEP369" s="287"/>
      <c r="JEQ369" s="296"/>
      <c r="JER369" s="457"/>
      <c r="JES369" s="664"/>
      <c r="JET369" s="521"/>
      <c r="JEU369" s="362"/>
      <c r="JEV369" s="295"/>
      <c r="JEW369" s="656"/>
      <c r="JEX369" s="286"/>
      <c r="JEY369" s="287"/>
      <c r="JEZ369" s="296"/>
      <c r="JFA369" s="457"/>
      <c r="JFB369" s="664"/>
      <c r="JFC369" s="521"/>
      <c r="JFD369" s="362"/>
      <c r="JFE369" s="295"/>
      <c r="JFF369" s="656"/>
      <c r="JFG369" s="286"/>
      <c r="JFH369" s="287"/>
      <c r="JFI369" s="296"/>
      <c r="JFJ369" s="457"/>
      <c r="JFK369" s="664"/>
      <c r="JFL369" s="521"/>
      <c r="JFM369" s="362"/>
      <c r="JFN369" s="295"/>
      <c r="JFO369" s="656"/>
      <c r="JFP369" s="286"/>
      <c r="JFQ369" s="287"/>
      <c r="JFR369" s="296"/>
      <c r="JFS369" s="457"/>
      <c r="JFT369" s="664"/>
      <c r="JFU369" s="521"/>
      <c r="JFV369" s="362"/>
      <c r="JFW369" s="295"/>
      <c r="JFX369" s="656"/>
      <c r="JFY369" s="286"/>
      <c r="JFZ369" s="287"/>
      <c r="JGA369" s="296"/>
      <c r="JGB369" s="457"/>
      <c r="JGC369" s="664"/>
      <c r="JGD369" s="521"/>
      <c r="JGE369" s="362"/>
      <c r="JGF369" s="295"/>
      <c r="JGG369" s="656"/>
      <c r="JGH369" s="286"/>
      <c r="JGI369" s="287"/>
      <c r="JGJ369" s="296"/>
      <c r="JGK369" s="457"/>
      <c r="JGL369" s="664"/>
      <c r="JGM369" s="521"/>
      <c r="JGN369" s="362"/>
      <c r="JGO369" s="295"/>
      <c r="JGP369" s="656"/>
      <c r="JGQ369" s="286"/>
      <c r="JGR369" s="287"/>
      <c r="JGS369" s="296"/>
      <c r="JGT369" s="457"/>
      <c r="JGU369" s="664"/>
      <c r="JGV369" s="521"/>
      <c r="JGW369" s="362"/>
      <c r="JGX369" s="295"/>
      <c r="JGY369" s="656"/>
      <c r="JGZ369" s="286"/>
      <c r="JHA369" s="287"/>
      <c r="JHB369" s="296"/>
      <c r="JHC369" s="457"/>
      <c r="JHD369" s="664"/>
      <c r="JHE369" s="521"/>
      <c r="JHF369" s="362"/>
      <c r="JHG369" s="295"/>
      <c r="JHH369" s="656"/>
      <c r="JHI369" s="286"/>
      <c r="JHJ369" s="287"/>
      <c r="JHK369" s="296"/>
      <c r="JHL369" s="457"/>
      <c r="JHM369" s="664"/>
      <c r="JHN369" s="521"/>
      <c r="JHO369" s="362"/>
      <c r="JHP369" s="295"/>
      <c r="JHQ369" s="656"/>
      <c r="JHR369" s="286"/>
      <c r="JHS369" s="287"/>
      <c r="JHT369" s="296"/>
      <c r="JHU369" s="457"/>
      <c r="JHV369" s="664"/>
      <c r="JHW369" s="521"/>
      <c r="JHX369" s="362"/>
      <c r="JHY369" s="295"/>
      <c r="JHZ369" s="656"/>
      <c r="JIA369" s="286"/>
      <c r="JIB369" s="287"/>
      <c r="JIC369" s="296"/>
      <c r="JID369" s="457"/>
      <c r="JIE369" s="664"/>
      <c r="JIF369" s="521"/>
      <c r="JIG369" s="362"/>
      <c r="JIH369" s="295"/>
      <c r="JII369" s="656"/>
      <c r="JIJ369" s="286"/>
      <c r="JIK369" s="287"/>
      <c r="JIL369" s="296"/>
      <c r="JIM369" s="457"/>
      <c r="JIN369" s="664"/>
      <c r="JIO369" s="521"/>
      <c r="JIP369" s="362"/>
      <c r="JIQ369" s="295"/>
      <c r="JIR369" s="656"/>
      <c r="JIS369" s="286"/>
      <c r="JIT369" s="287"/>
      <c r="JIU369" s="296"/>
      <c r="JIV369" s="457"/>
      <c r="JIW369" s="664"/>
      <c r="JIX369" s="521"/>
      <c r="JIY369" s="362"/>
      <c r="JIZ369" s="295"/>
      <c r="JJA369" s="656"/>
      <c r="JJB369" s="286"/>
      <c r="JJC369" s="287"/>
      <c r="JJD369" s="296"/>
      <c r="JJE369" s="457"/>
      <c r="JJF369" s="664"/>
      <c r="JJG369" s="521"/>
      <c r="JJH369" s="362"/>
      <c r="JJI369" s="295"/>
      <c r="JJJ369" s="656"/>
      <c r="JJK369" s="286"/>
      <c r="JJL369" s="287"/>
      <c r="JJM369" s="296"/>
      <c r="JJN369" s="457"/>
      <c r="JJO369" s="664"/>
      <c r="JJP369" s="521"/>
      <c r="JJQ369" s="362"/>
      <c r="JJR369" s="295"/>
      <c r="JJS369" s="656"/>
      <c r="JJT369" s="286"/>
      <c r="JJU369" s="287"/>
      <c r="JJV369" s="296"/>
      <c r="JJW369" s="457"/>
      <c r="JJX369" s="664"/>
      <c r="JJY369" s="521"/>
      <c r="JJZ369" s="362"/>
      <c r="JKA369" s="295"/>
      <c r="JKB369" s="656"/>
      <c r="JKC369" s="286"/>
      <c r="JKD369" s="287"/>
      <c r="JKE369" s="296"/>
      <c r="JKF369" s="457"/>
      <c r="JKG369" s="664"/>
      <c r="JKH369" s="521"/>
      <c r="JKI369" s="362"/>
      <c r="JKJ369" s="295"/>
      <c r="JKK369" s="656"/>
      <c r="JKL369" s="286"/>
      <c r="JKM369" s="287"/>
      <c r="JKN369" s="296"/>
      <c r="JKO369" s="457"/>
      <c r="JKP369" s="664"/>
      <c r="JKQ369" s="521"/>
      <c r="JKR369" s="362"/>
      <c r="JKS369" s="295"/>
      <c r="JKT369" s="656"/>
      <c r="JKU369" s="286"/>
      <c r="JKV369" s="287"/>
      <c r="JKW369" s="296"/>
      <c r="JKX369" s="457"/>
      <c r="JKY369" s="664"/>
      <c r="JKZ369" s="521"/>
      <c r="JLA369" s="362"/>
      <c r="JLB369" s="295"/>
      <c r="JLC369" s="656"/>
      <c r="JLD369" s="286"/>
      <c r="JLE369" s="287"/>
      <c r="JLF369" s="296"/>
      <c r="JLG369" s="457"/>
      <c r="JLH369" s="664"/>
      <c r="JLI369" s="521"/>
      <c r="JLJ369" s="362"/>
      <c r="JLK369" s="295"/>
      <c r="JLL369" s="656"/>
      <c r="JLM369" s="286"/>
      <c r="JLN369" s="287"/>
      <c r="JLO369" s="296"/>
      <c r="JLP369" s="457"/>
      <c r="JLQ369" s="664"/>
      <c r="JLR369" s="521"/>
      <c r="JLS369" s="362"/>
      <c r="JLT369" s="295"/>
      <c r="JLU369" s="656"/>
      <c r="JLV369" s="286"/>
      <c r="JLW369" s="287"/>
      <c r="JLX369" s="296"/>
      <c r="JLY369" s="457"/>
      <c r="JLZ369" s="664"/>
      <c r="JMA369" s="521"/>
      <c r="JMB369" s="362"/>
      <c r="JMC369" s="295"/>
      <c r="JMD369" s="656"/>
      <c r="JME369" s="286"/>
      <c r="JMF369" s="287"/>
      <c r="JMG369" s="296"/>
      <c r="JMH369" s="457"/>
      <c r="JMI369" s="664"/>
      <c r="JMJ369" s="521"/>
      <c r="JMK369" s="362"/>
      <c r="JML369" s="295"/>
      <c r="JMM369" s="656"/>
      <c r="JMN369" s="286"/>
      <c r="JMO369" s="287"/>
      <c r="JMP369" s="296"/>
      <c r="JMQ369" s="457"/>
      <c r="JMR369" s="664"/>
      <c r="JMS369" s="521"/>
      <c r="JMT369" s="362"/>
      <c r="JMU369" s="295"/>
      <c r="JMV369" s="656"/>
      <c r="JMW369" s="286"/>
      <c r="JMX369" s="287"/>
      <c r="JMY369" s="296"/>
      <c r="JMZ369" s="457"/>
      <c r="JNA369" s="664"/>
      <c r="JNB369" s="521"/>
      <c r="JNC369" s="362"/>
      <c r="JND369" s="295"/>
      <c r="JNE369" s="656"/>
      <c r="JNF369" s="286"/>
      <c r="JNG369" s="287"/>
      <c r="JNH369" s="296"/>
      <c r="JNI369" s="457"/>
      <c r="JNJ369" s="664"/>
      <c r="JNK369" s="521"/>
      <c r="JNL369" s="362"/>
      <c r="JNM369" s="295"/>
      <c r="JNN369" s="656"/>
      <c r="JNO369" s="286"/>
      <c r="JNP369" s="287"/>
      <c r="JNQ369" s="296"/>
      <c r="JNR369" s="457"/>
      <c r="JNS369" s="664"/>
      <c r="JNT369" s="521"/>
      <c r="JNU369" s="362"/>
      <c r="JNV369" s="295"/>
      <c r="JNW369" s="656"/>
      <c r="JNX369" s="286"/>
      <c r="JNY369" s="287"/>
      <c r="JNZ369" s="296"/>
      <c r="JOA369" s="457"/>
      <c r="JOB369" s="664"/>
      <c r="JOC369" s="521"/>
      <c r="JOD369" s="362"/>
      <c r="JOE369" s="295"/>
      <c r="JOF369" s="656"/>
      <c r="JOG369" s="286"/>
      <c r="JOH369" s="287"/>
      <c r="JOI369" s="296"/>
      <c r="JOJ369" s="457"/>
      <c r="JOK369" s="664"/>
      <c r="JOL369" s="521"/>
      <c r="JOM369" s="362"/>
      <c r="JON369" s="295"/>
      <c r="JOO369" s="656"/>
      <c r="JOP369" s="286"/>
      <c r="JOQ369" s="287"/>
      <c r="JOR369" s="296"/>
      <c r="JOS369" s="457"/>
      <c r="JOT369" s="664"/>
      <c r="JOU369" s="521"/>
      <c r="JOV369" s="362"/>
      <c r="JOW369" s="295"/>
      <c r="JOX369" s="656"/>
      <c r="JOY369" s="286"/>
      <c r="JOZ369" s="287"/>
      <c r="JPA369" s="296"/>
      <c r="JPB369" s="457"/>
      <c r="JPC369" s="664"/>
      <c r="JPD369" s="521"/>
      <c r="JPE369" s="362"/>
      <c r="JPF369" s="295"/>
      <c r="JPG369" s="656"/>
      <c r="JPH369" s="286"/>
      <c r="JPI369" s="287"/>
      <c r="JPJ369" s="296"/>
      <c r="JPK369" s="457"/>
      <c r="JPL369" s="664"/>
      <c r="JPM369" s="521"/>
      <c r="JPN369" s="362"/>
      <c r="JPO369" s="295"/>
      <c r="JPP369" s="656"/>
      <c r="JPQ369" s="286"/>
      <c r="JPR369" s="287"/>
      <c r="JPS369" s="296"/>
      <c r="JPT369" s="457"/>
      <c r="JPU369" s="664"/>
      <c r="JPV369" s="521"/>
      <c r="JPW369" s="362"/>
      <c r="JPX369" s="295"/>
      <c r="JPY369" s="656"/>
      <c r="JPZ369" s="286"/>
      <c r="JQA369" s="287"/>
      <c r="JQB369" s="296"/>
      <c r="JQC369" s="457"/>
      <c r="JQD369" s="664"/>
      <c r="JQE369" s="521"/>
      <c r="JQF369" s="362"/>
      <c r="JQG369" s="295"/>
      <c r="JQH369" s="656"/>
      <c r="JQI369" s="286"/>
      <c r="JQJ369" s="287"/>
      <c r="JQK369" s="296"/>
      <c r="JQL369" s="457"/>
      <c r="JQM369" s="664"/>
      <c r="JQN369" s="521"/>
      <c r="JQO369" s="362"/>
      <c r="JQP369" s="295"/>
      <c r="JQQ369" s="656"/>
      <c r="JQR369" s="286"/>
      <c r="JQS369" s="287"/>
      <c r="JQT369" s="296"/>
      <c r="JQU369" s="457"/>
      <c r="JQV369" s="664"/>
      <c r="JQW369" s="521"/>
      <c r="JQX369" s="362"/>
      <c r="JQY369" s="295"/>
      <c r="JQZ369" s="656"/>
      <c r="JRA369" s="286"/>
      <c r="JRB369" s="287"/>
      <c r="JRC369" s="296"/>
      <c r="JRD369" s="457"/>
      <c r="JRE369" s="664"/>
      <c r="JRF369" s="521"/>
      <c r="JRG369" s="362"/>
      <c r="JRH369" s="295"/>
      <c r="JRI369" s="656"/>
      <c r="JRJ369" s="286"/>
      <c r="JRK369" s="287"/>
      <c r="JRL369" s="296"/>
      <c r="JRM369" s="457"/>
      <c r="JRN369" s="664"/>
      <c r="JRO369" s="521"/>
      <c r="JRP369" s="362"/>
      <c r="JRQ369" s="295"/>
      <c r="JRR369" s="656"/>
      <c r="JRS369" s="286"/>
      <c r="JRT369" s="287"/>
      <c r="JRU369" s="296"/>
      <c r="JRV369" s="457"/>
      <c r="JRW369" s="664"/>
      <c r="JRX369" s="521"/>
      <c r="JRY369" s="362"/>
      <c r="JRZ369" s="295"/>
      <c r="JSA369" s="656"/>
      <c r="JSB369" s="286"/>
      <c r="JSC369" s="287"/>
      <c r="JSD369" s="296"/>
      <c r="JSE369" s="457"/>
      <c r="JSF369" s="664"/>
      <c r="JSG369" s="521"/>
      <c r="JSH369" s="362"/>
      <c r="JSI369" s="295"/>
      <c r="JSJ369" s="656"/>
      <c r="JSK369" s="286"/>
      <c r="JSL369" s="287"/>
      <c r="JSM369" s="296"/>
      <c r="JSN369" s="457"/>
      <c r="JSO369" s="664"/>
      <c r="JSP369" s="521"/>
      <c r="JSQ369" s="362"/>
      <c r="JSR369" s="295"/>
      <c r="JSS369" s="656"/>
      <c r="JST369" s="286"/>
      <c r="JSU369" s="287"/>
      <c r="JSV369" s="296"/>
      <c r="JSW369" s="457"/>
      <c r="JSX369" s="664"/>
      <c r="JSY369" s="521"/>
      <c r="JSZ369" s="362"/>
      <c r="JTA369" s="295"/>
      <c r="JTB369" s="656"/>
      <c r="JTC369" s="286"/>
      <c r="JTD369" s="287"/>
      <c r="JTE369" s="296"/>
      <c r="JTF369" s="457"/>
      <c r="JTG369" s="664"/>
      <c r="JTH369" s="521"/>
      <c r="JTI369" s="362"/>
      <c r="JTJ369" s="295"/>
      <c r="JTK369" s="656"/>
      <c r="JTL369" s="286"/>
      <c r="JTM369" s="287"/>
      <c r="JTN369" s="296"/>
      <c r="JTO369" s="457"/>
      <c r="JTP369" s="664"/>
      <c r="JTQ369" s="521"/>
      <c r="JTR369" s="362"/>
      <c r="JTS369" s="295"/>
      <c r="JTT369" s="656"/>
      <c r="JTU369" s="286"/>
      <c r="JTV369" s="287"/>
      <c r="JTW369" s="296"/>
      <c r="JTX369" s="457"/>
      <c r="JTY369" s="664"/>
      <c r="JTZ369" s="521"/>
      <c r="JUA369" s="362"/>
      <c r="JUB369" s="295"/>
      <c r="JUC369" s="656"/>
      <c r="JUD369" s="286"/>
      <c r="JUE369" s="287"/>
      <c r="JUF369" s="296"/>
      <c r="JUG369" s="457"/>
      <c r="JUH369" s="664"/>
      <c r="JUI369" s="521"/>
      <c r="JUJ369" s="362"/>
      <c r="JUK369" s="295"/>
      <c r="JUL369" s="656"/>
      <c r="JUM369" s="286"/>
      <c r="JUN369" s="287"/>
      <c r="JUO369" s="296"/>
      <c r="JUP369" s="457"/>
      <c r="JUQ369" s="664"/>
      <c r="JUR369" s="521"/>
      <c r="JUS369" s="362"/>
      <c r="JUT369" s="295"/>
      <c r="JUU369" s="656"/>
      <c r="JUV369" s="286"/>
      <c r="JUW369" s="287"/>
      <c r="JUX369" s="296"/>
      <c r="JUY369" s="457"/>
      <c r="JUZ369" s="664"/>
      <c r="JVA369" s="521"/>
      <c r="JVB369" s="362"/>
      <c r="JVC369" s="295"/>
      <c r="JVD369" s="656"/>
      <c r="JVE369" s="286"/>
      <c r="JVF369" s="287"/>
      <c r="JVG369" s="296"/>
      <c r="JVH369" s="457"/>
      <c r="JVI369" s="664"/>
      <c r="JVJ369" s="521"/>
      <c r="JVK369" s="362"/>
      <c r="JVL369" s="295"/>
      <c r="JVM369" s="656"/>
      <c r="JVN369" s="286"/>
      <c r="JVO369" s="287"/>
      <c r="JVP369" s="296"/>
      <c r="JVQ369" s="457"/>
      <c r="JVR369" s="664"/>
      <c r="JVS369" s="521"/>
      <c r="JVT369" s="362"/>
      <c r="JVU369" s="295"/>
      <c r="JVV369" s="656"/>
      <c r="JVW369" s="286"/>
      <c r="JVX369" s="287"/>
      <c r="JVY369" s="296"/>
      <c r="JVZ369" s="457"/>
      <c r="JWA369" s="664"/>
      <c r="JWB369" s="521"/>
      <c r="JWC369" s="362"/>
      <c r="JWD369" s="295"/>
      <c r="JWE369" s="656"/>
      <c r="JWF369" s="286"/>
      <c r="JWG369" s="287"/>
      <c r="JWH369" s="296"/>
      <c r="JWI369" s="457"/>
      <c r="JWJ369" s="664"/>
      <c r="JWK369" s="521"/>
      <c r="JWL369" s="362"/>
      <c r="JWM369" s="295"/>
      <c r="JWN369" s="656"/>
      <c r="JWO369" s="286"/>
      <c r="JWP369" s="287"/>
      <c r="JWQ369" s="296"/>
      <c r="JWR369" s="457"/>
      <c r="JWS369" s="664"/>
      <c r="JWT369" s="521"/>
      <c r="JWU369" s="362"/>
      <c r="JWV369" s="295"/>
      <c r="JWW369" s="656"/>
      <c r="JWX369" s="286"/>
      <c r="JWY369" s="287"/>
      <c r="JWZ369" s="296"/>
      <c r="JXA369" s="457"/>
      <c r="JXB369" s="664"/>
      <c r="JXC369" s="521"/>
      <c r="JXD369" s="362"/>
      <c r="JXE369" s="295"/>
      <c r="JXF369" s="656"/>
      <c r="JXG369" s="286"/>
      <c r="JXH369" s="287"/>
      <c r="JXI369" s="296"/>
      <c r="JXJ369" s="457"/>
      <c r="JXK369" s="664"/>
      <c r="JXL369" s="521"/>
      <c r="JXM369" s="362"/>
      <c r="JXN369" s="295"/>
      <c r="JXO369" s="656"/>
      <c r="JXP369" s="286"/>
      <c r="JXQ369" s="287"/>
      <c r="JXR369" s="296"/>
      <c r="JXS369" s="457"/>
      <c r="JXT369" s="664"/>
      <c r="JXU369" s="521"/>
      <c r="JXV369" s="362"/>
      <c r="JXW369" s="295"/>
      <c r="JXX369" s="656"/>
      <c r="JXY369" s="286"/>
      <c r="JXZ369" s="287"/>
      <c r="JYA369" s="296"/>
      <c r="JYB369" s="457"/>
      <c r="JYC369" s="664"/>
      <c r="JYD369" s="521"/>
      <c r="JYE369" s="362"/>
      <c r="JYF369" s="295"/>
      <c r="JYG369" s="656"/>
      <c r="JYH369" s="286"/>
      <c r="JYI369" s="287"/>
      <c r="JYJ369" s="296"/>
      <c r="JYK369" s="457"/>
      <c r="JYL369" s="664"/>
      <c r="JYM369" s="521"/>
      <c r="JYN369" s="362"/>
      <c r="JYO369" s="295"/>
      <c r="JYP369" s="656"/>
      <c r="JYQ369" s="286"/>
      <c r="JYR369" s="287"/>
      <c r="JYS369" s="296"/>
      <c r="JYT369" s="457"/>
      <c r="JYU369" s="664"/>
      <c r="JYV369" s="521"/>
      <c r="JYW369" s="362"/>
      <c r="JYX369" s="295"/>
      <c r="JYY369" s="656"/>
      <c r="JYZ369" s="286"/>
      <c r="JZA369" s="287"/>
      <c r="JZB369" s="296"/>
      <c r="JZC369" s="457"/>
      <c r="JZD369" s="664"/>
      <c r="JZE369" s="521"/>
      <c r="JZF369" s="362"/>
      <c r="JZG369" s="295"/>
      <c r="JZH369" s="656"/>
      <c r="JZI369" s="286"/>
      <c r="JZJ369" s="287"/>
      <c r="JZK369" s="296"/>
      <c r="JZL369" s="457"/>
      <c r="JZM369" s="664"/>
      <c r="JZN369" s="521"/>
      <c r="JZO369" s="362"/>
      <c r="JZP369" s="295"/>
      <c r="JZQ369" s="656"/>
      <c r="JZR369" s="286"/>
      <c r="JZS369" s="287"/>
      <c r="JZT369" s="296"/>
      <c r="JZU369" s="457"/>
      <c r="JZV369" s="664"/>
      <c r="JZW369" s="521"/>
      <c r="JZX369" s="362"/>
      <c r="JZY369" s="295"/>
      <c r="JZZ369" s="656"/>
      <c r="KAA369" s="286"/>
      <c r="KAB369" s="287"/>
      <c r="KAC369" s="296"/>
      <c r="KAD369" s="457"/>
      <c r="KAE369" s="664"/>
      <c r="KAF369" s="521"/>
      <c r="KAG369" s="362"/>
      <c r="KAH369" s="295"/>
      <c r="KAI369" s="656"/>
      <c r="KAJ369" s="286"/>
      <c r="KAK369" s="287"/>
      <c r="KAL369" s="296"/>
      <c r="KAM369" s="457"/>
      <c r="KAN369" s="664"/>
      <c r="KAO369" s="521"/>
      <c r="KAP369" s="362"/>
      <c r="KAQ369" s="295"/>
      <c r="KAR369" s="656"/>
      <c r="KAS369" s="286"/>
      <c r="KAT369" s="287"/>
      <c r="KAU369" s="296"/>
      <c r="KAV369" s="457"/>
      <c r="KAW369" s="664"/>
      <c r="KAX369" s="521"/>
      <c r="KAY369" s="362"/>
      <c r="KAZ369" s="295"/>
      <c r="KBA369" s="656"/>
      <c r="KBB369" s="286"/>
      <c r="KBC369" s="287"/>
      <c r="KBD369" s="296"/>
      <c r="KBE369" s="457"/>
      <c r="KBF369" s="664"/>
      <c r="KBG369" s="521"/>
      <c r="KBH369" s="362"/>
      <c r="KBI369" s="295"/>
      <c r="KBJ369" s="656"/>
      <c r="KBK369" s="286"/>
      <c r="KBL369" s="287"/>
      <c r="KBM369" s="296"/>
      <c r="KBN369" s="457"/>
      <c r="KBO369" s="664"/>
      <c r="KBP369" s="521"/>
      <c r="KBQ369" s="362"/>
      <c r="KBR369" s="295"/>
      <c r="KBS369" s="656"/>
      <c r="KBT369" s="286"/>
      <c r="KBU369" s="287"/>
      <c r="KBV369" s="296"/>
      <c r="KBW369" s="457"/>
      <c r="KBX369" s="664"/>
      <c r="KBY369" s="521"/>
      <c r="KBZ369" s="362"/>
      <c r="KCA369" s="295"/>
      <c r="KCB369" s="656"/>
      <c r="KCC369" s="286"/>
      <c r="KCD369" s="287"/>
      <c r="KCE369" s="296"/>
      <c r="KCF369" s="457"/>
      <c r="KCG369" s="664"/>
      <c r="KCH369" s="521"/>
      <c r="KCI369" s="362"/>
      <c r="KCJ369" s="295"/>
      <c r="KCK369" s="656"/>
      <c r="KCL369" s="286"/>
      <c r="KCM369" s="287"/>
      <c r="KCN369" s="296"/>
      <c r="KCO369" s="457"/>
      <c r="KCP369" s="664"/>
      <c r="KCQ369" s="521"/>
      <c r="KCR369" s="362"/>
      <c r="KCS369" s="295"/>
      <c r="KCT369" s="656"/>
      <c r="KCU369" s="286"/>
      <c r="KCV369" s="287"/>
      <c r="KCW369" s="296"/>
      <c r="KCX369" s="457"/>
      <c r="KCY369" s="664"/>
      <c r="KCZ369" s="521"/>
      <c r="KDA369" s="362"/>
      <c r="KDB369" s="295"/>
      <c r="KDC369" s="656"/>
      <c r="KDD369" s="286"/>
      <c r="KDE369" s="287"/>
      <c r="KDF369" s="296"/>
      <c r="KDG369" s="457"/>
      <c r="KDH369" s="664"/>
      <c r="KDI369" s="521"/>
      <c r="KDJ369" s="362"/>
      <c r="KDK369" s="295"/>
      <c r="KDL369" s="656"/>
      <c r="KDM369" s="286"/>
      <c r="KDN369" s="287"/>
      <c r="KDO369" s="296"/>
      <c r="KDP369" s="457"/>
      <c r="KDQ369" s="664"/>
      <c r="KDR369" s="521"/>
      <c r="KDS369" s="362"/>
      <c r="KDT369" s="295"/>
      <c r="KDU369" s="656"/>
      <c r="KDV369" s="286"/>
      <c r="KDW369" s="287"/>
      <c r="KDX369" s="296"/>
      <c r="KDY369" s="457"/>
      <c r="KDZ369" s="664"/>
      <c r="KEA369" s="521"/>
      <c r="KEB369" s="362"/>
      <c r="KEC369" s="295"/>
      <c r="KED369" s="656"/>
      <c r="KEE369" s="286"/>
      <c r="KEF369" s="287"/>
      <c r="KEG369" s="296"/>
      <c r="KEH369" s="457"/>
      <c r="KEI369" s="664"/>
      <c r="KEJ369" s="521"/>
      <c r="KEK369" s="362"/>
      <c r="KEL369" s="295"/>
      <c r="KEM369" s="656"/>
      <c r="KEN369" s="286"/>
      <c r="KEO369" s="287"/>
      <c r="KEP369" s="296"/>
      <c r="KEQ369" s="457"/>
      <c r="KER369" s="664"/>
      <c r="KES369" s="521"/>
      <c r="KET369" s="362"/>
      <c r="KEU369" s="295"/>
      <c r="KEV369" s="656"/>
      <c r="KEW369" s="286"/>
      <c r="KEX369" s="287"/>
      <c r="KEY369" s="296"/>
      <c r="KEZ369" s="457"/>
      <c r="KFA369" s="664"/>
      <c r="KFB369" s="521"/>
      <c r="KFC369" s="362"/>
      <c r="KFD369" s="295"/>
      <c r="KFE369" s="656"/>
      <c r="KFF369" s="286"/>
      <c r="KFG369" s="287"/>
      <c r="KFH369" s="296"/>
      <c r="KFI369" s="457"/>
      <c r="KFJ369" s="664"/>
      <c r="KFK369" s="521"/>
      <c r="KFL369" s="362"/>
      <c r="KFM369" s="295"/>
      <c r="KFN369" s="656"/>
      <c r="KFO369" s="286"/>
      <c r="KFP369" s="287"/>
      <c r="KFQ369" s="296"/>
      <c r="KFR369" s="457"/>
      <c r="KFS369" s="664"/>
      <c r="KFT369" s="521"/>
      <c r="KFU369" s="362"/>
      <c r="KFV369" s="295"/>
      <c r="KFW369" s="656"/>
      <c r="KFX369" s="286"/>
      <c r="KFY369" s="287"/>
      <c r="KFZ369" s="296"/>
      <c r="KGA369" s="457"/>
      <c r="KGB369" s="664"/>
      <c r="KGC369" s="521"/>
      <c r="KGD369" s="362"/>
      <c r="KGE369" s="295"/>
      <c r="KGF369" s="656"/>
      <c r="KGG369" s="286"/>
      <c r="KGH369" s="287"/>
      <c r="KGI369" s="296"/>
      <c r="KGJ369" s="457"/>
      <c r="KGK369" s="664"/>
      <c r="KGL369" s="521"/>
      <c r="KGM369" s="362"/>
      <c r="KGN369" s="295"/>
      <c r="KGO369" s="656"/>
      <c r="KGP369" s="286"/>
      <c r="KGQ369" s="287"/>
      <c r="KGR369" s="296"/>
      <c r="KGS369" s="457"/>
      <c r="KGT369" s="664"/>
      <c r="KGU369" s="521"/>
      <c r="KGV369" s="362"/>
      <c r="KGW369" s="295"/>
      <c r="KGX369" s="656"/>
      <c r="KGY369" s="286"/>
      <c r="KGZ369" s="287"/>
      <c r="KHA369" s="296"/>
      <c r="KHB369" s="457"/>
      <c r="KHC369" s="664"/>
      <c r="KHD369" s="521"/>
      <c r="KHE369" s="362"/>
      <c r="KHF369" s="295"/>
      <c r="KHG369" s="656"/>
      <c r="KHH369" s="286"/>
      <c r="KHI369" s="287"/>
      <c r="KHJ369" s="296"/>
      <c r="KHK369" s="457"/>
      <c r="KHL369" s="664"/>
      <c r="KHM369" s="521"/>
      <c r="KHN369" s="362"/>
      <c r="KHO369" s="295"/>
      <c r="KHP369" s="656"/>
      <c r="KHQ369" s="286"/>
      <c r="KHR369" s="287"/>
      <c r="KHS369" s="296"/>
      <c r="KHT369" s="457"/>
      <c r="KHU369" s="664"/>
      <c r="KHV369" s="521"/>
      <c r="KHW369" s="362"/>
      <c r="KHX369" s="295"/>
      <c r="KHY369" s="656"/>
      <c r="KHZ369" s="286"/>
      <c r="KIA369" s="287"/>
      <c r="KIB369" s="296"/>
      <c r="KIC369" s="457"/>
      <c r="KID369" s="664"/>
      <c r="KIE369" s="521"/>
      <c r="KIF369" s="362"/>
      <c r="KIG369" s="295"/>
      <c r="KIH369" s="656"/>
      <c r="KII369" s="286"/>
      <c r="KIJ369" s="287"/>
      <c r="KIK369" s="296"/>
      <c r="KIL369" s="457"/>
      <c r="KIM369" s="664"/>
      <c r="KIN369" s="521"/>
      <c r="KIO369" s="362"/>
      <c r="KIP369" s="295"/>
      <c r="KIQ369" s="656"/>
      <c r="KIR369" s="286"/>
      <c r="KIS369" s="287"/>
      <c r="KIT369" s="296"/>
      <c r="KIU369" s="457"/>
      <c r="KIV369" s="664"/>
      <c r="KIW369" s="521"/>
      <c r="KIX369" s="362"/>
      <c r="KIY369" s="295"/>
      <c r="KIZ369" s="656"/>
      <c r="KJA369" s="286"/>
      <c r="KJB369" s="287"/>
      <c r="KJC369" s="296"/>
      <c r="KJD369" s="457"/>
      <c r="KJE369" s="664"/>
      <c r="KJF369" s="521"/>
      <c r="KJG369" s="362"/>
      <c r="KJH369" s="295"/>
      <c r="KJI369" s="656"/>
      <c r="KJJ369" s="286"/>
      <c r="KJK369" s="287"/>
      <c r="KJL369" s="296"/>
      <c r="KJM369" s="457"/>
      <c r="KJN369" s="664"/>
      <c r="KJO369" s="521"/>
      <c r="KJP369" s="362"/>
      <c r="KJQ369" s="295"/>
      <c r="KJR369" s="656"/>
      <c r="KJS369" s="286"/>
      <c r="KJT369" s="287"/>
      <c r="KJU369" s="296"/>
      <c r="KJV369" s="457"/>
      <c r="KJW369" s="664"/>
      <c r="KJX369" s="521"/>
      <c r="KJY369" s="362"/>
      <c r="KJZ369" s="295"/>
      <c r="KKA369" s="656"/>
      <c r="KKB369" s="286"/>
      <c r="KKC369" s="287"/>
      <c r="KKD369" s="296"/>
      <c r="KKE369" s="457"/>
      <c r="KKF369" s="664"/>
      <c r="KKG369" s="521"/>
      <c r="KKH369" s="362"/>
      <c r="KKI369" s="295"/>
      <c r="KKJ369" s="656"/>
      <c r="KKK369" s="286"/>
      <c r="KKL369" s="287"/>
      <c r="KKM369" s="296"/>
      <c r="KKN369" s="457"/>
      <c r="KKO369" s="664"/>
      <c r="KKP369" s="521"/>
      <c r="KKQ369" s="362"/>
      <c r="KKR369" s="295"/>
      <c r="KKS369" s="656"/>
      <c r="KKT369" s="286"/>
      <c r="KKU369" s="287"/>
      <c r="KKV369" s="296"/>
      <c r="KKW369" s="457"/>
      <c r="KKX369" s="664"/>
      <c r="KKY369" s="521"/>
      <c r="KKZ369" s="362"/>
      <c r="KLA369" s="295"/>
      <c r="KLB369" s="656"/>
      <c r="KLC369" s="286"/>
      <c r="KLD369" s="287"/>
      <c r="KLE369" s="296"/>
      <c r="KLF369" s="457"/>
      <c r="KLG369" s="664"/>
      <c r="KLH369" s="521"/>
      <c r="KLI369" s="362"/>
      <c r="KLJ369" s="295"/>
      <c r="KLK369" s="656"/>
      <c r="KLL369" s="286"/>
      <c r="KLM369" s="287"/>
      <c r="KLN369" s="296"/>
      <c r="KLO369" s="457"/>
      <c r="KLP369" s="664"/>
      <c r="KLQ369" s="521"/>
      <c r="KLR369" s="362"/>
      <c r="KLS369" s="295"/>
      <c r="KLT369" s="656"/>
      <c r="KLU369" s="286"/>
      <c r="KLV369" s="287"/>
      <c r="KLW369" s="296"/>
      <c r="KLX369" s="457"/>
      <c r="KLY369" s="664"/>
      <c r="KLZ369" s="521"/>
      <c r="KMA369" s="362"/>
      <c r="KMB369" s="295"/>
      <c r="KMC369" s="656"/>
      <c r="KMD369" s="286"/>
      <c r="KME369" s="287"/>
      <c r="KMF369" s="296"/>
      <c r="KMG369" s="457"/>
      <c r="KMH369" s="664"/>
      <c r="KMI369" s="521"/>
      <c r="KMJ369" s="362"/>
      <c r="KMK369" s="295"/>
      <c r="KML369" s="656"/>
      <c r="KMM369" s="286"/>
      <c r="KMN369" s="287"/>
      <c r="KMO369" s="296"/>
      <c r="KMP369" s="457"/>
      <c r="KMQ369" s="664"/>
      <c r="KMR369" s="521"/>
      <c r="KMS369" s="362"/>
      <c r="KMT369" s="295"/>
      <c r="KMU369" s="656"/>
      <c r="KMV369" s="286"/>
      <c r="KMW369" s="287"/>
      <c r="KMX369" s="296"/>
      <c r="KMY369" s="457"/>
      <c r="KMZ369" s="664"/>
      <c r="KNA369" s="521"/>
      <c r="KNB369" s="362"/>
      <c r="KNC369" s="295"/>
      <c r="KND369" s="656"/>
      <c r="KNE369" s="286"/>
      <c r="KNF369" s="287"/>
      <c r="KNG369" s="296"/>
      <c r="KNH369" s="457"/>
      <c r="KNI369" s="664"/>
      <c r="KNJ369" s="521"/>
      <c r="KNK369" s="362"/>
      <c r="KNL369" s="295"/>
      <c r="KNM369" s="656"/>
      <c r="KNN369" s="286"/>
      <c r="KNO369" s="287"/>
      <c r="KNP369" s="296"/>
      <c r="KNQ369" s="457"/>
      <c r="KNR369" s="664"/>
      <c r="KNS369" s="521"/>
      <c r="KNT369" s="362"/>
      <c r="KNU369" s="295"/>
      <c r="KNV369" s="656"/>
      <c r="KNW369" s="286"/>
      <c r="KNX369" s="287"/>
      <c r="KNY369" s="296"/>
      <c r="KNZ369" s="457"/>
      <c r="KOA369" s="664"/>
      <c r="KOB369" s="521"/>
      <c r="KOC369" s="362"/>
      <c r="KOD369" s="295"/>
      <c r="KOE369" s="656"/>
      <c r="KOF369" s="286"/>
      <c r="KOG369" s="287"/>
      <c r="KOH369" s="296"/>
      <c r="KOI369" s="457"/>
      <c r="KOJ369" s="664"/>
      <c r="KOK369" s="521"/>
      <c r="KOL369" s="362"/>
      <c r="KOM369" s="295"/>
      <c r="KON369" s="656"/>
      <c r="KOO369" s="286"/>
      <c r="KOP369" s="287"/>
      <c r="KOQ369" s="296"/>
      <c r="KOR369" s="457"/>
      <c r="KOS369" s="664"/>
      <c r="KOT369" s="521"/>
      <c r="KOU369" s="362"/>
      <c r="KOV369" s="295"/>
      <c r="KOW369" s="656"/>
      <c r="KOX369" s="286"/>
      <c r="KOY369" s="287"/>
      <c r="KOZ369" s="296"/>
      <c r="KPA369" s="457"/>
      <c r="KPB369" s="664"/>
      <c r="KPC369" s="521"/>
      <c r="KPD369" s="362"/>
      <c r="KPE369" s="295"/>
      <c r="KPF369" s="656"/>
      <c r="KPG369" s="286"/>
      <c r="KPH369" s="287"/>
      <c r="KPI369" s="296"/>
      <c r="KPJ369" s="457"/>
      <c r="KPK369" s="664"/>
      <c r="KPL369" s="521"/>
      <c r="KPM369" s="362"/>
      <c r="KPN369" s="295"/>
      <c r="KPO369" s="656"/>
      <c r="KPP369" s="286"/>
      <c r="KPQ369" s="287"/>
      <c r="KPR369" s="296"/>
      <c r="KPS369" s="457"/>
      <c r="KPT369" s="664"/>
      <c r="KPU369" s="521"/>
      <c r="KPV369" s="362"/>
      <c r="KPW369" s="295"/>
      <c r="KPX369" s="656"/>
      <c r="KPY369" s="286"/>
      <c r="KPZ369" s="287"/>
      <c r="KQA369" s="296"/>
      <c r="KQB369" s="457"/>
      <c r="KQC369" s="664"/>
      <c r="KQD369" s="521"/>
      <c r="KQE369" s="362"/>
      <c r="KQF369" s="295"/>
      <c r="KQG369" s="656"/>
      <c r="KQH369" s="286"/>
      <c r="KQI369" s="287"/>
      <c r="KQJ369" s="296"/>
      <c r="KQK369" s="457"/>
      <c r="KQL369" s="664"/>
      <c r="KQM369" s="521"/>
      <c r="KQN369" s="362"/>
      <c r="KQO369" s="295"/>
      <c r="KQP369" s="656"/>
      <c r="KQQ369" s="286"/>
      <c r="KQR369" s="287"/>
      <c r="KQS369" s="296"/>
      <c r="KQT369" s="457"/>
      <c r="KQU369" s="664"/>
      <c r="KQV369" s="521"/>
      <c r="KQW369" s="362"/>
      <c r="KQX369" s="295"/>
      <c r="KQY369" s="656"/>
      <c r="KQZ369" s="286"/>
      <c r="KRA369" s="287"/>
      <c r="KRB369" s="296"/>
      <c r="KRC369" s="457"/>
      <c r="KRD369" s="664"/>
      <c r="KRE369" s="521"/>
      <c r="KRF369" s="362"/>
      <c r="KRG369" s="295"/>
      <c r="KRH369" s="656"/>
      <c r="KRI369" s="286"/>
      <c r="KRJ369" s="287"/>
      <c r="KRK369" s="296"/>
      <c r="KRL369" s="457"/>
      <c r="KRM369" s="664"/>
      <c r="KRN369" s="521"/>
      <c r="KRO369" s="362"/>
      <c r="KRP369" s="295"/>
      <c r="KRQ369" s="656"/>
      <c r="KRR369" s="286"/>
      <c r="KRS369" s="287"/>
      <c r="KRT369" s="296"/>
      <c r="KRU369" s="457"/>
      <c r="KRV369" s="664"/>
      <c r="KRW369" s="521"/>
      <c r="KRX369" s="362"/>
      <c r="KRY369" s="295"/>
      <c r="KRZ369" s="656"/>
      <c r="KSA369" s="286"/>
      <c r="KSB369" s="287"/>
      <c r="KSC369" s="296"/>
      <c r="KSD369" s="457"/>
      <c r="KSE369" s="664"/>
      <c r="KSF369" s="521"/>
      <c r="KSG369" s="362"/>
      <c r="KSH369" s="295"/>
      <c r="KSI369" s="656"/>
      <c r="KSJ369" s="286"/>
      <c r="KSK369" s="287"/>
      <c r="KSL369" s="296"/>
      <c r="KSM369" s="457"/>
      <c r="KSN369" s="664"/>
      <c r="KSO369" s="521"/>
      <c r="KSP369" s="362"/>
      <c r="KSQ369" s="295"/>
      <c r="KSR369" s="656"/>
      <c r="KSS369" s="286"/>
      <c r="KST369" s="287"/>
      <c r="KSU369" s="296"/>
      <c r="KSV369" s="457"/>
      <c r="KSW369" s="664"/>
      <c r="KSX369" s="521"/>
      <c r="KSY369" s="362"/>
      <c r="KSZ369" s="295"/>
      <c r="KTA369" s="656"/>
      <c r="KTB369" s="286"/>
      <c r="KTC369" s="287"/>
      <c r="KTD369" s="296"/>
      <c r="KTE369" s="457"/>
      <c r="KTF369" s="664"/>
      <c r="KTG369" s="521"/>
      <c r="KTH369" s="362"/>
      <c r="KTI369" s="295"/>
      <c r="KTJ369" s="656"/>
      <c r="KTK369" s="286"/>
      <c r="KTL369" s="287"/>
      <c r="KTM369" s="296"/>
      <c r="KTN369" s="457"/>
      <c r="KTO369" s="664"/>
      <c r="KTP369" s="521"/>
      <c r="KTQ369" s="362"/>
      <c r="KTR369" s="295"/>
      <c r="KTS369" s="656"/>
      <c r="KTT369" s="286"/>
      <c r="KTU369" s="287"/>
      <c r="KTV369" s="296"/>
      <c r="KTW369" s="457"/>
      <c r="KTX369" s="664"/>
      <c r="KTY369" s="521"/>
      <c r="KTZ369" s="362"/>
      <c r="KUA369" s="295"/>
      <c r="KUB369" s="656"/>
      <c r="KUC369" s="286"/>
      <c r="KUD369" s="287"/>
      <c r="KUE369" s="296"/>
      <c r="KUF369" s="457"/>
      <c r="KUG369" s="664"/>
      <c r="KUH369" s="521"/>
      <c r="KUI369" s="362"/>
      <c r="KUJ369" s="295"/>
      <c r="KUK369" s="656"/>
      <c r="KUL369" s="286"/>
      <c r="KUM369" s="287"/>
      <c r="KUN369" s="296"/>
      <c r="KUO369" s="457"/>
      <c r="KUP369" s="664"/>
      <c r="KUQ369" s="521"/>
      <c r="KUR369" s="362"/>
      <c r="KUS369" s="295"/>
      <c r="KUT369" s="656"/>
      <c r="KUU369" s="286"/>
      <c r="KUV369" s="287"/>
      <c r="KUW369" s="296"/>
      <c r="KUX369" s="457"/>
      <c r="KUY369" s="664"/>
      <c r="KUZ369" s="521"/>
      <c r="KVA369" s="362"/>
      <c r="KVB369" s="295"/>
      <c r="KVC369" s="656"/>
      <c r="KVD369" s="286"/>
      <c r="KVE369" s="287"/>
      <c r="KVF369" s="296"/>
      <c r="KVG369" s="457"/>
      <c r="KVH369" s="664"/>
      <c r="KVI369" s="521"/>
      <c r="KVJ369" s="362"/>
      <c r="KVK369" s="295"/>
      <c r="KVL369" s="656"/>
      <c r="KVM369" s="286"/>
      <c r="KVN369" s="287"/>
      <c r="KVO369" s="296"/>
      <c r="KVP369" s="457"/>
      <c r="KVQ369" s="664"/>
      <c r="KVR369" s="521"/>
      <c r="KVS369" s="362"/>
      <c r="KVT369" s="295"/>
      <c r="KVU369" s="656"/>
      <c r="KVV369" s="286"/>
      <c r="KVW369" s="287"/>
      <c r="KVX369" s="296"/>
      <c r="KVY369" s="457"/>
      <c r="KVZ369" s="664"/>
      <c r="KWA369" s="521"/>
      <c r="KWB369" s="362"/>
      <c r="KWC369" s="295"/>
      <c r="KWD369" s="656"/>
      <c r="KWE369" s="286"/>
      <c r="KWF369" s="287"/>
      <c r="KWG369" s="296"/>
      <c r="KWH369" s="457"/>
      <c r="KWI369" s="664"/>
      <c r="KWJ369" s="521"/>
      <c r="KWK369" s="362"/>
      <c r="KWL369" s="295"/>
      <c r="KWM369" s="656"/>
      <c r="KWN369" s="286"/>
      <c r="KWO369" s="287"/>
      <c r="KWP369" s="296"/>
      <c r="KWQ369" s="457"/>
      <c r="KWR369" s="664"/>
      <c r="KWS369" s="521"/>
      <c r="KWT369" s="362"/>
      <c r="KWU369" s="295"/>
      <c r="KWV369" s="656"/>
      <c r="KWW369" s="286"/>
      <c r="KWX369" s="287"/>
      <c r="KWY369" s="296"/>
      <c r="KWZ369" s="457"/>
      <c r="KXA369" s="664"/>
      <c r="KXB369" s="521"/>
      <c r="KXC369" s="362"/>
      <c r="KXD369" s="295"/>
      <c r="KXE369" s="656"/>
      <c r="KXF369" s="286"/>
      <c r="KXG369" s="287"/>
      <c r="KXH369" s="296"/>
      <c r="KXI369" s="457"/>
      <c r="KXJ369" s="664"/>
      <c r="KXK369" s="521"/>
      <c r="KXL369" s="362"/>
      <c r="KXM369" s="295"/>
      <c r="KXN369" s="656"/>
      <c r="KXO369" s="286"/>
      <c r="KXP369" s="287"/>
      <c r="KXQ369" s="296"/>
      <c r="KXR369" s="457"/>
      <c r="KXS369" s="664"/>
      <c r="KXT369" s="521"/>
      <c r="KXU369" s="362"/>
      <c r="KXV369" s="295"/>
      <c r="KXW369" s="656"/>
      <c r="KXX369" s="286"/>
      <c r="KXY369" s="287"/>
      <c r="KXZ369" s="296"/>
      <c r="KYA369" s="457"/>
      <c r="KYB369" s="664"/>
      <c r="KYC369" s="521"/>
      <c r="KYD369" s="362"/>
      <c r="KYE369" s="295"/>
      <c r="KYF369" s="656"/>
      <c r="KYG369" s="286"/>
      <c r="KYH369" s="287"/>
      <c r="KYI369" s="296"/>
      <c r="KYJ369" s="457"/>
      <c r="KYK369" s="664"/>
      <c r="KYL369" s="521"/>
      <c r="KYM369" s="362"/>
      <c r="KYN369" s="295"/>
      <c r="KYO369" s="656"/>
      <c r="KYP369" s="286"/>
      <c r="KYQ369" s="287"/>
      <c r="KYR369" s="296"/>
      <c r="KYS369" s="457"/>
      <c r="KYT369" s="664"/>
      <c r="KYU369" s="521"/>
      <c r="KYV369" s="362"/>
      <c r="KYW369" s="295"/>
      <c r="KYX369" s="656"/>
      <c r="KYY369" s="286"/>
      <c r="KYZ369" s="287"/>
      <c r="KZA369" s="296"/>
      <c r="KZB369" s="457"/>
      <c r="KZC369" s="664"/>
      <c r="KZD369" s="521"/>
      <c r="KZE369" s="362"/>
      <c r="KZF369" s="295"/>
      <c r="KZG369" s="656"/>
      <c r="KZH369" s="286"/>
      <c r="KZI369" s="287"/>
      <c r="KZJ369" s="296"/>
      <c r="KZK369" s="457"/>
      <c r="KZL369" s="664"/>
      <c r="KZM369" s="521"/>
      <c r="KZN369" s="362"/>
      <c r="KZO369" s="295"/>
      <c r="KZP369" s="656"/>
      <c r="KZQ369" s="286"/>
      <c r="KZR369" s="287"/>
      <c r="KZS369" s="296"/>
      <c r="KZT369" s="457"/>
      <c r="KZU369" s="664"/>
      <c r="KZV369" s="521"/>
      <c r="KZW369" s="362"/>
      <c r="KZX369" s="295"/>
      <c r="KZY369" s="656"/>
      <c r="KZZ369" s="286"/>
      <c r="LAA369" s="287"/>
      <c r="LAB369" s="296"/>
      <c r="LAC369" s="457"/>
      <c r="LAD369" s="664"/>
      <c r="LAE369" s="521"/>
      <c r="LAF369" s="362"/>
      <c r="LAG369" s="295"/>
      <c r="LAH369" s="656"/>
      <c r="LAI369" s="286"/>
      <c r="LAJ369" s="287"/>
      <c r="LAK369" s="296"/>
      <c r="LAL369" s="457"/>
      <c r="LAM369" s="664"/>
      <c r="LAN369" s="521"/>
      <c r="LAO369" s="362"/>
      <c r="LAP369" s="295"/>
      <c r="LAQ369" s="656"/>
      <c r="LAR369" s="286"/>
      <c r="LAS369" s="287"/>
      <c r="LAT369" s="296"/>
      <c r="LAU369" s="457"/>
      <c r="LAV369" s="664"/>
      <c r="LAW369" s="521"/>
      <c r="LAX369" s="362"/>
      <c r="LAY369" s="295"/>
      <c r="LAZ369" s="656"/>
      <c r="LBA369" s="286"/>
      <c r="LBB369" s="287"/>
      <c r="LBC369" s="296"/>
      <c r="LBD369" s="457"/>
      <c r="LBE369" s="664"/>
      <c r="LBF369" s="521"/>
      <c r="LBG369" s="362"/>
      <c r="LBH369" s="295"/>
      <c r="LBI369" s="656"/>
      <c r="LBJ369" s="286"/>
      <c r="LBK369" s="287"/>
      <c r="LBL369" s="296"/>
      <c r="LBM369" s="457"/>
      <c r="LBN369" s="664"/>
      <c r="LBO369" s="521"/>
      <c r="LBP369" s="362"/>
      <c r="LBQ369" s="295"/>
      <c r="LBR369" s="656"/>
      <c r="LBS369" s="286"/>
      <c r="LBT369" s="287"/>
      <c r="LBU369" s="296"/>
      <c r="LBV369" s="457"/>
      <c r="LBW369" s="664"/>
      <c r="LBX369" s="521"/>
      <c r="LBY369" s="362"/>
      <c r="LBZ369" s="295"/>
      <c r="LCA369" s="656"/>
      <c r="LCB369" s="286"/>
      <c r="LCC369" s="287"/>
      <c r="LCD369" s="296"/>
      <c r="LCE369" s="457"/>
      <c r="LCF369" s="664"/>
      <c r="LCG369" s="521"/>
      <c r="LCH369" s="362"/>
      <c r="LCI369" s="295"/>
      <c r="LCJ369" s="656"/>
      <c r="LCK369" s="286"/>
      <c r="LCL369" s="287"/>
      <c r="LCM369" s="296"/>
      <c r="LCN369" s="457"/>
      <c r="LCO369" s="664"/>
      <c r="LCP369" s="521"/>
      <c r="LCQ369" s="362"/>
      <c r="LCR369" s="295"/>
      <c r="LCS369" s="656"/>
      <c r="LCT369" s="286"/>
      <c r="LCU369" s="287"/>
      <c r="LCV369" s="296"/>
      <c r="LCW369" s="457"/>
      <c r="LCX369" s="664"/>
      <c r="LCY369" s="521"/>
      <c r="LCZ369" s="362"/>
      <c r="LDA369" s="295"/>
      <c r="LDB369" s="656"/>
      <c r="LDC369" s="286"/>
      <c r="LDD369" s="287"/>
      <c r="LDE369" s="296"/>
      <c r="LDF369" s="457"/>
      <c r="LDG369" s="664"/>
      <c r="LDH369" s="521"/>
      <c r="LDI369" s="362"/>
      <c r="LDJ369" s="295"/>
      <c r="LDK369" s="656"/>
      <c r="LDL369" s="286"/>
      <c r="LDM369" s="287"/>
      <c r="LDN369" s="296"/>
      <c r="LDO369" s="457"/>
      <c r="LDP369" s="664"/>
      <c r="LDQ369" s="521"/>
      <c r="LDR369" s="362"/>
      <c r="LDS369" s="295"/>
      <c r="LDT369" s="656"/>
      <c r="LDU369" s="286"/>
      <c r="LDV369" s="287"/>
      <c r="LDW369" s="296"/>
      <c r="LDX369" s="457"/>
      <c r="LDY369" s="664"/>
      <c r="LDZ369" s="521"/>
      <c r="LEA369" s="362"/>
      <c r="LEB369" s="295"/>
      <c r="LEC369" s="656"/>
      <c r="LED369" s="286"/>
      <c r="LEE369" s="287"/>
      <c r="LEF369" s="296"/>
      <c r="LEG369" s="457"/>
      <c r="LEH369" s="664"/>
      <c r="LEI369" s="521"/>
      <c r="LEJ369" s="362"/>
      <c r="LEK369" s="295"/>
      <c r="LEL369" s="656"/>
      <c r="LEM369" s="286"/>
      <c r="LEN369" s="287"/>
      <c r="LEO369" s="296"/>
      <c r="LEP369" s="457"/>
      <c r="LEQ369" s="664"/>
      <c r="LER369" s="521"/>
      <c r="LES369" s="362"/>
      <c r="LET369" s="295"/>
      <c r="LEU369" s="656"/>
      <c r="LEV369" s="286"/>
      <c r="LEW369" s="287"/>
      <c r="LEX369" s="296"/>
      <c r="LEY369" s="457"/>
      <c r="LEZ369" s="664"/>
      <c r="LFA369" s="521"/>
      <c r="LFB369" s="362"/>
      <c r="LFC369" s="295"/>
      <c r="LFD369" s="656"/>
      <c r="LFE369" s="286"/>
      <c r="LFF369" s="287"/>
      <c r="LFG369" s="296"/>
      <c r="LFH369" s="457"/>
      <c r="LFI369" s="664"/>
      <c r="LFJ369" s="521"/>
      <c r="LFK369" s="362"/>
      <c r="LFL369" s="295"/>
      <c r="LFM369" s="656"/>
      <c r="LFN369" s="286"/>
      <c r="LFO369" s="287"/>
      <c r="LFP369" s="296"/>
      <c r="LFQ369" s="457"/>
      <c r="LFR369" s="664"/>
      <c r="LFS369" s="521"/>
      <c r="LFT369" s="362"/>
      <c r="LFU369" s="295"/>
      <c r="LFV369" s="656"/>
      <c r="LFW369" s="286"/>
      <c r="LFX369" s="287"/>
      <c r="LFY369" s="296"/>
      <c r="LFZ369" s="457"/>
      <c r="LGA369" s="664"/>
      <c r="LGB369" s="521"/>
      <c r="LGC369" s="362"/>
      <c r="LGD369" s="295"/>
      <c r="LGE369" s="656"/>
      <c r="LGF369" s="286"/>
      <c r="LGG369" s="287"/>
      <c r="LGH369" s="296"/>
      <c r="LGI369" s="457"/>
      <c r="LGJ369" s="664"/>
      <c r="LGK369" s="521"/>
      <c r="LGL369" s="362"/>
      <c r="LGM369" s="295"/>
      <c r="LGN369" s="656"/>
      <c r="LGO369" s="286"/>
      <c r="LGP369" s="287"/>
      <c r="LGQ369" s="296"/>
      <c r="LGR369" s="457"/>
      <c r="LGS369" s="664"/>
      <c r="LGT369" s="521"/>
      <c r="LGU369" s="362"/>
      <c r="LGV369" s="295"/>
      <c r="LGW369" s="656"/>
      <c r="LGX369" s="286"/>
      <c r="LGY369" s="287"/>
      <c r="LGZ369" s="296"/>
      <c r="LHA369" s="457"/>
      <c r="LHB369" s="664"/>
      <c r="LHC369" s="521"/>
      <c r="LHD369" s="362"/>
      <c r="LHE369" s="295"/>
      <c r="LHF369" s="656"/>
      <c r="LHG369" s="286"/>
      <c r="LHH369" s="287"/>
      <c r="LHI369" s="296"/>
      <c r="LHJ369" s="457"/>
      <c r="LHK369" s="664"/>
      <c r="LHL369" s="521"/>
      <c r="LHM369" s="362"/>
      <c r="LHN369" s="295"/>
      <c r="LHO369" s="656"/>
      <c r="LHP369" s="286"/>
      <c r="LHQ369" s="287"/>
      <c r="LHR369" s="296"/>
      <c r="LHS369" s="457"/>
      <c r="LHT369" s="664"/>
      <c r="LHU369" s="521"/>
      <c r="LHV369" s="362"/>
      <c r="LHW369" s="295"/>
      <c r="LHX369" s="656"/>
      <c r="LHY369" s="286"/>
      <c r="LHZ369" s="287"/>
      <c r="LIA369" s="296"/>
      <c r="LIB369" s="457"/>
      <c r="LIC369" s="664"/>
      <c r="LID369" s="521"/>
      <c r="LIE369" s="362"/>
      <c r="LIF369" s="295"/>
      <c r="LIG369" s="656"/>
      <c r="LIH369" s="286"/>
      <c r="LII369" s="287"/>
      <c r="LIJ369" s="296"/>
      <c r="LIK369" s="457"/>
      <c r="LIL369" s="664"/>
      <c r="LIM369" s="521"/>
      <c r="LIN369" s="362"/>
      <c r="LIO369" s="295"/>
      <c r="LIP369" s="656"/>
      <c r="LIQ369" s="286"/>
      <c r="LIR369" s="287"/>
      <c r="LIS369" s="296"/>
      <c r="LIT369" s="457"/>
      <c r="LIU369" s="664"/>
      <c r="LIV369" s="521"/>
      <c r="LIW369" s="362"/>
      <c r="LIX369" s="295"/>
      <c r="LIY369" s="656"/>
      <c r="LIZ369" s="286"/>
      <c r="LJA369" s="287"/>
      <c r="LJB369" s="296"/>
      <c r="LJC369" s="457"/>
      <c r="LJD369" s="664"/>
      <c r="LJE369" s="521"/>
      <c r="LJF369" s="362"/>
      <c r="LJG369" s="295"/>
      <c r="LJH369" s="656"/>
      <c r="LJI369" s="286"/>
      <c r="LJJ369" s="287"/>
      <c r="LJK369" s="296"/>
      <c r="LJL369" s="457"/>
      <c r="LJM369" s="664"/>
      <c r="LJN369" s="521"/>
      <c r="LJO369" s="362"/>
      <c r="LJP369" s="295"/>
      <c r="LJQ369" s="656"/>
      <c r="LJR369" s="286"/>
      <c r="LJS369" s="287"/>
      <c r="LJT369" s="296"/>
      <c r="LJU369" s="457"/>
      <c r="LJV369" s="664"/>
      <c r="LJW369" s="521"/>
      <c r="LJX369" s="362"/>
      <c r="LJY369" s="295"/>
      <c r="LJZ369" s="656"/>
      <c r="LKA369" s="286"/>
      <c r="LKB369" s="287"/>
      <c r="LKC369" s="296"/>
      <c r="LKD369" s="457"/>
      <c r="LKE369" s="664"/>
      <c r="LKF369" s="521"/>
      <c r="LKG369" s="362"/>
      <c r="LKH369" s="295"/>
      <c r="LKI369" s="656"/>
      <c r="LKJ369" s="286"/>
      <c r="LKK369" s="287"/>
      <c r="LKL369" s="296"/>
      <c r="LKM369" s="457"/>
      <c r="LKN369" s="664"/>
      <c r="LKO369" s="521"/>
      <c r="LKP369" s="362"/>
      <c r="LKQ369" s="295"/>
      <c r="LKR369" s="656"/>
      <c r="LKS369" s="286"/>
      <c r="LKT369" s="287"/>
      <c r="LKU369" s="296"/>
      <c r="LKV369" s="457"/>
      <c r="LKW369" s="664"/>
      <c r="LKX369" s="521"/>
      <c r="LKY369" s="362"/>
      <c r="LKZ369" s="295"/>
      <c r="LLA369" s="656"/>
      <c r="LLB369" s="286"/>
      <c r="LLC369" s="287"/>
      <c r="LLD369" s="296"/>
      <c r="LLE369" s="457"/>
      <c r="LLF369" s="664"/>
      <c r="LLG369" s="521"/>
      <c r="LLH369" s="362"/>
      <c r="LLI369" s="295"/>
      <c r="LLJ369" s="656"/>
      <c r="LLK369" s="286"/>
      <c r="LLL369" s="287"/>
      <c r="LLM369" s="296"/>
      <c r="LLN369" s="457"/>
      <c r="LLO369" s="664"/>
      <c r="LLP369" s="521"/>
      <c r="LLQ369" s="362"/>
      <c r="LLR369" s="295"/>
      <c r="LLS369" s="656"/>
      <c r="LLT369" s="286"/>
      <c r="LLU369" s="287"/>
      <c r="LLV369" s="296"/>
      <c r="LLW369" s="457"/>
      <c r="LLX369" s="664"/>
      <c r="LLY369" s="521"/>
      <c r="LLZ369" s="362"/>
      <c r="LMA369" s="295"/>
      <c r="LMB369" s="656"/>
      <c r="LMC369" s="286"/>
      <c r="LMD369" s="287"/>
      <c r="LME369" s="296"/>
      <c r="LMF369" s="457"/>
      <c r="LMG369" s="664"/>
      <c r="LMH369" s="521"/>
      <c r="LMI369" s="362"/>
      <c r="LMJ369" s="295"/>
      <c r="LMK369" s="656"/>
      <c r="LML369" s="286"/>
      <c r="LMM369" s="287"/>
      <c r="LMN369" s="296"/>
      <c r="LMO369" s="457"/>
      <c r="LMP369" s="664"/>
      <c r="LMQ369" s="521"/>
      <c r="LMR369" s="362"/>
      <c r="LMS369" s="295"/>
      <c r="LMT369" s="656"/>
      <c r="LMU369" s="286"/>
      <c r="LMV369" s="287"/>
      <c r="LMW369" s="296"/>
      <c r="LMX369" s="457"/>
      <c r="LMY369" s="664"/>
      <c r="LMZ369" s="521"/>
      <c r="LNA369" s="362"/>
      <c r="LNB369" s="295"/>
      <c r="LNC369" s="656"/>
      <c r="LND369" s="286"/>
      <c r="LNE369" s="287"/>
      <c r="LNF369" s="296"/>
      <c r="LNG369" s="457"/>
      <c r="LNH369" s="664"/>
      <c r="LNI369" s="521"/>
      <c r="LNJ369" s="362"/>
      <c r="LNK369" s="295"/>
      <c r="LNL369" s="656"/>
      <c r="LNM369" s="286"/>
      <c r="LNN369" s="287"/>
      <c r="LNO369" s="296"/>
      <c r="LNP369" s="457"/>
      <c r="LNQ369" s="664"/>
      <c r="LNR369" s="521"/>
      <c r="LNS369" s="362"/>
      <c r="LNT369" s="295"/>
      <c r="LNU369" s="656"/>
      <c r="LNV369" s="286"/>
      <c r="LNW369" s="287"/>
      <c r="LNX369" s="296"/>
      <c r="LNY369" s="457"/>
      <c r="LNZ369" s="664"/>
      <c r="LOA369" s="521"/>
      <c r="LOB369" s="362"/>
      <c r="LOC369" s="295"/>
      <c r="LOD369" s="656"/>
      <c r="LOE369" s="286"/>
      <c r="LOF369" s="287"/>
      <c r="LOG369" s="296"/>
      <c r="LOH369" s="457"/>
      <c r="LOI369" s="664"/>
      <c r="LOJ369" s="521"/>
      <c r="LOK369" s="362"/>
      <c r="LOL369" s="295"/>
      <c r="LOM369" s="656"/>
      <c r="LON369" s="286"/>
      <c r="LOO369" s="287"/>
      <c r="LOP369" s="296"/>
      <c r="LOQ369" s="457"/>
      <c r="LOR369" s="664"/>
      <c r="LOS369" s="521"/>
      <c r="LOT369" s="362"/>
      <c r="LOU369" s="295"/>
      <c r="LOV369" s="656"/>
      <c r="LOW369" s="286"/>
      <c r="LOX369" s="287"/>
      <c r="LOY369" s="296"/>
      <c r="LOZ369" s="457"/>
      <c r="LPA369" s="664"/>
      <c r="LPB369" s="521"/>
      <c r="LPC369" s="362"/>
      <c r="LPD369" s="295"/>
      <c r="LPE369" s="656"/>
      <c r="LPF369" s="286"/>
      <c r="LPG369" s="287"/>
      <c r="LPH369" s="296"/>
      <c r="LPI369" s="457"/>
      <c r="LPJ369" s="664"/>
      <c r="LPK369" s="521"/>
      <c r="LPL369" s="362"/>
      <c r="LPM369" s="295"/>
      <c r="LPN369" s="656"/>
      <c r="LPO369" s="286"/>
      <c r="LPP369" s="287"/>
      <c r="LPQ369" s="296"/>
      <c r="LPR369" s="457"/>
      <c r="LPS369" s="664"/>
      <c r="LPT369" s="521"/>
      <c r="LPU369" s="362"/>
      <c r="LPV369" s="295"/>
      <c r="LPW369" s="656"/>
      <c r="LPX369" s="286"/>
      <c r="LPY369" s="287"/>
      <c r="LPZ369" s="296"/>
      <c r="LQA369" s="457"/>
      <c r="LQB369" s="664"/>
      <c r="LQC369" s="521"/>
      <c r="LQD369" s="362"/>
      <c r="LQE369" s="295"/>
      <c r="LQF369" s="656"/>
      <c r="LQG369" s="286"/>
      <c r="LQH369" s="287"/>
      <c r="LQI369" s="296"/>
      <c r="LQJ369" s="457"/>
      <c r="LQK369" s="664"/>
      <c r="LQL369" s="521"/>
      <c r="LQM369" s="362"/>
      <c r="LQN369" s="295"/>
      <c r="LQO369" s="656"/>
      <c r="LQP369" s="286"/>
      <c r="LQQ369" s="287"/>
      <c r="LQR369" s="296"/>
      <c r="LQS369" s="457"/>
      <c r="LQT369" s="664"/>
      <c r="LQU369" s="521"/>
      <c r="LQV369" s="362"/>
      <c r="LQW369" s="295"/>
      <c r="LQX369" s="656"/>
      <c r="LQY369" s="286"/>
      <c r="LQZ369" s="287"/>
      <c r="LRA369" s="296"/>
      <c r="LRB369" s="457"/>
      <c r="LRC369" s="664"/>
      <c r="LRD369" s="521"/>
      <c r="LRE369" s="362"/>
      <c r="LRF369" s="295"/>
      <c r="LRG369" s="656"/>
      <c r="LRH369" s="286"/>
      <c r="LRI369" s="287"/>
      <c r="LRJ369" s="296"/>
      <c r="LRK369" s="457"/>
      <c r="LRL369" s="664"/>
      <c r="LRM369" s="521"/>
      <c r="LRN369" s="362"/>
      <c r="LRO369" s="295"/>
      <c r="LRP369" s="656"/>
      <c r="LRQ369" s="286"/>
      <c r="LRR369" s="287"/>
      <c r="LRS369" s="296"/>
      <c r="LRT369" s="457"/>
      <c r="LRU369" s="664"/>
      <c r="LRV369" s="521"/>
      <c r="LRW369" s="362"/>
      <c r="LRX369" s="295"/>
      <c r="LRY369" s="656"/>
      <c r="LRZ369" s="286"/>
      <c r="LSA369" s="287"/>
      <c r="LSB369" s="296"/>
      <c r="LSC369" s="457"/>
      <c r="LSD369" s="664"/>
      <c r="LSE369" s="521"/>
      <c r="LSF369" s="362"/>
      <c r="LSG369" s="295"/>
      <c r="LSH369" s="656"/>
      <c r="LSI369" s="286"/>
      <c r="LSJ369" s="287"/>
      <c r="LSK369" s="296"/>
      <c r="LSL369" s="457"/>
      <c r="LSM369" s="664"/>
      <c r="LSN369" s="521"/>
      <c r="LSO369" s="362"/>
      <c r="LSP369" s="295"/>
      <c r="LSQ369" s="656"/>
      <c r="LSR369" s="286"/>
      <c r="LSS369" s="287"/>
      <c r="LST369" s="296"/>
      <c r="LSU369" s="457"/>
      <c r="LSV369" s="664"/>
      <c r="LSW369" s="521"/>
      <c r="LSX369" s="362"/>
      <c r="LSY369" s="295"/>
      <c r="LSZ369" s="656"/>
      <c r="LTA369" s="286"/>
      <c r="LTB369" s="287"/>
      <c r="LTC369" s="296"/>
      <c r="LTD369" s="457"/>
      <c r="LTE369" s="664"/>
      <c r="LTF369" s="521"/>
      <c r="LTG369" s="362"/>
      <c r="LTH369" s="295"/>
      <c r="LTI369" s="656"/>
      <c r="LTJ369" s="286"/>
      <c r="LTK369" s="287"/>
      <c r="LTL369" s="296"/>
      <c r="LTM369" s="457"/>
      <c r="LTN369" s="664"/>
      <c r="LTO369" s="521"/>
      <c r="LTP369" s="362"/>
      <c r="LTQ369" s="295"/>
      <c r="LTR369" s="656"/>
      <c r="LTS369" s="286"/>
      <c r="LTT369" s="287"/>
      <c r="LTU369" s="296"/>
      <c r="LTV369" s="457"/>
      <c r="LTW369" s="664"/>
      <c r="LTX369" s="521"/>
      <c r="LTY369" s="362"/>
      <c r="LTZ369" s="295"/>
      <c r="LUA369" s="656"/>
      <c r="LUB369" s="286"/>
      <c r="LUC369" s="287"/>
      <c r="LUD369" s="296"/>
      <c r="LUE369" s="457"/>
      <c r="LUF369" s="664"/>
      <c r="LUG369" s="521"/>
      <c r="LUH369" s="362"/>
      <c r="LUI369" s="295"/>
      <c r="LUJ369" s="656"/>
      <c r="LUK369" s="286"/>
      <c r="LUL369" s="287"/>
      <c r="LUM369" s="296"/>
      <c r="LUN369" s="457"/>
      <c r="LUO369" s="664"/>
      <c r="LUP369" s="521"/>
      <c r="LUQ369" s="362"/>
      <c r="LUR369" s="295"/>
      <c r="LUS369" s="656"/>
      <c r="LUT369" s="286"/>
      <c r="LUU369" s="287"/>
      <c r="LUV369" s="296"/>
      <c r="LUW369" s="457"/>
      <c r="LUX369" s="664"/>
      <c r="LUY369" s="521"/>
      <c r="LUZ369" s="362"/>
      <c r="LVA369" s="295"/>
      <c r="LVB369" s="656"/>
      <c r="LVC369" s="286"/>
      <c r="LVD369" s="287"/>
      <c r="LVE369" s="296"/>
      <c r="LVF369" s="457"/>
      <c r="LVG369" s="664"/>
      <c r="LVH369" s="521"/>
      <c r="LVI369" s="362"/>
      <c r="LVJ369" s="295"/>
      <c r="LVK369" s="656"/>
      <c r="LVL369" s="286"/>
      <c r="LVM369" s="287"/>
      <c r="LVN369" s="296"/>
      <c r="LVO369" s="457"/>
      <c r="LVP369" s="664"/>
      <c r="LVQ369" s="521"/>
      <c r="LVR369" s="362"/>
      <c r="LVS369" s="295"/>
      <c r="LVT369" s="656"/>
      <c r="LVU369" s="286"/>
      <c r="LVV369" s="287"/>
      <c r="LVW369" s="296"/>
      <c r="LVX369" s="457"/>
      <c r="LVY369" s="664"/>
      <c r="LVZ369" s="521"/>
      <c r="LWA369" s="362"/>
      <c r="LWB369" s="295"/>
      <c r="LWC369" s="656"/>
      <c r="LWD369" s="286"/>
      <c r="LWE369" s="287"/>
      <c r="LWF369" s="296"/>
      <c r="LWG369" s="457"/>
      <c r="LWH369" s="664"/>
      <c r="LWI369" s="521"/>
      <c r="LWJ369" s="362"/>
      <c r="LWK369" s="295"/>
      <c r="LWL369" s="656"/>
      <c r="LWM369" s="286"/>
      <c r="LWN369" s="287"/>
      <c r="LWO369" s="296"/>
      <c r="LWP369" s="457"/>
      <c r="LWQ369" s="664"/>
      <c r="LWR369" s="521"/>
      <c r="LWS369" s="362"/>
      <c r="LWT369" s="295"/>
      <c r="LWU369" s="656"/>
      <c r="LWV369" s="286"/>
      <c r="LWW369" s="287"/>
      <c r="LWX369" s="296"/>
      <c r="LWY369" s="457"/>
      <c r="LWZ369" s="664"/>
      <c r="LXA369" s="521"/>
      <c r="LXB369" s="362"/>
      <c r="LXC369" s="295"/>
      <c r="LXD369" s="656"/>
      <c r="LXE369" s="286"/>
      <c r="LXF369" s="287"/>
      <c r="LXG369" s="296"/>
      <c r="LXH369" s="457"/>
      <c r="LXI369" s="664"/>
      <c r="LXJ369" s="521"/>
      <c r="LXK369" s="362"/>
      <c r="LXL369" s="295"/>
      <c r="LXM369" s="656"/>
      <c r="LXN369" s="286"/>
      <c r="LXO369" s="287"/>
      <c r="LXP369" s="296"/>
      <c r="LXQ369" s="457"/>
      <c r="LXR369" s="664"/>
      <c r="LXS369" s="521"/>
      <c r="LXT369" s="362"/>
      <c r="LXU369" s="295"/>
      <c r="LXV369" s="656"/>
      <c r="LXW369" s="286"/>
      <c r="LXX369" s="287"/>
      <c r="LXY369" s="296"/>
      <c r="LXZ369" s="457"/>
      <c r="LYA369" s="664"/>
      <c r="LYB369" s="521"/>
      <c r="LYC369" s="362"/>
      <c r="LYD369" s="295"/>
      <c r="LYE369" s="656"/>
      <c r="LYF369" s="286"/>
      <c r="LYG369" s="287"/>
      <c r="LYH369" s="296"/>
      <c r="LYI369" s="457"/>
      <c r="LYJ369" s="664"/>
      <c r="LYK369" s="521"/>
      <c r="LYL369" s="362"/>
      <c r="LYM369" s="295"/>
      <c r="LYN369" s="656"/>
      <c r="LYO369" s="286"/>
      <c r="LYP369" s="287"/>
      <c r="LYQ369" s="296"/>
      <c r="LYR369" s="457"/>
      <c r="LYS369" s="664"/>
      <c r="LYT369" s="521"/>
      <c r="LYU369" s="362"/>
      <c r="LYV369" s="295"/>
      <c r="LYW369" s="656"/>
      <c r="LYX369" s="286"/>
      <c r="LYY369" s="287"/>
      <c r="LYZ369" s="296"/>
      <c r="LZA369" s="457"/>
      <c r="LZB369" s="664"/>
      <c r="LZC369" s="521"/>
      <c r="LZD369" s="362"/>
      <c r="LZE369" s="295"/>
      <c r="LZF369" s="656"/>
      <c r="LZG369" s="286"/>
      <c r="LZH369" s="287"/>
      <c r="LZI369" s="296"/>
      <c r="LZJ369" s="457"/>
      <c r="LZK369" s="664"/>
      <c r="LZL369" s="521"/>
      <c r="LZM369" s="362"/>
      <c r="LZN369" s="295"/>
      <c r="LZO369" s="656"/>
      <c r="LZP369" s="286"/>
      <c r="LZQ369" s="287"/>
      <c r="LZR369" s="296"/>
      <c r="LZS369" s="457"/>
      <c r="LZT369" s="664"/>
      <c r="LZU369" s="521"/>
      <c r="LZV369" s="362"/>
      <c r="LZW369" s="295"/>
      <c r="LZX369" s="656"/>
      <c r="LZY369" s="286"/>
      <c r="LZZ369" s="287"/>
      <c r="MAA369" s="296"/>
      <c r="MAB369" s="457"/>
      <c r="MAC369" s="664"/>
      <c r="MAD369" s="521"/>
      <c r="MAE369" s="362"/>
      <c r="MAF369" s="295"/>
      <c r="MAG369" s="656"/>
      <c r="MAH369" s="286"/>
      <c r="MAI369" s="287"/>
      <c r="MAJ369" s="296"/>
      <c r="MAK369" s="457"/>
      <c r="MAL369" s="664"/>
      <c r="MAM369" s="521"/>
      <c r="MAN369" s="362"/>
      <c r="MAO369" s="295"/>
      <c r="MAP369" s="656"/>
      <c r="MAQ369" s="286"/>
      <c r="MAR369" s="287"/>
      <c r="MAS369" s="296"/>
      <c r="MAT369" s="457"/>
      <c r="MAU369" s="664"/>
      <c r="MAV369" s="521"/>
      <c r="MAW369" s="362"/>
      <c r="MAX369" s="295"/>
      <c r="MAY369" s="656"/>
      <c r="MAZ369" s="286"/>
      <c r="MBA369" s="287"/>
      <c r="MBB369" s="296"/>
      <c r="MBC369" s="457"/>
      <c r="MBD369" s="664"/>
      <c r="MBE369" s="521"/>
      <c r="MBF369" s="362"/>
      <c r="MBG369" s="295"/>
      <c r="MBH369" s="656"/>
      <c r="MBI369" s="286"/>
      <c r="MBJ369" s="287"/>
      <c r="MBK369" s="296"/>
      <c r="MBL369" s="457"/>
      <c r="MBM369" s="664"/>
      <c r="MBN369" s="521"/>
      <c r="MBO369" s="362"/>
      <c r="MBP369" s="295"/>
      <c r="MBQ369" s="656"/>
      <c r="MBR369" s="286"/>
      <c r="MBS369" s="287"/>
      <c r="MBT369" s="296"/>
      <c r="MBU369" s="457"/>
      <c r="MBV369" s="664"/>
      <c r="MBW369" s="521"/>
      <c r="MBX369" s="362"/>
      <c r="MBY369" s="295"/>
      <c r="MBZ369" s="656"/>
      <c r="MCA369" s="286"/>
      <c r="MCB369" s="287"/>
      <c r="MCC369" s="296"/>
      <c r="MCD369" s="457"/>
      <c r="MCE369" s="664"/>
      <c r="MCF369" s="521"/>
      <c r="MCG369" s="362"/>
      <c r="MCH369" s="295"/>
      <c r="MCI369" s="656"/>
      <c r="MCJ369" s="286"/>
      <c r="MCK369" s="287"/>
      <c r="MCL369" s="296"/>
      <c r="MCM369" s="457"/>
      <c r="MCN369" s="664"/>
      <c r="MCO369" s="521"/>
      <c r="MCP369" s="362"/>
      <c r="MCQ369" s="295"/>
      <c r="MCR369" s="656"/>
      <c r="MCS369" s="286"/>
      <c r="MCT369" s="287"/>
      <c r="MCU369" s="296"/>
      <c r="MCV369" s="457"/>
      <c r="MCW369" s="664"/>
      <c r="MCX369" s="521"/>
      <c r="MCY369" s="362"/>
      <c r="MCZ369" s="295"/>
      <c r="MDA369" s="656"/>
      <c r="MDB369" s="286"/>
      <c r="MDC369" s="287"/>
      <c r="MDD369" s="296"/>
      <c r="MDE369" s="457"/>
      <c r="MDF369" s="664"/>
      <c r="MDG369" s="521"/>
      <c r="MDH369" s="362"/>
      <c r="MDI369" s="295"/>
      <c r="MDJ369" s="656"/>
      <c r="MDK369" s="286"/>
      <c r="MDL369" s="287"/>
      <c r="MDM369" s="296"/>
      <c r="MDN369" s="457"/>
      <c r="MDO369" s="664"/>
      <c r="MDP369" s="521"/>
      <c r="MDQ369" s="362"/>
      <c r="MDR369" s="295"/>
      <c r="MDS369" s="656"/>
      <c r="MDT369" s="286"/>
      <c r="MDU369" s="287"/>
      <c r="MDV369" s="296"/>
      <c r="MDW369" s="457"/>
      <c r="MDX369" s="664"/>
      <c r="MDY369" s="521"/>
      <c r="MDZ369" s="362"/>
      <c r="MEA369" s="295"/>
      <c r="MEB369" s="656"/>
      <c r="MEC369" s="286"/>
      <c r="MED369" s="287"/>
      <c r="MEE369" s="296"/>
      <c r="MEF369" s="457"/>
      <c r="MEG369" s="664"/>
      <c r="MEH369" s="521"/>
      <c r="MEI369" s="362"/>
      <c r="MEJ369" s="295"/>
      <c r="MEK369" s="656"/>
      <c r="MEL369" s="286"/>
      <c r="MEM369" s="287"/>
      <c r="MEN369" s="296"/>
      <c r="MEO369" s="457"/>
      <c r="MEP369" s="664"/>
      <c r="MEQ369" s="521"/>
      <c r="MER369" s="362"/>
      <c r="MES369" s="295"/>
      <c r="MET369" s="656"/>
      <c r="MEU369" s="286"/>
      <c r="MEV369" s="287"/>
      <c r="MEW369" s="296"/>
      <c r="MEX369" s="457"/>
      <c r="MEY369" s="664"/>
      <c r="MEZ369" s="521"/>
      <c r="MFA369" s="362"/>
      <c r="MFB369" s="295"/>
      <c r="MFC369" s="656"/>
      <c r="MFD369" s="286"/>
      <c r="MFE369" s="287"/>
      <c r="MFF369" s="296"/>
      <c r="MFG369" s="457"/>
      <c r="MFH369" s="664"/>
      <c r="MFI369" s="521"/>
      <c r="MFJ369" s="362"/>
      <c r="MFK369" s="295"/>
      <c r="MFL369" s="656"/>
      <c r="MFM369" s="286"/>
      <c r="MFN369" s="287"/>
      <c r="MFO369" s="296"/>
      <c r="MFP369" s="457"/>
      <c r="MFQ369" s="664"/>
      <c r="MFR369" s="521"/>
      <c r="MFS369" s="362"/>
      <c r="MFT369" s="295"/>
      <c r="MFU369" s="656"/>
      <c r="MFV369" s="286"/>
      <c r="MFW369" s="287"/>
      <c r="MFX369" s="296"/>
      <c r="MFY369" s="457"/>
      <c r="MFZ369" s="664"/>
      <c r="MGA369" s="521"/>
      <c r="MGB369" s="362"/>
      <c r="MGC369" s="295"/>
      <c r="MGD369" s="656"/>
      <c r="MGE369" s="286"/>
      <c r="MGF369" s="287"/>
      <c r="MGG369" s="296"/>
      <c r="MGH369" s="457"/>
      <c r="MGI369" s="664"/>
      <c r="MGJ369" s="521"/>
      <c r="MGK369" s="362"/>
      <c r="MGL369" s="295"/>
      <c r="MGM369" s="656"/>
      <c r="MGN369" s="286"/>
      <c r="MGO369" s="287"/>
      <c r="MGP369" s="296"/>
      <c r="MGQ369" s="457"/>
      <c r="MGR369" s="664"/>
      <c r="MGS369" s="521"/>
      <c r="MGT369" s="362"/>
      <c r="MGU369" s="295"/>
      <c r="MGV369" s="656"/>
      <c r="MGW369" s="286"/>
      <c r="MGX369" s="287"/>
      <c r="MGY369" s="296"/>
      <c r="MGZ369" s="457"/>
      <c r="MHA369" s="664"/>
      <c r="MHB369" s="521"/>
      <c r="MHC369" s="362"/>
      <c r="MHD369" s="295"/>
      <c r="MHE369" s="656"/>
      <c r="MHF369" s="286"/>
      <c r="MHG369" s="287"/>
      <c r="MHH369" s="296"/>
      <c r="MHI369" s="457"/>
      <c r="MHJ369" s="664"/>
      <c r="MHK369" s="521"/>
      <c r="MHL369" s="362"/>
      <c r="MHM369" s="295"/>
      <c r="MHN369" s="656"/>
      <c r="MHO369" s="286"/>
      <c r="MHP369" s="287"/>
      <c r="MHQ369" s="296"/>
      <c r="MHR369" s="457"/>
      <c r="MHS369" s="664"/>
      <c r="MHT369" s="521"/>
      <c r="MHU369" s="362"/>
      <c r="MHV369" s="295"/>
      <c r="MHW369" s="656"/>
      <c r="MHX369" s="286"/>
      <c r="MHY369" s="287"/>
      <c r="MHZ369" s="296"/>
      <c r="MIA369" s="457"/>
      <c r="MIB369" s="664"/>
      <c r="MIC369" s="521"/>
      <c r="MID369" s="362"/>
      <c r="MIE369" s="295"/>
      <c r="MIF369" s="656"/>
      <c r="MIG369" s="286"/>
      <c r="MIH369" s="287"/>
      <c r="MII369" s="296"/>
      <c r="MIJ369" s="457"/>
      <c r="MIK369" s="664"/>
      <c r="MIL369" s="521"/>
      <c r="MIM369" s="362"/>
      <c r="MIN369" s="295"/>
      <c r="MIO369" s="656"/>
      <c r="MIP369" s="286"/>
      <c r="MIQ369" s="287"/>
      <c r="MIR369" s="296"/>
      <c r="MIS369" s="457"/>
      <c r="MIT369" s="664"/>
      <c r="MIU369" s="521"/>
      <c r="MIV369" s="362"/>
      <c r="MIW369" s="295"/>
      <c r="MIX369" s="656"/>
      <c r="MIY369" s="286"/>
      <c r="MIZ369" s="287"/>
      <c r="MJA369" s="296"/>
      <c r="MJB369" s="457"/>
      <c r="MJC369" s="664"/>
      <c r="MJD369" s="521"/>
      <c r="MJE369" s="362"/>
      <c r="MJF369" s="295"/>
      <c r="MJG369" s="656"/>
      <c r="MJH369" s="286"/>
      <c r="MJI369" s="287"/>
      <c r="MJJ369" s="296"/>
      <c r="MJK369" s="457"/>
      <c r="MJL369" s="664"/>
      <c r="MJM369" s="521"/>
      <c r="MJN369" s="362"/>
      <c r="MJO369" s="295"/>
      <c r="MJP369" s="656"/>
      <c r="MJQ369" s="286"/>
      <c r="MJR369" s="287"/>
      <c r="MJS369" s="296"/>
      <c r="MJT369" s="457"/>
      <c r="MJU369" s="664"/>
      <c r="MJV369" s="521"/>
      <c r="MJW369" s="362"/>
      <c r="MJX369" s="295"/>
      <c r="MJY369" s="656"/>
      <c r="MJZ369" s="286"/>
      <c r="MKA369" s="287"/>
      <c r="MKB369" s="296"/>
      <c r="MKC369" s="457"/>
      <c r="MKD369" s="664"/>
      <c r="MKE369" s="521"/>
      <c r="MKF369" s="362"/>
      <c r="MKG369" s="295"/>
      <c r="MKH369" s="656"/>
      <c r="MKI369" s="286"/>
      <c r="MKJ369" s="287"/>
      <c r="MKK369" s="296"/>
      <c r="MKL369" s="457"/>
      <c r="MKM369" s="664"/>
      <c r="MKN369" s="521"/>
      <c r="MKO369" s="362"/>
      <c r="MKP369" s="295"/>
      <c r="MKQ369" s="656"/>
      <c r="MKR369" s="286"/>
      <c r="MKS369" s="287"/>
      <c r="MKT369" s="296"/>
      <c r="MKU369" s="457"/>
      <c r="MKV369" s="664"/>
      <c r="MKW369" s="521"/>
      <c r="MKX369" s="362"/>
      <c r="MKY369" s="295"/>
      <c r="MKZ369" s="656"/>
      <c r="MLA369" s="286"/>
      <c r="MLB369" s="287"/>
      <c r="MLC369" s="296"/>
      <c r="MLD369" s="457"/>
      <c r="MLE369" s="664"/>
      <c r="MLF369" s="521"/>
      <c r="MLG369" s="362"/>
      <c r="MLH369" s="295"/>
      <c r="MLI369" s="656"/>
      <c r="MLJ369" s="286"/>
      <c r="MLK369" s="287"/>
      <c r="MLL369" s="296"/>
      <c r="MLM369" s="457"/>
      <c r="MLN369" s="664"/>
      <c r="MLO369" s="521"/>
      <c r="MLP369" s="362"/>
      <c r="MLQ369" s="295"/>
      <c r="MLR369" s="656"/>
      <c r="MLS369" s="286"/>
      <c r="MLT369" s="287"/>
      <c r="MLU369" s="296"/>
      <c r="MLV369" s="457"/>
      <c r="MLW369" s="664"/>
      <c r="MLX369" s="521"/>
      <c r="MLY369" s="362"/>
      <c r="MLZ369" s="295"/>
      <c r="MMA369" s="656"/>
      <c r="MMB369" s="286"/>
      <c r="MMC369" s="287"/>
      <c r="MMD369" s="296"/>
      <c r="MME369" s="457"/>
      <c r="MMF369" s="664"/>
      <c r="MMG369" s="521"/>
      <c r="MMH369" s="362"/>
      <c r="MMI369" s="295"/>
      <c r="MMJ369" s="656"/>
      <c r="MMK369" s="286"/>
      <c r="MML369" s="287"/>
      <c r="MMM369" s="296"/>
      <c r="MMN369" s="457"/>
      <c r="MMO369" s="664"/>
      <c r="MMP369" s="521"/>
      <c r="MMQ369" s="362"/>
      <c r="MMR369" s="295"/>
      <c r="MMS369" s="656"/>
      <c r="MMT369" s="286"/>
      <c r="MMU369" s="287"/>
      <c r="MMV369" s="296"/>
      <c r="MMW369" s="457"/>
      <c r="MMX369" s="664"/>
      <c r="MMY369" s="521"/>
      <c r="MMZ369" s="362"/>
      <c r="MNA369" s="295"/>
      <c r="MNB369" s="656"/>
      <c r="MNC369" s="286"/>
      <c r="MND369" s="287"/>
      <c r="MNE369" s="296"/>
      <c r="MNF369" s="457"/>
      <c r="MNG369" s="664"/>
      <c r="MNH369" s="521"/>
      <c r="MNI369" s="362"/>
      <c r="MNJ369" s="295"/>
      <c r="MNK369" s="656"/>
      <c r="MNL369" s="286"/>
      <c r="MNM369" s="287"/>
      <c r="MNN369" s="296"/>
      <c r="MNO369" s="457"/>
      <c r="MNP369" s="664"/>
      <c r="MNQ369" s="521"/>
      <c r="MNR369" s="362"/>
      <c r="MNS369" s="295"/>
      <c r="MNT369" s="656"/>
      <c r="MNU369" s="286"/>
      <c r="MNV369" s="287"/>
      <c r="MNW369" s="296"/>
      <c r="MNX369" s="457"/>
      <c r="MNY369" s="664"/>
      <c r="MNZ369" s="521"/>
      <c r="MOA369" s="362"/>
      <c r="MOB369" s="295"/>
      <c r="MOC369" s="656"/>
      <c r="MOD369" s="286"/>
      <c r="MOE369" s="287"/>
      <c r="MOF369" s="296"/>
      <c r="MOG369" s="457"/>
      <c r="MOH369" s="664"/>
      <c r="MOI369" s="521"/>
      <c r="MOJ369" s="362"/>
      <c r="MOK369" s="295"/>
      <c r="MOL369" s="656"/>
      <c r="MOM369" s="286"/>
      <c r="MON369" s="287"/>
      <c r="MOO369" s="296"/>
      <c r="MOP369" s="457"/>
      <c r="MOQ369" s="664"/>
      <c r="MOR369" s="521"/>
      <c r="MOS369" s="362"/>
      <c r="MOT369" s="295"/>
      <c r="MOU369" s="656"/>
      <c r="MOV369" s="286"/>
      <c r="MOW369" s="287"/>
      <c r="MOX369" s="296"/>
      <c r="MOY369" s="457"/>
      <c r="MOZ369" s="664"/>
      <c r="MPA369" s="521"/>
      <c r="MPB369" s="362"/>
      <c r="MPC369" s="295"/>
      <c r="MPD369" s="656"/>
      <c r="MPE369" s="286"/>
      <c r="MPF369" s="287"/>
      <c r="MPG369" s="296"/>
      <c r="MPH369" s="457"/>
      <c r="MPI369" s="664"/>
      <c r="MPJ369" s="521"/>
      <c r="MPK369" s="362"/>
      <c r="MPL369" s="295"/>
      <c r="MPM369" s="656"/>
      <c r="MPN369" s="286"/>
      <c r="MPO369" s="287"/>
      <c r="MPP369" s="296"/>
      <c r="MPQ369" s="457"/>
      <c r="MPR369" s="664"/>
      <c r="MPS369" s="521"/>
      <c r="MPT369" s="362"/>
      <c r="MPU369" s="295"/>
      <c r="MPV369" s="656"/>
      <c r="MPW369" s="286"/>
      <c r="MPX369" s="287"/>
      <c r="MPY369" s="296"/>
      <c r="MPZ369" s="457"/>
      <c r="MQA369" s="664"/>
      <c r="MQB369" s="521"/>
      <c r="MQC369" s="362"/>
      <c r="MQD369" s="295"/>
      <c r="MQE369" s="656"/>
      <c r="MQF369" s="286"/>
      <c r="MQG369" s="287"/>
      <c r="MQH369" s="296"/>
      <c r="MQI369" s="457"/>
      <c r="MQJ369" s="664"/>
      <c r="MQK369" s="521"/>
      <c r="MQL369" s="362"/>
      <c r="MQM369" s="295"/>
      <c r="MQN369" s="656"/>
      <c r="MQO369" s="286"/>
      <c r="MQP369" s="287"/>
      <c r="MQQ369" s="296"/>
      <c r="MQR369" s="457"/>
      <c r="MQS369" s="664"/>
      <c r="MQT369" s="521"/>
      <c r="MQU369" s="362"/>
      <c r="MQV369" s="295"/>
      <c r="MQW369" s="656"/>
      <c r="MQX369" s="286"/>
      <c r="MQY369" s="287"/>
      <c r="MQZ369" s="296"/>
      <c r="MRA369" s="457"/>
      <c r="MRB369" s="664"/>
      <c r="MRC369" s="521"/>
      <c r="MRD369" s="362"/>
      <c r="MRE369" s="295"/>
      <c r="MRF369" s="656"/>
      <c r="MRG369" s="286"/>
      <c r="MRH369" s="287"/>
      <c r="MRI369" s="296"/>
      <c r="MRJ369" s="457"/>
      <c r="MRK369" s="664"/>
      <c r="MRL369" s="521"/>
      <c r="MRM369" s="362"/>
      <c r="MRN369" s="295"/>
      <c r="MRO369" s="656"/>
      <c r="MRP369" s="286"/>
      <c r="MRQ369" s="287"/>
      <c r="MRR369" s="296"/>
      <c r="MRS369" s="457"/>
      <c r="MRT369" s="664"/>
      <c r="MRU369" s="521"/>
      <c r="MRV369" s="362"/>
      <c r="MRW369" s="295"/>
      <c r="MRX369" s="656"/>
      <c r="MRY369" s="286"/>
      <c r="MRZ369" s="287"/>
      <c r="MSA369" s="296"/>
      <c r="MSB369" s="457"/>
      <c r="MSC369" s="664"/>
      <c r="MSD369" s="521"/>
      <c r="MSE369" s="362"/>
      <c r="MSF369" s="295"/>
      <c r="MSG369" s="656"/>
      <c r="MSH369" s="286"/>
      <c r="MSI369" s="287"/>
      <c r="MSJ369" s="296"/>
      <c r="MSK369" s="457"/>
      <c r="MSL369" s="664"/>
      <c r="MSM369" s="521"/>
      <c r="MSN369" s="362"/>
      <c r="MSO369" s="295"/>
      <c r="MSP369" s="656"/>
      <c r="MSQ369" s="286"/>
      <c r="MSR369" s="287"/>
      <c r="MSS369" s="296"/>
      <c r="MST369" s="457"/>
      <c r="MSU369" s="664"/>
      <c r="MSV369" s="521"/>
      <c r="MSW369" s="362"/>
      <c r="MSX369" s="295"/>
      <c r="MSY369" s="656"/>
      <c r="MSZ369" s="286"/>
      <c r="MTA369" s="287"/>
      <c r="MTB369" s="296"/>
      <c r="MTC369" s="457"/>
      <c r="MTD369" s="664"/>
      <c r="MTE369" s="521"/>
      <c r="MTF369" s="362"/>
      <c r="MTG369" s="295"/>
      <c r="MTH369" s="656"/>
      <c r="MTI369" s="286"/>
      <c r="MTJ369" s="287"/>
      <c r="MTK369" s="296"/>
      <c r="MTL369" s="457"/>
      <c r="MTM369" s="664"/>
      <c r="MTN369" s="521"/>
      <c r="MTO369" s="362"/>
      <c r="MTP369" s="295"/>
      <c r="MTQ369" s="656"/>
      <c r="MTR369" s="286"/>
      <c r="MTS369" s="287"/>
      <c r="MTT369" s="296"/>
      <c r="MTU369" s="457"/>
      <c r="MTV369" s="664"/>
      <c r="MTW369" s="521"/>
      <c r="MTX369" s="362"/>
      <c r="MTY369" s="295"/>
      <c r="MTZ369" s="656"/>
      <c r="MUA369" s="286"/>
      <c r="MUB369" s="287"/>
      <c r="MUC369" s="296"/>
      <c r="MUD369" s="457"/>
      <c r="MUE369" s="664"/>
      <c r="MUF369" s="521"/>
      <c r="MUG369" s="362"/>
      <c r="MUH369" s="295"/>
      <c r="MUI369" s="656"/>
      <c r="MUJ369" s="286"/>
      <c r="MUK369" s="287"/>
      <c r="MUL369" s="296"/>
      <c r="MUM369" s="457"/>
      <c r="MUN369" s="664"/>
      <c r="MUO369" s="521"/>
      <c r="MUP369" s="362"/>
      <c r="MUQ369" s="295"/>
      <c r="MUR369" s="656"/>
      <c r="MUS369" s="286"/>
      <c r="MUT369" s="287"/>
      <c r="MUU369" s="296"/>
      <c r="MUV369" s="457"/>
      <c r="MUW369" s="664"/>
      <c r="MUX369" s="521"/>
      <c r="MUY369" s="362"/>
      <c r="MUZ369" s="295"/>
      <c r="MVA369" s="656"/>
      <c r="MVB369" s="286"/>
      <c r="MVC369" s="287"/>
      <c r="MVD369" s="296"/>
      <c r="MVE369" s="457"/>
      <c r="MVF369" s="664"/>
      <c r="MVG369" s="521"/>
      <c r="MVH369" s="362"/>
      <c r="MVI369" s="295"/>
      <c r="MVJ369" s="656"/>
      <c r="MVK369" s="286"/>
      <c r="MVL369" s="287"/>
      <c r="MVM369" s="296"/>
      <c r="MVN369" s="457"/>
      <c r="MVO369" s="664"/>
      <c r="MVP369" s="521"/>
      <c r="MVQ369" s="362"/>
      <c r="MVR369" s="295"/>
      <c r="MVS369" s="656"/>
      <c r="MVT369" s="286"/>
      <c r="MVU369" s="287"/>
      <c r="MVV369" s="296"/>
      <c r="MVW369" s="457"/>
      <c r="MVX369" s="664"/>
      <c r="MVY369" s="521"/>
      <c r="MVZ369" s="362"/>
      <c r="MWA369" s="295"/>
      <c r="MWB369" s="656"/>
      <c r="MWC369" s="286"/>
      <c r="MWD369" s="287"/>
      <c r="MWE369" s="296"/>
      <c r="MWF369" s="457"/>
      <c r="MWG369" s="664"/>
      <c r="MWH369" s="521"/>
      <c r="MWI369" s="362"/>
      <c r="MWJ369" s="295"/>
      <c r="MWK369" s="656"/>
      <c r="MWL369" s="286"/>
      <c r="MWM369" s="287"/>
      <c r="MWN369" s="296"/>
      <c r="MWO369" s="457"/>
      <c r="MWP369" s="664"/>
      <c r="MWQ369" s="521"/>
      <c r="MWR369" s="362"/>
      <c r="MWS369" s="295"/>
      <c r="MWT369" s="656"/>
      <c r="MWU369" s="286"/>
      <c r="MWV369" s="287"/>
      <c r="MWW369" s="296"/>
      <c r="MWX369" s="457"/>
      <c r="MWY369" s="664"/>
      <c r="MWZ369" s="521"/>
      <c r="MXA369" s="362"/>
      <c r="MXB369" s="295"/>
      <c r="MXC369" s="656"/>
      <c r="MXD369" s="286"/>
      <c r="MXE369" s="287"/>
      <c r="MXF369" s="296"/>
      <c r="MXG369" s="457"/>
      <c r="MXH369" s="664"/>
      <c r="MXI369" s="521"/>
      <c r="MXJ369" s="362"/>
      <c r="MXK369" s="295"/>
      <c r="MXL369" s="656"/>
      <c r="MXM369" s="286"/>
      <c r="MXN369" s="287"/>
      <c r="MXO369" s="296"/>
      <c r="MXP369" s="457"/>
      <c r="MXQ369" s="664"/>
      <c r="MXR369" s="521"/>
      <c r="MXS369" s="362"/>
      <c r="MXT369" s="295"/>
      <c r="MXU369" s="656"/>
      <c r="MXV369" s="286"/>
      <c r="MXW369" s="287"/>
      <c r="MXX369" s="296"/>
      <c r="MXY369" s="457"/>
      <c r="MXZ369" s="664"/>
      <c r="MYA369" s="521"/>
      <c r="MYB369" s="362"/>
      <c r="MYC369" s="295"/>
      <c r="MYD369" s="656"/>
      <c r="MYE369" s="286"/>
      <c r="MYF369" s="287"/>
      <c r="MYG369" s="296"/>
      <c r="MYH369" s="457"/>
      <c r="MYI369" s="664"/>
      <c r="MYJ369" s="521"/>
      <c r="MYK369" s="362"/>
      <c r="MYL369" s="295"/>
      <c r="MYM369" s="656"/>
      <c r="MYN369" s="286"/>
      <c r="MYO369" s="287"/>
      <c r="MYP369" s="296"/>
      <c r="MYQ369" s="457"/>
      <c r="MYR369" s="664"/>
      <c r="MYS369" s="521"/>
      <c r="MYT369" s="362"/>
      <c r="MYU369" s="295"/>
      <c r="MYV369" s="656"/>
      <c r="MYW369" s="286"/>
      <c r="MYX369" s="287"/>
      <c r="MYY369" s="296"/>
      <c r="MYZ369" s="457"/>
      <c r="MZA369" s="664"/>
      <c r="MZB369" s="521"/>
      <c r="MZC369" s="362"/>
      <c r="MZD369" s="295"/>
      <c r="MZE369" s="656"/>
      <c r="MZF369" s="286"/>
      <c r="MZG369" s="287"/>
      <c r="MZH369" s="296"/>
      <c r="MZI369" s="457"/>
      <c r="MZJ369" s="664"/>
      <c r="MZK369" s="521"/>
      <c r="MZL369" s="362"/>
      <c r="MZM369" s="295"/>
      <c r="MZN369" s="656"/>
      <c r="MZO369" s="286"/>
      <c r="MZP369" s="287"/>
      <c r="MZQ369" s="296"/>
      <c r="MZR369" s="457"/>
      <c r="MZS369" s="664"/>
      <c r="MZT369" s="521"/>
      <c r="MZU369" s="362"/>
      <c r="MZV369" s="295"/>
      <c r="MZW369" s="656"/>
      <c r="MZX369" s="286"/>
      <c r="MZY369" s="287"/>
      <c r="MZZ369" s="296"/>
      <c r="NAA369" s="457"/>
      <c r="NAB369" s="664"/>
      <c r="NAC369" s="521"/>
      <c r="NAD369" s="362"/>
      <c r="NAE369" s="295"/>
      <c r="NAF369" s="656"/>
      <c r="NAG369" s="286"/>
      <c r="NAH369" s="287"/>
      <c r="NAI369" s="296"/>
      <c r="NAJ369" s="457"/>
      <c r="NAK369" s="664"/>
      <c r="NAL369" s="521"/>
      <c r="NAM369" s="362"/>
      <c r="NAN369" s="295"/>
      <c r="NAO369" s="656"/>
      <c r="NAP369" s="286"/>
      <c r="NAQ369" s="287"/>
      <c r="NAR369" s="296"/>
      <c r="NAS369" s="457"/>
      <c r="NAT369" s="664"/>
      <c r="NAU369" s="521"/>
      <c r="NAV369" s="362"/>
      <c r="NAW369" s="295"/>
      <c r="NAX369" s="656"/>
      <c r="NAY369" s="286"/>
      <c r="NAZ369" s="287"/>
      <c r="NBA369" s="296"/>
      <c r="NBB369" s="457"/>
      <c r="NBC369" s="664"/>
      <c r="NBD369" s="521"/>
      <c r="NBE369" s="362"/>
      <c r="NBF369" s="295"/>
      <c r="NBG369" s="656"/>
      <c r="NBH369" s="286"/>
      <c r="NBI369" s="287"/>
      <c r="NBJ369" s="296"/>
      <c r="NBK369" s="457"/>
      <c r="NBL369" s="664"/>
      <c r="NBM369" s="521"/>
      <c r="NBN369" s="362"/>
      <c r="NBO369" s="295"/>
      <c r="NBP369" s="656"/>
      <c r="NBQ369" s="286"/>
      <c r="NBR369" s="287"/>
      <c r="NBS369" s="296"/>
      <c r="NBT369" s="457"/>
      <c r="NBU369" s="664"/>
      <c r="NBV369" s="521"/>
      <c r="NBW369" s="362"/>
      <c r="NBX369" s="295"/>
      <c r="NBY369" s="656"/>
      <c r="NBZ369" s="286"/>
      <c r="NCA369" s="287"/>
      <c r="NCB369" s="296"/>
      <c r="NCC369" s="457"/>
      <c r="NCD369" s="664"/>
      <c r="NCE369" s="521"/>
      <c r="NCF369" s="362"/>
      <c r="NCG369" s="295"/>
      <c r="NCH369" s="656"/>
      <c r="NCI369" s="286"/>
      <c r="NCJ369" s="287"/>
      <c r="NCK369" s="296"/>
      <c r="NCL369" s="457"/>
      <c r="NCM369" s="664"/>
      <c r="NCN369" s="521"/>
      <c r="NCO369" s="362"/>
      <c r="NCP369" s="295"/>
      <c r="NCQ369" s="656"/>
      <c r="NCR369" s="286"/>
      <c r="NCS369" s="287"/>
      <c r="NCT369" s="296"/>
      <c r="NCU369" s="457"/>
      <c r="NCV369" s="664"/>
      <c r="NCW369" s="521"/>
      <c r="NCX369" s="362"/>
      <c r="NCY369" s="295"/>
      <c r="NCZ369" s="656"/>
      <c r="NDA369" s="286"/>
      <c r="NDB369" s="287"/>
      <c r="NDC369" s="296"/>
      <c r="NDD369" s="457"/>
      <c r="NDE369" s="664"/>
      <c r="NDF369" s="521"/>
      <c r="NDG369" s="362"/>
      <c r="NDH369" s="295"/>
      <c r="NDI369" s="656"/>
      <c r="NDJ369" s="286"/>
      <c r="NDK369" s="287"/>
      <c r="NDL369" s="296"/>
      <c r="NDM369" s="457"/>
      <c r="NDN369" s="664"/>
      <c r="NDO369" s="521"/>
      <c r="NDP369" s="362"/>
      <c r="NDQ369" s="295"/>
      <c r="NDR369" s="656"/>
      <c r="NDS369" s="286"/>
      <c r="NDT369" s="287"/>
      <c r="NDU369" s="296"/>
      <c r="NDV369" s="457"/>
      <c r="NDW369" s="664"/>
      <c r="NDX369" s="521"/>
      <c r="NDY369" s="362"/>
      <c r="NDZ369" s="295"/>
      <c r="NEA369" s="656"/>
      <c r="NEB369" s="286"/>
      <c r="NEC369" s="287"/>
      <c r="NED369" s="296"/>
      <c r="NEE369" s="457"/>
      <c r="NEF369" s="664"/>
      <c r="NEG369" s="521"/>
      <c r="NEH369" s="362"/>
      <c r="NEI369" s="295"/>
      <c r="NEJ369" s="656"/>
      <c r="NEK369" s="286"/>
      <c r="NEL369" s="287"/>
      <c r="NEM369" s="296"/>
      <c r="NEN369" s="457"/>
      <c r="NEO369" s="664"/>
      <c r="NEP369" s="521"/>
      <c r="NEQ369" s="362"/>
      <c r="NER369" s="295"/>
      <c r="NES369" s="656"/>
      <c r="NET369" s="286"/>
      <c r="NEU369" s="287"/>
      <c r="NEV369" s="296"/>
      <c r="NEW369" s="457"/>
      <c r="NEX369" s="664"/>
      <c r="NEY369" s="521"/>
      <c r="NEZ369" s="362"/>
      <c r="NFA369" s="295"/>
      <c r="NFB369" s="656"/>
      <c r="NFC369" s="286"/>
      <c r="NFD369" s="287"/>
      <c r="NFE369" s="296"/>
      <c r="NFF369" s="457"/>
      <c r="NFG369" s="664"/>
      <c r="NFH369" s="521"/>
      <c r="NFI369" s="362"/>
      <c r="NFJ369" s="295"/>
      <c r="NFK369" s="656"/>
      <c r="NFL369" s="286"/>
      <c r="NFM369" s="287"/>
      <c r="NFN369" s="296"/>
      <c r="NFO369" s="457"/>
      <c r="NFP369" s="664"/>
      <c r="NFQ369" s="521"/>
      <c r="NFR369" s="362"/>
      <c r="NFS369" s="295"/>
      <c r="NFT369" s="656"/>
      <c r="NFU369" s="286"/>
      <c r="NFV369" s="287"/>
      <c r="NFW369" s="296"/>
      <c r="NFX369" s="457"/>
      <c r="NFY369" s="664"/>
      <c r="NFZ369" s="521"/>
      <c r="NGA369" s="362"/>
      <c r="NGB369" s="295"/>
      <c r="NGC369" s="656"/>
      <c r="NGD369" s="286"/>
      <c r="NGE369" s="287"/>
      <c r="NGF369" s="296"/>
      <c r="NGG369" s="457"/>
      <c r="NGH369" s="664"/>
      <c r="NGI369" s="521"/>
      <c r="NGJ369" s="362"/>
      <c r="NGK369" s="295"/>
      <c r="NGL369" s="656"/>
      <c r="NGM369" s="286"/>
      <c r="NGN369" s="287"/>
      <c r="NGO369" s="296"/>
      <c r="NGP369" s="457"/>
      <c r="NGQ369" s="664"/>
      <c r="NGR369" s="521"/>
      <c r="NGS369" s="362"/>
      <c r="NGT369" s="295"/>
      <c r="NGU369" s="656"/>
      <c r="NGV369" s="286"/>
      <c r="NGW369" s="287"/>
      <c r="NGX369" s="296"/>
      <c r="NGY369" s="457"/>
      <c r="NGZ369" s="664"/>
      <c r="NHA369" s="521"/>
      <c r="NHB369" s="362"/>
      <c r="NHC369" s="295"/>
      <c r="NHD369" s="656"/>
      <c r="NHE369" s="286"/>
      <c r="NHF369" s="287"/>
      <c r="NHG369" s="296"/>
      <c r="NHH369" s="457"/>
      <c r="NHI369" s="664"/>
      <c r="NHJ369" s="521"/>
      <c r="NHK369" s="362"/>
      <c r="NHL369" s="295"/>
      <c r="NHM369" s="656"/>
      <c r="NHN369" s="286"/>
      <c r="NHO369" s="287"/>
      <c r="NHP369" s="296"/>
      <c r="NHQ369" s="457"/>
      <c r="NHR369" s="664"/>
      <c r="NHS369" s="521"/>
      <c r="NHT369" s="362"/>
      <c r="NHU369" s="295"/>
      <c r="NHV369" s="656"/>
      <c r="NHW369" s="286"/>
      <c r="NHX369" s="287"/>
      <c r="NHY369" s="296"/>
      <c r="NHZ369" s="457"/>
      <c r="NIA369" s="664"/>
      <c r="NIB369" s="521"/>
      <c r="NIC369" s="362"/>
      <c r="NID369" s="295"/>
      <c r="NIE369" s="656"/>
      <c r="NIF369" s="286"/>
      <c r="NIG369" s="287"/>
      <c r="NIH369" s="296"/>
      <c r="NII369" s="457"/>
      <c r="NIJ369" s="664"/>
      <c r="NIK369" s="521"/>
      <c r="NIL369" s="362"/>
      <c r="NIM369" s="295"/>
      <c r="NIN369" s="656"/>
      <c r="NIO369" s="286"/>
      <c r="NIP369" s="287"/>
      <c r="NIQ369" s="296"/>
      <c r="NIR369" s="457"/>
      <c r="NIS369" s="664"/>
      <c r="NIT369" s="521"/>
      <c r="NIU369" s="362"/>
      <c r="NIV369" s="295"/>
      <c r="NIW369" s="656"/>
      <c r="NIX369" s="286"/>
      <c r="NIY369" s="287"/>
      <c r="NIZ369" s="296"/>
      <c r="NJA369" s="457"/>
      <c r="NJB369" s="664"/>
      <c r="NJC369" s="521"/>
      <c r="NJD369" s="362"/>
      <c r="NJE369" s="295"/>
      <c r="NJF369" s="656"/>
      <c r="NJG369" s="286"/>
      <c r="NJH369" s="287"/>
      <c r="NJI369" s="296"/>
      <c r="NJJ369" s="457"/>
      <c r="NJK369" s="664"/>
      <c r="NJL369" s="521"/>
      <c r="NJM369" s="362"/>
      <c r="NJN369" s="295"/>
      <c r="NJO369" s="656"/>
      <c r="NJP369" s="286"/>
      <c r="NJQ369" s="287"/>
      <c r="NJR369" s="296"/>
      <c r="NJS369" s="457"/>
      <c r="NJT369" s="664"/>
      <c r="NJU369" s="521"/>
      <c r="NJV369" s="362"/>
      <c r="NJW369" s="295"/>
      <c r="NJX369" s="656"/>
      <c r="NJY369" s="286"/>
      <c r="NJZ369" s="287"/>
      <c r="NKA369" s="296"/>
      <c r="NKB369" s="457"/>
      <c r="NKC369" s="664"/>
      <c r="NKD369" s="521"/>
      <c r="NKE369" s="362"/>
      <c r="NKF369" s="295"/>
      <c r="NKG369" s="656"/>
      <c r="NKH369" s="286"/>
      <c r="NKI369" s="287"/>
      <c r="NKJ369" s="296"/>
      <c r="NKK369" s="457"/>
      <c r="NKL369" s="664"/>
      <c r="NKM369" s="521"/>
      <c r="NKN369" s="362"/>
      <c r="NKO369" s="295"/>
      <c r="NKP369" s="656"/>
      <c r="NKQ369" s="286"/>
      <c r="NKR369" s="287"/>
      <c r="NKS369" s="296"/>
      <c r="NKT369" s="457"/>
      <c r="NKU369" s="664"/>
      <c r="NKV369" s="521"/>
      <c r="NKW369" s="362"/>
      <c r="NKX369" s="295"/>
      <c r="NKY369" s="656"/>
      <c r="NKZ369" s="286"/>
      <c r="NLA369" s="287"/>
      <c r="NLB369" s="296"/>
      <c r="NLC369" s="457"/>
      <c r="NLD369" s="664"/>
      <c r="NLE369" s="521"/>
      <c r="NLF369" s="362"/>
      <c r="NLG369" s="295"/>
      <c r="NLH369" s="656"/>
      <c r="NLI369" s="286"/>
      <c r="NLJ369" s="287"/>
      <c r="NLK369" s="296"/>
      <c r="NLL369" s="457"/>
      <c r="NLM369" s="664"/>
      <c r="NLN369" s="521"/>
      <c r="NLO369" s="362"/>
      <c r="NLP369" s="295"/>
      <c r="NLQ369" s="656"/>
      <c r="NLR369" s="286"/>
      <c r="NLS369" s="287"/>
      <c r="NLT369" s="296"/>
      <c r="NLU369" s="457"/>
      <c r="NLV369" s="664"/>
      <c r="NLW369" s="521"/>
      <c r="NLX369" s="362"/>
      <c r="NLY369" s="295"/>
      <c r="NLZ369" s="656"/>
      <c r="NMA369" s="286"/>
      <c r="NMB369" s="287"/>
      <c r="NMC369" s="296"/>
      <c r="NMD369" s="457"/>
      <c r="NME369" s="664"/>
      <c r="NMF369" s="521"/>
      <c r="NMG369" s="362"/>
      <c r="NMH369" s="295"/>
      <c r="NMI369" s="656"/>
      <c r="NMJ369" s="286"/>
      <c r="NMK369" s="287"/>
      <c r="NML369" s="296"/>
      <c r="NMM369" s="457"/>
      <c r="NMN369" s="664"/>
      <c r="NMO369" s="521"/>
      <c r="NMP369" s="362"/>
      <c r="NMQ369" s="295"/>
      <c r="NMR369" s="656"/>
      <c r="NMS369" s="286"/>
      <c r="NMT369" s="287"/>
      <c r="NMU369" s="296"/>
      <c r="NMV369" s="457"/>
      <c r="NMW369" s="664"/>
      <c r="NMX369" s="521"/>
      <c r="NMY369" s="362"/>
      <c r="NMZ369" s="295"/>
      <c r="NNA369" s="656"/>
      <c r="NNB369" s="286"/>
      <c r="NNC369" s="287"/>
      <c r="NND369" s="296"/>
      <c r="NNE369" s="457"/>
      <c r="NNF369" s="664"/>
      <c r="NNG369" s="521"/>
      <c r="NNH369" s="362"/>
      <c r="NNI369" s="295"/>
      <c r="NNJ369" s="656"/>
      <c r="NNK369" s="286"/>
      <c r="NNL369" s="287"/>
      <c r="NNM369" s="296"/>
      <c r="NNN369" s="457"/>
      <c r="NNO369" s="664"/>
      <c r="NNP369" s="521"/>
      <c r="NNQ369" s="362"/>
      <c r="NNR369" s="295"/>
      <c r="NNS369" s="656"/>
      <c r="NNT369" s="286"/>
      <c r="NNU369" s="287"/>
      <c r="NNV369" s="296"/>
      <c r="NNW369" s="457"/>
      <c r="NNX369" s="664"/>
      <c r="NNY369" s="521"/>
      <c r="NNZ369" s="362"/>
      <c r="NOA369" s="295"/>
      <c r="NOB369" s="656"/>
      <c r="NOC369" s="286"/>
      <c r="NOD369" s="287"/>
      <c r="NOE369" s="296"/>
      <c r="NOF369" s="457"/>
      <c r="NOG369" s="664"/>
      <c r="NOH369" s="521"/>
      <c r="NOI369" s="362"/>
      <c r="NOJ369" s="295"/>
      <c r="NOK369" s="656"/>
      <c r="NOL369" s="286"/>
      <c r="NOM369" s="287"/>
      <c r="NON369" s="296"/>
      <c r="NOO369" s="457"/>
      <c r="NOP369" s="664"/>
      <c r="NOQ369" s="521"/>
      <c r="NOR369" s="362"/>
      <c r="NOS369" s="295"/>
      <c r="NOT369" s="656"/>
      <c r="NOU369" s="286"/>
      <c r="NOV369" s="287"/>
      <c r="NOW369" s="296"/>
      <c r="NOX369" s="457"/>
      <c r="NOY369" s="664"/>
      <c r="NOZ369" s="521"/>
      <c r="NPA369" s="362"/>
      <c r="NPB369" s="295"/>
      <c r="NPC369" s="656"/>
      <c r="NPD369" s="286"/>
      <c r="NPE369" s="287"/>
      <c r="NPF369" s="296"/>
      <c r="NPG369" s="457"/>
      <c r="NPH369" s="664"/>
      <c r="NPI369" s="521"/>
      <c r="NPJ369" s="362"/>
      <c r="NPK369" s="295"/>
      <c r="NPL369" s="656"/>
      <c r="NPM369" s="286"/>
      <c r="NPN369" s="287"/>
      <c r="NPO369" s="296"/>
      <c r="NPP369" s="457"/>
      <c r="NPQ369" s="664"/>
      <c r="NPR369" s="521"/>
      <c r="NPS369" s="362"/>
      <c r="NPT369" s="295"/>
      <c r="NPU369" s="656"/>
      <c r="NPV369" s="286"/>
      <c r="NPW369" s="287"/>
      <c r="NPX369" s="296"/>
      <c r="NPY369" s="457"/>
      <c r="NPZ369" s="664"/>
      <c r="NQA369" s="521"/>
      <c r="NQB369" s="362"/>
      <c r="NQC369" s="295"/>
      <c r="NQD369" s="656"/>
      <c r="NQE369" s="286"/>
      <c r="NQF369" s="287"/>
      <c r="NQG369" s="296"/>
      <c r="NQH369" s="457"/>
      <c r="NQI369" s="664"/>
      <c r="NQJ369" s="521"/>
      <c r="NQK369" s="362"/>
      <c r="NQL369" s="295"/>
      <c r="NQM369" s="656"/>
      <c r="NQN369" s="286"/>
      <c r="NQO369" s="287"/>
      <c r="NQP369" s="296"/>
      <c r="NQQ369" s="457"/>
      <c r="NQR369" s="664"/>
      <c r="NQS369" s="521"/>
      <c r="NQT369" s="362"/>
      <c r="NQU369" s="295"/>
      <c r="NQV369" s="656"/>
      <c r="NQW369" s="286"/>
      <c r="NQX369" s="287"/>
      <c r="NQY369" s="296"/>
      <c r="NQZ369" s="457"/>
      <c r="NRA369" s="664"/>
      <c r="NRB369" s="521"/>
      <c r="NRC369" s="362"/>
      <c r="NRD369" s="295"/>
      <c r="NRE369" s="656"/>
      <c r="NRF369" s="286"/>
      <c r="NRG369" s="287"/>
      <c r="NRH369" s="296"/>
      <c r="NRI369" s="457"/>
      <c r="NRJ369" s="664"/>
      <c r="NRK369" s="521"/>
      <c r="NRL369" s="362"/>
      <c r="NRM369" s="295"/>
      <c r="NRN369" s="656"/>
      <c r="NRO369" s="286"/>
      <c r="NRP369" s="287"/>
      <c r="NRQ369" s="296"/>
      <c r="NRR369" s="457"/>
      <c r="NRS369" s="664"/>
      <c r="NRT369" s="521"/>
      <c r="NRU369" s="362"/>
      <c r="NRV369" s="295"/>
      <c r="NRW369" s="656"/>
      <c r="NRX369" s="286"/>
      <c r="NRY369" s="287"/>
      <c r="NRZ369" s="296"/>
      <c r="NSA369" s="457"/>
      <c r="NSB369" s="664"/>
      <c r="NSC369" s="521"/>
      <c r="NSD369" s="362"/>
      <c r="NSE369" s="295"/>
      <c r="NSF369" s="656"/>
      <c r="NSG369" s="286"/>
      <c r="NSH369" s="287"/>
      <c r="NSI369" s="296"/>
      <c r="NSJ369" s="457"/>
      <c r="NSK369" s="664"/>
      <c r="NSL369" s="521"/>
      <c r="NSM369" s="362"/>
      <c r="NSN369" s="295"/>
      <c r="NSO369" s="656"/>
      <c r="NSP369" s="286"/>
      <c r="NSQ369" s="287"/>
      <c r="NSR369" s="296"/>
      <c r="NSS369" s="457"/>
      <c r="NST369" s="664"/>
      <c r="NSU369" s="521"/>
      <c r="NSV369" s="362"/>
      <c r="NSW369" s="295"/>
      <c r="NSX369" s="656"/>
      <c r="NSY369" s="286"/>
      <c r="NSZ369" s="287"/>
      <c r="NTA369" s="296"/>
      <c r="NTB369" s="457"/>
      <c r="NTC369" s="664"/>
      <c r="NTD369" s="521"/>
      <c r="NTE369" s="362"/>
      <c r="NTF369" s="295"/>
      <c r="NTG369" s="656"/>
      <c r="NTH369" s="286"/>
      <c r="NTI369" s="287"/>
      <c r="NTJ369" s="296"/>
      <c r="NTK369" s="457"/>
      <c r="NTL369" s="664"/>
      <c r="NTM369" s="521"/>
      <c r="NTN369" s="362"/>
      <c r="NTO369" s="295"/>
      <c r="NTP369" s="656"/>
      <c r="NTQ369" s="286"/>
      <c r="NTR369" s="287"/>
      <c r="NTS369" s="296"/>
      <c r="NTT369" s="457"/>
      <c r="NTU369" s="664"/>
      <c r="NTV369" s="521"/>
      <c r="NTW369" s="362"/>
      <c r="NTX369" s="295"/>
      <c r="NTY369" s="656"/>
      <c r="NTZ369" s="286"/>
      <c r="NUA369" s="287"/>
      <c r="NUB369" s="296"/>
      <c r="NUC369" s="457"/>
      <c r="NUD369" s="664"/>
      <c r="NUE369" s="521"/>
      <c r="NUF369" s="362"/>
      <c r="NUG369" s="295"/>
      <c r="NUH369" s="656"/>
      <c r="NUI369" s="286"/>
      <c r="NUJ369" s="287"/>
      <c r="NUK369" s="296"/>
      <c r="NUL369" s="457"/>
      <c r="NUM369" s="664"/>
      <c r="NUN369" s="521"/>
      <c r="NUO369" s="362"/>
      <c r="NUP369" s="295"/>
      <c r="NUQ369" s="656"/>
      <c r="NUR369" s="286"/>
      <c r="NUS369" s="287"/>
      <c r="NUT369" s="296"/>
      <c r="NUU369" s="457"/>
      <c r="NUV369" s="664"/>
      <c r="NUW369" s="521"/>
      <c r="NUX369" s="362"/>
      <c r="NUY369" s="295"/>
      <c r="NUZ369" s="656"/>
      <c r="NVA369" s="286"/>
      <c r="NVB369" s="287"/>
      <c r="NVC369" s="296"/>
      <c r="NVD369" s="457"/>
      <c r="NVE369" s="664"/>
      <c r="NVF369" s="521"/>
      <c r="NVG369" s="362"/>
      <c r="NVH369" s="295"/>
      <c r="NVI369" s="656"/>
      <c r="NVJ369" s="286"/>
      <c r="NVK369" s="287"/>
      <c r="NVL369" s="296"/>
      <c r="NVM369" s="457"/>
      <c r="NVN369" s="664"/>
      <c r="NVO369" s="521"/>
      <c r="NVP369" s="362"/>
      <c r="NVQ369" s="295"/>
      <c r="NVR369" s="656"/>
      <c r="NVS369" s="286"/>
      <c r="NVT369" s="287"/>
      <c r="NVU369" s="296"/>
      <c r="NVV369" s="457"/>
      <c r="NVW369" s="664"/>
      <c r="NVX369" s="521"/>
      <c r="NVY369" s="362"/>
      <c r="NVZ369" s="295"/>
      <c r="NWA369" s="656"/>
      <c r="NWB369" s="286"/>
      <c r="NWC369" s="287"/>
      <c r="NWD369" s="296"/>
      <c r="NWE369" s="457"/>
      <c r="NWF369" s="664"/>
      <c r="NWG369" s="521"/>
      <c r="NWH369" s="362"/>
      <c r="NWI369" s="295"/>
      <c r="NWJ369" s="656"/>
      <c r="NWK369" s="286"/>
      <c r="NWL369" s="287"/>
      <c r="NWM369" s="296"/>
      <c r="NWN369" s="457"/>
      <c r="NWO369" s="664"/>
      <c r="NWP369" s="521"/>
      <c r="NWQ369" s="362"/>
      <c r="NWR369" s="295"/>
      <c r="NWS369" s="656"/>
      <c r="NWT369" s="286"/>
      <c r="NWU369" s="287"/>
      <c r="NWV369" s="296"/>
      <c r="NWW369" s="457"/>
      <c r="NWX369" s="664"/>
      <c r="NWY369" s="521"/>
      <c r="NWZ369" s="362"/>
      <c r="NXA369" s="295"/>
      <c r="NXB369" s="656"/>
      <c r="NXC369" s="286"/>
      <c r="NXD369" s="287"/>
      <c r="NXE369" s="296"/>
      <c r="NXF369" s="457"/>
      <c r="NXG369" s="664"/>
      <c r="NXH369" s="521"/>
      <c r="NXI369" s="362"/>
      <c r="NXJ369" s="295"/>
      <c r="NXK369" s="656"/>
      <c r="NXL369" s="286"/>
      <c r="NXM369" s="287"/>
      <c r="NXN369" s="296"/>
      <c r="NXO369" s="457"/>
      <c r="NXP369" s="664"/>
      <c r="NXQ369" s="521"/>
      <c r="NXR369" s="362"/>
      <c r="NXS369" s="295"/>
      <c r="NXT369" s="656"/>
      <c r="NXU369" s="286"/>
      <c r="NXV369" s="287"/>
      <c r="NXW369" s="296"/>
      <c r="NXX369" s="457"/>
      <c r="NXY369" s="664"/>
      <c r="NXZ369" s="521"/>
      <c r="NYA369" s="362"/>
      <c r="NYB369" s="295"/>
      <c r="NYC369" s="656"/>
      <c r="NYD369" s="286"/>
      <c r="NYE369" s="287"/>
      <c r="NYF369" s="296"/>
      <c r="NYG369" s="457"/>
      <c r="NYH369" s="664"/>
      <c r="NYI369" s="521"/>
      <c r="NYJ369" s="362"/>
      <c r="NYK369" s="295"/>
      <c r="NYL369" s="656"/>
      <c r="NYM369" s="286"/>
      <c r="NYN369" s="287"/>
      <c r="NYO369" s="296"/>
      <c r="NYP369" s="457"/>
      <c r="NYQ369" s="664"/>
      <c r="NYR369" s="521"/>
      <c r="NYS369" s="362"/>
      <c r="NYT369" s="295"/>
      <c r="NYU369" s="656"/>
      <c r="NYV369" s="286"/>
      <c r="NYW369" s="287"/>
      <c r="NYX369" s="296"/>
      <c r="NYY369" s="457"/>
      <c r="NYZ369" s="664"/>
      <c r="NZA369" s="521"/>
      <c r="NZB369" s="362"/>
      <c r="NZC369" s="295"/>
      <c r="NZD369" s="656"/>
      <c r="NZE369" s="286"/>
      <c r="NZF369" s="287"/>
      <c r="NZG369" s="296"/>
      <c r="NZH369" s="457"/>
      <c r="NZI369" s="664"/>
      <c r="NZJ369" s="521"/>
      <c r="NZK369" s="362"/>
      <c r="NZL369" s="295"/>
      <c r="NZM369" s="656"/>
      <c r="NZN369" s="286"/>
      <c r="NZO369" s="287"/>
      <c r="NZP369" s="296"/>
      <c r="NZQ369" s="457"/>
      <c r="NZR369" s="664"/>
      <c r="NZS369" s="521"/>
      <c r="NZT369" s="362"/>
      <c r="NZU369" s="295"/>
      <c r="NZV369" s="656"/>
      <c r="NZW369" s="286"/>
      <c r="NZX369" s="287"/>
      <c r="NZY369" s="296"/>
      <c r="NZZ369" s="457"/>
      <c r="OAA369" s="664"/>
      <c r="OAB369" s="521"/>
      <c r="OAC369" s="362"/>
      <c r="OAD369" s="295"/>
      <c r="OAE369" s="656"/>
      <c r="OAF369" s="286"/>
      <c r="OAG369" s="287"/>
      <c r="OAH369" s="296"/>
      <c r="OAI369" s="457"/>
      <c r="OAJ369" s="664"/>
      <c r="OAK369" s="521"/>
      <c r="OAL369" s="362"/>
      <c r="OAM369" s="295"/>
      <c r="OAN369" s="656"/>
      <c r="OAO369" s="286"/>
      <c r="OAP369" s="287"/>
      <c r="OAQ369" s="296"/>
      <c r="OAR369" s="457"/>
      <c r="OAS369" s="664"/>
      <c r="OAT369" s="521"/>
      <c r="OAU369" s="362"/>
      <c r="OAV369" s="295"/>
      <c r="OAW369" s="656"/>
      <c r="OAX369" s="286"/>
      <c r="OAY369" s="287"/>
      <c r="OAZ369" s="296"/>
      <c r="OBA369" s="457"/>
      <c r="OBB369" s="664"/>
      <c r="OBC369" s="521"/>
      <c r="OBD369" s="362"/>
      <c r="OBE369" s="295"/>
      <c r="OBF369" s="656"/>
      <c r="OBG369" s="286"/>
      <c r="OBH369" s="287"/>
      <c r="OBI369" s="296"/>
      <c r="OBJ369" s="457"/>
      <c r="OBK369" s="664"/>
      <c r="OBL369" s="521"/>
      <c r="OBM369" s="362"/>
      <c r="OBN369" s="295"/>
      <c r="OBO369" s="656"/>
      <c r="OBP369" s="286"/>
      <c r="OBQ369" s="287"/>
      <c r="OBR369" s="296"/>
      <c r="OBS369" s="457"/>
      <c r="OBT369" s="664"/>
      <c r="OBU369" s="521"/>
      <c r="OBV369" s="362"/>
      <c r="OBW369" s="295"/>
      <c r="OBX369" s="656"/>
      <c r="OBY369" s="286"/>
      <c r="OBZ369" s="287"/>
      <c r="OCA369" s="296"/>
      <c r="OCB369" s="457"/>
      <c r="OCC369" s="664"/>
      <c r="OCD369" s="521"/>
      <c r="OCE369" s="362"/>
      <c r="OCF369" s="295"/>
      <c r="OCG369" s="656"/>
      <c r="OCH369" s="286"/>
      <c r="OCI369" s="287"/>
      <c r="OCJ369" s="296"/>
      <c r="OCK369" s="457"/>
      <c r="OCL369" s="664"/>
      <c r="OCM369" s="521"/>
      <c r="OCN369" s="362"/>
      <c r="OCO369" s="295"/>
      <c r="OCP369" s="656"/>
      <c r="OCQ369" s="286"/>
      <c r="OCR369" s="287"/>
      <c r="OCS369" s="296"/>
      <c r="OCT369" s="457"/>
      <c r="OCU369" s="664"/>
      <c r="OCV369" s="521"/>
      <c r="OCW369" s="362"/>
      <c r="OCX369" s="295"/>
      <c r="OCY369" s="656"/>
      <c r="OCZ369" s="286"/>
      <c r="ODA369" s="287"/>
      <c r="ODB369" s="296"/>
      <c r="ODC369" s="457"/>
      <c r="ODD369" s="664"/>
      <c r="ODE369" s="521"/>
      <c r="ODF369" s="362"/>
      <c r="ODG369" s="295"/>
      <c r="ODH369" s="656"/>
      <c r="ODI369" s="286"/>
      <c r="ODJ369" s="287"/>
      <c r="ODK369" s="296"/>
      <c r="ODL369" s="457"/>
      <c r="ODM369" s="664"/>
      <c r="ODN369" s="521"/>
      <c r="ODO369" s="362"/>
      <c r="ODP369" s="295"/>
      <c r="ODQ369" s="656"/>
      <c r="ODR369" s="286"/>
      <c r="ODS369" s="287"/>
      <c r="ODT369" s="296"/>
      <c r="ODU369" s="457"/>
      <c r="ODV369" s="664"/>
      <c r="ODW369" s="521"/>
      <c r="ODX369" s="362"/>
      <c r="ODY369" s="295"/>
      <c r="ODZ369" s="656"/>
      <c r="OEA369" s="286"/>
      <c r="OEB369" s="287"/>
      <c r="OEC369" s="296"/>
      <c r="OED369" s="457"/>
      <c r="OEE369" s="664"/>
      <c r="OEF369" s="521"/>
      <c r="OEG369" s="362"/>
      <c r="OEH369" s="295"/>
      <c r="OEI369" s="656"/>
      <c r="OEJ369" s="286"/>
      <c r="OEK369" s="287"/>
      <c r="OEL369" s="296"/>
      <c r="OEM369" s="457"/>
      <c r="OEN369" s="664"/>
      <c r="OEO369" s="521"/>
      <c r="OEP369" s="362"/>
      <c r="OEQ369" s="295"/>
      <c r="OER369" s="656"/>
      <c r="OES369" s="286"/>
      <c r="OET369" s="287"/>
      <c r="OEU369" s="296"/>
      <c r="OEV369" s="457"/>
      <c r="OEW369" s="664"/>
      <c r="OEX369" s="521"/>
      <c r="OEY369" s="362"/>
      <c r="OEZ369" s="295"/>
      <c r="OFA369" s="656"/>
      <c r="OFB369" s="286"/>
      <c r="OFC369" s="287"/>
      <c r="OFD369" s="296"/>
      <c r="OFE369" s="457"/>
      <c r="OFF369" s="664"/>
      <c r="OFG369" s="521"/>
      <c r="OFH369" s="362"/>
      <c r="OFI369" s="295"/>
      <c r="OFJ369" s="656"/>
      <c r="OFK369" s="286"/>
      <c r="OFL369" s="287"/>
      <c r="OFM369" s="296"/>
      <c r="OFN369" s="457"/>
      <c r="OFO369" s="664"/>
      <c r="OFP369" s="521"/>
      <c r="OFQ369" s="362"/>
      <c r="OFR369" s="295"/>
      <c r="OFS369" s="656"/>
      <c r="OFT369" s="286"/>
      <c r="OFU369" s="287"/>
      <c r="OFV369" s="296"/>
      <c r="OFW369" s="457"/>
      <c r="OFX369" s="664"/>
      <c r="OFY369" s="521"/>
      <c r="OFZ369" s="362"/>
      <c r="OGA369" s="295"/>
      <c r="OGB369" s="656"/>
      <c r="OGC369" s="286"/>
      <c r="OGD369" s="287"/>
      <c r="OGE369" s="296"/>
      <c r="OGF369" s="457"/>
      <c r="OGG369" s="664"/>
      <c r="OGH369" s="521"/>
      <c r="OGI369" s="362"/>
      <c r="OGJ369" s="295"/>
      <c r="OGK369" s="656"/>
      <c r="OGL369" s="286"/>
      <c r="OGM369" s="287"/>
      <c r="OGN369" s="296"/>
      <c r="OGO369" s="457"/>
      <c r="OGP369" s="664"/>
      <c r="OGQ369" s="521"/>
      <c r="OGR369" s="362"/>
      <c r="OGS369" s="295"/>
      <c r="OGT369" s="656"/>
      <c r="OGU369" s="286"/>
      <c r="OGV369" s="287"/>
      <c r="OGW369" s="296"/>
      <c r="OGX369" s="457"/>
      <c r="OGY369" s="664"/>
      <c r="OGZ369" s="521"/>
      <c r="OHA369" s="362"/>
      <c r="OHB369" s="295"/>
      <c r="OHC369" s="656"/>
      <c r="OHD369" s="286"/>
      <c r="OHE369" s="287"/>
      <c r="OHF369" s="296"/>
      <c r="OHG369" s="457"/>
      <c r="OHH369" s="664"/>
      <c r="OHI369" s="521"/>
      <c r="OHJ369" s="362"/>
      <c r="OHK369" s="295"/>
      <c r="OHL369" s="656"/>
      <c r="OHM369" s="286"/>
      <c r="OHN369" s="287"/>
      <c r="OHO369" s="296"/>
      <c r="OHP369" s="457"/>
      <c r="OHQ369" s="664"/>
      <c r="OHR369" s="521"/>
      <c r="OHS369" s="362"/>
      <c r="OHT369" s="295"/>
      <c r="OHU369" s="656"/>
      <c r="OHV369" s="286"/>
      <c r="OHW369" s="287"/>
      <c r="OHX369" s="296"/>
      <c r="OHY369" s="457"/>
      <c r="OHZ369" s="664"/>
      <c r="OIA369" s="521"/>
      <c r="OIB369" s="362"/>
      <c r="OIC369" s="295"/>
      <c r="OID369" s="656"/>
      <c r="OIE369" s="286"/>
      <c r="OIF369" s="287"/>
      <c r="OIG369" s="296"/>
      <c r="OIH369" s="457"/>
      <c r="OII369" s="664"/>
      <c r="OIJ369" s="521"/>
      <c r="OIK369" s="362"/>
      <c r="OIL369" s="295"/>
      <c r="OIM369" s="656"/>
      <c r="OIN369" s="286"/>
      <c r="OIO369" s="287"/>
      <c r="OIP369" s="296"/>
      <c r="OIQ369" s="457"/>
      <c r="OIR369" s="664"/>
      <c r="OIS369" s="521"/>
      <c r="OIT369" s="362"/>
      <c r="OIU369" s="295"/>
      <c r="OIV369" s="656"/>
      <c r="OIW369" s="286"/>
      <c r="OIX369" s="287"/>
      <c r="OIY369" s="296"/>
      <c r="OIZ369" s="457"/>
      <c r="OJA369" s="664"/>
      <c r="OJB369" s="521"/>
      <c r="OJC369" s="362"/>
      <c r="OJD369" s="295"/>
      <c r="OJE369" s="656"/>
      <c r="OJF369" s="286"/>
      <c r="OJG369" s="287"/>
      <c r="OJH369" s="296"/>
      <c r="OJI369" s="457"/>
      <c r="OJJ369" s="664"/>
      <c r="OJK369" s="521"/>
      <c r="OJL369" s="362"/>
      <c r="OJM369" s="295"/>
      <c r="OJN369" s="656"/>
      <c r="OJO369" s="286"/>
      <c r="OJP369" s="287"/>
      <c r="OJQ369" s="296"/>
      <c r="OJR369" s="457"/>
      <c r="OJS369" s="664"/>
      <c r="OJT369" s="521"/>
      <c r="OJU369" s="362"/>
      <c r="OJV369" s="295"/>
      <c r="OJW369" s="656"/>
      <c r="OJX369" s="286"/>
      <c r="OJY369" s="287"/>
      <c r="OJZ369" s="296"/>
      <c r="OKA369" s="457"/>
      <c r="OKB369" s="664"/>
      <c r="OKC369" s="521"/>
      <c r="OKD369" s="362"/>
      <c r="OKE369" s="295"/>
      <c r="OKF369" s="656"/>
      <c r="OKG369" s="286"/>
      <c r="OKH369" s="287"/>
      <c r="OKI369" s="296"/>
      <c r="OKJ369" s="457"/>
      <c r="OKK369" s="664"/>
      <c r="OKL369" s="521"/>
      <c r="OKM369" s="362"/>
      <c r="OKN369" s="295"/>
      <c r="OKO369" s="656"/>
      <c r="OKP369" s="286"/>
      <c r="OKQ369" s="287"/>
      <c r="OKR369" s="296"/>
      <c r="OKS369" s="457"/>
      <c r="OKT369" s="664"/>
      <c r="OKU369" s="521"/>
      <c r="OKV369" s="362"/>
      <c r="OKW369" s="295"/>
      <c r="OKX369" s="656"/>
      <c r="OKY369" s="286"/>
      <c r="OKZ369" s="287"/>
      <c r="OLA369" s="296"/>
      <c r="OLB369" s="457"/>
      <c r="OLC369" s="664"/>
      <c r="OLD369" s="521"/>
      <c r="OLE369" s="362"/>
      <c r="OLF369" s="295"/>
      <c r="OLG369" s="656"/>
      <c r="OLH369" s="286"/>
      <c r="OLI369" s="287"/>
      <c r="OLJ369" s="296"/>
      <c r="OLK369" s="457"/>
      <c r="OLL369" s="664"/>
      <c r="OLM369" s="521"/>
      <c r="OLN369" s="362"/>
      <c r="OLO369" s="295"/>
      <c r="OLP369" s="656"/>
      <c r="OLQ369" s="286"/>
      <c r="OLR369" s="287"/>
      <c r="OLS369" s="296"/>
      <c r="OLT369" s="457"/>
      <c r="OLU369" s="664"/>
      <c r="OLV369" s="521"/>
      <c r="OLW369" s="362"/>
      <c r="OLX369" s="295"/>
      <c r="OLY369" s="656"/>
      <c r="OLZ369" s="286"/>
      <c r="OMA369" s="287"/>
      <c r="OMB369" s="296"/>
      <c r="OMC369" s="457"/>
      <c r="OMD369" s="664"/>
      <c r="OME369" s="521"/>
      <c r="OMF369" s="362"/>
      <c r="OMG369" s="295"/>
      <c r="OMH369" s="656"/>
      <c r="OMI369" s="286"/>
      <c r="OMJ369" s="287"/>
      <c r="OMK369" s="296"/>
      <c r="OML369" s="457"/>
      <c r="OMM369" s="664"/>
      <c r="OMN369" s="521"/>
      <c r="OMO369" s="362"/>
      <c r="OMP369" s="295"/>
      <c r="OMQ369" s="656"/>
      <c r="OMR369" s="286"/>
      <c r="OMS369" s="287"/>
      <c r="OMT369" s="296"/>
      <c r="OMU369" s="457"/>
      <c r="OMV369" s="664"/>
      <c r="OMW369" s="521"/>
      <c r="OMX369" s="362"/>
      <c r="OMY369" s="295"/>
      <c r="OMZ369" s="656"/>
      <c r="ONA369" s="286"/>
      <c r="ONB369" s="287"/>
      <c r="ONC369" s="296"/>
      <c r="OND369" s="457"/>
      <c r="ONE369" s="664"/>
      <c r="ONF369" s="521"/>
      <c r="ONG369" s="362"/>
      <c r="ONH369" s="295"/>
      <c r="ONI369" s="656"/>
      <c r="ONJ369" s="286"/>
      <c r="ONK369" s="287"/>
      <c r="ONL369" s="296"/>
      <c r="ONM369" s="457"/>
      <c r="ONN369" s="664"/>
      <c r="ONO369" s="521"/>
      <c r="ONP369" s="362"/>
      <c r="ONQ369" s="295"/>
      <c r="ONR369" s="656"/>
      <c r="ONS369" s="286"/>
      <c r="ONT369" s="287"/>
      <c r="ONU369" s="296"/>
      <c r="ONV369" s="457"/>
      <c r="ONW369" s="664"/>
      <c r="ONX369" s="521"/>
      <c r="ONY369" s="362"/>
      <c r="ONZ369" s="295"/>
      <c r="OOA369" s="656"/>
      <c r="OOB369" s="286"/>
      <c r="OOC369" s="287"/>
      <c r="OOD369" s="296"/>
      <c r="OOE369" s="457"/>
      <c r="OOF369" s="664"/>
      <c r="OOG369" s="521"/>
      <c r="OOH369" s="362"/>
      <c r="OOI369" s="295"/>
      <c r="OOJ369" s="656"/>
      <c r="OOK369" s="286"/>
      <c r="OOL369" s="287"/>
      <c r="OOM369" s="296"/>
      <c r="OON369" s="457"/>
      <c r="OOO369" s="664"/>
      <c r="OOP369" s="521"/>
      <c r="OOQ369" s="362"/>
      <c r="OOR369" s="295"/>
      <c r="OOS369" s="656"/>
      <c r="OOT369" s="286"/>
      <c r="OOU369" s="287"/>
      <c r="OOV369" s="296"/>
      <c r="OOW369" s="457"/>
      <c r="OOX369" s="664"/>
      <c r="OOY369" s="521"/>
      <c r="OOZ369" s="362"/>
      <c r="OPA369" s="295"/>
      <c r="OPB369" s="656"/>
      <c r="OPC369" s="286"/>
      <c r="OPD369" s="287"/>
      <c r="OPE369" s="296"/>
      <c r="OPF369" s="457"/>
      <c r="OPG369" s="664"/>
      <c r="OPH369" s="521"/>
      <c r="OPI369" s="362"/>
      <c r="OPJ369" s="295"/>
      <c r="OPK369" s="656"/>
      <c r="OPL369" s="286"/>
      <c r="OPM369" s="287"/>
      <c r="OPN369" s="296"/>
      <c r="OPO369" s="457"/>
      <c r="OPP369" s="664"/>
      <c r="OPQ369" s="521"/>
      <c r="OPR369" s="362"/>
      <c r="OPS369" s="295"/>
      <c r="OPT369" s="656"/>
      <c r="OPU369" s="286"/>
      <c r="OPV369" s="287"/>
      <c r="OPW369" s="296"/>
      <c r="OPX369" s="457"/>
      <c r="OPY369" s="664"/>
      <c r="OPZ369" s="521"/>
      <c r="OQA369" s="362"/>
      <c r="OQB369" s="295"/>
      <c r="OQC369" s="656"/>
      <c r="OQD369" s="286"/>
      <c r="OQE369" s="287"/>
      <c r="OQF369" s="296"/>
      <c r="OQG369" s="457"/>
      <c r="OQH369" s="664"/>
      <c r="OQI369" s="521"/>
      <c r="OQJ369" s="362"/>
      <c r="OQK369" s="295"/>
      <c r="OQL369" s="656"/>
      <c r="OQM369" s="286"/>
      <c r="OQN369" s="287"/>
      <c r="OQO369" s="296"/>
      <c r="OQP369" s="457"/>
      <c r="OQQ369" s="664"/>
      <c r="OQR369" s="521"/>
      <c r="OQS369" s="362"/>
      <c r="OQT369" s="295"/>
      <c r="OQU369" s="656"/>
      <c r="OQV369" s="286"/>
      <c r="OQW369" s="287"/>
      <c r="OQX369" s="296"/>
      <c r="OQY369" s="457"/>
      <c r="OQZ369" s="664"/>
      <c r="ORA369" s="521"/>
      <c r="ORB369" s="362"/>
      <c r="ORC369" s="295"/>
      <c r="ORD369" s="656"/>
      <c r="ORE369" s="286"/>
      <c r="ORF369" s="287"/>
      <c r="ORG369" s="296"/>
      <c r="ORH369" s="457"/>
      <c r="ORI369" s="664"/>
      <c r="ORJ369" s="521"/>
      <c r="ORK369" s="362"/>
      <c r="ORL369" s="295"/>
      <c r="ORM369" s="656"/>
      <c r="ORN369" s="286"/>
      <c r="ORO369" s="287"/>
      <c r="ORP369" s="296"/>
      <c r="ORQ369" s="457"/>
      <c r="ORR369" s="664"/>
      <c r="ORS369" s="521"/>
      <c r="ORT369" s="362"/>
      <c r="ORU369" s="295"/>
      <c r="ORV369" s="656"/>
      <c r="ORW369" s="286"/>
      <c r="ORX369" s="287"/>
      <c r="ORY369" s="296"/>
      <c r="ORZ369" s="457"/>
      <c r="OSA369" s="664"/>
      <c r="OSB369" s="521"/>
      <c r="OSC369" s="362"/>
      <c r="OSD369" s="295"/>
      <c r="OSE369" s="656"/>
      <c r="OSF369" s="286"/>
      <c r="OSG369" s="287"/>
      <c r="OSH369" s="296"/>
      <c r="OSI369" s="457"/>
      <c r="OSJ369" s="664"/>
      <c r="OSK369" s="521"/>
      <c r="OSL369" s="362"/>
      <c r="OSM369" s="295"/>
      <c r="OSN369" s="656"/>
      <c r="OSO369" s="286"/>
      <c r="OSP369" s="287"/>
      <c r="OSQ369" s="296"/>
      <c r="OSR369" s="457"/>
      <c r="OSS369" s="664"/>
      <c r="OST369" s="521"/>
      <c r="OSU369" s="362"/>
      <c r="OSV369" s="295"/>
      <c r="OSW369" s="656"/>
      <c r="OSX369" s="286"/>
      <c r="OSY369" s="287"/>
      <c r="OSZ369" s="296"/>
      <c r="OTA369" s="457"/>
      <c r="OTB369" s="664"/>
      <c r="OTC369" s="521"/>
      <c r="OTD369" s="362"/>
      <c r="OTE369" s="295"/>
      <c r="OTF369" s="656"/>
      <c r="OTG369" s="286"/>
      <c r="OTH369" s="287"/>
      <c r="OTI369" s="296"/>
      <c r="OTJ369" s="457"/>
      <c r="OTK369" s="664"/>
      <c r="OTL369" s="521"/>
      <c r="OTM369" s="362"/>
      <c r="OTN369" s="295"/>
      <c r="OTO369" s="656"/>
      <c r="OTP369" s="286"/>
      <c r="OTQ369" s="287"/>
      <c r="OTR369" s="296"/>
      <c r="OTS369" s="457"/>
      <c r="OTT369" s="664"/>
      <c r="OTU369" s="521"/>
      <c r="OTV369" s="362"/>
      <c r="OTW369" s="295"/>
      <c r="OTX369" s="656"/>
      <c r="OTY369" s="286"/>
      <c r="OTZ369" s="287"/>
      <c r="OUA369" s="296"/>
      <c r="OUB369" s="457"/>
      <c r="OUC369" s="664"/>
      <c r="OUD369" s="521"/>
      <c r="OUE369" s="362"/>
      <c r="OUF369" s="295"/>
      <c r="OUG369" s="656"/>
      <c r="OUH369" s="286"/>
      <c r="OUI369" s="287"/>
      <c r="OUJ369" s="296"/>
      <c r="OUK369" s="457"/>
      <c r="OUL369" s="664"/>
      <c r="OUM369" s="521"/>
      <c r="OUN369" s="362"/>
      <c r="OUO369" s="295"/>
      <c r="OUP369" s="656"/>
      <c r="OUQ369" s="286"/>
      <c r="OUR369" s="287"/>
      <c r="OUS369" s="296"/>
      <c r="OUT369" s="457"/>
      <c r="OUU369" s="664"/>
      <c r="OUV369" s="521"/>
      <c r="OUW369" s="362"/>
      <c r="OUX369" s="295"/>
      <c r="OUY369" s="656"/>
      <c r="OUZ369" s="286"/>
      <c r="OVA369" s="287"/>
      <c r="OVB369" s="296"/>
      <c r="OVC369" s="457"/>
      <c r="OVD369" s="664"/>
      <c r="OVE369" s="521"/>
      <c r="OVF369" s="362"/>
      <c r="OVG369" s="295"/>
      <c r="OVH369" s="656"/>
      <c r="OVI369" s="286"/>
      <c r="OVJ369" s="287"/>
      <c r="OVK369" s="296"/>
      <c r="OVL369" s="457"/>
      <c r="OVM369" s="664"/>
      <c r="OVN369" s="521"/>
      <c r="OVO369" s="362"/>
      <c r="OVP369" s="295"/>
      <c r="OVQ369" s="656"/>
      <c r="OVR369" s="286"/>
      <c r="OVS369" s="287"/>
      <c r="OVT369" s="296"/>
      <c r="OVU369" s="457"/>
      <c r="OVV369" s="664"/>
      <c r="OVW369" s="521"/>
      <c r="OVX369" s="362"/>
      <c r="OVY369" s="295"/>
      <c r="OVZ369" s="656"/>
      <c r="OWA369" s="286"/>
      <c r="OWB369" s="287"/>
      <c r="OWC369" s="296"/>
      <c r="OWD369" s="457"/>
      <c r="OWE369" s="664"/>
      <c r="OWF369" s="521"/>
      <c r="OWG369" s="362"/>
      <c r="OWH369" s="295"/>
      <c r="OWI369" s="656"/>
      <c r="OWJ369" s="286"/>
      <c r="OWK369" s="287"/>
      <c r="OWL369" s="296"/>
      <c r="OWM369" s="457"/>
      <c r="OWN369" s="664"/>
      <c r="OWO369" s="521"/>
      <c r="OWP369" s="362"/>
      <c r="OWQ369" s="295"/>
      <c r="OWR369" s="656"/>
      <c r="OWS369" s="286"/>
      <c r="OWT369" s="287"/>
      <c r="OWU369" s="296"/>
      <c r="OWV369" s="457"/>
      <c r="OWW369" s="664"/>
      <c r="OWX369" s="521"/>
      <c r="OWY369" s="362"/>
      <c r="OWZ369" s="295"/>
      <c r="OXA369" s="656"/>
      <c r="OXB369" s="286"/>
      <c r="OXC369" s="287"/>
      <c r="OXD369" s="296"/>
      <c r="OXE369" s="457"/>
      <c r="OXF369" s="664"/>
      <c r="OXG369" s="521"/>
      <c r="OXH369" s="362"/>
      <c r="OXI369" s="295"/>
      <c r="OXJ369" s="656"/>
      <c r="OXK369" s="286"/>
      <c r="OXL369" s="287"/>
      <c r="OXM369" s="296"/>
      <c r="OXN369" s="457"/>
      <c r="OXO369" s="664"/>
      <c r="OXP369" s="521"/>
      <c r="OXQ369" s="362"/>
      <c r="OXR369" s="295"/>
      <c r="OXS369" s="656"/>
      <c r="OXT369" s="286"/>
      <c r="OXU369" s="287"/>
      <c r="OXV369" s="296"/>
      <c r="OXW369" s="457"/>
      <c r="OXX369" s="664"/>
      <c r="OXY369" s="521"/>
      <c r="OXZ369" s="362"/>
      <c r="OYA369" s="295"/>
      <c r="OYB369" s="656"/>
      <c r="OYC369" s="286"/>
      <c r="OYD369" s="287"/>
      <c r="OYE369" s="296"/>
      <c r="OYF369" s="457"/>
      <c r="OYG369" s="664"/>
      <c r="OYH369" s="521"/>
      <c r="OYI369" s="362"/>
      <c r="OYJ369" s="295"/>
      <c r="OYK369" s="656"/>
      <c r="OYL369" s="286"/>
      <c r="OYM369" s="287"/>
      <c r="OYN369" s="296"/>
      <c r="OYO369" s="457"/>
      <c r="OYP369" s="664"/>
      <c r="OYQ369" s="521"/>
      <c r="OYR369" s="362"/>
      <c r="OYS369" s="295"/>
      <c r="OYT369" s="656"/>
      <c r="OYU369" s="286"/>
      <c r="OYV369" s="287"/>
      <c r="OYW369" s="296"/>
      <c r="OYX369" s="457"/>
      <c r="OYY369" s="664"/>
      <c r="OYZ369" s="521"/>
      <c r="OZA369" s="362"/>
      <c r="OZB369" s="295"/>
      <c r="OZC369" s="656"/>
      <c r="OZD369" s="286"/>
      <c r="OZE369" s="287"/>
      <c r="OZF369" s="296"/>
      <c r="OZG369" s="457"/>
      <c r="OZH369" s="664"/>
      <c r="OZI369" s="521"/>
      <c r="OZJ369" s="362"/>
      <c r="OZK369" s="295"/>
      <c r="OZL369" s="656"/>
      <c r="OZM369" s="286"/>
      <c r="OZN369" s="287"/>
      <c r="OZO369" s="296"/>
      <c r="OZP369" s="457"/>
      <c r="OZQ369" s="664"/>
      <c r="OZR369" s="521"/>
      <c r="OZS369" s="362"/>
      <c r="OZT369" s="295"/>
      <c r="OZU369" s="656"/>
      <c r="OZV369" s="286"/>
      <c r="OZW369" s="287"/>
      <c r="OZX369" s="296"/>
      <c r="OZY369" s="457"/>
      <c r="OZZ369" s="664"/>
      <c r="PAA369" s="521"/>
      <c r="PAB369" s="362"/>
      <c r="PAC369" s="295"/>
      <c r="PAD369" s="656"/>
      <c r="PAE369" s="286"/>
      <c r="PAF369" s="287"/>
      <c r="PAG369" s="296"/>
      <c r="PAH369" s="457"/>
      <c r="PAI369" s="664"/>
      <c r="PAJ369" s="521"/>
      <c r="PAK369" s="362"/>
      <c r="PAL369" s="295"/>
      <c r="PAM369" s="656"/>
      <c r="PAN369" s="286"/>
      <c r="PAO369" s="287"/>
      <c r="PAP369" s="296"/>
      <c r="PAQ369" s="457"/>
      <c r="PAR369" s="664"/>
      <c r="PAS369" s="521"/>
      <c r="PAT369" s="362"/>
      <c r="PAU369" s="295"/>
      <c r="PAV369" s="656"/>
      <c r="PAW369" s="286"/>
      <c r="PAX369" s="287"/>
      <c r="PAY369" s="296"/>
      <c r="PAZ369" s="457"/>
      <c r="PBA369" s="664"/>
      <c r="PBB369" s="521"/>
      <c r="PBC369" s="362"/>
      <c r="PBD369" s="295"/>
      <c r="PBE369" s="656"/>
      <c r="PBF369" s="286"/>
      <c r="PBG369" s="287"/>
      <c r="PBH369" s="296"/>
      <c r="PBI369" s="457"/>
      <c r="PBJ369" s="664"/>
      <c r="PBK369" s="521"/>
      <c r="PBL369" s="362"/>
      <c r="PBM369" s="295"/>
      <c r="PBN369" s="656"/>
      <c r="PBO369" s="286"/>
      <c r="PBP369" s="287"/>
      <c r="PBQ369" s="296"/>
      <c r="PBR369" s="457"/>
      <c r="PBS369" s="664"/>
      <c r="PBT369" s="521"/>
      <c r="PBU369" s="362"/>
      <c r="PBV369" s="295"/>
      <c r="PBW369" s="656"/>
      <c r="PBX369" s="286"/>
      <c r="PBY369" s="287"/>
      <c r="PBZ369" s="296"/>
      <c r="PCA369" s="457"/>
      <c r="PCB369" s="664"/>
      <c r="PCC369" s="521"/>
      <c r="PCD369" s="362"/>
      <c r="PCE369" s="295"/>
      <c r="PCF369" s="656"/>
      <c r="PCG369" s="286"/>
      <c r="PCH369" s="287"/>
      <c r="PCI369" s="296"/>
      <c r="PCJ369" s="457"/>
      <c r="PCK369" s="664"/>
      <c r="PCL369" s="521"/>
      <c r="PCM369" s="362"/>
      <c r="PCN369" s="295"/>
      <c r="PCO369" s="656"/>
      <c r="PCP369" s="286"/>
      <c r="PCQ369" s="287"/>
      <c r="PCR369" s="296"/>
      <c r="PCS369" s="457"/>
      <c r="PCT369" s="664"/>
      <c r="PCU369" s="521"/>
      <c r="PCV369" s="362"/>
      <c r="PCW369" s="295"/>
      <c r="PCX369" s="656"/>
      <c r="PCY369" s="286"/>
      <c r="PCZ369" s="287"/>
      <c r="PDA369" s="296"/>
      <c r="PDB369" s="457"/>
      <c r="PDC369" s="664"/>
      <c r="PDD369" s="521"/>
      <c r="PDE369" s="362"/>
      <c r="PDF369" s="295"/>
      <c r="PDG369" s="656"/>
      <c r="PDH369" s="286"/>
      <c r="PDI369" s="287"/>
      <c r="PDJ369" s="296"/>
      <c r="PDK369" s="457"/>
      <c r="PDL369" s="664"/>
      <c r="PDM369" s="521"/>
      <c r="PDN369" s="362"/>
      <c r="PDO369" s="295"/>
      <c r="PDP369" s="656"/>
      <c r="PDQ369" s="286"/>
      <c r="PDR369" s="287"/>
      <c r="PDS369" s="296"/>
      <c r="PDT369" s="457"/>
      <c r="PDU369" s="664"/>
      <c r="PDV369" s="521"/>
      <c r="PDW369" s="362"/>
      <c r="PDX369" s="295"/>
      <c r="PDY369" s="656"/>
      <c r="PDZ369" s="286"/>
      <c r="PEA369" s="287"/>
      <c r="PEB369" s="296"/>
      <c r="PEC369" s="457"/>
      <c r="PED369" s="664"/>
      <c r="PEE369" s="521"/>
      <c r="PEF369" s="362"/>
      <c r="PEG369" s="295"/>
      <c r="PEH369" s="656"/>
      <c r="PEI369" s="286"/>
      <c r="PEJ369" s="287"/>
      <c r="PEK369" s="296"/>
      <c r="PEL369" s="457"/>
      <c r="PEM369" s="664"/>
      <c r="PEN369" s="521"/>
      <c r="PEO369" s="362"/>
      <c r="PEP369" s="295"/>
      <c r="PEQ369" s="656"/>
      <c r="PER369" s="286"/>
      <c r="PES369" s="287"/>
      <c r="PET369" s="296"/>
      <c r="PEU369" s="457"/>
      <c r="PEV369" s="664"/>
      <c r="PEW369" s="521"/>
      <c r="PEX369" s="362"/>
      <c r="PEY369" s="295"/>
      <c r="PEZ369" s="656"/>
      <c r="PFA369" s="286"/>
      <c r="PFB369" s="287"/>
      <c r="PFC369" s="296"/>
      <c r="PFD369" s="457"/>
      <c r="PFE369" s="664"/>
      <c r="PFF369" s="521"/>
      <c r="PFG369" s="362"/>
      <c r="PFH369" s="295"/>
      <c r="PFI369" s="656"/>
      <c r="PFJ369" s="286"/>
      <c r="PFK369" s="287"/>
      <c r="PFL369" s="296"/>
      <c r="PFM369" s="457"/>
      <c r="PFN369" s="664"/>
      <c r="PFO369" s="521"/>
      <c r="PFP369" s="362"/>
      <c r="PFQ369" s="295"/>
      <c r="PFR369" s="656"/>
      <c r="PFS369" s="286"/>
      <c r="PFT369" s="287"/>
      <c r="PFU369" s="296"/>
      <c r="PFV369" s="457"/>
      <c r="PFW369" s="664"/>
      <c r="PFX369" s="521"/>
      <c r="PFY369" s="362"/>
      <c r="PFZ369" s="295"/>
      <c r="PGA369" s="656"/>
      <c r="PGB369" s="286"/>
      <c r="PGC369" s="287"/>
      <c r="PGD369" s="296"/>
      <c r="PGE369" s="457"/>
      <c r="PGF369" s="664"/>
      <c r="PGG369" s="521"/>
      <c r="PGH369" s="362"/>
      <c r="PGI369" s="295"/>
      <c r="PGJ369" s="656"/>
      <c r="PGK369" s="286"/>
      <c r="PGL369" s="287"/>
      <c r="PGM369" s="296"/>
      <c r="PGN369" s="457"/>
      <c r="PGO369" s="664"/>
      <c r="PGP369" s="521"/>
      <c r="PGQ369" s="362"/>
      <c r="PGR369" s="295"/>
      <c r="PGS369" s="656"/>
      <c r="PGT369" s="286"/>
      <c r="PGU369" s="287"/>
      <c r="PGV369" s="296"/>
      <c r="PGW369" s="457"/>
      <c r="PGX369" s="664"/>
      <c r="PGY369" s="521"/>
      <c r="PGZ369" s="362"/>
      <c r="PHA369" s="295"/>
      <c r="PHB369" s="656"/>
      <c r="PHC369" s="286"/>
      <c r="PHD369" s="287"/>
      <c r="PHE369" s="296"/>
      <c r="PHF369" s="457"/>
      <c r="PHG369" s="664"/>
      <c r="PHH369" s="521"/>
      <c r="PHI369" s="362"/>
      <c r="PHJ369" s="295"/>
      <c r="PHK369" s="656"/>
      <c r="PHL369" s="286"/>
      <c r="PHM369" s="287"/>
      <c r="PHN369" s="296"/>
      <c r="PHO369" s="457"/>
      <c r="PHP369" s="664"/>
      <c r="PHQ369" s="521"/>
      <c r="PHR369" s="362"/>
      <c r="PHS369" s="295"/>
      <c r="PHT369" s="656"/>
      <c r="PHU369" s="286"/>
      <c r="PHV369" s="287"/>
      <c r="PHW369" s="296"/>
      <c r="PHX369" s="457"/>
      <c r="PHY369" s="664"/>
      <c r="PHZ369" s="521"/>
      <c r="PIA369" s="362"/>
      <c r="PIB369" s="295"/>
      <c r="PIC369" s="656"/>
      <c r="PID369" s="286"/>
      <c r="PIE369" s="287"/>
      <c r="PIF369" s="296"/>
      <c r="PIG369" s="457"/>
      <c r="PIH369" s="664"/>
      <c r="PII369" s="521"/>
      <c r="PIJ369" s="362"/>
      <c r="PIK369" s="295"/>
      <c r="PIL369" s="656"/>
      <c r="PIM369" s="286"/>
      <c r="PIN369" s="287"/>
      <c r="PIO369" s="296"/>
      <c r="PIP369" s="457"/>
      <c r="PIQ369" s="664"/>
      <c r="PIR369" s="521"/>
      <c r="PIS369" s="362"/>
      <c r="PIT369" s="295"/>
      <c r="PIU369" s="656"/>
      <c r="PIV369" s="286"/>
      <c r="PIW369" s="287"/>
      <c r="PIX369" s="296"/>
      <c r="PIY369" s="457"/>
      <c r="PIZ369" s="664"/>
      <c r="PJA369" s="521"/>
      <c r="PJB369" s="362"/>
      <c r="PJC369" s="295"/>
      <c r="PJD369" s="656"/>
      <c r="PJE369" s="286"/>
      <c r="PJF369" s="287"/>
      <c r="PJG369" s="296"/>
      <c r="PJH369" s="457"/>
      <c r="PJI369" s="664"/>
      <c r="PJJ369" s="521"/>
      <c r="PJK369" s="362"/>
      <c r="PJL369" s="295"/>
      <c r="PJM369" s="656"/>
      <c r="PJN369" s="286"/>
      <c r="PJO369" s="287"/>
      <c r="PJP369" s="296"/>
      <c r="PJQ369" s="457"/>
      <c r="PJR369" s="664"/>
      <c r="PJS369" s="521"/>
      <c r="PJT369" s="362"/>
      <c r="PJU369" s="295"/>
      <c r="PJV369" s="656"/>
      <c r="PJW369" s="286"/>
      <c r="PJX369" s="287"/>
      <c r="PJY369" s="296"/>
      <c r="PJZ369" s="457"/>
      <c r="PKA369" s="664"/>
      <c r="PKB369" s="521"/>
      <c r="PKC369" s="362"/>
      <c r="PKD369" s="295"/>
      <c r="PKE369" s="656"/>
      <c r="PKF369" s="286"/>
      <c r="PKG369" s="287"/>
      <c r="PKH369" s="296"/>
      <c r="PKI369" s="457"/>
      <c r="PKJ369" s="664"/>
      <c r="PKK369" s="521"/>
      <c r="PKL369" s="362"/>
      <c r="PKM369" s="295"/>
      <c r="PKN369" s="656"/>
      <c r="PKO369" s="286"/>
      <c r="PKP369" s="287"/>
      <c r="PKQ369" s="296"/>
      <c r="PKR369" s="457"/>
      <c r="PKS369" s="664"/>
      <c r="PKT369" s="521"/>
      <c r="PKU369" s="362"/>
      <c r="PKV369" s="295"/>
      <c r="PKW369" s="656"/>
      <c r="PKX369" s="286"/>
      <c r="PKY369" s="287"/>
      <c r="PKZ369" s="296"/>
      <c r="PLA369" s="457"/>
      <c r="PLB369" s="664"/>
      <c r="PLC369" s="521"/>
      <c r="PLD369" s="362"/>
      <c r="PLE369" s="295"/>
      <c r="PLF369" s="656"/>
      <c r="PLG369" s="286"/>
      <c r="PLH369" s="287"/>
      <c r="PLI369" s="296"/>
      <c r="PLJ369" s="457"/>
      <c r="PLK369" s="664"/>
      <c r="PLL369" s="521"/>
      <c r="PLM369" s="362"/>
      <c r="PLN369" s="295"/>
      <c r="PLO369" s="656"/>
      <c r="PLP369" s="286"/>
      <c r="PLQ369" s="287"/>
      <c r="PLR369" s="296"/>
      <c r="PLS369" s="457"/>
      <c r="PLT369" s="664"/>
      <c r="PLU369" s="521"/>
      <c r="PLV369" s="362"/>
      <c r="PLW369" s="295"/>
      <c r="PLX369" s="656"/>
      <c r="PLY369" s="286"/>
      <c r="PLZ369" s="287"/>
      <c r="PMA369" s="296"/>
      <c r="PMB369" s="457"/>
      <c r="PMC369" s="664"/>
      <c r="PMD369" s="521"/>
      <c r="PME369" s="362"/>
      <c r="PMF369" s="295"/>
      <c r="PMG369" s="656"/>
      <c r="PMH369" s="286"/>
      <c r="PMI369" s="287"/>
      <c r="PMJ369" s="296"/>
      <c r="PMK369" s="457"/>
      <c r="PML369" s="664"/>
      <c r="PMM369" s="521"/>
      <c r="PMN369" s="362"/>
      <c r="PMO369" s="295"/>
      <c r="PMP369" s="656"/>
      <c r="PMQ369" s="286"/>
      <c r="PMR369" s="287"/>
      <c r="PMS369" s="296"/>
      <c r="PMT369" s="457"/>
      <c r="PMU369" s="664"/>
      <c r="PMV369" s="521"/>
      <c r="PMW369" s="362"/>
      <c r="PMX369" s="295"/>
      <c r="PMY369" s="656"/>
      <c r="PMZ369" s="286"/>
      <c r="PNA369" s="287"/>
      <c r="PNB369" s="296"/>
      <c r="PNC369" s="457"/>
      <c r="PND369" s="664"/>
      <c r="PNE369" s="521"/>
      <c r="PNF369" s="362"/>
      <c r="PNG369" s="295"/>
      <c r="PNH369" s="656"/>
      <c r="PNI369" s="286"/>
      <c r="PNJ369" s="287"/>
      <c r="PNK369" s="296"/>
      <c r="PNL369" s="457"/>
      <c r="PNM369" s="664"/>
      <c r="PNN369" s="521"/>
      <c r="PNO369" s="362"/>
      <c r="PNP369" s="295"/>
      <c r="PNQ369" s="656"/>
      <c r="PNR369" s="286"/>
      <c r="PNS369" s="287"/>
      <c r="PNT369" s="296"/>
      <c r="PNU369" s="457"/>
      <c r="PNV369" s="664"/>
      <c r="PNW369" s="521"/>
      <c r="PNX369" s="362"/>
      <c r="PNY369" s="295"/>
      <c r="PNZ369" s="656"/>
      <c r="POA369" s="286"/>
      <c r="POB369" s="287"/>
      <c r="POC369" s="296"/>
      <c r="POD369" s="457"/>
      <c r="POE369" s="664"/>
      <c r="POF369" s="521"/>
      <c r="POG369" s="362"/>
      <c r="POH369" s="295"/>
      <c r="POI369" s="656"/>
      <c r="POJ369" s="286"/>
      <c r="POK369" s="287"/>
      <c r="POL369" s="296"/>
      <c r="POM369" s="457"/>
      <c r="PON369" s="664"/>
      <c r="POO369" s="521"/>
      <c r="POP369" s="362"/>
      <c r="POQ369" s="295"/>
      <c r="POR369" s="656"/>
      <c r="POS369" s="286"/>
      <c r="POT369" s="287"/>
      <c r="POU369" s="296"/>
      <c r="POV369" s="457"/>
      <c r="POW369" s="664"/>
      <c r="POX369" s="521"/>
      <c r="POY369" s="362"/>
      <c r="POZ369" s="295"/>
      <c r="PPA369" s="656"/>
      <c r="PPB369" s="286"/>
      <c r="PPC369" s="287"/>
      <c r="PPD369" s="296"/>
      <c r="PPE369" s="457"/>
      <c r="PPF369" s="664"/>
      <c r="PPG369" s="521"/>
      <c r="PPH369" s="362"/>
      <c r="PPI369" s="295"/>
      <c r="PPJ369" s="656"/>
      <c r="PPK369" s="286"/>
      <c r="PPL369" s="287"/>
      <c r="PPM369" s="296"/>
      <c r="PPN369" s="457"/>
      <c r="PPO369" s="664"/>
      <c r="PPP369" s="521"/>
      <c r="PPQ369" s="362"/>
      <c r="PPR369" s="295"/>
      <c r="PPS369" s="656"/>
      <c r="PPT369" s="286"/>
      <c r="PPU369" s="287"/>
      <c r="PPV369" s="296"/>
      <c r="PPW369" s="457"/>
      <c r="PPX369" s="664"/>
      <c r="PPY369" s="521"/>
      <c r="PPZ369" s="362"/>
      <c r="PQA369" s="295"/>
      <c r="PQB369" s="656"/>
      <c r="PQC369" s="286"/>
      <c r="PQD369" s="287"/>
      <c r="PQE369" s="296"/>
      <c r="PQF369" s="457"/>
      <c r="PQG369" s="664"/>
      <c r="PQH369" s="521"/>
      <c r="PQI369" s="362"/>
      <c r="PQJ369" s="295"/>
      <c r="PQK369" s="656"/>
      <c r="PQL369" s="286"/>
      <c r="PQM369" s="287"/>
      <c r="PQN369" s="296"/>
      <c r="PQO369" s="457"/>
      <c r="PQP369" s="664"/>
      <c r="PQQ369" s="521"/>
      <c r="PQR369" s="362"/>
      <c r="PQS369" s="295"/>
      <c r="PQT369" s="656"/>
      <c r="PQU369" s="286"/>
      <c r="PQV369" s="287"/>
      <c r="PQW369" s="296"/>
      <c r="PQX369" s="457"/>
      <c r="PQY369" s="664"/>
      <c r="PQZ369" s="521"/>
      <c r="PRA369" s="362"/>
      <c r="PRB369" s="295"/>
      <c r="PRC369" s="656"/>
      <c r="PRD369" s="286"/>
      <c r="PRE369" s="287"/>
      <c r="PRF369" s="296"/>
      <c r="PRG369" s="457"/>
      <c r="PRH369" s="664"/>
      <c r="PRI369" s="521"/>
      <c r="PRJ369" s="362"/>
      <c r="PRK369" s="295"/>
      <c r="PRL369" s="656"/>
      <c r="PRM369" s="286"/>
      <c r="PRN369" s="287"/>
      <c r="PRO369" s="296"/>
      <c r="PRP369" s="457"/>
      <c r="PRQ369" s="664"/>
      <c r="PRR369" s="521"/>
      <c r="PRS369" s="362"/>
      <c r="PRT369" s="295"/>
      <c r="PRU369" s="656"/>
      <c r="PRV369" s="286"/>
      <c r="PRW369" s="287"/>
      <c r="PRX369" s="296"/>
      <c r="PRY369" s="457"/>
      <c r="PRZ369" s="664"/>
      <c r="PSA369" s="521"/>
      <c r="PSB369" s="362"/>
      <c r="PSC369" s="295"/>
      <c r="PSD369" s="656"/>
      <c r="PSE369" s="286"/>
      <c r="PSF369" s="287"/>
      <c r="PSG369" s="296"/>
      <c r="PSH369" s="457"/>
      <c r="PSI369" s="664"/>
      <c r="PSJ369" s="521"/>
      <c r="PSK369" s="362"/>
      <c r="PSL369" s="295"/>
      <c r="PSM369" s="656"/>
      <c r="PSN369" s="286"/>
      <c r="PSO369" s="287"/>
      <c r="PSP369" s="296"/>
      <c r="PSQ369" s="457"/>
      <c r="PSR369" s="664"/>
      <c r="PSS369" s="521"/>
      <c r="PST369" s="362"/>
      <c r="PSU369" s="295"/>
      <c r="PSV369" s="656"/>
      <c r="PSW369" s="286"/>
      <c r="PSX369" s="287"/>
      <c r="PSY369" s="296"/>
      <c r="PSZ369" s="457"/>
      <c r="PTA369" s="664"/>
      <c r="PTB369" s="521"/>
      <c r="PTC369" s="362"/>
      <c r="PTD369" s="295"/>
      <c r="PTE369" s="656"/>
      <c r="PTF369" s="286"/>
      <c r="PTG369" s="287"/>
      <c r="PTH369" s="296"/>
      <c r="PTI369" s="457"/>
      <c r="PTJ369" s="664"/>
      <c r="PTK369" s="521"/>
      <c r="PTL369" s="362"/>
      <c r="PTM369" s="295"/>
      <c r="PTN369" s="656"/>
      <c r="PTO369" s="286"/>
      <c r="PTP369" s="287"/>
      <c r="PTQ369" s="296"/>
      <c r="PTR369" s="457"/>
      <c r="PTS369" s="664"/>
      <c r="PTT369" s="521"/>
      <c r="PTU369" s="362"/>
      <c r="PTV369" s="295"/>
      <c r="PTW369" s="656"/>
      <c r="PTX369" s="286"/>
      <c r="PTY369" s="287"/>
      <c r="PTZ369" s="296"/>
      <c r="PUA369" s="457"/>
      <c r="PUB369" s="664"/>
      <c r="PUC369" s="521"/>
      <c r="PUD369" s="362"/>
      <c r="PUE369" s="295"/>
      <c r="PUF369" s="656"/>
      <c r="PUG369" s="286"/>
      <c r="PUH369" s="287"/>
      <c r="PUI369" s="296"/>
      <c r="PUJ369" s="457"/>
      <c r="PUK369" s="664"/>
      <c r="PUL369" s="521"/>
      <c r="PUM369" s="362"/>
      <c r="PUN369" s="295"/>
      <c r="PUO369" s="656"/>
      <c r="PUP369" s="286"/>
      <c r="PUQ369" s="287"/>
      <c r="PUR369" s="296"/>
      <c r="PUS369" s="457"/>
      <c r="PUT369" s="664"/>
      <c r="PUU369" s="521"/>
      <c r="PUV369" s="362"/>
      <c r="PUW369" s="295"/>
      <c r="PUX369" s="656"/>
      <c r="PUY369" s="286"/>
      <c r="PUZ369" s="287"/>
      <c r="PVA369" s="296"/>
      <c r="PVB369" s="457"/>
      <c r="PVC369" s="664"/>
      <c r="PVD369" s="521"/>
      <c r="PVE369" s="362"/>
      <c r="PVF369" s="295"/>
      <c r="PVG369" s="656"/>
      <c r="PVH369" s="286"/>
      <c r="PVI369" s="287"/>
      <c r="PVJ369" s="296"/>
      <c r="PVK369" s="457"/>
      <c r="PVL369" s="664"/>
      <c r="PVM369" s="521"/>
      <c r="PVN369" s="362"/>
      <c r="PVO369" s="295"/>
      <c r="PVP369" s="656"/>
      <c r="PVQ369" s="286"/>
      <c r="PVR369" s="287"/>
      <c r="PVS369" s="296"/>
      <c r="PVT369" s="457"/>
      <c r="PVU369" s="664"/>
      <c r="PVV369" s="521"/>
      <c r="PVW369" s="362"/>
      <c r="PVX369" s="295"/>
      <c r="PVY369" s="656"/>
      <c r="PVZ369" s="286"/>
      <c r="PWA369" s="287"/>
      <c r="PWB369" s="296"/>
      <c r="PWC369" s="457"/>
      <c r="PWD369" s="664"/>
      <c r="PWE369" s="521"/>
      <c r="PWF369" s="362"/>
      <c r="PWG369" s="295"/>
      <c r="PWH369" s="656"/>
      <c r="PWI369" s="286"/>
      <c r="PWJ369" s="287"/>
      <c r="PWK369" s="296"/>
      <c r="PWL369" s="457"/>
      <c r="PWM369" s="664"/>
      <c r="PWN369" s="521"/>
      <c r="PWO369" s="362"/>
      <c r="PWP369" s="295"/>
      <c r="PWQ369" s="656"/>
      <c r="PWR369" s="286"/>
      <c r="PWS369" s="287"/>
      <c r="PWT369" s="296"/>
      <c r="PWU369" s="457"/>
      <c r="PWV369" s="664"/>
      <c r="PWW369" s="521"/>
      <c r="PWX369" s="362"/>
      <c r="PWY369" s="295"/>
      <c r="PWZ369" s="656"/>
      <c r="PXA369" s="286"/>
      <c r="PXB369" s="287"/>
      <c r="PXC369" s="296"/>
      <c r="PXD369" s="457"/>
      <c r="PXE369" s="664"/>
      <c r="PXF369" s="521"/>
      <c r="PXG369" s="362"/>
      <c r="PXH369" s="295"/>
      <c r="PXI369" s="656"/>
      <c r="PXJ369" s="286"/>
      <c r="PXK369" s="287"/>
      <c r="PXL369" s="296"/>
      <c r="PXM369" s="457"/>
      <c r="PXN369" s="664"/>
      <c r="PXO369" s="521"/>
      <c r="PXP369" s="362"/>
      <c r="PXQ369" s="295"/>
      <c r="PXR369" s="656"/>
      <c r="PXS369" s="286"/>
      <c r="PXT369" s="287"/>
      <c r="PXU369" s="296"/>
      <c r="PXV369" s="457"/>
      <c r="PXW369" s="664"/>
      <c r="PXX369" s="521"/>
      <c r="PXY369" s="362"/>
      <c r="PXZ369" s="295"/>
      <c r="PYA369" s="656"/>
      <c r="PYB369" s="286"/>
      <c r="PYC369" s="287"/>
      <c r="PYD369" s="296"/>
      <c r="PYE369" s="457"/>
      <c r="PYF369" s="664"/>
      <c r="PYG369" s="521"/>
      <c r="PYH369" s="362"/>
      <c r="PYI369" s="295"/>
      <c r="PYJ369" s="656"/>
      <c r="PYK369" s="286"/>
      <c r="PYL369" s="287"/>
      <c r="PYM369" s="296"/>
      <c r="PYN369" s="457"/>
      <c r="PYO369" s="664"/>
      <c r="PYP369" s="521"/>
      <c r="PYQ369" s="362"/>
      <c r="PYR369" s="295"/>
      <c r="PYS369" s="656"/>
      <c r="PYT369" s="286"/>
      <c r="PYU369" s="287"/>
      <c r="PYV369" s="296"/>
      <c r="PYW369" s="457"/>
      <c r="PYX369" s="664"/>
      <c r="PYY369" s="521"/>
      <c r="PYZ369" s="362"/>
      <c r="PZA369" s="295"/>
      <c r="PZB369" s="656"/>
      <c r="PZC369" s="286"/>
      <c r="PZD369" s="287"/>
      <c r="PZE369" s="296"/>
      <c r="PZF369" s="457"/>
      <c r="PZG369" s="664"/>
      <c r="PZH369" s="521"/>
      <c r="PZI369" s="362"/>
      <c r="PZJ369" s="295"/>
      <c r="PZK369" s="656"/>
      <c r="PZL369" s="286"/>
      <c r="PZM369" s="287"/>
      <c r="PZN369" s="296"/>
      <c r="PZO369" s="457"/>
      <c r="PZP369" s="664"/>
      <c r="PZQ369" s="521"/>
      <c r="PZR369" s="362"/>
      <c r="PZS369" s="295"/>
      <c r="PZT369" s="656"/>
      <c r="PZU369" s="286"/>
      <c r="PZV369" s="287"/>
      <c r="PZW369" s="296"/>
      <c r="PZX369" s="457"/>
      <c r="PZY369" s="664"/>
      <c r="PZZ369" s="521"/>
      <c r="QAA369" s="362"/>
      <c r="QAB369" s="295"/>
      <c r="QAC369" s="656"/>
      <c r="QAD369" s="286"/>
      <c r="QAE369" s="287"/>
      <c r="QAF369" s="296"/>
      <c r="QAG369" s="457"/>
      <c r="QAH369" s="664"/>
      <c r="QAI369" s="521"/>
      <c r="QAJ369" s="362"/>
      <c r="QAK369" s="295"/>
      <c r="QAL369" s="656"/>
      <c r="QAM369" s="286"/>
      <c r="QAN369" s="287"/>
      <c r="QAO369" s="296"/>
      <c r="QAP369" s="457"/>
      <c r="QAQ369" s="664"/>
      <c r="QAR369" s="521"/>
      <c r="QAS369" s="362"/>
      <c r="QAT369" s="295"/>
      <c r="QAU369" s="656"/>
      <c r="QAV369" s="286"/>
      <c r="QAW369" s="287"/>
      <c r="QAX369" s="296"/>
      <c r="QAY369" s="457"/>
      <c r="QAZ369" s="664"/>
      <c r="QBA369" s="521"/>
      <c r="QBB369" s="362"/>
      <c r="QBC369" s="295"/>
      <c r="QBD369" s="656"/>
      <c r="QBE369" s="286"/>
      <c r="QBF369" s="287"/>
      <c r="QBG369" s="296"/>
      <c r="QBH369" s="457"/>
      <c r="QBI369" s="664"/>
      <c r="QBJ369" s="521"/>
      <c r="QBK369" s="362"/>
      <c r="QBL369" s="295"/>
      <c r="QBM369" s="656"/>
      <c r="QBN369" s="286"/>
      <c r="QBO369" s="287"/>
      <c r="QBP369" s="296"/>
      <c r="QBQ369" s="457"/>
      <c r="QBR369" s="664"/>
      <c r="QBS369" s="521"/>
      <c r="QBT369" s="362"/>
      <c r="QBU369" s="295"/>
      <c r="QBV369" s="656"/>
      <c r="QBW369" s="286"/>
      <c r="QBX369" s="287"/>
      <c r="QBY369" s="296"/>
      <c r="QBZ369" s="457"/>
      <c r="QCA369" s="664"/>
      <c r="QCB369" s="521"/>
      <c r="QCC369" s="362"/>
      <c r="QCD369" s="295"/>
      <c r="QCE369" s="656"/>
      <c r="QCF369" s="286"/>
      <c r="QCG369" s="287"/>
      <c r="QCH369" s="296"/>
      <c r="QCI369" s="457"/>
      <c r="QCJ369" s="664"/>
      <c r="QCK369" s="521"/>
      <c r="QCL369" s="362"/>
      <c r="QCM369" s="295"/>
      <c r="QCN369" s="656"/>
      <c r="QCO369" s="286"/>
      <c r="QCP369" s="287"/>
      <c r="QCQ369" s="296"/>
      <c r="QCR369" s="457"/>
      <c r="QCS369" s="664"/>
      <c r="QCT369" s="521"/>
      <c r="QCU369" s="362"/>
      <c r="QCV369" s="295"/>
      <c r="QCW369" s="656"/>
      <c r="QCX369" s="286"/>
      <c r="QCY369" s="287"/>
      <c r="QCZ369" s="296"/>
      <c r="QDA369" s="457"/>
      <c r="QDB369" s="664"/>
      <c r="QDC369" s="521"/>
      <c r="QDD369" s="362"/>
      <c r="QDE369" s="295"/>
      <c r="QDF369" s="656"/>
      <c r="QDG369" s="286"/>
      <c r="QDH369" s="287"/>
      <c r="QDI369" s="296"/>
      <c r="QDJ369" s="457"/>
      <c r="QDK369" s="664"/>
      <c r="QDL369" s="521"/>
      <c r="QDM369" s="362"/>
      <c r="QDN369" s="295"/>
      <c r="QDO369" s="656"/>
      <c r="QDP369" s="286"/>
      <c r="QDQ369" s="287"/>
      <c r="QDR369" s="296"/>
      <c r="QDS369" s="457"/>
      <c r="QDT369" s="664"/>
      <c r="QDU369" s="521"/>
      <c r="QDV369" s="362"/>
      <c r="QDW369" s="295"/>
      <c r="QDX369" s="656"/>
      <c r="QDY369" s="286"/>
      <c r="QDZ369" s="287"/>
      <c r="QEA369" s="296"/>
      <c r="QEB369" s="457"/>
      <c r="QEC369" s="664"/>
      <c r="QED369" s="521"/>
      <c r="QEE369" s="362"/>
      <c r="QEF369" s="295"/>
      <c r="QEG369" s="656"/>
      <c r="QEH369" s="286"/>
      <c r="QEI369" s="287"/>
      <c r="QEJ369" s="296"/>
      <c r="QEK369" s="457"/>
      <c r="QEL369" s="664"/>
      <c r="QEM369" s="521"/>
      <c r="QEN369" s="362"/>
      <c r="QEO369" s="295"/>
      <c r="QEP369" s="656"/>
      <c r="QEQ369" s="286"/>
      <c r="QER369" s="287"/>
      <c r="QES369" s="296"/>
      <c r="QET369" s="457"/>
      <c r="QEU369" s="664"/>
      <c r="QEV369" s="521"/>
      <c r="QEW369" s="362"/>
      <c r="QEX369" s="295"/>
      <c r="QEY369" s="656"/>
      <c r="QEZ369" s="286"/>
      <c r="QFA369" s="287"/>
      <c r="QFB369" s="296"/>
      <c r="QFC369" s="457"/>
      <c r="QFD369" s="664"/>
      <c r="QFE369" s="521"/>
      <c r="QFF369" s="362"/>
      <c r="QFG369" s="295"/>
      <c r="QFH369" s="656"/>
      <c r="QFI369" s="286"/>
      <c r="QFJ369" s="287"/>
      <c r="QFK369" s="296"/>
      <c r="QFL369" s="457"/>
      <c r="QFM369" s="664"/>
      <c r="QFN369" s="521"/>
      <c r="QFO369" s="362"/>
      <c r="QFP369" s="295"/>
      <c r="QFQ369" s="656"/>
      <c r="QFR369" s="286"/>
      <c r="QFS369" s="287"/>
      <c r="QFT369" s="296"/>
      <c r="QFU369" s="457"/>
      <c r="QFV369" s="664"/>
      <c r="QFW369" s="521"/>
      <c r="QFX369" s="362"/>
      <c r="QFY369" s="295"/>
      <c r="QFZ369" s="656"/>
      <c r="QGA369" s="286"/>
      <c r="QGB369" s="287"/>
      <c r="QGC369" s="296"/>
      <c r="QGD369" s="457"/>
      <c r="QGE369" s="664"/>
      <c r="QGF369" s="521"/>
      <c r="QGG369" s="362"/>
      <c r="QGH369" s="295"/>
      <c r="QGI369" s="656"/>
      <c r="QGJ369" s="286"/>
      <c r="QGK369" s="287"/>
      <c r="QGL369" s="296"/>
      <c r="QGM369" s="457"/>
      <c r="QGN369" s="664"/>
      <c r="QGO369" s="521"/>
      <c r="QGP369" s="362"/>
      <c r="QGQ369" s="295"/>
      <c r="QGR369" s="656"/>
      <c r="QGS369" s="286"/>
      <c r="QGT369" s="287"/>
      <c r="QGU369" s="296"/>
      <c r="QGV369" s="457"/>
      <c r="QGW369" s="664"/>
      <c r="QGX369" s="521"/>
      <c r="QGY369" s="362"/>
      <c r="QGZ369" s="295"/>
      <c r="QHA369" s="656"/>
      <c r="QHB369" s="286"/>
      <c r="QHC369" s="287"/>
      <c r="QHD369" s="296"/>
      <c r="QHE369" s="457"/>
      <c r="QHF369" s="664"/>
      <c r="QHG369" s="521"/>
      <c r="QHH369" s="362"/>
      <c r="QHI369" s="295"/>
      <c r="QHJ369" s="656"/>
      <c r="QHK369" s="286"/>
      <c r="QHL369" s="287"/>
      <c r="QHM369" s="296"/>
      <c r="QHN369" s="457"/>
      <c r="QHO369" s="664"/>
      <c r="QHP369" s="521"/>
      <c r="QHQ369" s="362"/>
      <c r="QHR369" s="295"/>
      <c r="QHS369" s="656"/>
      <c r="QHT369" s="286"/>
      <c r="QHU369" s="287"/>
      <c r="QHV369" s="296"/>
      <c r="QHW369" s="457"/>
      <c r="QHX369" s="664"/>
      <c r="QHY369" s="521"/>
      <c r="QHZ369" s="362"/>
      <c r="QIA369" s="295"/>
      <c r="QIB369" s="656"/>
      <c r="QIC369" s="286"/>
      <c r="QID369" s="287"/>
      <c r="QIE369" s="296"/>
      <c r="QIF369" s="457"/>
      <c r="QIG369" s="664"/>
      <c r="QIH369" s="521"/>
      <c r="QII369" s="362"/>
      <c r="QIJ369" s="295"/>
      <c r="QIK369" s="656"/>
      <c r="QIL369" s="286"/>
      <c r="QIM369" s="287"/>
      <c r="QIN369" s="296"/>
      <c r="QIO369" s="457"/>
      <c r="QIP369" s="664"/>
      <c r="QIQ369" s="521"/>
      <c r="QIR369" s="362"/>
      <c r="QIS369" s="295"/>
      <c r="QIT369" s="656"/>
      <c r="QIU369" s="286"/>
      <c r="QIV369" s="287"/>
      <c r="QIW369" s="296"/>
      <c r="QIX369" s="457"/>
      <c r="QIY369" s="664"/>
      <c r="QIZ369" s="521"/>
      <c r="QJA369" s="362"/>
      <c r="QJB369" s="295"/>
      <c r="QJC369" s="656"/>
      <c r="QJD369" s="286"/>
      <c r="QJE369" s="287"/>
      <c r="QJF369" s="296"/>
      <c r="QJG369" s="457"/>
      <c r="QJH369" s="664"/>
      <c r="QJI369" s="521"/>
      <c r="QJJ369" s="362"/>
      <c r="QJK369" s="295"/>
      <c r="QJL369" s="656"/>
      <c r="QJM369" s="286"/>
      <c r="QJN369" s="287"/>
      <c r="QJO369" s="296"/>
      <c r="QJP369" s="457"/>
      <c r="QJQ369" s="664"/>
      <c r="QJR369" s="521"/>
      <c r="QJS369" s="362"/>
      <c r="QJT369" s="295"/>
      <c r="QJU369" s="656"/>
      <c r="QJV369" s="286"/>
      <c r="QJW369" s="287"/>
      <c r="QJX369" s="296"/>
      <c r="QJY369" s="457"/>
      <c r="QJZ369" s="664"/>
      <c r="QKA369" s="521"/>
      <c r="QKB369" s="362"/>
      <c r="QKC369" s="295"/>
      <c r="QKD369" s="656"/>
      <c r="QKE369" s="286"/>
      <c r="QKF369" s="287"/>
      <c r="QKG369" s="296"/>
      <c r="QKH369" s="457"/>
      <c r="QKI369" s="664"/>
      <c r="QKJ369" s="521"/>
      <c r="QKK369" s="362"/>
      <c r="QKL369" s="295"/>
      <c r="QKM369" s="656"/>
      <c r="QKN369" s="286"/>
      <c r="QKO369" s="287"/>
      <c r="QKP369" s="296"/>
      <c r="QKQ369" s="457"/>
      <c r="QKR369" s="664"/>
      <c r="QKS369" s="521"/>
      <c r="QKT369" s="362"/>
      <c r="QKU369" s="295"/>
      <c r="QKV369" s="656"/>
      <c r="QKW369" s="286"/>
      <c r="QKX369" s="287"/>
      <c r="QKY369" s="296"/>
      <c r="QKZ369" s="457"/>
      <c r="QLA369" s="664"/>
      <c r="QLB369" s="521"/>
      <c r="QLC369" s="362"/>
      <c r="QLD369" s="295"/>
      <c r="QLE369" s="656"/>
      <c r="QLF369" s="286"/>
      <c r="QLG369" s="287"/>
      <c r="QLH369" s="296"/>
      <c r="QLI369" s="457"/>
      <c r="QLJ369" s="664"/>
      <c r="QLK369" s="521"/>
      <c r="QLL369" s="362"/>
      <c r="QLM369" s="295"/>
      <c r="QLN369" s="656"/>
      <c r="QLO369" s="286"/>
      <c r="QLP369" s="287"/>
      <c r="QLQ369" s="296"/>
      <c r="QLR369" s="457"/>
      <c r="QLS369" s="664"/>
      <c r="QLT369" s="521"/>
      <c r="QLU369" s="362"/>
      <c r="QLV369" s="295"/>
      <c r="QLW369" s="656"/>
      <c r="QLX369" s="286"/>
      <c r="QLY369" s="287"/>
      <c r="QLZ369" s="296"/>
      <c r="QMA369" s="457"/>
      <c r="QMB369" s="664"/>
      <c r="QMC369" s="521"/>
      <c r="QMD369" s="362"/>
      <c r="QME369" s="295"/>
      <c r="QMF369" s="656"/>
      <c r="QMG369" s="286"/>
      <c r="QMH369" s="287"/>
      <c r="QMI369" s="296"/>
      <c r="QMJ369" s="457"/>
      <c r="QMK369" s="664"/>
      <c r="QML369" s="521"/>
      <c r="QMM369" s="362"/>
      <c r="QMN369" s="295"/>
      <c r="QMO369" s="656"/>
      <c r="QMP369" s="286"/>
      <c r="QMQ369" s="287"/>
      <c r="QMR369" s="296"/>
      <c r="QMS369" s="457"/>
      <c r="QMT369" s="664"/>
      <c r="QMU369" s="521"/>
      <c r="QMV369" s="362"/>
      <c r="QMW369" s="295"/>
      <c r="QMX369" s="656"/>
      <c r="QMY369" s="286"/>
      <c r="QMZ369" s="287"/>
      <c r="QNA369" s="296"/>
      <c r="QNB369" s="457"/>
      <c r="QNC369" s="664"/>
      <c r="QND369" s="521"/>
      <c r="QNE369" s="362"/>
      <c r="QNF369" s="295"/>
      <c r="QNG369" s="656"/>
      <c r="QNH369" s="286"/>
      <c r="QNI369" s="287"/>
      <c r="QNJ369" s="296"/>
      <c r="QNK369" s="457"/>
      <c r="QNL369" s="664"/>
      <c r="QNM369" s="521"/>
      <c r="QNN369" s="362"/>
      <c r="QNO369" s="295"/>
      <c r="QNP369" s="656"/>
      <c r="QNQ369" s="286"/>
      <c r="QNR369" s="287"/>
      <c r="QNS369" s="296"/>
      <c r="QNT369" s="457"/>
      <c r="QNU369" s="664"/>
      <c r="QNV369" s="521"/>
      <c r="QNW369" s="362"/>
      <c r="QNX369" s="295"/>
      <c r="QNY369" s="656"/>
      <c r="QNZ369" s="286"/>
      <c r="QOA369" s="287"/>
      <c r="QOB369" s="296"/>
      <c r="QOC369" s="457"/>
      <c r="QOD369" s="664"/>
      <c r="QOE369" s="521"/>
      <c r="QOF369" s="362"/>
      <c r="QOG369" s="295"/>
      <c r="QOH369" s="656"/>
      <c r="QOI369" s="286"/>
      <c r="QOJ369" s="287"/>
      <c r="QOK369" s="296"/>
      <c r="QOL369" s="457"/>
      <c r="QOM369" s="664"/>
      <c r="QON369" s="521"/>
      <c r="QOO369" s="362"/>
      <c r="QOP369" s="295"/>
      <c r="QOQ369" s="656"/>
      <c r="QOR369" s="286"/>
      <c r="QOS369" s="287"/>
      <c r="QOT369" s="296"/>
      <c r="QOU369" s="457"/>
      <c r="QOV369" s="664"/>
      <c r="QOW369" s="521"/>
      <c r="QOX369" s="362"/>
      <c r="QOY369" s="295"/>
      <c r="QOZ369" s="656"/>
      <c r="QPA369" s="286"/>
      <c r="QPB369" s="287"/>
      <c r="QPC369" s="296"/>
      <c r="QPD369" s="457"/>
      <c r="QPE369" s="664"/>
      <c r="QPF369" s="521"/>
      <c r="QPG369" s="362"/>
      <c r="QPH369" s="295"/>
      <c r="QPI369" s="656"/>
      <c r="QPJ369" s="286"/>
      <c r="QPK369" s="287"/>
      <c r="QPL369" s="296"/>
      <c r="QPM369" s="457"/>
      <c r="QPN369" s="664"/>
      <c r="QPO369" s="521"/>
      <c r="QPP369" s="362"/>
      <c r="QPQ369" s="295"/>
      <c r="QPR369" s="656"/>
      <c r="QPS369" s="286"/>
      <c r="QPT369" s="287"/>
      <c r="QPU369" s="296"/>
      <c r="QPV369" s="457"/>
      <c r="QPW369" s="664"/>
      <c r="QPX369" s="521"/>
      <c r="QPY369" s="362"/>
      <c r="QPZ369" s="295"/>
      <c r="QQA369" s="656"/>
      <c r="QQB369" s="286"/>
      <c r="QQC369" s="287"/>
      <c r="QQD369" s="296"/>
      <c r="QQE369" s="457"/>
      <c r="QQF369" s="664"/>
      <c r="QQG369" s="521"/>
      <c r="QQH369" s="362"/>
      <c r="QQI369" s="295"/>
      <c r="QQJ369" s="656"/>
      <c r="QQK369" s="286"/>
      <c r="QQL369" s="287"/>
      <c r="QQM369" s="296"/>
      <c r="QQN369" s="457"/>
      <c r="QQO369" s="664"/>
      <c r="QQP369" s="521"/>
      <c r="QQQ369" s="362"/>
      <c r="QQR369" s="295"/>
      <c r="QQS369" s="656"/>
      <c r="QQT369" s="286"/>
      <c r="QQU369" s="287"/>
      <c r="QQV369" s="296"/>
      <c r="QQW369" s="457"/>
      <c r="QQX369" s="664"/>
      <c r="QQY369" s="521"/>
      <c r="QQZ369" s="362"/>
      <c r="QRA369" s="295"/>
      <c r="QRB369" s="656"/>
      <c r="QRC369" s="286"/>
      <c r="QRD369" s="287"/>
      <c r="QRE369" s="296"/>
      <c r="QRF369" s="457"/>
      <c r="QRG369" s="664"/>
      <c r="QRH369" s="521"/>
      <c r="QRI369" s="362"/>
      <c r="QRJ369" s="295"/>
      <c r="QRK369" s="656"/>
      <c r="QRL369" s="286"/>
      <c r="QRM369" s="287"/>
      <c r="QRN369" s="296"/>
      <c r="QRO369" s="457"/>
      <c r="QRP369" s="664"/>
      <c r="QRQ369" s="521"/>
      <c r="QRR369" s="362"/>
      <c r="QRS369" s="295"/>
      <c r="QRT369" s="656"/>
      <c r="QRU369" s="286"/>
      <c r="QRV369" s="287"/>
      <c r="QRW369" s="296"/>
      <c r="QRX369" s="457"/>
      <c r="QRY369" s="664"/>
      <c r="QRZ369" s="521"/>
      <c r="QSA369" s="362"/>
      <c r="QSB369" s="295"/>
      <c r="QSC369" s="656"/>
      <c r="QSD369" s="286"/>
      <c r="QSE369" s="287"/>
      <c r="QSF369" s="296"/>
      <c r="QSG369" s="457"/>
      <c r="QSH369" s="664"/>
      <c r="QSI369" s="521"/>
      <c r="QSJ369" s="362"/>
      <c r="QSK369" s="295"/>
      <c r="QSL369" s="656"/>
      <c r="QSM369" s="286"/>
      <c r="QSN369" s="287"/>
      <c r="QSO369" s="296"/>
      <c r="QSP369" s="457"/>
      <c r="QSQ369" s="664"/>
      <c r="QSR369" s="521"/>
      <c r="QSS369" s="362"/>
      <c r="QST369" s="295"/>
      <c r="QSU369" s="656"/>
      <c r="QSV369" s="286"/>
      <c r="QSW369" s="287"/>
      <c r="QSX369" s="296"/>
      <c r="QSY369" s="457"/>
      <c r="QSZ369" s="664"/>
      <c r="QTA369" s="521"/>
      <c r="QTB369" s="362"/>
      <c r="QTC369" s="295"/>
      <c r="QTD369" s="656"/>
      <c r="QTE369" s="286"/>
      <c r="QTF369" s="287"/>
      <c r="QTG369" s="296"/>
      <c r="QTH369" s="457"/>
      <c r="QTI369" s="664"/>
      <c r="QTJ369" s="521"/>
      <c r="QTK369" s="362"/>
      <c r="QTL369" s="295"/>
      <c r="QTM369" s="656"/>
      <c r="QTN369" s="286"/>
      <c r="QTO369" s="287"/>
      <c r="QTP369" s="296"/>
      <c r="QTQ369" s="457"/>
      <c r="QTR369" s="664"/>
      <c r="QTS369" s="521"/>
      <c r="QTT369" s="362"/>
      <c r="QTU369" s="295"/>
      <c r="QTV369" s="656"/>
      <c r="QTW369" s="286"/>
      <c r="QTX369" s="287"/>
      <c r="QTY369" s="296"/>
      <c r="QTZ369" s="457"/>
      <c r="QUA369" s="664"/>
      <c r="QUB369" s="521"/>
      <c r="QUC369" s="362"/>
      <c r="QUD369" s="295"/>
      <c r="QUE369" s="656"/>
      <c r="QUF369" s="286"/>
      <c r="QUG369" s="287"/>
      <c r="QUH369" s="296"/>
      <c r="QUI369" s="457"/>
      <c r="QUJ369" s="664"/>
      <c r="QUK369" s="521"/>
      <c r="QUL369" s="362"/>
      <c r="QUM369" s="295"/>
      <c r="QUN369" s="656"/>
      <c r="QUO369" s="286"/>
      <c r="QUP369" s="287"/>
      <c r="QUQ369" s="296"/>
      <c r="QUR369" s="457"/>
      <c r="QUS369" s="664"/>
      <c r="QUT369" s="521"/>
      <c r="QUU369" s="362"/>
      <c r="QUV369" s="295"/>
      <c r="QUW369" s="656"/>
      <c r="QUX369" s="286"/>
      <c r="QUY369" s="287"/>
      <c r="QUZ369" s="296"/>
      <c r="QVA369" s="457"/>
      <c r="QVB369" s="664"/>
      <c r="QVC369" s="521"/>
      <c r="QVD369" s="362"/>
      <c r="QVE369" s="295"/>
      <c r="QVF369" s="656"/>
      <c r="QVG369" s="286"/>
      <c r="QVH369" s="287"/>
      <c r="QVI369" s="296"/>
      <c r="QVJ369" s="457"/>
      <c r="QVK369" s="664"/>
      <c r="QVL369" s="521"/>
      <c r="QVM369" s="362"/>
      <c r="QVN369" s="295"/>
      <c r="QVO369" s="656"/>
      <c r="QVP369" s="286"/>
      <c r="QVQ369" s="287"/>
      <c r="QVR369" s="296"/>
      <c r="QVS369" s="457"/>
      <c r="QVT369" s="664"/>
      <c r="QVU369" s="521"/>
      <c r="QVV369" s="362"/>
      <c r="QVW369" s="295"/>
      <c r="QVX369" s="656"/>
      <c r="QVY369" s="286"/>
      <c r="QVZ369" s="287"/>
      <c r="QWA369" s="296"/>
      <c r="QWB369" s="457"/>
      <c r="QWC369" s="664"/>
      <c r="QWD369" s="521"/>
      <c r="QWE369" s="362"/>
      <c r="QWF369" s="295"/>
      <c r="QWG369" s="656"/>
      <c r="QWH369" s="286"/>
      <c r="QWI369" s="287"/>
      <c r="QWJ369" s="296"/>
      <c r="QWK369" s="457"/>
      <c r="QWL369" s="664"/>
      <c r="QWM369" s="521"/>
      <c r="QWN369" s="362"/>
      <c r="QWO369" s="295"/>
      <c r="QWP369" s="656"/>
      <c r="QWQ369" s="286"/>
      <c r="QWR369" s="287"/>
      <c r="QWS369" s="296"/>
      <c r="QWT369" s="457"/>
      <c r="QWU369" s="664"/>
      <c r="QWV369" s="521"/>
      <c r="QWW369" s="362"/>
      <c r="QWX369" s="295"/>
      <c r="QWY369" s="656"/>
      <c r="QWZ369" s="286"/>
      <c r="QXA369" s="287"/>
      <c r="QXB369" s="296"/>
      <c r="QXC369" s="457"/>
      <c r="QXD369" s="664"/>
      <c r="QXE369" s="521"/>
      <c r="QXF369" s="362"/>
      <c r="QXG369" s="295"/>
      <c r="QXH369" s="656"/>
      <c r="QXI369" s="286"/>
      <c r="QXJ369" s="287"/>
      <c r="QXK369" s="296"/>
      <c r="QXL369" s="457"/>
      <c r="QXM369" s="664"/>
      <c r="QXN369" s="521"/>
      <c r="QXO369" s="362"/>
      <c r="QXP369" s="295"/>
      <c r="QXQ369" s="656"/>
      <c r="QXR369" s="286"/>
      <c r="QXS369" s="287"/>
      <c r="QXT369" s="296"/>
      <c r="QXU369" s="457"/>
      <c r="QXV369" s="664"/>
      <c r="QXW369" s="521"/>
      <c r="QXX369" s="362"/>
      <c r="QXY369" s="295"/>
      <c r="QXZ369" s="656"/>
      <c r="QYA369" s="286"/>
      <c r="QYB369" s="287"/>
      <c r="QYC369" s="296"/>
      <c r="QYD369" s="457"/>
      <c r="QYE369" s="664"/>
      <c r="QYF369" s="521"/>
      <c r="QYG369" s="362"/>
      <c r="QYH369" s="295"/>
      <c r="QYI369" s="656"/>
      <c r="QYJ369" s="286"/>
      <c r="QYK369" s="287"/>
      <c r="QYL369" s="296"/>
      <c r="QYM369" s="457"/>
      <c r="QYN369" s="664"/>
      <c r="QYO369" s="521"/>
      <c r="QYP369" s="362"/>
      <c r="QYQ369" s="295"/>
      <c r="QYR369" s="656"/>
      <c r="QYS369" s="286"/>
      <c r="QYT369" s="287"/>
      <c r="QYU369" s="296"/>
      <c r="QYV369" s="457"/>
      <c r="QYW369" s="664"/>
      <c r="QYX369" s="521"/>
      <c r="QYY369" s="362"/>
      <c r="QYZ369" s="295"/>
      <c r="QZA369" s="656"/>
      <c r="QZB369" s="286"/>
      <c r="QZC369" s="287"/>
      <c r="QZD369" s="296"/>
      <c r="QZE369" s="457"/>
      <c r="QZF369" s="664"/>
      <c r="QZG369" s="521"/>
      <c r="QZH369" s="362"/>
      <c r="QZI369" s="295"/>
      <c r="QZJ369" s="656"/>
      <c r="QZK369" s="286"/>
      <c r="QZL369" s="287"/>
      <c r="QZM369" s="296"/>
      <c r="QZN369" s="457"/>
      <c r="QZO369" s="664"/>
      <c r="QZP369" s="521"/>
      <c r="QZQ369" s="362"/>
      <c r="QZR369" s="295"/>
      <c r="QZS369" s="656"/>
      <c r="QZT369" s="286"/>
      <c r="QZU369" s="287"/>
      <c r="QZV369" s="296"/>
      <c r="QZW369" s="457"/>
      <c r="QZX369" s="664"/>
      <c r="QZY369" s="521"/>
      <c r="QZZ369" s="362"/>
      <c r="RAA369" s="295"/>
      <c r="RAB369" s="656"/>
      <c r="RAC369" s="286"/>
      <c r="RAD369" s="287"/>
      <c r="RAE369" s="296"/>
      <c r="RAF369" s="457"/>
      <c r="RAG369" s="664"/>
      <c r="RAH369" s="521"/>
      <c r="RAI369" s="362"/>
      <c r="RAJ369" s="295"/>
      <c r="RAK369" s="656"/>
      <c r="RAL369" s="286"/>
      <c r="RAM369" s="287"/>
      <c r="RAN369" s="296"/>
      <c r="RAO369" s="457"/>
      <c r="RAP369" s="664"/>
      <c r="RAQ369" s="521"/>
      <c r="RAR369" s="362"/>
      <c r="RAS369" s="295"/>
      <c r="RAT369" s="656"/>
      <c r="RAU369" s="286"/>
      <c r="RAV369" s="287"/>
      <c r="RAW369" s="296"/>
      <c r="RAX369" s="457"/>
      <c r="RAY369" s="664"/>
      <c r="RAZ369" s="521"/>
      <c r="RBA369" s="362"/>
      <c r="RBB369" s="295"/>
      <c r="RBC369" s="656"/>
      <c r="RBD369" s="286"/>
      <c r="RBE369" s="287"/>
      <c r="RBF369" s="296"/>
      <c r="RBG369" s="457"/>
      <c r="RBH369" s="664"/>
      <c r="RBI369" s="521"/>
      <c r="RBJ369" s="362"/>
      <c r="RBK369" s="295"/>
      <c r="RBL369" s="656"/>
      <c r="RBM369" s="286"/>
      <c r="RBN369" s="287"/>
      <c r="RBO369" s="296"/>
      <c r="RBP369" s="457"/>
      <c r="RBQ369" s="664"/>
      <c r="RBR369" s="521"/>
      <c r="RBS369" s="362"/>
      <c r="RBT369" s="295"/>
      <c r="RBU369" s="656"/>
      <c r="RBV369" s="286"/>
      <c r="RBW369" s="287"/>
      <c r="RBX369" s="296"/>
      <c r="RBY369" s="457"/>
      <c r="RBZ369" s="664"/>
      <c r="RCA369" s="521"/>
      <c r="RCB369" s="362"/>
      <c r="RCC369" s="295"/>
      <c r="RCD369" s="656"/>
      <c r="RCE369" s="286"/>
      <c r="RCF369" s="287"/>
      <c r="RCG369" s="296"/>
      <c r="RCH369" s="457"/>
      <c r="RCI369" s="664"/>
      <c r="RCJ369" s="521"/>
      <c r="RCK369" s="362"/>
      <c r="RCL369" s="295"/>
      <c r="RCM369" s="656"/>
      <c r="RCN369" s="286"/>
      <c r="RCO369" s="287"/>
      <c r="RCP369" s="296"/>
      <c r="RCQ369" s="457"/>
      <c r="RCR369" s="664"/>
      <c r="RCS369" s="521"/>
      <c r="RCT369" s="362"/>
      <c r="RCU369" s="295"/>
      <c r="RCV369" s="656"/>
      <c r="RCW369" s="286"/>
      <c r="RCX369" s="287"/>
      <c r="RCY369" s="296"/>
      <c r="RCZ369" s="457"/>
      <c r="RDA369" s="664"/>
      <c r="RDB369" s="521"/>
      <c r="RDC369" s="362"/>
      <c r="RDD369" s="295"/>
      <c r="RDE369" s="656"/>
      <c r="RDF369" s="286"/>
      <c r="RDG369" s="287"/>
      <c r="RDH369" s="296"/>
      <c r="RDI369" s="457"/>
      <c r="RDJ369" s="664"/>
      <c r="RDK369" s="521"/>
      <c r="RDL369" s="362"/>
      <c r="RDM369" s="295"/>
      <c r="RDN369" s="656"/>
      <c r="RDO369" s="286"/>
      <c r="RDP369" s="287"/>
      <c r="RDQ369" s="296"/>
      <c r="RDR369" s="457"/>
      <c r="RDS369" s="664"/>
      <c r="RDT369" s="521"/>
      <c r="RDU369" s="362"/>
      <c r="RDV369" s="295"/>
      <c r="RDW369" s="656"/>
      <c r="RDX369" s="286"/>
      <c r="RDY369" s="287"/>
      <c r="RDZ369" s="296"/>
      <c r="REA369" s="457"/>
      <c r="REB369" s="664"/>
      <c r="REC369" s="521"/>
      <c r="RED369" s="362"/>
      <c r="REE369" s="295"/>
      <c r="REF369" s="656"/>
      <c r="REG369" s="286"/>
      <c r="REH369" s="287"/>
      <c r="REI369" s="296"/>
      <c r="REJ369" s="457"/>
      <c r="REK369" s="664"/>
      <c r="REL369" s="521"/>
      <c r="REM369" s="362"/>
      <c r="REN369" s="295"/>
      <c r="REO369" s="656"/>
      <c r="REP369" s="286"/>
      <c r="REQ369" s="287"/>
      <c r="RER369" s="296"/>
      <c r="RES369" s="457"/>
      <c r="RET369" s="664"/>
      <c r="REU369" s="521"/>
      <c r="REV369" s="362"/>
      <c r="REW369" s="295"/>
      <c r="REX369" s="656"/>
      <c r="REY369" s="286"/>
      <c r="REZ369" s="287"/>
      <c r="RFA369" s="296"/>
      <c r="RFB369" s="457"/>
      <c r="RFC369" s="664"/>
      <c r="RFD369" s="521"/>
      <c r="RFE369" s="362"/>
      <c r="RFF369" s="295"/>
      <c r="RFG369" s="656"/>
      <c r="RFH369" s="286"/>
      <c r="RFI369" s="287"/>
      <c r="RFJ369" s="296"/>
      <c r="RFK369" s="457"/>
      <c r="RFL369" s="664"/>
      <c r="RFM369" s="521"/>
      <c r="RFN369" s="362"/>
      <c r="RFO369" s="295"/>
      <c r="RFP369" s="656"/>
      <c r="RFQ369" s="286"/>
      <c r="RFR369" s="287"/>
      <c r="RFS369" s="296"/>
      <c r="RFT369" s="457"/>
      <c r="RFU369" s="664"/>
      <c r="RFV369" s="521"/>
      <c r="RFW369" s="362"/>
      <c r="RFX369" s="295"/>
      <c r="RFY369" s="656"/>
      <c r="RFZ369" s="286"/>
      <c r="RGA369" s="287"/>
      <c r="RGB369" s="296"/>
      <c r="RGC369" s="457"/>
      <c r="RGD369" s="664"/>
      <c r="RGE369" s="521"/>
      <c r="RGF369" s="362"/>
      <c r="RGG369" s="295"/>
      <c r="RGH369" s="656"/>
      <c r="RGI369" s="286"/>
      <c r="RGJ369" s="287"/>
      <c r="RGK369" s="296"/>
      <c r="RGL369" s="457"/>
      <c r="RGM369" s="664"/>
      <c r="RGN369" s="521"/>
      <c r="RGO369" s="362"/>
      <c r="RGP369" s="295"/>
      <c r="RGQ369" s="656"/>
      <c r="RGR369" s="286"/>
      <c r="RGS369" s="287"/>
      <c r="RGT369" s="296"/>
      <c r="RGU369" s="457"/>
      <c r="RGV369" s="664"/>
      <c r="RGW369" s="521"/>
      <c r="RGX369" s="362"/>
      <c r="RGY369" s="295"/>
      <c r="RGZ369" s="656"/>
      <c r="RHA369" s="286"/>
      <c r="RHB369" s="287"/>
      <c r="RHC369" s="296"/>
      <c r="RHD369" s="457"/>
      <c r="RHE369" s="664"/>
      <c r="RHF369" s="521"/>
      <c r="RHG369" s="362"/>
      <c r="RHH369" s="295"/>
      <c r="RHI369" s="656"/>
      <c r="RHJ369" s="286"/>
      <c r="RHK369" s="287"/>
      <c r="RHL369" s="296"/>
      <c r="RHM369" s="457"/>
      <c r="RHN369" s="664"/>
      <c r="RHO369" s="521"/>
      <c r="RHP369" s="362"/>
      <c r="RHQ369" s="295"/>
      <c r="RHR369" s="656"/>
      <c r="RHS369" s="286"/>
      <c r="RHT369" s="287"/>
      <c r="RHU369" s="296"/>
      <c r="RHV369" s="457"/>
      <c r="RHW369" s="664"/>
      <c r="RHX369" s="521"/>
      <c r="RHY369" s="362"/>
      <c r="RHZ369" s="295"/>
      <c r="RIA369" s="656"/>
      <c r="RIB369" s="286"/>
      <c r="RIC369" s="287"/>
      <c r="RID369" s="296"/>
      <c r="RIE369" s="457"/>
      <c r="RIF369" s="664"/>
      <c r="RIG369" s="521"/>
      <c r="RIH369" s="362"/>
      <c r="RII369" s="295"/>
      <c r="RIJ369" s="656"/>
      <c r="RIK369" s="286"/>
      <c r="RIL369" s="287"/>
      <c r="RIM369" s="296"/>
      <c r="RIN369" s="457"/>
      <c r="RIO369" s="664"/>
      <c r="RIP369" s="521"/>
      <c r="RIQ369" s="362"/>
      <c r="RIR369" s="295"/>
      <c r="RIS369" s="656"/>
      <c r="RIT369" s="286"/>
      <c r="RIU369" s="287"/>
      <c r="RIV369" s="296"/>
      <c r="RIW369" s="457"/>
      <c r="RIX369" s="664"/>
      <c r="RIY369" s="521"/>
      <c r="RIZ369" s="362"/>
      <c r="RJA369" s="295"/>
      <c r="RJB369" s="656"/>
      <c r="RJC369" s="286"/>
      <c r="RJD369" s="287"/>
      <c r="RJE369" s="296"/>
      <c r="RJF369" s="457"/>
      <c r="RJG369" s="664"/>
      <c r="RJH369" s="521"/>
      <c r="RJI369" s="362"/>
      <c r="RJJ369" s="295"/>
      <c r="RJK369" s="656"/>
      <c r="RJL369" s="286"/>
      <c r="RJM369" s="287"/>
      <c r="RJN369" s="296"/>
      <c r="RJO369" s="457"/>
      <c r="RJP369" s="664"/>
      <c r="RJQ369" s="521"/>
      <c r="RJR369" s="362"/>
      <c r="RJS369" s="295"/>
      <c r="RJT369" s="656"/>
      <c r="RJU369" s="286"/>
      <c r="RJV369" s="287"/>
      <c r="RJW369" s="296"/>
      <c r="RJX369" s="457"/>
      <c r="RJY369" s="664"/>
      <c r="RJZ369" s="521"/>
      <c r="RKA369" s="362"/>
      <c r="RKB369" s="295"/>
      <c r="RKC369" s="656"/>
      <c r="RKD369" s="286"/>
      <c r="RKE369" s="287"/>
      <c r="RKF369" s="296"/>
      <c r="RKG369" s="457"/>
      <c r="RKH369" s="664"/>
      <c r="RKI369" s="521"/>
      <c r="RKJ369" s="362"/>
      <c r="RKK369" s="295"/>
      <c r="RKL369" s="656"/>
      <c r="RKM369" s="286"/>
      <c r="RKN369" s="287"/>
      <c r="RKO369" s="296"/>
      <c r="RKP369" s="457"/>
      <c r="RKQ369" s="664"/>
      <c r="RKR369" s="521"/>
      <c r="RKS369" s="362"/>
      <c r="RKT369" s="295"/>
      <c r="RKU369" s="656"/>
      <c r="RKV369" s="286"/>
      <c r="RKW369" s="287"/>
      <c r="RKX369" s="296"/>
      <c r="RKY369" s="457"/>
      <c r="RKZ369" s="664"/>
      <c r="RLA369" s="521"/>
      <c r="RLB369" s="362"/>
      <c r="RLC369" s="295"/>
      <c r="RLD369" s="656"/>
      <c r="RLE369" s="286"/>
      <c r="RLF369" s="287"/>
      <c r="RLG369" s="296"/>
      <c r="RLH369" s="457"/>
      <c r="RLI369" s="664"/>
      <c r="RLJ369" s="521"/>
      <c r="RLK369" s="362"/>
      <c r="RLL369" s="295"/>
      <c r="RLM369" s="656"/>
      <c r="RLN369" s="286"/>
      <c r="RLO369" s="287"/>
      <c r="RLP369" s="296"/>
      <c r="RLQ369" s="457"/>
      <c r="RLR369" s="664"/>
      <c r="RLS369" s="521"/>
      <c r="RLT369" s="362"/>
      <c r="RLU369" s="295"/>
      <c r="RLV369" s="656"/>
      <c r="RLW369" s="286"/>
      <c r="RLX369" s="287"/>
      <c r="RLY369" s="296"/>
      <c r="RLZ369" s="457"/>
      <c r="RMA369" s="664"/>
      <c r="RMB369" s="521"/>
      <c r="RMC369" s="362"/>
      <c r="RMD369" s="295"/>
      <c r="RME369" s="656"/>
      <c r="RMF369" s="286"/>
      <c r="RMG369" s="287"/>
      <c r="RMH369" s="296"/>
      <c r="RMI369" s="457"/>
      <c r="RMJ369" s="664"/>
      <c r="RMK369" s="521"/>
      <c r="RML369" s="362"/>
      <c r="RMM369" s="295"/>
      <c r="RMN369" s="656"/>
      <c r="RMO369" s="286"/>
      <c r="RMP369" s="287"/>
      <c r="RMQ369" s="296"/>
      <c r="RMR369" s="457"/>
      <c r="RMS369" s="664"/>
      <c r="RMT369" s="521"/>
      <c r="RMU369" s="362"/>
      <c r="RMV369" s="295"/>
      <c r="RMW369" s="656"/>
      <c r="RMX369" s="286"/>
      <c r="RMY369" s="287"/>
      <c r="RMZ369" s="296"/>
      <c r="RNA369" s="457"/>
      <c r="RNB369" s="664"/>
      <c r="RNC369" s="521"/>
      <c r="RND369" s="362"/>
      <c r="RNE369" s="295"/>
      <c r="RNF369" s="656"/>
      <c r="RNG369" s="286"/>
      <c r="RNH369" s="287"/>
      <c r="RNI369" s="296"/>
      <c r="RNJ369" s="457"/>
      <c r="RNK369" s="664"/>
      <c r="RNL369" s="521"/>
      <c r="RNM369" s="362"/>
      <c r="RNN369" s="295"/>
      <c r="RNO369" s="656"/>
      <c r="RNP369" s="286"/>
      <c r="RNQ369" s="287"/>
      <c r="RNR369" s="296"/>
      <c r="RNS369" s="457"/>
      <c r="RNT369" s="664"/>
      <c r="RNU369" s="521"/>
      <c r="RNV369" s="362"/>
      <c r="RNW369" s="295"/>
      <c r="RNX369" s="656"/>
      <c r="RNY369" s="286"/>
      <c r="RNZ369" s="287"/>
      <c r="ROA369" s="296"/>
      <c r="ROB369" s="457"/>
      <c r="ROC369" s="664"/>
      <c r="ROD369" s="521"/>
      <c r="ROE369" s="362"/>
      <c r="ROF369" s="295"/>
      <c r="ROG369" s="656"/>
      <c r="ROH369" s="286"/>
      <c r="ROI369" s="287"/>
      <c r="ROJ369" s="296"/>
      <c r="ROK369" s="457"/>
      <c r="ROL369" s="664"/>
      <c r="ROM369" s="521"/>
      <c r="RON369" s="362"/>
      <c r="ROO369" s="295"/>
      <c r="ROP369" s="656"/>
      <c r="ROQ369" s="286"/>
      <c r="ROR369" s="287"/>
      <c r="ROS369" s="296"/>
      <c r="ROT369" s="457"/>
      <c r="ROU369" s="664"/>
      <c r="ROV369" s="521"/>
      <c r="ROW369" s="362"/>
      <c r="ROX369" s="295"/>
      <c r="ROY369" s="656"/>
      <c r="ROZ369" s="286"/>
      <c r="RPA369" s="287"/>
      <c r="RPB369" s="296"/>
      <c r="RPC369" s="457"/>
      <c r="RPD369" s="664"/>
      <c r="RPE369" s="521"/>
      <c r="RPF369" s="362"/>
      <c r="RPG369" s="295"/>
      <c r="RPH369" s="656"/>
      <c r="RPI369" s="286"/>
      <c r="RPJ369" s="287"/>
      <c r="RPK369" s="296"/>
      <c r="RPL369" s="457"/>
      <c r="RPM369" s="664"/>
      <c r="RPN369" s="521"/>
      <c r="RPO369" s="362"/>
      <c r="RPP369" s="295"/>
      <c r="RPQ369" s="656"/>
      <c r="RPR369" s="286"/>
      <c r="RPS369" s="287"/>
      <c r="RPT369" s="296"/>
      <c r="RPU369" s="457"/>
      <c r="RPV369" s="664"/>
      <c r="RPW369" s="521"/>
      <c r="RPX369" s="362"/>
      <c r="RPY369" s="295"/>
      <c r="RPZ369" s="656"/>
      <c r="RQA369" s="286"/>
      <c r="RQB369" s="287"/>
      <c r="RQC369" s="296"/>
      <c r="RQD369" s="457"/>
      <c r="RQE369" s="664"/>
      <c r="RQF369" s="521"/>
      <c r="RQG369" s="362"/>
      <c r="RQH369" s="295"/>
      <c r="RQI369" s="656"/>
      <c r="RQJ369" s="286"/>
      <c r="RQK369" s="287"/>
      <c r="RQL369" s="296"/>
      <c r="RQM369" s="457"/>
      <c r="RQN369" s="664"/>
      <c r="RQO369" s="521"/>
      <c r="RQP369" s="362"/>
      <c r="RQQ369" s="295"/>
      <c r="RQR369" s="656"/>
      <c r="RQS369" s="286"/>
      <c r="RQT369" s="287"/>
      <c r="RQU369" s="296"/>
      <c r="RQV369" s="457"/>
      <c r="RQW369" s="664"/>
      <c r="RQX369" s="521"/>
      <c r="RQY369" s="362"/>
      <c r="RQZ369" s="295"/>
      <c r="RRA369" s="656"/>
      <c r="RRB369" s="286"/>
      <c r="RRC369" s="287"/>
      <c r="RRD369" s="296"/>
      <c r="RRE369" s="457"/>
      <c r="RRF369" s="664"/>
      <c r="RRG369" s="521"/>
      <c r="RRH369" s="362"/>
      <c r="RRI369" s="295"/>
      <c r="RRJ369" s="656"/>
      <c r="RRK369" s="286"/>
      <c r="RRL369" s="287"/>
      <c r="RRM369" s="296"/>
      <c r="RRN369" s="457"/>
      <c r="RRO369" s="664"/>
      <c r="RRP369" s="521"/>
      <c r="RRQ369" s="362"/>
      <c r="RRR369" s="295"/>
      <c r="RRS369" s="656"/>
      <c r="RRT369" s="286"/>
      <c r="RRU369" s="287"/>
      <c r="RRV369" s="296"/>
      <c r="RRW369" s="457"/>
      <c r="RRX369" s="664"/>
      <c r="RRY369" s="521"/>
      <c r="RRZ369" s="362"/>
      <c r="RSA369" s="295"/>
      <c r="RSB369" s="656"/>
      <c r="RSC369" s="286"/>
      <c r="RSD369" s="287"/>
      <c r="RSE369" s="296"/>
      <c r="RSF369" s="457"/>
      <c r="RSG369" s="664"/>
      <c r="RSH369" s="521"/>
      <c r="RSI369" s="362"/>
      <c r="RSJ369" s="295"/>
      <c r="RSK369" s="656"/>
      <c r="RSL369" s="286"/>
      <c r="RSM369" s="287"/>
      <c r="RSN369" s="296"/>
      <c r="RSO369" s="457"/>
      <c r="RSP369" s="664"/>
      <c r="RSQ369" s="521"/>
      <c r="RSR369" s="362"/>
      <c r="RSS369" s="295"/>
      <c r="RST369" s="656"/>
      <c r="RSU369" s="286"/>
      <c r="RSV369" s="287"/>
      <c r="RSW369" s="296"/>
      <c r="RSX369" s="457"/>
      <c r="RSY369" s="664"/>
      <c r="RSZ369" s="521"/>
      <c r="RTA369" s="362"/>
      <c r="RTB369" s="295"/>
      <c r="RTC369" s="656"/>
      <c r="RTD369" s="286"/>
      <c r="RTE369" s="287"/>
      <c r="RTF369" s="296"/>
      <c r="RTG369" s="457"/>
      <c r="RTH369" s="664"/>
      <c r="RTI369" s="521"/>
      <c r="RTJ369" s="362"/>
      <c r="RTK369" s="295"/>
      <c r="RTL369" s="656"/>
      <c r="RTM369" s="286"/>
      <c r="RTN369" s="287"/>
      <c r="RTO369" s="296"/>
      <c r="RTP369" s="457"/>
      <c r="RTQ369" s="664"/>
      <c r="RTR369" s="521"/>
      <c r="RTS369" s="362"/>
      <c r="RTT369" s="295"/>
      <c r="RTU369" s="656"/>
      <c r="RTV369" s="286"/>
      <c r="RTW369" s="287"/>
      <c r="RTX369" s="296"/>
      <c r="RTY369" s="457"/>
      <c r="RTZ369" s="664"/>
      <c r="RUA369" s="521"/>
      <c r="RUB369" s="362"/>
      <c r="RUC369" s="295"/>
      <c r="RUD369" s="656"/>
      <c r="RUE369" s="286"/>
      <c r="RUF369" s="287"/>
      <c r="RUG369" s="296"/>
      <c r="RUH369" s="457"/>
      <c r="RUI369" s="664"/>
      <c r="RUJ369" s="521"/>
      <c r="RUK369" s="362"/>
      <c r="RUL369" s="295"/>
      <c r="RUM369" s="656"/>
      <c r="RUN369" s="286"/>
      <c r="RUO369" s="287"/>
      <c r="RUP369" s="296"/>
      <c r="RUQ369" s="457"/>
      <c r="RUR369" s="664"/>
      <c r="RUS369" s="521"/>
      <c r="RUT369" s="362"/>
      <c r="RUU369" s="295"/>
      <c r="RUV369" s="656"/>
      <c r="RUW369" s="286"/>
      <c r="RUX369" s="287"/>
      <c r="RUY369" s="296"/>
      <c r="RUZ369" s="457"/>
      <c r="RVA369" s="664"/>
      <c r="RVB369" s="521"/>
      <c r="RVC369" s="362"/>
      <c r="RVD369" s="295"/>
      <c r="RVE369" s="656"/>
      <c r="RVF369" s="286"/>
      <c r="RVG369" s="287"/>
      <c r="RVH369" s="296"/>
      <c r="RVI369" s="457"/>
      <c r="RVJ369" s="664"/>
      <c r="RVK369" s="521"/>
      <c r="RVL369" s="362"/>
      <c r="RVM369" s="295"/>
      <c r="RVN369" s="656"/>
      <c r="RVO369" s="286"/>
      <c r="RVP369" s="287"/>
      <c r="RVQ369" s="296"/>
      <c r="RVR369" s="457"/>
      <c r="RVS369" s="664"/>
      <c r="RVT369" s="521"/>
      <c r="RVU369" s="362"/>
      <c r="RVV369" s="295"/>
      <c r="RVW369" s="656"/>
      <c r="RVX369" s="286"/>
      <c r="RVY369" s="287"/>
      <c r="RVZ369" s="296"/>
      <c r="RWA369" s="457"/>
      <c r="RWB369" s="664"/>
      <c r="RWC369" s="521"/>
      <c r="RWD369" s="362"/>
      <c r="RWE369" s="295"/>
      <c r="RWF369" s="656"/>
      <c r="RWG369" s="286"/>
      <c r="RWH369" s="287"/>
      <c r="RWI369" s="296"/>
      <c r="RWJ369" s="457"/>
      <c r="RWK369" s="664"/>
      <c r="RWL369" s="521"/>
      <c r="RWM369" s="362"/>
      <c r="RWN369" s="295"/>
      <c r="RWO369" s="656"/>
      <c r="RWP369" s="286"/>
      <c r="RWQ369" s="287"/>
      <c r="RWR369" s="296"/>
      <c r="RWS369" s="457"/>
      <c r="RWT369" s="664"/>
      <c r="RWU369" s="521"/>
      <c r="RWV369" s="362"/>
      <c r="RWW369" s="295"/>
      <c r="RWX369" s="656"/>
      <c r="RWY369" s="286"/>
      <c r="RWZ369" s="287"/>
      <c r="RXA369" s="296"/>
      <c r="RXB369" s="457"/>
      <c r="RXC369" s="664"/>
      <c r="RXD369" s="521"/>
      <c r="RXE369" s="362"/>
      <c r="RXF369" s="295"/>
      <c r="RXG369" s="656"/>
      <c r="RXH369" s="286"/>
      <c r="RXI369" s="287"/>
      <c r="RXJ369" s="296"/>
      <c r="RXK369" s="457"/>
      <c r="RXL369" s="664"/>
      <c r="RXM369" s="521"/>
      <c r="RXN369" s="362"/>
      <c r="RXO369" s="295"/>
      <c r="RXP369" s="656"/>
      <c r="RXQ369" s="286"/>
      <c r="RXR369" s="287"/>
      <c r="RXS369" s="296"/>
      <c r="RXT369" s="457"/>
      <c r="RXU369" s="664"/>
      <c r="RXV369" s="521"/>
      <c r="RXW369" s="362"/>
      <c r="RXX369" s="295"/>
      <c r="RXY369" s="656"/>
      <c r="RXZ369" s="286"/>
      <c r="RYA369" s="287"/>
      <c r="RYB369" s="296"/>
      <c r="RYC369" s="457"/>
      <c r="RYD369" s="664"/>
      <c r="RYE369" s="521"/>
      <c r="RYF369" s="362"/>
      <c r="RYG369" s="295"/>
      <c r="RYH369" s="656"/>
      <c r="RYI369" s="286"/>
      <c r="RYJ369" s="287"/>
      <c r="RYK369" s="296"/>
      <c r="RYL369" s="457"/>
      <c r="RYM369" s="664"/>
      <c r="RYN369" s="521"/>
      <c r="RYO369" s="362"/>
      <c r="RYP369" s="295"/>
      <c r="RYQ369" s="656"/>
      <c r="RYR369" s="286"/>
      <c r="RYS369" s="287"/>
      <c r="RYT369" s="296"/>
      <c r="RYU369" s="457"/>
      <c r="RYV369" s="664"/>
      <c r="RYW369" s="521"/>
      <c r="RYX369" s="362"/>
      <c r="RYY369" s="295"/>
      <c r="RYZ369" s="656"/>
      <c r="RZA369" s="286"/>
      <c r="RZB369" s="287"/>
      <c r="RZC369" s="296"/>
      <c r="RZD369" s="457"/>
      <c r="RZE369" s="664"/>
      <c r="RZF369" s="521"/>
      <c r="RZG369" s="362"/>
      <c r="RZH369" s="295"/>
      <c r="RZI369" s="656"/>
      <c r="RZJ369" s="286"/>
      <c r="RZK369" s="287"/>
      <c r="RZL369" s="296"/>
      <c r="RZM369" s="457"/>
      <c r="RZN369" s="664"/>
      <c r="RZO369" s="521"/>
      <c r="RZP369" s="362"/>
      <c r="RZQ369" s="295"/>
      <c r="RZR369" s="656"/>
      <c r="RZS369" s="286"/>
      <c r="RZT369" s="287"/>
      <c r="RZU369" s="296"/>
      <c r="RZV369" s="457"/>
      <c r="RZW369" s="664"/>
      <c r="RZX369" s="521"/>
      <c r="RZY369" s="362"/>
      <c r="RZZ369" s="295"/>
      <c r="SAA369" s="656"/>
      <c r="SAB369" s="286"/>
      <c r="SAC369" s="287"/>
      <c r="SAD369" s="296"/>
      <c r="SAE369" s="457"/>
      <c r="SAF369" s="664"/>
      <c r="SAG369" s="521"/>
      <c r="SAH369" s="362"/>
      <c r="SAI369" s="295"/>
      <c r="SAJ369" s="656"/>
      <c r="SAK369" s="286"/>
      <c r="SAL369" s="287"/>
      <c r="SAM369" s="296"/>
      <c r="SAN369" s="457"/>
      <c r="SAO369" s="664"/>
      <c r="SAP369" s="521"/>
      <c r="SAQ369" s="362"/>
      <c r="SAR369" s="295"/>
      <c r="SAS369" s="656"/>
      <c r="SAT369" s="286"/>
      <c r="SAU369" s="287"/>
      <c r="SAV369" s="296"/>
      <c r="SAW369" s="457"/>
      <c r="SAX369" s="664"/>
      <c r="SAY369" s="521"/>
      <c r="SAZ369" s="362"/>
      <c r="SBA369" s="295"/>
      <c r="SBB369" s="656"/>
      <c r="SBC369" s="286"/>
      <c r="SBD369" s="287"/>
      <c r="SBE369" s="296"/>
      <c r="SBF369" s="457"/>
      <c r="SBG369" s="664"/>
      <c r="SBH369" s="521"/>
      <c r="SBI369" s="362"/>
      <c r="SBJ369" s="295"/>
      <c r="SBK369" s="656"/>
      <c r="SBL369" s="286"/>
      <c r="SBM369" s="287"/>
      <c r="SBN369" s="296"/>
      <c r="SBO369" s="457"/>
      <c r="SBP369" s="664"/>
      <c r="SBQ369" s="521"/>
      <c r="SBR369" s="362"/>
      <c r="SBS369" s="295"/>
      <c r="SBT369" s="656"/>
      <c r="SBU369" s="286"/>
      <c r="SBV369" s="287"/>
      <c r="SBW369" s="296"/>
      <c r="SBX369" s="457"/>
      <c r="SBY369" s="664"/>
      <c r="SBZ369" s="521"/>
      <c r="SCA369" s="362"/>
      <c r="SCB369" s="295"/>
      <c r="SCC369" s="656"/>
      <c r="SCD369" s="286"/>
      <c r="SCE369" s="287"/>
      <c r="SCF369" s="296"/>
      <c r="SCG369" s="457"/>
      <c r="SCH369" s="664"/>
      <c r="SCI369" s="521"/>
      <c r="SCJ369" s="362"/>
      <c r="SCK369" s="295"/>
      <c r="SCL369" s="656"/>
      <c r="SCM369" s="286"/>
      <c r="SCN369" s="287"/>
      <c r="SCO369" s="296"/>
      <c r="SCP369" s="457"/>
      <c r="SCQ369" s="664"/>
      <c r="SCR369" s="521"/>
      <c r="SCS369" s="362"/>
      <c r="SCT369" s="295"/>
      <c r="SCU369" s="656"/>
      <c r="SCV369" s="286"/>
      <c r="SCW369" s="287"/>
      <c r="SCX369" s="296"/>
      <c r="SCY369" s="457"/>
      <c r="SCZ369" s="664"/>
      <c r="SDA369" s="521"/>
      <c r="SDB369" s="362"/>
      <c r="SDC369" s="295"/>
      <c r="SDD369" s="656"/>
      <c r="SDE369" s="286"/>
      <c r="SDF369" s="287"/>
      <c r="SDG369" s="296"/>
      <c r="SDH369" s="457"/>
      <c r="SDI369" s="664"/>
      <c r="SDJ369" s="521"/>
      <c r="SDK369" s="362"/>
      <c r="SDL369" s="295"/>
      <c r="SDM369" s="656"/>
      <c r="SDN369" s="286"/>
      <c r="SDO369" s="287"/>
      <c r="SDP369" s="296"/>
      <c r="SDQ369" s="457"/>
      <c r="SDR369" s="664"/>
      <c r="SDS369" s="521"/>
      <c r="SDT369" s="362"/>
      <c r="SDU369" s="295"/>
      <c r="SDV369" s="656"/>
      <c r="SDW369" s="286"/>
      <c r="SDX369" s="287"/>
      <c r="SDY369" s="296"/>
      <c r="SDZ369" s="457"/>
      <c r="SEA369" s="664"/>
      <c r="SEB369" s="521"/>
      <c r="SEC369" s="362"/>
      <c r="SED369" s="295"/>
      <c r="SEE369" s="656"/>
      <c r="SEF369" s="286"/>
      <c r="SEG369" s="287"/>
      <c r="SEH369" s="296"/>
      <c r="SEI369" s="457"/>
      <c r="SEJ369" s="664"/>
      <c r="SEK369" s="521"/>
      <c r="SEL369" s="362"/>
      <c r="SEM369" s="295"/>
      <c r="SEN369" s="656"/>
      <c r="SEO369" s="286"/>
      <c r="SEP369" s="287"/>
      <c r="SEQ369" s="296"/>
      <c r="SER369" s="457"/>
      <c r="SES369" s="664"/>
      <c r="SET369" s="521"/>
      <c r="SEU369" s="362"/>
      <c r="SEV369" s="295"/>
      <c r="SEW369" s="656"/>
      <c r="SEX369" s="286"/>
      <c r="SEY369" s="287"/>
      <c r="SEZ369" s="296"/>
      <c r="SFA369" s="457"/>
      <c r="SFB369" s="664"/>
      <c r="SFC369" s="521"/>
      <c r="SFD369" s="362"/>
      <c r="SFE369" s="295"/>
      <c r="SFF369" s="656"/>
      <c r="SFG369" s="286"/>
      <c r="SFH369" s="287"/>
      <c r="SFI369" s="296"/>
      <c r="SFJ369" s="457"/>
      <c r="SFK369" s="664"/>
      <c r="SFL369" s="521"/>
      <c r="SFM369" s="362"/>
      <c r="SFN369" s="295"/>
      <c r="SFO369" s="656"/>
      <c r="SFP369" s="286"/>
      <c r="SFQ369" s="287"/>
      <c r="SFR369" s="296"/>
      <c r="SFS369" s="457"/>
      <c r="SFT369" s="664"/>
      <c r="SFU369" s="521"/>
      <c r="SFV369" s="362"/>
      <c r="SFW369" s="295"/>
      <c r="SFX369" s="656"/>
      <c r="SFY369" s="286"/>
      <c r="SFZ369" s="287"/>
      <c r="SGA369" s="296"/>
      <c r="SGB369" s="457"/>
      <c r="SGC369" s="664"/>
      <c r="SGD369" s="521"/>
      <c r="SGE369" s="362"/>
      <c r="SGF369" s="295"/>
      <c r="SGG369" s="656"/>
      <c r="SGH369" s="286"/>
      <c r="SGI369" s="287"/>
      <c r="SGJ369" s="296"/>
      <c r="SGK369" s="457"/>
      <c r="SGL369" s="664"/>
      <c r="SGM369" s="521"/>
      <c r="SGN369" s="362"/>
      <c r="SGO369" s="295"/>
      <c r="SGP369" s="656"/>
      <c r="SGQ369" s="286"/>
      <c r="SGR369" s="287"/>
      <c r="SGS369" s="296"/>
      <c r="SGT369" s="457"/>
      <c r="SGU369" s="664"/>
      <c r="SGV369" s="521"/>
      <c r="SGW369" s="362"/>
      <c r="SGX369" s="295"/>
      <c r="SGY369" s="656"/>
      <c r="SGZ369" s="286"/>
      <c r="SHA369" s="287"/>
      <c r="SHB369" s="296"/>
      <c r="SHC369" s="457"/>
      <c r="SHD369" s="664"/>
      <c r="SHE369" s="521"/>
      <c r="SHF369" s="362"/>
      <c r="SHG369" s="295"/>
      <c r="SHH369" s="656"/>
      <c r="SHI369" s="286"/>
      <c r="SHJ369" s="287"/>
      <c r="SHK369" s="296"/>
      <c r="SHL369" s="457"/>
      <c r="SHM369" s="664"/>
      <c r="SHN369" s="521"/>
      <c r="SHO369" s="362"/>
      <c r="SHP369" s="295"/>
      <c r="SHQ369" s="656"/>
      <c r="SHR369" s="286"/>
      <c r="SHS369" s="287"/>
      <c r="SHT369" s="296"/>
      <c r="SHU369" s="457"/>
      <c r="SHV369" s="664"/>
      <c r="SHW369" s="521"/>
      <c r="SHX369" s="362"/>
      <c r="SHY369" s="295"/>
      <c r="SHZ369" s="656"/>
      <c r="SIA369" s="286"/>
      <c r="SIB369" s="287"/>
      <c r="SIC369" s="296"/>
      <c r="SID369" s="457"/>
      <c r="SIE369" s="664"/>
      <c r="SIF369" s="521"/>
      <c r="SIG369" s="362"/>
      <c r="SIH369" s="295"/>
      <c r="SII369" s="656"/>
      <c r="SIJ369" s="286"/>
      <c r="SIK369" s="287"/>
      <c r="SIL369" s="296"/>
      <c r="SIM369" s="457"/>
      <c r="SIN369" s="664"/>
      <c r="SIO369" s="521"/>
      <c r="SIP369" s="362"/>
      <c r="SIQ369" s="295"/>
      <c r="SIR369" s="656"/>
      <c r="SIS369" s="286"/>
      <c r="SIT369" s="287"/>
      <c r="SIU369" s="296"/>
      <c r="SIV369" s="457"/>
      <c r="SIW369" s="664"/>
      <c r="SIX369" s="521"/>
      <c r="SIY369" s="362"/>
      <c r="SIZ369" s="295"/>
      <c r="SJA369" s="656"/>
      <c r="SJB369" s="286"/>
      <c r="SJC369" s="287"/>
      <c r="SJD369" s="296"/>
      <c r="SJE369" s="457"/>
      <c r="SJF369" s="664"/>
      <c r="SJG369" s="521"/>
      <c r="SJH369" s="362"/>
      <c r="SJI369" s="295"/>
      <c r="SJJ369" s="656"/>
      <c r="SJK369" s="286"/>
      <c r="SJL369" s="287"/>
      <c r="SJM369" s="296"/>
      <c r="SJN369" s="457"/>
      <c r="SJO369" s="664"/>
      <c r="SJP369" s="521"/>
      <c r="SJQ369" s="362"/>
      <c r="SJR369" s="295"/>
      <c r="SJS369" s="656"/>
      <c r="SJT369" s="286"/>
      <c r="SJU369" s="287"/>
      <c r="SJV369" s="296"/>
      <c r="SJW369" s="457"/>
      <c r="SJX369" s="664"/>
      <c r="SJY369" s="521"/>
      <c r="SJZ369" s="362"/>
      <c r="SKA369" s="295"/>
      <c r="SKB369" s="656"/>
      <c r="SKC369" s="286"/>
      <c r="SKD369" s="287"/>
      <c r="SKE369" s="296"/>
      <c r="SKF369" s="457"/>
      <c r="SKG369" s="664"/>
      <c r="SKH369" s="521"/>
      <c r="SKI369" s="362"/>
      <c r="SKJ369" s="295"/>
      <c r="SKK369" s="656"/>
      <c r="SKL369" s="286"/>
      <c r="SKM369" s="287"/>
      <c r="SKN369" s="296"/>
      <c r="SKO369" s="457"/>
      <c r="SKP369" s="664"/>
      <c r="SKQ369" s="521"/>
      <c r="SKR369" s="362"/>
      <c r="SKS369" s="295"/>
      <c r="SKT369" s="656"/>
      <c r="SKU369" s="286"/>
      <c r="SKV369" s="287"/>
      <c r="SKW369" s="296"/>
      <c r="SKX369" s="457"/>
      <c r="SKY369" s="664"/>
      <c r="SKZ369" s="521"/>
      <c r="SLA369" s="362"/>
      <c r="SLB369" s="295"/>
      <c r="SLC369" s="656"/>
      <c r="SLD369" s="286"/>
      <c r="SLE369" s="287"/>
      <c r="SLF369" s="296"/>
      <c r="SLG369" s="457"/>
      <c r="SLH369" s="664"/>
      <c r="SLI369" s="521"/>
      <c r="SLJ369" s="362"/>
      <c r="SLK369" s="295"/>
      <c r="SLL369" s="656"/>
      <c r="SLM369" s="286"/>
      <c r="SLN369" s="287"/>
      <c r="SLO369" s="296"/>
      <c r="SLP369" s="457"/>
      <c r="SLQ369" s="664"/>
      <c r="SLR369" s="521"/>
      <c r="SLS369" s="362"/>
      <c r="SLT369" s="295"/>
      <c r="SLU369" s="656"/>
      <c r="SLV369" s="286"/>
      <c r="SLW369" s="287"/>
      <c r="SLX369" s="296"/>
      <c r="SLY369" s="457"/>
      <c r="SLZ369" s="664"/>
      <c r="SMA369" s="521"/>
      <c r="SMB369" s="362"/>
      <c r="SMC369" s="295"/>
      <c r="SMD369" s="656"/>
      <c r="SME369" s="286"/>
      <c r="SMF369" s="287"/>
      <c r="SMG369" s="296"/>
      <c r="SMH369" s="457"/>
      <c r="SMI369" s="664"/>
      <c r="SMJ369" s="521"/>
      <c r="SMK369" s="362"/>
      <c r="SML369" s="295"/>
      <c r="SMM369" s="656"/>
      <c r="SMN369" s="286"/>
      <c r="SMO369" s="287"/>
      <c r="SMP369" s="296"/>
      <c r="SMQ369" s="457"/>
      <c r="SMR369" s="664"/>
      <c r="SMS369" s="521"/>
      <c r="SMT369" s="362"/>
      <c r="SMU369" s="295"/>
      <c r="SMV369" s="656"/>
      <c r="SMW369" s="286"/>
      <c r="SMX369" s="287"/>
      <c r="SMY369" s="296"/>
      <c r="SMZ369" s="457"/>
      <c r="SNA369" s="664"/>
      <c r="SNB369" s="521"/>
      <c r="SNC369" s="362"/>
      <c r="SND369" s="295"/>
      <c r="SNE369" s="656"/>
      <c r="SNF369" s="286"/>
      <c r="SNG369" s="287"/>
      <c r="SNH369" s="296"/>
      <c r="SNI369" s="457"/>
      <c r="SNJ369" s="664"/>
      <c r="SNK369" s="521"/>
      <c r="SNL369" s="362"/>
      <c r="SNM369" s="295"/>
      <c r="SNN369" s="656"/>
      <c r="SNO369" s="286"/>
      <c r="SNP369" s="287"/>
      <c r="SNQ369" s="296"/>
      <c r="SNR369" s="457"/>
      <c r="SNS369" s="664"/>
      <c r="SNT369" s="521"/>
      <c r="SNU369" s="362"/>
      <c r="SNV369" s="295"/>
      <c r="SNW369" s="656"/>
      <c r="SNX369" s="286"/>
      <c r="SNY369" s="287"/>
      <c r="SNZ369" s="296"/>
      <c r="SOA369" s="457"/>
      <c r="SOB369" s="664"/>
      <c r="SOC369" s="521"/>
      <c r="SOD369" s="362"/>
      <c r="SOE369" s="295"/>
      <c r="SOF369" s="656"/>
      <c r="SOG369" s="286"/>
      <c r="SOH369" s="287"/>
      <c r="SOI369" s="296"/>
      <c r="SOJ369" s="457"/>
      <c r="SOK369" s="664"/>
      <c r="SOL369" s="521"/>
      <c r="SOM369" s="362"/>
      <c r="SON369" s="295"/>
      <c r="SOO369" s="656"/>
      <c r="SOP369" s="286"/>
      <c r="SOQ369" s="287"/>
      <c r="SOR369" s="296"/>
      <c r="SOS369" s="457"/>
      <c r="SOT369" s="664"/>
      <c r="SOU369" s="521"/>
      <c r="SOV369" s="362"/>
      <c r="SOW369" s="295"/>
      <c r="SOX369" s="656"/>
      <c r="SOY369" s="286"/>
      <c r="SOZ369" s="287"/>
      <c r="SPA369" s="296"/>
      <c r="SPB369" s="457"/>
      <c r="SPC369" s="664"/>
      <c r="SPD369" s="521"/>
      <c r="SPE369" s="362"/>
      <c r="SPF369" s="295"/>
      <c r="SPG369" s="656"/>
      <c r="SPH369" s="286"/>
      <c r="SPI369" s="287"/>
      <c r="SPJ369" s="296"/>
      <c r="SPK369" s="457"/>
      <c r="SPL369" s="664"/>
      <c r="SPM369" s="521"/>
      <c r="SPN369" s="362"/>
      <c r="SPO369" s="295"/>
      <c r="SPP369" s="656"/>
      <c r="SPQ369" s="286"/>
      <c r="SPR369" s="287"/>
      <c r="SPS369" s="296"/>
      <c r="SPT369" s="457"/>
      <c r="SPU369" s="664"/>
      <c r="SPV369" s="521"/>
      <c r="SPW369" s="362"/>
      <c r="SPX369" s="295"/>
      <c r="SPY369" s="656"/>
      <c r="SPZ369" s="286"/>
      <c r="SQA369" s="287"/>
      <c r="SQB369" s="296"/>
      <c r="SQC369" s="457"/>
      <c r="SQD369" s="664"/>
      <c r="SQE369" s="521"/>
      <c r="SQF369" s="362"/>
      <c r="SQG369" s="295"/>
      <c r="SQH369" s="656"/>
      <c r="SQI369" s="286"/>
      <c r="SQJ369" s="287"/>
      <c r="SQK369" s="296"/>
      <c r="SQL369" s="457"/>
      <c r="SQM369" s="664"/>
      <c r="SQN369" s="521"/>
      <c r="SQO369" s="362"/>
      <c r="SQP369" s="295"/>
      <c r="SQQ369" s="656"/>
      <c r="SQR369" s="286"/>
      <c r="SQS369" s="287"/>
      <c r="SQT369" s="296"/>
      <c r="SQU369" s="457"/>
      <c r="SQV369" s="664"/>
      <c r="SQW369" s="521"/>
      <c r="SQX369" s="362"/>
      <c r="SQY369" s="295"/>
      <c r="SQZ369" s="656"/>
      <c r="SRA369" s="286"/>
      <c r="SRB369" s="287"/>
      <c r="SRC369" s="296"/>
      <c r="SRD369" s="457"/>
      <c r="SRE369" s="664"/>
      <c r="SRF369" s="521"/>
      <c r="SRG369" s="362"/>
      <c r="SRH369" s="295"/>
      <c r="SRI369" s="656"/>
      <c r="SRJ369" s="286"/>
      <c r="SRK369" s="287"/>
      <c r="SRL369" s="296"/>
      <c r="SRM369" s="457"/>
      <c r="SRN369" s="664"/>
      <c r="SRO369" s="521"/>
      <c r="SRP369" s="362"/>
      <c r="SRQ369" s="295"/>
      <c r="SRR369" s="656"/>
      <c r="SRS369" s="286"/>
      <c r="SRT369" s="287"/>
      <c r="SRU369" s="296"/>
      <c r="SRV369" s="457"/>
      <c r="SRW369" s="664"/>
      <c r="SRX369" s="521"/>
      <c r="SRY369" s="362"/>
      <c r="SRZ369" s="295"/>
      <c r="SSA369" s="656"/>
      <c r="SSB369" s="286"/>
      <c r="SSC369" s="287"/>
      <c r="SSD369" s="296"/>
      <c r="SSE369" s="457"/>
      <c r="SSF369" s="664"/>
      <c r="SSG369" s="521"/>
      <c r="SSH369" s="362"/>
      <c r="SSI369" s="295"/>
      <c r="SSJ369" s="656"/>
      <c r="SSK369" s="286"/>
      <c r="SSL369" s="287"/>
      <c r="SSM369" s="296"/>
      <c r="SSN369" s="457"/>
      <c r="SSO369" s="664"/>
      <c r="SSP369" s="521"/>
      <c r="SSQ369" s="362"/>
      <c r="SSR369" s="295"/>
      <c r="SSS369" s="656"/>
      <c r="SST369" s="286"/>
      <c r="SSU369" s="287"/>
      <c r="SSV369" s="296"/>
      <c r="SSW369" s="457"/>
      <c r="SSX369" s="664"/>
      <c r="SSY369" s="521"/>
      <c r="SSZ369" s="362"/>
      <c r="STA369" s="295"/>
      <c r="STB369" s="656"/>
      <c r="STC369" s="286"/>
      <c r="STD369" s="287"/>
      <c r="STE369" s="296"/>
      <c r="STF369" s="457"/>
      <c r="STG369" s="664"/>
      <c r="STH369" s="521"/>
      <c r="STI369" s="362"/>
      <c r="STJ369" s="295"/>
      <c r="STK369" s="656"/>
      <c r="STL369" s="286"/>
      <c r="STM369" s="287"/>
      <c r="STN369" s="296"/>
      <c r="STO369" s="457"/>
      <c r="STP369" s="664"/>
      <c r="STQ369" s="521"/>
      <c r="STR369" s="362"/>
      <c r="STS369" s="295"/>
      <c r="STT369" s="656"/>
      <c r="STU369" s="286"/>
      <c r="STV369" s="287"/>
      <c r="STW369" s="296"/>
      <c r="STX369" s="457"/>
      <c r="STY369" s="664"/>
      <c r="STZ369" s="521"/>
      <c r="SUA369" s="362"/>
      <c r="SUB369" s="295"/>
      <c r="SUC369" s="656"/>
      <c r="SUD369" s="286"/>
      <c r="SUE369" s="287"/>
      <c r="SUF369" s="296"/>
      <c r="SUG369" s="457"/>
      <c r="SUH369" s="664"/>
      <c r="SUI369" s="521"/>
      <c r="SUJ369" s="362"/>
      <c r="SUK369" s="295"/>
      <c r="SUL369" s="656"/>
      <c r="SUM369" s="286"/>
      <c r="SUN369" s="287"/>
      <c r="SUO369" s="296"/>
      <c r="SUP369" s="457"/>
      <c r="SUQ369" s="664"/>
      <c r="SUR369" s="521"/>
      <c r="SUS369" s="362"/>
      <c r="SUT369" s="295"/>
      <c r="SUU369" s="656"/>
      <c r="SUV369" s="286"/>
      <c r="SUW369" s="287"/>
      <c r="SUX369" s="296"/>
      <c r="SUY369" s="457"/>
      <c r="SUZ369" s="664"/>
      <c r="SVA369" s="521"/>
      <c r="SVB369" s="362"/>
      <c r="SVC369" s="295"/>
      <c r="SVD369" s="656"/>
      <c r="SVE369" s="286"/>
      <c r="SVF369" s="287"/>
      <c r="SVG369" s="296"/>
      <c r="SVH369" s="457"/>
      <c r="SVI369" s="664"/>
      <c r="SVJ369" s="521"/>
      <c r="SVK369" s="362"/>
      <c r="SVL369" s="295"/>
      <c r="SVM369" s="656"/>
      <c r="SVN369" s="286"/>
      <c r="SVO369" s="287"/>
      <c r="SVP369" s="296"/>
      <c r="SVQ369" s="457"/>
      <c r="SVR369" s="664"/>
      <c r="SVS369" s="521"/>
      <c r="SVT369" s="362"/>
      <c r="SVU369" s="295"/>
      <c r="SVV369" s="656"/>
      <c r="SVW369" s="286"/>
      <c r="SVX369" s="287"/>
      <c r="SVY369" s="296"/>
      <c r="SVZ369" s="457"/>
      <c r="SWA369" s="664"/>
      <c r="SWB369" s="521"/>
      <c r="SWC369" s="362"/>
      <c r="SWD369" s="295"/>
      <c r="SWE369" s="656"/>
      <c r="SWF369" s="286"/>
      <c r="SWG369" s="287"/>
      <c r="SWH369" s="296"/>
      <c r="SWI369" s="457"/>
      <c r="SWJ369" s="664"/>
      <c r="SWK369" s="521"/>
      <c r="SWL369" s="362"/>
      <c r="SWM369" s="295"/>
      <c r="SWN369" s="656"/>
      <c r="SWO369" s="286"/>
      <c r="SWP369" s="287"/>
      <c r="SWQ369" s="296"/>
      <c r="SWR369" s="457"/>
      <c r="SWS369" s="664"/>
      <c r="SWT369" s="521"/>
      <c r="SWU369" s="362"/>
      <c r="SWV369" s="295"/>
      <c r="SWW369" s="656"/>
      <c r="SWX369" s="286"/>
      <c r="SWY369" s="287"/>
      <c r="SWZ369" s="296"/>
      <c r="SXA369" s="457"/>
      <c r="SXB369" s="664"/>
      <c r="SXC369" s="521"/>
      <c r="SXD369" s="362"/>
      <c r="SXE369" s="295"/>
      <c r="SXF369" s="656"/>
      <c r="SXG369" s="286"/>
      <c r="SXH369" s="287"/>
      <c r="SXI369" s="296"/>
      <c r="SXJ369" s="457"/>
      <c r="SXK369" s="664"/>
      <c r="SXL369" s="521"/>
      <c r="SXM369" s="362"/>
      <c r="SXN369" s="295"/>
      <c r="SXO369" s="656"/>
      <c r="SXP369" s="286"/>
      <c r="SXQ369" s="287"/>
      <c r="SXR369" s="296"/>
      <c r="SXS369" s="457"/>
      <c r="SXT369" s="664"/>
      <c r="SXU369" s="521"/>
      <c r="SXV369" s="362"/>
      <c r="SXW369" s="295"/>
      <c r="SXX369" s="656"/>
      <c r="SXY369" s="286"/>
      <c r="SXZ369" s="287"/>
      <c r="SYA369" s="296"/>
      <c r="SYB369" s="457"/>
      <c r="SYC369" s="664"/>
      <c r="SYD369" s="521"/>
      <c r="SYE369" s="362"/>
      <c r="SYF369" s="295"/>
      <c r="SYG369" s="656"/>
      <c r="SYH369" s="286"/>
      <c r="SYI369" s="287"/>
      <c r="SYJ369" s="296"/>
      <c r="SYK369" s="457"/>
      <c r="SYL369" s="664"/>
      <c r="SYM369" s="521"/>
      <c r="SYN369" s="362"/>
      <c r="SYO369" s="295"/>
      <c r="SYP369" s="656"/>
      <c r="SYQ369" s="286"/>
      <c r="SYR369" s="287"/>
      <c r="SYS369" s="296"/>
      <c r="SYT369" s="457"/>
      <c r="SYU369" s="664"/>
      <c r="SYV369" s="521"/>
      <c r="SYW369" s="362"/>
      <c r="SYX369" s="295"/>
      <c r="SYY369" s="656"/>
      <c r="SYZ369" s="286"/>
      <c r="SZA369" s="287"/>
      <c r="SZB369" s="296"/>
      <c r="SZC369" s="457"/>
      <c r="SZD369" s="664"/>
      <c r="SZE369" s="521"/>
      <c r="SZF369" s="362"/>
      <c r="SZG369" s="295"/>
      <c r="SZH369" s="656"/>
      <c r="SZI369" s="286"/>
      <c r="SZJ369" s="287"/>
      <c r="SZK369" s="296"/>
      <c r="SZL369" s="457"/>
      <c r="SZM369" s="664"/>
      <c r="SZN369" s="521"/>
      <c r="SZO369" s="362"/>
      <c r="SZP369" s="295"/>
      <c r="SZQ369" s="656"/>
      <c r="SZR369" s="286"/>
      <c r="SZS369" s="287"/>
      <c r="SZT369" s="296"/>
      <c r="SZU369" s="457"/>
      <c r="SZV369" s="664"/>
      <c r="SZW369" s="521"/>
      <c r="SZX369" s="362"/>
      <c r="SZY369" s="295"/>
      <c r="SZZ369" s="656"/>
      <c r="TAA369" s="286"/>
      <c r="TAB369" s="287"/>
      <c r="TAC369" s="296"/>
      <c r="TAD369" s="457"/>
      <c r="TAE369" s="664"/>
      <c r="TAF369" s="521"/>
      <c r="TAG369" s="362"/>
      <c r="TAH369" s="295"/>
      <c r="TAI369" s="656"/>
      <c r="TAJ369" s="286"/>
      <c r="TAK369" s="287"/>
      <c r="TAL369" s="296"/>
      <c r="TAM369" s="457"/>
      <c r="TAN369" s="664"/>
      <c r="TAO369" s="521"/>
      <c r="TAP369" s="362"/>
      <c r="TAQ369" s="295"/>
      <c r="TAR369" s="656"/>
      <c r="TAS369" s="286"/>
      <c r="TAT369" s="287"/>
      <c r="TAU369" s="296"/>
      <c r="TAV369" s="457"/>
      <c r="TAW369" s="664"/>
      <c r="TAX369" s="521"/>
      <c r="TAY369" s="362"/>
      <c r="TAZ369" s="295"/>
      <c r="TBA369" s="656"/>
      <c r="TBB369" s="286"/>
      <c r="TBC369" s="287"/>
      <c r="TBD369" s="296"/>
      <c r="TBE369" s="457"/>
      <c r="TBF369" s="664"/>
      <c r="TBG369" s="521"/>
      <c r="TBH369" s="362"/>
      <c r="TBI369" s="295"/>
      <c r="TBJ369" s="656"/>
      <c r="TBK369" s="286"/>
      <c r="TBL369" s="287"/>
      <c r="TBM369" s="296"/>
      <c r="TBN369" s="457"/>
      <c r="TBO369" s="664"/>
      <c r="TBP369" s="521"/>
      <c r="TBQ369" s="362"/>
      <c r="TBR369" s="295"/>
      <c r="TBS369" s="656"/>
      <c r="TBT369" s="286"/>
      <c r="TBU369" s="287"/>
      <c r="TBV369" s="296"/>
      <c r="TBW369" s="457"/>
      <c r="TBX369" s="664"/>
      <c r="TBY369" s="521"/>
      <c r="TBZ369" s="362"/>
      <c r="TCA369" s="295"/>
      <c r="TCB369" s="656"/>
      <c r="TCC369" s="286"/>
      <c r="TCD369" s="287"/>
      <c r="TCE369" s="296"/>
      <c r="TCF369" s="457"/>
      <c r="TCG369" s="664"/>
      <c r="TCH369" s="521"/>
      <c r="TCI369" s="362"/>
      <c r="TCJ369" s="295"/>
      <c r="TCK369" s="656"/>
      <c r="TCL369" s="286"/>
      <c r="TCM369" s="287"/>
      <c r="TCN369" s="296"/>
      <c r="TCO369" s="457"/>
      <c r="TCP369" s="664"/>
      <c r="TCQ369" s="521"/>
      <c r="TCR369" s="362"/>
      <c r="TCS369" s="295"/>
      <c r="TCT369" s="656"/>
      <c r="TCU369" s="286"/>
      <c r="TCV369" s="287"/>
      <c r="TCW369" s="296"/>
      <c r="TCX369" s="457"/>
      <c r="TCY369" s="664"/>
      <c r="TCZ369" s="521"/>
      <c r="TDA369" s="362"/>
      <c r="TDB369" s="295"/>
      <c r="TDC369" s="656"/>
      <c r="TDD369" s="286"/>
      <c r="TDE369" s="287"/>
      <c r="TDF369" s="296"/>
      <c r="TDG369" s="457"/>
      <c r="TDH369" s="664"/>
      <c r="TDI369" s="521"/>
      <c r="TDJ369" s="362"/>
      <c r="TDK369" s="295"/>
      <c r="TDL369" s="656"/>
      <c r="TDM369" s="286"/>
      <c r="TDN369" s="287"/>
      <c r="TDO369" s="296"/>
      <c r="TDP369" s="457"/>
      <c r="TDQ369" s="664"/>
      <c r="TDR369" s="521"/>
      <c r="TDS369" s="362"/>
      <c r="TDT369" s="295"/>
      <c r="TDU369" s="656"/>
      <c r="TDV369" s="286"/>
      <c r="TDW369" s="287"/>
      <c r="TDX369" s="296"/>
      <c r="TDY369" s="457"/>
      <c r="TDZ369" s="664"/>
      <c r="TEA369" s="521"/>
      <c r="TEB369" s="362"/>
      <c r="TEC369" s="295"/>
      <c r="TED369" s="656"/>
      <c r="TEE369" s="286"/>
      <c r="TEF369" s="287"/>
      <c r="TEG369" s="296"/>
      <c r="TEH369" s="457"/>
      <c r="TEI369" s="664"/>
      <c r="TEJ369" s="521"/>
      <c r="TEK369" s="362"/>
      <c r="TEL369" s="295"/>
      <c r="TEM369" s="656"/>
      <c r="TEN369" s="286"/>
      <c r="TEO369" s="287"/>
      <c r="TEP369" s="296"/>
      <c r="TEQ369" s="457"/>
      <c r="TER369" s="664"/>
      <c r="TES369" s="521"/>
      <c r="TET369" s="362"/>
      <c r="TEU369" s="295"/>
      <c r="TEV369" s="656"/>
      <c r="TEW369" s="286"/>
      <c r="TEX369" s="287"/>
      <c r="TEY369" s="296"/>
      <c r="TEZ369" s="457"/>
      <c r="TFA369" s="664"/>
      <c r="TFB369" s="521"/>
      <c r="TFC369" s="362"/>
      <c r="TFD369" s="295"/>
      <c r="TFE369" s="656"/>
      <c r="TFF369" s="286"/>
      <c r="TFG369" s="287"/>
      <c r="TFH369" s="296"/>
      <c r="TFI369" s="457"/>
      <c r="TFJ369" s="664"/>
      <c r="TFK369" s="521"/>
      <c r="TFL369" s="362"/>
      <c r="TFM369" s="295"/>
      <c r="TFN369" s="656"/>
      <c r="TFO369" s="286"/>
      <c r="TFP369" s="287"/>
      <c r="TFQ369" s="296"/>
      <c r="TFR369" s="457"/>
      <c r="TFS369" s="664"/>
      <c r="TFT369" s="521"/>
      <c r="TFU369" s="362"/>
      <c r="TFV369" s="295"/>
      <c r="TFW369" s="656"/>
      <c r="TFX369" s="286"/>
      <c r="TFY369" s="287"/>
      <c r="TFZ369" s="296"/>
      <c r="TGA369" s="457"/>
      <c r="TGB369" s="664"/>
      <c r="TGC369" s="521"/>
      <c r="TGD369" s="362"/>
      <c r="TGE369" s="295"/>
      <c r="TGF369" s="656"/>
      <c r="TGG369" s="286"/>
      <c r="TGH369" s="287"/>
      <c r="TGI369" s="296"/>
      <c r="TGJ369" s="457"/>
      <c r="TGK369" s="664"/>
      <c r="TGL369" s="521"/>
      <c r="TGM369" s="362"/>
      <c r="TGN369" s="295"/>
      <c r="TGO369" s="656"/>
      <c r="TGP369" s="286"/>
      <c r="TGQ369" s="287"/>
      <c r="TGR369" s="296"/>
      <c r="TGS369" s="457"/>
      <c r="TGT369" s="664"/>
      <c r="TGU369" s="521"/>
      <c r="TGV369" s="362"/>
      <c r="TGW369" s="295"/>
      <c r="TGX369" s="656"/>
      <c r="TGY369" s="286"/>
      <c r="TGZ369" s="287"/>
      <c r="THA369" s="296"/>
      <c r="THB369" s="457"/>
      <c r="THC369" s="664"/>
      <c r="THD369" s="521"/>
      <c r="THE369" s="362"/>
      <c r="THF369" s="295"/>
      <c r="THG369" s="656"/>
      <c r="THH369" s="286"/>
      <c r="THI369" s="287"/>
      <c r="THJ369" s="296"/>
      <c r="THK369" s="457"/>
      <c r="THL369" s="664"/>
      <c r="THM369" s="521"/>
      <c r="THN369" s="362"/>
      <c r="THO369" s="295"/>
      <c r="THP369" s="656"/>
      <c r="THQ369" s="286"/>
      <c r="THR369" s="287"/>
      <c r="THS369" s="296"/>
      <c r="THT369" s="457"/>
      <c r="THU369" s="664"/>
      <c r="THV369" s="521"/>
      <c r="THW369" s="362"/>
      <c r="THX369" s="295"/>
      <c r="THY369" s="656"/>
      <c r="THZ369" s="286"/>
      <c r="TIA369" s="287"/>
      <c r="TIB369" s="296"/>
      <c r="TIC369" s="457"/>
      <c r="TID369" s="664"/>
      <c r="TIE369" s="521"/>
      <c r="TIF369" s="362"/>
      <c r="TIG369" s="295"/>
      <c r="TIH369" s="656"/>
      <c r="TII369" s="286"/>
      <c r="TIJ369" s="287"/>
      <c r="TIK369" s="296"/>
      <c r="TIL369" s="457"/>
      <c r="TIM369" s="664"/>
      <c r="TIN369" s="521"/>
      <c r="TIO369" s="362"/>
      <c r="TIP369" s="295"/>
      <c r="TIQ369" s="656"/>
      <c r="TIR369" s="286"/>
      <c r="TIS369" s="287"/>
      <c r="TIT369" s="296"/>
      <c r="TIU369" s="457"/>
      <c r="TIV369" s="664"/>
      <c r="TIW369" s="521"/>
      <c r="TIX369" s="362"/>
      <c r="TIY369" s="295"/>
      <c r="TIZ369" s="656"/>
      <c r="TJA369" s="286"/>
      <c r="TJB369" s="287"/>
      <c r="TJC369" s="296"/>
      <c r="TJD369" s="457"/>
      <c r="TJE369" s="664"/>
      <c r="TJF369" s="521"/>
      <c r="TJG369" s="362"/>
      <c r="TJH369" s="295"/>
      <c r="TJI369" s="656"/>
      <c r="TJJ369" s="286"/>
      <c r="TJK369" s="287"/>
      <c r="TJL369" s="296"/>
      <c r="TJM369" s="457"/>
      <c r="TJN369" s="664"/>
      <c r="TJO369" s="521"/>
      <c r="TJP369" s="362"/>
      <c r="TJQ369" s="295"/>
      <c r="TJR369" s="656"/>
      <c r="TJS369" s="286"/>
      <c r="TJT369" s="287"/>
      <c r="TJU369" s="296"/>
      <c r="TJV369" s="457"/>
      <c r="TJW369" s="664"/>
      <c r="TJX369" s="521"/>
      <c r="TJY369" s="362"/>
      <c r="TJZ369" s="295"/>
      <c r="TKA369" s="656"/>
      <c r="TKB369" s="286"/>
      <c r="TKC369" s="287"/>
      <c r="TKD369" s="296"/>
      <c r="TKE369" s="457"/>
      <c r="TKF369" s="664"/>
      <c r="TKG369" s="521"/>
      <c r="TKH369" s="362"/>
      <c r="TKI369" s="295"/>
      <c r="TKJ369" s="656"/>
      <c r="TKK369" s="286"/>
      <c r="TKL369" s="287"/>
      <c r="TKM369" s="296"/>
      <c r="TKN369" s="457"/>
      <c r="TKO369" s="664"/>
      <c r="TKP369" s="521"/>
      <c r="TKQ369" s="362"/>
      <c r="TKR369" s="295"/>
      <c r="TKS369" s="656"/>
      <c r="TKT369" s="286"/>
      <c r="TKU369" s="287"/>
      <c r="TKV369" s="296"/>
      <c r="TKW369" s="457"/>
      <c r="TKX369" s="664"/>
      <c r="TKY369" s="521"/>
      <c r="TKZ369" s="362"/>
      <c r="TLA369" s="295"/>
      <c r="TLB369" s="656"/>
      <c r="TLC369" s="286"/>
      <c r="TLD369" s="287"/>
      <c r="TLE369" s="296"/>
      <c r="TLF369" s="457"/>
      <c r="TLG369" s="664"/>
      <c r="TLH369" s="521"/>
      <c r="TLI369" s="362"/>
      <c r="TLJ369" s="295"/>
      <c r="TLK369" s="656"/>
      <c r="TLL369" s="286"/>
      <c r="TLM369" s="287"/>
      <c r="TLN369" s="296"/>
      <c r="TLO369" s="457"/>
      <c r="TLP369" s="664"/>
      <c r="TLQ369" s="521"/>
      <c r="TLR369" s="362"/>
      <c r="TLS369" s="295"/>
      <c r="TLT369" s="656"/>
      <c r="TLU369" s="286"/>
      <c r="TLV369" s="287"/>
      <c r="TLW369" s="296"/>
      <c r="TLX369" s="457"/>
      <c r="TLY369" s="664"/>
      <c r="TLZ369" s="521"/>
      <c r="TMA369" s="362"/>
      <c r="TMB369" s="295"/>
      <c r="TMC369" s="656"/>
      <c r="TMD369" s="286"/>
      <c r="TME369" s="287"/>
      <c r="TMF369" s="296"/>
      <c r="TMG369" s="457"/>
      <c r="TMH369" s="664"/>
      <c r="TMI369" s="521"/>
      <c r="TMJ369" s="362"/>
      <c r="TMK369" s="295"/>
      <c r="TML369" s="656"/>
      <c r="TMM369" s="286"/>
      <c r="TMN369" s="287"/>
      <c r="TMO369" s="296"/>
      <c r="TMP369" s="457"/>
      <c r="TMQ369" s="664"/>
      <c r="TMR369" s="521"/>
      <c r="TMS369" s="362"/>
      <c r="TMT369" s="295"/>
      <c r="TMU369" s="656"/>
      <c r="TMV369" s="286"/>
      <c r="TMW369" s="287"/>
      <c r="TMX369" s="296"/>
      <c r="TMY369" s="457"/>
      <c r="TMZ369" s="664"/>
      <c r="TNA369" s="521"/>
      <c r="TNB369" s="362"/>
      <c r="TNC369" s="295"/>
      <c r="TND369" s="656"/>
      <c r="TNE369" s="286"/>
      <c r="TNF369" s="287"/>
      <c r="TNG369" s="296"/>
      <c r="TNH369" s="457"/>
      <c r="TNI369" s="664"/>
      <c r="TNJ369" s="521"/>
      <c r="TNK369" s="362"/>
      <c r="TNL369" s="295"/>
      <c r="TNM369" s="656"/>
      <c r="TNN369" s="286"/>
      <c r="TNO369" s="287"/>
      <c r="TNP369" s="296"/>
      <c r="TNQ369" s="457"/>
      <c r="TNR369" s="664"/>
      <c r="TNS369" s="521"/>
      <c r="TNT369" s="362"/>
      <c r="TNU369" s="295"/>
      <c r="TNV369" s="656"/>
      <c r="TNW369" s="286"/>
      <c r="TNX369" s="287"/>
      <c r="TNY369" s="296"/>
      <c r="TNZ369" s="457"/>
      <c r="TOA369" s="664"/>
      <c r="TOB369" s="521"/>
      <c r="TOC369" s="362"/>
      <c r="TOD369" s="295"/>
      <c r="TOE369" s="656"/>
      <c r="TOF369" s="286"/>
      <c r="TOG369" s="287"/>
      <c r="TOH369" s="296"/>
      <c r="TOI369" s="457"/>
      <c r="TOJ369" s="664"/>
      <c r="TOK369" s="521"/>
      <c r="TOL369" s="362"/>
      <c r="TOM369" s="295"/>
      <c r="TON369" s="656"/>
      <c r="TOO369" s="286"/>
      <c r="TOP369" s="287"/>
      <c r="TOQ369" s="296"/>
      <c r="TOR369" s="457"/>
      <c r="TOS369" s="664"/>
      <c r="TOT369" s="521"/>
      <c r="TOU369" s="362"/>
      <c r="TOV369" s="295"/>
      <c r="TOW369" s="656"/>
      <c r="TOX369" s="286"/>
      <c r="TOY369" s="287"/>
      <c r="TOZ369" s="296"/>
      <c r="TPA369" s="457"/>
      <c r="TPB369" s="664"/>
      <c r="TPC369" s="521"/>
      <c r="TPD369" s="362"/>
      <c r="TPE369" s="295"/>
      <c r="TPF369" s="656"/>
      <c r="TPG369" s="286"/>
      <c r="TPH369" s="287"/>
      <c r="TPI369" s="296"/>
      <c r="TPJ369" s="457"/>
      <c r="TPK369" s="664"/>
      <c r="TPL369" s="521"/>
      <c r="TPM369" s="362"/>
      <c r="TPN369" s="295"/>
      <c r="TPO369" s="656"/>
      <c r="TPP369" s="286"/>
      <c r="TPQ369" s="287"/>
      <c r="TPR369" s="296"/>
      <c r="TPS369" s="457"/>
      <c r="TPT369" s="664"/>
      <c r="TPU369" s="521"/>
      <c r="TPV369" s="362"/>
      <c r="TPW369" s="295"/>
      <c r="TPX369" s="656"/>
      <c r="TPY369" s="286"/>
      <c r="TPZ369" s="287"/>
      <c r="TQA369" s="296"/>
      <c r="TQB369" s="457"/>
      <c r="TQC369" s="664"/>
      <c r="TQD369" s="521"/>
      <c r="TQE369" s="362"/>
      <c r="TQF369" s="295"/>
      <c r="TQG369" s="656"/>
      <c r="TQH369" s="286"/>
      <c r="TQI369" s="287"/>
      <c r="TQJ369" s="296"/>
      <c r="TQK369" s="457"/>
      <c r="TQL369" s="664"/>
      <c r="TQM369" s="521"/>
      <c r="TQN369" s="362"/>
      <c r="TQO369" s="295"/>
      <c r="TQP369" s="656"/>
      <c r="TQQ369" s="286"/>
      <c r="TQR369" s="287"/>
      <c r="TQS369" s="296"/>
      <c r="TQT369" s="457"/>
      <c r="TQU369" s="664"/>
      <c r="TQV369" s="521"/>
      <c r="TQW369" s="362"/>
      <c r="TQX369" s="295"/>
      <c r="TQY369" s="656"/>
      <c r="TQZ369" s="286"/>
      <c r="TRA369" s="287"/>
      <c r="TRB369" s="296"/>
      <c r="TRC369" s="457"/>
      <c r="TRD369" s="664"/>
      <c r="TRE369" s="521"/>
      <c r="TRF369" s="362"/>
      <c r="TRG369" s="295"/>
      <c r="TRH369" s="656"/>
      <c r="TRI369" s="286"/>
      <c r="TRJ369" s="287"/>
      <c r="TRK369" s="296"/>
      <c r="TRL369" s="457"/>
      <c r="TRM369" s="664"/>
      <c r="TRN369" s="521"/>
      <c r="TRO369" s="362"/>
      <c r="TRP369" s="295"/>
      <c r="TRQ369" s="656"/>
      <c r="TRR369" s="286"/>
      <c r="TRS369" s="287"/>
      <c r="TRT369" s="296"/>
      <c r="TRU369" s="457"/>
      <c r="TRV369" s="664"/>
      <c r="TRW369" s="521"/>
      <c r="TRX369" s="362"/>
      <c r="TRY369" s="295"/>
      <c r="TRZ369" s="656"/>
      <c r="TSA369" s="286"/>
      <c r="TSB369" s="287"/>
      <c r="TSC369" s="296"/>
      <c r="TSD369" s="457"/>
      <c r="TSE369" s="664"/>
      <c r="TSF369" s="521"/>
      <c r="TSG369" s="362"/>
      <c r="TSH369" s="295"/>
      <c r="TSI369" s="656"/>
      <c r="TSJ369" s="286"/>
      <c r="TSK369" s="287"/>
      <c r="TSL369" s="296"/>
      <c r="TSM369" s="457"/>
      <c r="TSN369" s="664"/>
      <c r="TSO369" s="521"/>
      <c r="TSP369" s="362"/>
      <c r="TSQ369" s="295"/>
      <c r="TSR369" s="656"/>
      <c r="TSS369" s="286"/>
      <c r="TST369" s="287"/>
      <c r="TSU369" s="296"/>
      <c r="TSV369" s="457"/>
      <c r="TSW369" s="664"/>
      <c r="TSX369" s="521"/>
      <c r="TSY369" s="362"/>
      <c r="TSZ369" s="295"/>
      <c r="TTA369" s="656"/>
      <c r="TTB369" s="286"/>
      <c r="TTC369" s="287"/>
      <c r="TTD369" s="296"/>
      <c r="TTE369" s="457"/>
      <c r="TTF369" s="664"/>
      <c r="TTG369" s="521"/>
      <c r="TTH369" s="362"/>
      <c r="TTI369" s="295"/>
      <c r="TTJ369" s="656"/>
      <c r="TTK369" s="286"/>
      <c r="TTL369" s="287"/>
      <c r="TTM369" s="296"/>
      <c r="TTN369" s="457"/>
      <c r="TTO369" s="664"/>
      <c r="TTP369" s="521"/>
      <c r="TTQ369" s="362"/>
      <c r="TTR369" s="295"/>
      <c r="TTS369" s="656"/>
      <c r="TTT369" s="286"/>
      <c r="TTU369" s="287"/>
      <c r="TTV369" s="296"/>
      <c r="TTW369" s="457"/>
      <c r="TTX369" s="664"/>
      <c r="TTY369" s="521"/>
      <c r="TTZ369" s="362"/>
      <c r="TUA369" s="295"/>
      <c r="TUB369" s="656"/>
      <c r="TUC369" s="286"/>
      <c r="TUD369" s="287"/>
      <c r="TUE369" s="296"/>
      <c r="TUF369" s="457"/>
      <c r="TUG369" s="664"/>
      <c r="TUH369" s="521"/>
      <c r="TUI369" s="362"/>
      <c r="TUJ369" s="295"/>
      <c r="TUK369" s="656"/>
      <c r="TUL369" s="286"/>
      <c r="TUM369" s="287"/>
      <c r="TUN369" s="296"/>
      <c r="TUO369" s="457"/>
      <c r="TUP369" s="664"/>
      <c r="TUQ369" s="521"/>
      <c r="TUR369" s="362"/>
      <c r="TUS369" s="295"/>
      <c r="TUT369" s="656"/>
      <c r="TUU369" s="286"/>
      <c r="TUV369" s="287"/>
      <c r="TUW369" s="296"/>
      <c r="TUX369" s="457"/>
      <c r="TUY369" s="664"/>
      <c r="TUZ369" s="521"/>
      <c r="TVA369" s="362"/>
      <c r="TVB369" s="295"/>
      <c r="TVC369" s="656"/>
      <c r="TVD369" s="286"/>
      <c r="TVE369" s="287"/>
      <c r="TVF369" s="296"/>
      <c r="TVG369" s="457"/>
      <c r="TVH369" s="664"/>
      <c r="TVI369" s="521"/>
      <c r="TVJ369" s="362"/>
      <c r="TVK369" s="295"/>
      <c r="TVL369" s="656"/>
      <c r="TVM369" s="286"/>
      <c r="TVN369" s="287"/>
      <c r="TVO369" s="296"/>
      <c r="TVP369" s="457"/>
      <c r="TVQ369" s="664"/>
      <c r="TVR369" s="521"/>
      <c r="TVS369" s="362"/>
      <c r="TVT369" s="295"/>
      <c r="TVU369" s="656"/>
      <c r="TVV369" s="286"/>
      <c r="TVW369" s="287"/>
      <c r="TVX369" s="296"/>
      <c r="TVY369" s="457"/>
      <c r="TVZ369" s="664"/>
      <c r="TWA369" s="521"/>
      <c r="TWB369" s="362"/>
      <c r="TWC369" s="295"/>
      <c r="TWD369" s="656"/>
      <c r="TWE369" s="286"/>
      <c r="TWF369" s="287"/>
      <c r="TWG369" s="296"/>
      <c r="TWH369" s="457"/>
      <c r="TWI369" s="664"/>
      <c r="TWJ369" s="521"/>
      <c r="TWK369" s="362"/>
      <c r="TWL369" s="295"/>
      <c r="TWM369" s="656"/>
      <c r="TWN369" s="286"/>
      <c r="TWO369" s="287"/>
      <c r="TWP369" s="296"/>
      <c r="TWQ369" s="457"/>
      <c r="TWR369" s="664"/>
      <c r="TWS369" s="521"/>
      <c r="TWT369" s="362"/>
      <c r="TWU369" s="295"/>
      <c r="TWV369" s="656"/>
      <c r="TWW369" s="286"/>
      <c r="TWX369" s="287"/>
      <c r="TWY369" s="296"/>
      <c r="TWZ369" s="457"/>
      <c r="TXA369" s="664"/>
      <c r="TXB369" s="521"/>
      <c r="TXC369" s="362"/>
      <c r="TXD369" s="295"/>
      <c r="TXE369" s="656"/>
      <c r="TXF369" s="286"/>
      <c r="TXG369" s="287"/>
      <c r="TXH369" s="296"/>
      <c r="TXI369" s="457"/>
      <c r="TXJ369" s="664"/>
      <c r="TXK369" s="521"/>
      <c r="TXL369" s="362"/>
      <c r="TXM369" s="295"/>
      <c r="TXN369" s="656"/>
      <c r="TXO369" s="286"/>
      <c r="TXP369" s="287"/>
      <c r="TXQ369" s="296"/>
      <c r="TXR369" s="457"/>
      <c r="TXS369" s="664"/>
      <c r="TXT369" s="521"/>
      <c r="TXU369" s="362"/>
      <c r="TXV369" s="295"/>
      <c r="TXW369" s="656"/>
      <c r="TXX369" s="286"/>
      <c r="TXY369" s="287"/>
      <c r="TXZ369" s="296"/>
      <c r="TYA369" s="457"/>
      <c r="TYB369" s="664"/>
      <c r="TYC369" s="521"/>
      <c r="TYD369" s="362"/>
      <c r="TYE369" s="295"/>
      <c r="TYF369" s="656"/>
      <c r="TYG369" s="286"/>
      <c r="TYH369" s="287"/>
      <c r="TYI369" s="296"/>
      <c r="TYJ369" s="457"/>
      <c r="TYK369" s="664"/>
      <c r="TYL369" s="521"/>
      <c r="TYM369" s="362"/>
      <c r="TYN369" s="295"/>
      <c r="TYO369" s="656"/>
      <c r="TYP369" s="286"/>
      <c r="TYQ369" s="287"/>
      <c r="TYR369" s="296"/>
      <c r="TYS369" s="457"/>
      <c r="TYT369" s="664"/>
      <c r="TYU369" s="521"/>
      <c r="TYV369" s="362"/>
      <c r="TYW369" s="295"/>
      <c r="TYX369" s="656"/>
      <c r="TYY369" s="286"/>
      <c r="TYZ369" s="287"/>
      <c r="TZA369" s="296"/>
      <c r="TZB369" s="457"/>
      <c r="TZC369" s="664"/>
      <c r="TZD369" s="521"/>
      <c r="TZE369" s="362"/>
      <c r="TZF369" s="295"/>
      <c r="TZG369" s="656"/>
      <c r="TZH369" s="286"/>
      <c r="TZI369" s="287"/>
      <c r="TZJ369" s="296"/>
      <c r="TZK369" s="457"/>
      <c r="TZL369" s="664"/>
      <c r="TZM369" s="521"/>
      <c r="TZN369" s="362"/>
      <c r="TZO369" s="295"/>
      <c r="TZP369" s="656"/>
      <c r="TZQ369" s="286"/>
      <c r="TZR369" s="287"/>
      <c r="TZS369" s="296"/>
      <c r="TZT369" s="457"/>
      <c r="TZU369" s="664"/>
      <c r="TZV369" s="521"/>
      <c r="TZW369" s="362"/>
      <c r="TZX369" s="295"/>
      <c r="TZY369" s="656"/>
      <c r="TZZ369" s="286"/>
      <c r="UAA369" s="287"/>
      <c r="UAB369" s="296"/>
      <c r="UAC369" s="457"/>
      <c r="UAD369" s="664"/>
      <c r="UAE369" s="521"/>
      <c r="UAF369" s="362"/>
      <c r="UAG369" s="295"/>
      <c r="UAH369" s="656"/>
      <c r="UAI369" s="286"/>
      <c r="UAJ369" s="287"/>
      <c r="UAK369" s="296"/>
      <c r="UAL369" s="457"/>
      <c r="UAM369" s="664"/>
      <c r="UAN369" s="521"/>
      <c r="UAO369" s="362"/>
      <c r="UAP369" s="295"/>
      <c r="UAQ369" s="656"/>
      <c r="UAR369" s="286"/>
      <c r="UAS369" s="287"/>
      <c r="UAT369" s="296"/>
      <c r="UAU369" s="457"/>
      <c r="UAV369" s="664"/>
      <c r="UAW369" s="521"/>
      <c r="UAX369" s="362"/>
      <c r="UAY369" s="295"/>
      <c r="UAZ369" s="656"/>
      <c r="UBA369" s="286"/>
      <c r="UBB369" s="287"/>
      <c r="UBC369" s="296"/>
      <c r="UBD369" s="457"/>
      <c r="UBE369" s="664"/>
      <c r="UBF369" s="521"/>
      <c r="UBG369" s="362"/>
      <c r="UBH369" s="295"/>
      <c r="UBI369" s="656"/>
      <c r="UBJ369" s="286"/>
      <c r="UBK369" s="287"/>
      <c r="UBL369" s="296"/>
      <c r="UBM369" s="457"/>
      <c r="UBN369" s="664"/>
      <c r="UBO369" s="521"/>
      <c r="UBP369" s="362"/>
      <c r="UBQ369" s="295"/>
      <c r="UBR369" s="656"/>
      <c r="UBS369" s="286"/>
      <c r="UBT369" s="287"/>
      <c r="UBU369" s="296"/>
      <c r="UBV369" s="457"/>
      <c r="UBW369" s="664"/>
      <c r="UBX369" s="521"/>
      <c r="UBY369" s="362"/>
      <c r="UBZ369" s="295"/>
      <c r="UCA369" s="656"/>
      <c r="UCB369" s="286"/>
      <c r="UCC369" s="287"/>
      <c r="UCD369" s="296"/>
      <c r="UCE369" s="457"/>
      <c r="UCF369" s="664"/>
      <c r="UCG369" s="521"/>
      <c r="UCH369" s="362"/>
      <c r="UCI369" s="295"/>
      <c r="UCJ369" s="656"/>
      <c r="UCK369" s="286"/>
      <c r="UCL369" s="287"/>
      <c r="UCM369" s="296"/>
      <c r="UCN369" s="457"/>
      <c r="UCO369" s="664"/>
      <c r="UCP369" s="521"/>
      <c r="UCQ369" s="362"/>
      <c r="UCR369" s="295"/>
      <c r="UCS369" s="656"/>
      <c r="UCT369" s="286"/>
      <c r="UCU369" s="287"/>
      <c r="UCV369" s="296"/>
      <c r="UCW369" s="457"/>
      <c r="UCX369" s="664"/>
      <c r="UCY369" s="521"/>
      <c r="UCZ369" s="362"/>
      <c r="UDA369" s="295"/>
      <c r="UDB369" s="656"/>
      <c r="UDC369" s="286"/>
      <c r="UDD369" s="287"/>
      <c r="UDE369" s="296"/>
      <c r="UDF369" s="457"/>
      <c r="UDG369" s="664"/>
      <c r="UDH369" s="521"/>
      <c r="UDI369" s="362"/>
      <c r="UDJ369" s="295"/>
      <c r="UDK369" s="656"/>
      <c r="UDL369" s="286"/>
      <c r="UDM369" s="287"/>
      <c r="UDN369" s="296"/>
      <c r="UDO369" s="457"/>
      <c r="UDP369" s="664"/>
      <c r="UDQ369" s="521"/>
      <c r="UDR369" s="362"/>
      <c r="UDS369" s="295"/>
      <c r="UDT369" s="656"/>
      <c r="UDU369" s="286"/>
      <c r="UDV369" s="287"/>
      <c r="UDW369" s="296"/>
      <c r="UDX369" s="457"/>
      <c r="UDY369" s="664"/>
      <c r="UDZ369" s="521"/>
      <c r="UEA369" s="362"/>
      <c r="UEB369" s="295"/>
      <c r="UEC369" s="656"/>
      <c r="UED369" s="286"/>
      <c r="UEE369" s="287"/>
      <c r="UEF369" s="296"/>
      <c r="UEG369" s="457"/>
      <c r="UEH369" s="664"/>
      <c r="UEI369" s="521"/>
      <c r="UEJ369" s="362"/>
      <c r="UEK369" s="295"/>
      <c r="UEL369" s="656"/>
      <c r="UEM369" s="286"/>
      <c r="UEN369" s="287"/>
      <c r="UEO369" s="296"/>
      <c r="UEP369" s="457"/>
      <c r="UEQ369" s="664"/>
      <c r="UER369" s="521"/>
      <c r="UES369" s="362"/>
      <c r="UET369" s="295"/>
      <c r="UEU369" s="656"/>
      <c r="UEV369" s="286"/>
      <c r="UEW369" s="287"/>
      <c r="UEX369" s="296"/>
      <c r="UEY369" s="457"/>
      <c r="UEZ369" s="664"/>
      <c r="UFA369" s="521"/>
      <c r="UFB369" s="362"/>
      <c r="UFC369" s="295"/>
      <c r="UFD369" s="656"/>
      <c r="UFE369" s="286"/>
      <c r="UFF369" s="287"/>
      <c r="UFG369" s="296"/>
      <c r="UFH369" s="457"/>
      <c r="UFI369" s="664"/>
      <c r="UFJ369" s="521"/>
      <c r="UFK369" s="362"/>
      <c r="UFL369" s="295"/>
      <c r="UFM369" s="656"/>
      <c r="UFN369" s="286"/>
      <c r="UFO369" s="287"/>
      <c r="UFP369" s="296"/>
      <c r="UFQ369" s="457"/>
      <c r="UFR369" s="664"/>
      <c r="UFS369" s="521"/>
      <c r="UFT369" s="362"/>
      <c r="UFU369" s="295"/>
      <c r="UFV369" s="656"/>
      <c r="UFW369" s="286"/>
      <c r="UFX369" s="287"/>
      <c r="UFY369" s="296"/>
      <c r="UFZ369" s="457"/>
      <c r="UGA369" s="664"/>
      <c r="UGB369" s="521"/>
      <c r="UGC369" s="362"/>
      <c r="UGD369" s="295"/>
      <c r="UGE369" s="656"/>
      <c r="UGF369" s="286"/>
      <c r="UGG369" s="287"/>
      <c r="UGH369" s="296"/>
      <c r="UGI369" s="457"/>
      <c r="UGJ369" s="664"/>
      <c r="UGK369" s="521"/>
      <c r="UGL369" s="362"/>
      <c r="UGM369" s="295"/>
      <c r="UGN369" s="656"/>
      <c r="UGO369" s="286"/>
      <c r="UGP369" s="287"/>
      <c r="UGQ369" s="296"/>
      <c r="UGR369" s="457"/>
      <c r="UGS369" s="664"/>
      <c r="UGT369" s="521"/>
      <c r="UGU369" s="362"/>
      <c r="UGV369" s="295"/>
      <c r="UGW369" s="656"/>
      <c r="UGX369" s="286"/>
      <c r="UGY369" s="287"/>
      <c r="UGZ369" s="296"/>
      <c r="UHA369" s="457"/>
      <c r="UHB369" s="664"/>
      <c r="UHC369" s="521"/>
      <c r="UHD369" s="362"/>
      <c r="UHE369" s="295"/>
      <c r="UHF369" s="656"/>
      <c r="UHG369" s="286"/>
      <c r="UHH369" s="287"/>
      <c r="UHI369" s="296"/>
      <c r="UHJ369" s="457"/>
      <c r="UHK369" s="664"/>
      <c r="UHL369" s="521"/>
      <c r="UHM369" s="362"/>
      <c r="UHN369" s="295"/>
      <c r="UHO369" s="656"/>
      <c r="UHP369" s="286"/>
      <c r="UHQ369" s="287"/>
      <c r="UHR369" s="296"/>
      <c r="UHS369" s="457"/>
      <c r="UHT369" s="664"/>
      <c r="UHU369" s="521"/>
      <c r="UHV369" s="362"/>
      <c r="UHW369" s="295"/>
      <c r="UHX369" s="656"/>
      <c r="UHY369" s="286"/>
      <c r="UHZ369" s="287"/>
      <c r="UIA369" s="296"/>
      <c r="UIB369" s="457"/>
      <c r="UIC369" s="664"/>
      <c r="UID369" s="521"/>
      <c r="UIE369" s="362"/>
      <c r="UIF369" s="295"/>
      <c r="UIG369" s="656"/>
      <c r="UIH369" s="286"/>
      <c r="UII369" s="287"/>
      <c r="UIJ369" s="296"/>
      <c r="UIK369" s="457"/>
      <c r="UIL369" s="664"/>
      <c r="UIM369" s="521"/>
      <c r="UIN369" s="362"/>
      <c r="UIO369" s="295"/>
      <c r="UIP369" s="656"/>
      <c r="UIQ369" s="286"/>
      <c r="UIR369" s="287"/>
      <c r="UIS369" s="296"/>
      <c r="UIT369" s="457"/>
      <c r="UIU369" s="664"/>
      <c r="UIV369" s="521"/>
      <c r="UIW369" s="362"/>
      <c r="UIX369" s="295"/>
      <c r="UIY369" s="656"/>
      <c r="UIZ369" s="286"/>
      <c r="UJA369" s="287"/>
      <c r="UJB369" s="296"/>
      <c r="UJC369" s="457"/>
      <c r="UJD369" s="664"/>
      <c r="UJE369" s="521"/>
      <c r="UJF369" s="362"/>
      <c r="UJG369" s="295"/>
      <c r="UJH369" s="656"/>
      <c r="UJI369" s="286"/>
      <c r="UJJ369" s="287"/>
      <c r="UJK369" s="296"/>
      <c r="UJL369" s="457"/>
      <c r="UJM369" s="664"/>
      <c r="UJN369" s="521"/>
      <c r="UJO369" s="362"/>
      <c r="UJP369" s="295"/>
      <c r="UJQ369" s="656"/>
      <c r="UJR369" s="286"/>
      <c r="UJS369" s="287"/>
      <c r="UJT369" s="296"/>
      <c r="UJU369" s="457"/>
      <c r="UJV369" s="664"/>
      <c r="UJW369" s="521"/>
      <c r="UJX369" s="362"/>
      <c r="UJY369" s="295"/>
      <c r="UJZ369" s="656"/>
      <c r="UKA369" s="286"/>
      <c r="UKB369" s="287"/>
      <c r="UKC369" s="296"/>
      <c r="UKD369" s="457"/>
      <c r="UKE369" s="664"/>
      <c r="UKF369" s="521"/>
      <c r="UKG369" s="362"/>
      <c r="UKH369" s="295"/>
      <c r="UKI369" s="656"/>
      <c r="UKJ369" s="286"/>
      <c r="UKK369" s="287"/>
      <c r="UKL369" s="296"/>
      <c r="UKM369" s="457"/>
      <c r="UKN369" s="664"/>
      <c r="UKO369" s="521"/>
      <c r="UKP369" s="362"/>
      <c r="UKQ369" s="295"/>
      <c r="UKR369" s="656"/>
      <c r="UKS369" s="286"/>
      <c r="UKT369" s="287"/>
      <c r="UKU369" s="296"/>
      <c r="UKV369" s="457"/>
      <c r="UKW369" s="664"/>
      <c r="UKX369" s="521"/>
      <c r="UKY369" s="362"/>
      <c r="UKZ369" s="295"/>
      <c r="ULA369" s="656"/>
      <c r="ULB369" s="286"/>
      <c r="ULC369" s="287"/>
      <c r="ULD369" s="296"/>
      <c r="ULE369" s="457"/>
      <c r="ULF369" s="664"/>
      <c r="ULG369" s="521"/>
      <c r="ULH369" s="362"/>
      <c r="ULI369" s="295"/>
      <c r="ULJ369" s="656"/>
      <c r="ULK369" s="286"/>
      <c r="ULL369" s="287"/>
      <c r="ULM369" s="296"/>
      <c r="ULN369" s="457"/>
      <c r="ULO369" s="664"/>
      <c r="ULP369" s="521"/>
      <c r="ULQ369" s="362"/>
      <c r="ULR369" s="295"/>
      <c r="ULS369" s="656"/>
      <c r="ULT369" s="286"/>
      <c r="ULU369" s="287"/>
      <c r="ULV369" s="296"/>
      <c r="ULW369" s="457"/>
      <c r="ULX369" s="664"/>
      <c r="ULY369" s="521"/>
      <c r="ULZ369" s="362"/>
      <c r="UMA369" s="295"/>
      <c r="UMB369" s="656"/>
      <c r="UMC369" s="286"/>
      <c r="UMD369" s="287"/>
      <c r="UME369" s="296"/>
      <c r="UMF369" s="457"/>
      <c r="UMG369" s="664"/>
      <c r="UMH369" s="521"/>
      <c r="UMI369" s="362"/>
      <c r="UMJ369" s="295"/>
      <c r="UMK369" s="656"/>
      <c r="UML369" s="286"/>
      <c r="UMM369" s="287"/>
      <c r="UMN369" s="296"/>
      <c r="UMO369" s="457"/>
      <c r="UMP369" s="664"/>
      <c r="UMQ369" s="521"/>
      <c r="UMR369" s="362"/>
      <c r="UMS369" s="295"/>
      <c r="UMT369" s="656"/>
      <c r="UMU369" s="286"/>
      <c r="UMV369" s="287"/>
      <c r="UMW369" s="296"/>
      <c r="UMX369" s="457"/>
      <c r="UMY369" s="664"/>
      <c r="UMZ369" s="521"/>
      <c r="UNA369" s="362"/>
      <c r="UNB369" s="295"/>
      <c r="UNC369" s="656"/>
      <c r="UND369" s="286"/>
      <c r="UNE369" s="287"/>
      <c r="UNF369" s="296"/>
      <c r="UNG369" s="457"/>
      <c r="UNH369" s="664"/>
      <c r="UNI369" s="521"/>
      <c r="UNJ369" s="362"/>
      <c r="UNK369" s="295"/>
      <c r="UNL369" s="656"/>
      <c r="UNM369" s="286"/>
      <c r="UNN369" s="287"/>
      <c r="UNO369" s="296"/>
      <c r="UNP369" s="457"/>
      <c r="UNQ369" s="664"/>
      <c r="UNR369" s="521"/>
      <c r="UNS369" s="362"/>
      <c r="UNT369" s="295"/>
      <c r="UNU369" s="656"/>
      <c r="UNV369" s="286"/>
      <c r="UNW369" s="287"/>
      <c r="UNX369" s="296"/>
      <c r="UNY369" s="457"/>
      <c r="UNZ369" s="664"/>
      <c r="UOA369" s="521"/>
      <c r="UOB369" s="362"/>
      <c r="UOC369" s="295"/>
      <c r="UOD369" s="656"/>
      <c r="UOE369" s="286"/>
      <c r="UOF369" s="287"/>
      <c r="UOG369" s="296"/>
      <c r="UOH369" s="457"/>
      <c r="UOI369" s="664"/>
      <c r="UOJ369" s="521"/>
      <c r="UOK369" s="362"/>
      <c r="UOL369" s="295"/>
      <c r="UOM369" s="656"/>
      <c r="UON369" s="286"/>
      <c r="UOO369" s="287"/>
      <c r="UOP369" s="296"/>
      <c r="UOQ369" s="457"/>
      <c r="UOR369" s="664"/>
      <c r="UOS369" s="521"/>
      <c r="UOT369" s="362"/>
      <c r="UOU369" s="295"/>
      <c r="UOV369" s="656"/>
      <c r="UOW369" s="286"/>
      <c r="UOX369" s="287"/>
      <c r="UOY369" s="296"/>
      <c r="UOZ369" s="457"/>
      <c r="UPA369" s="664"/>
      <c r="UPB369" s="521"/>
      <c r="UPC369" s="362"/>
      <c r="UPD369" s="295"/>
      <c r="UPE369" s="656"/>
      <c r="UPF369" s="286"/>
      <c r="UPG369" s="287"/>
      <c r="UPH369" s="296"/>
      <c r="UPI369" s="457"/>
      <c r="UPJ369" s="664"/>
      <c r="UPK369" s="521"/>
      <c r="UPL369" s="362"/>
      <c r="UPM369" s="295"/>
      <c r="UPN369" s="656"/>
      <c r="UPO369" s="286"/>
      <c r="UPP369" s="287"/>
      <c r="UPQ369" s="296"/>
      <c r="UPR369" s="457"/>
      <c r="UPS369" s="664"/>
      <c r="UPT369" s="521"/>
      <c r="UPU369" s="362"/>
      <c r="UPV369" s="295"/>
      <c r="UPW369" s="656"/>
      <c r="UPX369" s="286"/>
      <c r="UPY369" s="287"/>
      <c r="UPZ369" s="296"/>
      <c r="UQA369" s="457"/>
      <c r="UQB369" s="664"/>
      <c r="UQC369" s="521"/>
      <c r="UQD369" s="362"/>
      <c r="UQE369" s="295"/>
      <c r="UQF369" s="656"/>
      <c r="UQG369" s="286"/>
      <c r="UQH369" s="287"/>
      <c r="UQI369" s="296"/>
      <c r="UQJ369" s="457"/>
      <c r="UQK369" s="664"/>
      <c r="UQL369" s="521"/>
      <c r="UQM369" s="362"/>
      <c r="UQN369" s="295"/>
      <c r="UQO369" s="656"/>
      <c r="UQP369" s="286"/>
      <c r="UQQ369" s="287"/>
      <c r="UQR369" s="296"/>
      <c r="UQS369" s="457"/>
      <c r="UQT369" s="664"/>
      <c r="UQU369" s="521"/>
      <c r="UQV369" s="362"/>
      <c r="UQW369" s="295"/>
      <c r="UQX369" s="656"/>
      <c r="UQY369" s="286"/>
      <c r="UQZ369" s="287"/>
      <c r="URA369" s="296"/>
      <c r="URB369" s="457"/>
      <c r="URC369" s="664"/>
      <c r="URD369" s="521"/>
      <c r="URE369" s="362"/>
      <c r="URF369" s="295"/>
      <c r="URG369" s="656"/>
      <c r="URH369" s="286"/>
      <c r="URI369" s="287"/>
      <c r="URJ369" s="296"/>
      <c r="URK369" s="457"/>
      <c r="URL369" s="664"/>
      <c r="URM369" s="521"/>
      <c r="URN369" s="362"/>
      <c r="URO369" s="295"/>
      <c r="URP369" s="656"/>
      <c r="URQ369" s="286"/>
      <c r="URR369" s="287"/>
      <c r="URS369" s="296"/>
      <c r="URT369" s="457"/>
      <c r="URU369" s="664"/>
      <c r="URV369" s="521"/>
      <c r="URW369" s="362"/>
      <c r="URX369" s="295"/>
      <c r="URY369" s="656"/>
      <c r="URZ369" s="286"/>
      <c r="USA369" s="287"/>
      <c r="USB369" s="296"/>
      <c r="USC369" s="457"/>
      <c r="USD369" s="664"/>
      <c r="USE369" s="521"/>
      <c r="USF369" s="362"/>
      <c r="USG369" s="295"/>
      <c r="USH369" s="656"/>
      <c r="USI369" s="286"/>
      <c r="USJ369" s="287"/>
      <c r="USK369" s="296"/>
      <c r="USL369" s="457"/>
      <c r="USM369" s="664"/>
      <c r="USN369" s="521"/>
      <c r="USO369" s="362"/>
      <c r="USP369" s="295"/>
      <c r="USQ369" s="656"/>
      <c r="USR369" s="286"/>
      <c r="USS369" s="287"/>
      <c r="UST369" s="296"/>
      <c r="USU369" s="457"/>
      <c r="USV369" s="664"/>
      <c r="USW369" s="521"/>
      <c r="USX369" s="362"/>
      <c r="USY369" s="295"/>
      <c r="USZ369" s="656"/>
      <c r="UTA369" s="286"/>
      <c r="UTB369" s="287"/>
      <c r="UTC369" s="296"/>
      <c r="UTD369" s="457"/>
      <c r="UTE369" s="664"/>
      <c r="UTF369" s="521"/>
      <c r="UTG369" s="362"/>
      <c r="UTH369" s="295"/>
      <c r="UTI369" s="656"/>
      <c r="UTJ369" s="286"/>
      <c r="UTK369" s="287"/>
      <c r="UTL369" s="296"/>
      <c r="UTM369" s="457"/>
      <c r="UTN369" s="664"/>
      <c r="UTO369" s="521"/>
      <c r="UTP369" s="362"/>
      <c r="UTQ369" s="295"/>
      <c r="UTR369" s="656"/>
      <c r="UTS369" s="286"/>
      <c r="UTT369" s="287"/>
      <c r="UTU369" s="296"/>
      <c r="UTV369" s="457"/>
      <c r="UTW369" s="664"/>
      <c r="UTX369" s="521"/>
      <c r="UTY369" s="362"/>
      <c r="UTZ369" s="295"/>
      <c r="UUA369" s="656"/>
      <c r="UUB369" s="286"/>
      <c r="UUC369" s="287"/>
      <c r="UUD369" s="296"/>
      <c r="UUE369" s="457"/>
      <c r="UUF369" s="664"/>
      <c r="UUG369" s="521"/>
      <c r="UUH369" s="362"/>
      <c r="UUI369" s="295"/>
      <c r="UUJ369" s="656"/>
      <c r="UUK369" s="286"/>
      <c r="UUL369" s="287"/>
      <c r="UUM369" s="296"/>
      <c r="UUN369" s="457"/>
      <c r="UUO369" s="664"/>
      <c r="UUP369" s="521"/>
      <c r="UUQ369" s="362"/>
      <c r="UUR369" s="295"/>
      <c r="UUS369" s="656"/>
      <c r="UUT369" s="286"/>
      <c r="UUU369" s="287"/>
      <c r="UUV369" s="296"/>
      <c r="UUW369" s="457"/>
      <c r="UUX369" s="664"/>
      <c r="UUY369" s="521"/>
      <c r="UUZ369" s="362"/>
      <c r="UVA369" s="295"/>
      <c r="UVB369" s="656"/>
      <c r="UVC369" s="286"/>
      <c r="UVD369" s="287"/>
      <c r="UVE369" s="296"/>
      <c r="UVF369" s="457"/>
      <c r="UVG369" s="664"/>
      <c r="UVH369" s="521"/>
      <c r="UVI369" s="362"/>
      <c r="UVJ369" s="295"/>
      <c r="UVK369" s="656"/>
      <c r="UVL369" s="286"/>
      <c r="UVM369" s="287"/>
      <c r="UVN369" s="296"/>
      <c r="UVO369" s="457"/>
      <c r="UVP369" s="664"/>
      <c r="UVQ369" s="521"/>
      <c r="UVR369" s="362"/>
      <c r="UVS369" s="295"/>
      <c r="UVT369" s="656"/>
      <c r="UVU369" s="286"/>
      <c r="UVV369" s="287"/>
      <c r="UVW369" s="296"/>
      <c r="UVX369" s="457"/>
      <c r="UVY369" s="664"/>
      <c r="UVZ369" s="521"/>
      <c r="UWA369" s="362"/>
      <c r="UWB369" s="295"/>
      <c r="UWC369" s="656"/>
      <c r="UWD369" s="286"/>
      <c r="UWE369" s="287"/>
      <c r="UWF369" s="296"/>
      <c r="UWG369" s="457"/>
      <c r="UWH369" s="664"/>
      <c r="UWI369" s="521"/>
      <c r="UWJ369" s="362"/>
      <c r="UWK369" s="295"/>
      <c r="UWL369" s="656"/>
      <c r="UWM369" s="286"/>
      <c r="UWN369" s="287"/>
      <c r="UWO369" s="296"/>
      <c r="UWP369" s="457"/>
      <c r="UWQ369" s="664"/>
      <c r="UWR369" s="521"/>
      <c r="UWS369" s="362"/>
      <c r="UWT369" s="295"/>
      <c r="UWU369" s="656"/>
      <c r="UWV369" s="286"/>
      <c r="UWW369" s="287"/>
      <c r="UWX369" s="296"/>
      <c r="UWY369" s="457"/>
      <c r="UWZ369" s="664"/>
      <c r="UXA369" s="521"/>
      <c r="UXB369" s="362"/>
      <c r="UXC369" s="295"/>
      <c r="UXD369" s="656"/>
      <c r="UXE369" s="286"/>
      <c r="UXF369" s="287"/>
      <c r="UXG369" s="296"/>
      <c r="UXH369" s="457"/>
      <c r="UXI369" s="664"/>
      <c r="UXJ369" s="521"/>
      <c r="UXK369" s="362"/>
      <c r="UXL369" s="295"/>
      <c r="UXM369" s="656"/>
      <c r="UXN369" s="286"/>
      <c r="UXO369" s="287"/>
      <c r="UXP369" s="296"/>
      <c r="UXQ369" s="457"/>
      <c r="UXR369" s="664"/>
      <c r="UXS369" s="521"/>
      <c r="UXT369" s="362"/>
      <c r="UXU369" s="295"/>
      <c r="UXV369" s="656"/>
      <c r="UXW369" s="286"/>
      <c r="UXX369" s="287"/>
      <c r="UXY369" s="296"/>
      <c r="UXZ369" s="457"/>
      <c r="UYA369" s="664"/>
      <c r="UYB369" s="521"/>
      <c r="UYC369" s="362"/>
      <c r="UYD369" s="295"/>
      <c r="UYE369" s="656"/>
      <c r="UYF369" s="286"/>
      <c r="UYG369" s="287"/>
      <c r="UYH369" s="296"/>
      <c r="UYI369" s="457"/>
      <c r="UYJ369" s="664"/>
      <c r="UYK369" s="521"/>
      <c r="UYL369" s="362"/>
      <c r="UYM369" s="295"/>
      <c r="UYN369" s="656"/>
      <c r="UYO369" s="286"/>
      <c r="UYP369" s="287"/>
      <c r="UYQ369" s="296"/>
      <c r="UYR369" s="457"/>
      <c r="UYS369" s="664"/>
      <c r="UYT369" s="521"/>
      <c r="UYU369" s="362"/>
      <c r="UYV369" s="295"/>
      <c r="UYW369" s="656"/>
      <c r="UYX369" s="286"/>
      <c r="UYY369" s="287"/>
      <c r="UYZ369" s="296"/>
      <c r="UZA369" s="457"/>
      <c r="UZB369" s="664"/>
      <c r="UZC369" s="521"/>
      <c r="UZD369" s="362"/>
      <c r="UZE369" s="295"/>
      <c r="UZF369" s="656"/>
      <c r="UZG369" s="286"/>
      <c r="UZH369" s="287"/>
      <c r="UZI369" s="296"/>
      <c r="UZJ369" s="457"/>
      <c r="UZK369" s="664"/>
      <c r="UZL369" s="521"/>
      <c r="UZM369" s="362"/>
      <c r="UZN369" s="295"/>
      <c r="UZO369" s="656"/>
      <c r="UZP369" s="286"/>
      <c r="UZQ369" s="287"/>
      <c r="UZR369" s="296"/>
      <c r="UZS369" s="457"/>
      <c r="UZT369" s="664"/>
      <c r="UZU369" s="521"/>
      <c r="UZV369" s="362"/>
      <c r="UZW369" s="295"/>
      <c r="UZX369" s="656"/>
      <c r="UZY369" s="286"/>
      <c r="UZZ369" s="287"/>
      <c r="VAA369" s="296"/>
      <c r="VAB369" s="457"/>
      <c r="VAC369" s="664"/>
      <c r="VAD369" s="521"/>
      <c r="VAE369" s="362"/>
      <c r="VAF369" s="295"/>
      <c r="VAG369" s="656"/>
      <c r="VAH369" s="286"/>
      <c r="VAI369" s="287"/>
      <c r="VAJ369" s="296"/>
      <c r="VAK369" s="457"/>
      <c r="VAL369" s="664"/>
      <c r="VAM369" s="521"/>
      <c r="VAN369" s="362"/>
      <c r="VAO369" s="295"/>
      <c r="VAP369" s="656"/>
      <c r="VAQ369" s="286"/>
      <c r="VAR369" s="287"/>
      <c r="VAS369" s="296"/>
      <c r="VAT369" s="457"/>
      <c r="VAU369" s="664"/>
      <c r="VAV369" s="521"/>
      <c r="VAW369" s="362"/>
      <c r="VAX369" s="295"/>
      <c r="VAY369" s="656"/>
      <c r="VAZ369" s="286"/>
      <c r="VBA369" s="287"/>
      <c r="VBB369" s="296"/>
      <c r="VBC369" s="457"/>
      <c r="VBD369" s="664"/>
      <c r="VBE369" s="521"/>
      <c r="VBF369" s="362"/>
      <c r="VBG369" s="295"/>
      <c r="VBH369" s="656"/>
      <c r="VBI369" s="286"/>
      <c r="VBJ369" s="287"/>
      <c r="VBK369" s="296"/>
      <c r="VBL369" s="457"/>
      <c r="VBM369" s="664"/>
      <c r="VBN369" s="521"/>
      <c r="VBO369" s="362"/>
      <c r="VBP369" s="295"/>
      <c r="VBQ369" s="656"/>
      <c r="VBR369" s="286"/>
      <c r="VBS369" s="287"/>
      <c r="VBT369" s="296"/>
      <c r="VBU369" s="457"/>
      <c r="VBV369" s="664"/>
      <c r="VBW369" s="521"/>
      <c r="VBX369" s="362"/>
      <c r="VBY369" s="295"/>
      <c r="VBZ369" s="656"/>
      <c r="VCA369" s="286"/>
      <c r="VCB369" s="287"/>
      <c r="VCC369" s="296"/>
      <c r="VCD369" s="457"/>
      <c r="VCE369" s="664"/>
      <c r="VCF369" s="521"/>
      <c r="VCG369" s="362"/>
      <c r="VCH369" s="295"/>
      <c r="VCI369" s="656"/>
      <c r="VCJ369" s="286"/>
      <c r="VCK369" s="287"/>
      <c r="VCL369" s="296"/>
      <c r="VCM369" s="457"/>
      <c r="VCN369" s="664"/>
      <c r="VCO369" s="521"/>
      <c r="VCP369" s="362"/>
      <c r="VCQ369" s="295"/>
      <c r="VCR369" s="656"/>
      <c r="VCS369" s="286"/>
      <c r="VCT369" s="287"/>
      <c r="VCU369" s="296"/>
      <c r="VCV369" s="457"/>
      <c r="VCW369" s="664"/>
      <c r="VCX369" s="521"/>
      <c r="VCY369" s="362"/>
      <c r="VCZ369" s="295"/>
      <c r="VDA369" s="656"/>
      <c r="VDB369" s="286"/>
      <c r="VDC369" s="287"/>
      <c r="VDD369" s="296"/>
      <c r="VDE369" s="457"/>
      <c r="VDF369" s="664"/>
      <c r="VDG369" s="521"/>
      <c r="VDH369" s="362"/>
      <c r="VDI369" s="295"/>
      <c r="VDJ369" s="656"/>
      <c r="VDK369" s="286"/>
      <c r="VDL369" s="287"/>
      <c r="VDM369" s="296"/>
      <c r="VDN369" s="457"/>
      <c r="VDO369" s="664"/>
      <c r="VDP369" s="521"/>
      <c r="VDQ369" s="362"/>
      <c r="VDR369" s="295"/>
      <c r="VDS369" s="656"/>
      <c r="VDT369" s="286"/>
      <c r="VDU369" s="287"/>
      <c r="VDV369" s="296"/>
      <c r="VDW369" s="457"/>
      <c r="VDX369" s="664"/>
      <c r="VDY369" s="521"/>
      <c r="VDZ369" s="362"/>
      <c r="VEA369" s="295"/>
      <c r="VEB369" s="656"/>
      <c r="VEC369" s="286"/>
      <c r="VED369" s="287"/>
      <c r="VEE369" s="296"/>
      <c r="VEF369" s="457"/>
      <c r="VEG369" s="664"/>
      <c r="VEH369" s="521"/>
      <c r="VEI369" s="362"/>
      <c r="VEJ369" s="295"/>
      <c r="VEK369" s="656"/>
      <c r="VEL369" s="286"/>
      <c r="VEM369" s="287"/>
      <c r="VEN369" s="296"/>
      <c r="VEO369" s="457"/>
      <c r="VEP369" s="664"/>
      <c r="VEQ369" s="521"/>
      <c r="VER369" s="362"/>
      <c r="VES369" s="295"/>
      <c r="VET369" s="656"/>
      <c r="VEU369" s="286"/>
      <c r="VEV369" s="287"/>
      <c r="VEW369" s="296"/>
      <c r="VEX369" s="457"/>
      <c r="VEY369" s="664"/>
      <c r="VEZ369" s="521"/>
      <c r="VFA369" s="362"/>
      <c r="VFB369" s="295"/>
      <c r="VFC369" s="656"/>
      <c r="VFD369" s="286"/>
      <c r="VFE369" s="287"/>
      <c r="VFF369" s="296"/>
      <c r="VFG369" s="457"/>
      <c r="VFH369" s="664"/>
      <c r="VFI369" s="521"/>
      <c r="VFJ369" s="362"/>
      <c r="VFK369" s="295"/>
      <c r="VFL369" s="656"/>
      <c r="VFM369" s="286"/>
      <c r="VFN369" s="287"/>
      <c r="VFO369" s="296"/>
      <c r="VFP369" s="457"/>
      <c r="VFQ369" s="664"/>
      <c r="VFR369" s="521"/>
      <c r="VFS369" s="362"/>
      <c r="VFT369" s="295"/>
      <c r="VFU369" s="656"/>
      <c r="VFV369" s="286"/>
      <c r="VFW369" s="287"/>
      <c r="VFX369" s="296"/>
      <c r="VFY369" s="457"/>
      <c r="VFZ369" s="664"/>
      <c r="VGA369" s="521"/>
      <c r="VGB369" s="362"/>
      <c r="VGC369" s="295"/>
      <c r="VGD369" s="656"/>
      <c r="VGE369" s="286"/>
      <c r="VGF369" s="287"/>
      <c r="VGG369" s="296"/>
      <c r="VGH369" s="457"/>
      <c r="VGI369" s="664"/>
      <c r="VGJ369" s="521"/>
      <c r="VGK369" s="362"/>
      <c r="VGL369" s="295"/>
      <c r="VGM369" s="656"/>
      <c r="VGN369" s="286"/>
      <c r="VGO369" s="287"/>
      <c r="VGP369" s="296"/>
      <c r="VGQ369" s="457"/>
      <c r="VGR369" s="664"/>
      <c r="VGS369" s="521"/>
      <c r="VGT369" s="362"/>
      <c r="VGU369" s="295"/>
      <c r="VGV369" s="656"/>
      <c r="VGW369" s="286"/>
      <c r="VGX369" s="287"/>
      <c r="VGY369" s="296"/>
      <c r="VGZ369" s="457"/>
      <c r="VHA369" s="664"/>
      <c r="VHB369" s="521"/>
      <c r="VHC369" s="362"/>
      <c r="VHD369" s="295"/>
      <c r="VHE369" s="656"/>
      <c r="VHF369" s="286"/>
      <c r="VHG369" s="287"/>
      <c r="VHH369" s="296"/>
      <c r="VHI369" s="457"/>
      <c r="VHJ369" s="664"/>
      <c r="VHK369" s="521"/>
      <c r="VHL369" s="362"/>
      <c r="VHM369" s="295"/>
      <c r="VHN369" s="656"/>
      <c r="VHO369" s="286"/>
      <c r="VHP369" s="287"/>
      <c r="VHQ369" s="296"/>
      <c r="VHR369" s="457"/>
      <c r="VHS369" s="664"/>
      <c r="VHT369" s="521"/>
      <c r="VHU369" s="362"/>
      <c r="VHV369" s="295"/>
      <c r="VHW369" s="656"/>
      <c r="VHX369" s="286"/>
      <c r="VHY369" s="287"/>
      <c r="VHZ369" s="296"/>
      <c r="VIA369" s="457"/>
      <c r="VIB369" s="664"/>
      <c r="VIC369" s="521"/>
      <c r="VID369" s="362"/>
      <c r="VIE369" s="295"/>
      <c r="VIF369" s="656"/>
      <c r="VIG369" s="286"/>
      <c r="VIH369" s="287"/>
      <c r="VII369" s="296"/>
      <c r="VIJ369" s="457"/>
      <c r="VIK369" s="664"/>
      <c r="VIL369" s="521"/>
      <c r="VIM369" s="362"/>
      <c r="VIN369" s="295"/>
      <c r="VIO369" s="656"/>
      <c r="VIP369" s="286"/>
      <c r="VIQ369" s="287"/>
      <c r="VIR369" s="296"/>
      <c r="VIS369" s="457"/>
      <c r="VIT369" s="664"/>
      <c r="VIU369" s="521"/>
      <c r="VIV369" s="362"/>
      <c r="VIW369" s="295"/>
      <c r="VIX369" s="656"/>
      <c r="VIY369" s="286"/>
      <c r="VIZ369" s="287"/>
      <c r="VJA369" s="296"/>
      <c r="VJB369" s="457"/>
      <c r="VJC369" s="664"/>
      <c r="VJD369" s="521"/>
      <c r="VJE369" s="362"/>
      <c r="VJF369" s="295"/>
      <c r="VJG369" s="656"/>
      <c r="VJH369" s="286"/>
      <c r="VJI369" s="287"/>
      <c r="VJJ369" s="296"/>
      <c r="VJK369" s="457"/>
      <c r="VJL369" s="664"/>
      <c r="VJM369" s="521"/>
      <c r="VJN369" s="362"/>
      <c r="VJO369" s="295"/>
      <c r="VJP369" s="656"/>
      <c r="VJQ369" s="286"/>
      <c r="VJR369" s="287"/>
      <c r="VJS369" s="296"/>
      <c r="VJT369" s="457"/>
      <c r="VJU369" s="664"/>
      <c r="VJV369" s="521"/>
      <c r="VJW369" s="362"/>
      <c r="VJX369" s="295"/>
      <c r="VJY369" s="656"/>
      <c r="VJZ369" s="286"/>
      <c r="VKA369" s="287"/>
      <c r="VKB369" s="296"/>
      <c r="VKC369" s="457"/>
      <c r="VKD369" s="664"/>
      <c r="VKE369" s="521"/>
      <c r="VKF369" s="362"/>
      <c r="VKG369" s="295"/>
      <c r="VKH369" s="656"/>
      <c r="VKI369" s="286"/>
      <c r="VKJ369" s="287"/>
      <c r="VKK369" s="296"/>
      <c r="VKL369" s="457"/>
      <c r="VKM369" s="664"/>
      <c r="VKN369" s="521"/>
      <c r="VKO369" s="362"/>
      <c r="VKP369" s="295"/>
      <c r="VKQ369" s="656"/>
      <c r="VKR369" s="286"/>
      <c r="VKS369" s="287"/>
      <c r="VKT369" s="296"/>
      <c r="VKU369" s="457"/>
      <c r="VKV369" s="664"/>
      <c r="VKW369" s="521"/>
      <c r="VKX369" s="362"/>
      <c r="VKY369" s="295"/>
      <c r="VKZ369" s="656"/>
      <c r="VLA369" s="286"/>
      <c r="VLB369" s="287"/>
      <c r="VLC369" s="296"/>
      <c r="VLD369" s="457"/>
      <c r="VLE369" s="664"/>
      <c r="VLF369" s="521"/>
      <c r="VLG369" s="362"/>
      <c r="VLH369" s="295"/>
      <c r="VLI369" s="656"/>
      <c r="VLJ369" s="286"/>
      <c r="VLK369" s="287"/>
      <c r="VLL369" s="296"/>
      <c r="VLM369" s="457"/>
      <c r="VLN369" s="664"/>
      <c r="VLO369" s="521"/>
      <c r="VLP369" s="362"/>
      <c r="VLQ369" s="295"/>
      <c r="VLR369" s="656"/>
      <c r="VLS369" s="286"/>
      <c r="VLT369" s="287"/>
      <c r="VLU369" s="296"/>
      <c r="VLV369" s="457"/>
      <c r="VLW369" s="664"/>
      <c r="VLX369" s="521"/>
      <c r="VLY369" s="362"/>
      <c r="VLZ369" s="295"/>
      <c r="VMA369" s="656"/>
      <c r="VMB369" s="286"/>
      <c r="VMC369" s="287"/>
      <c r="VMD369" s="296"/>
      <c r="VME369" s="457"/>
      <c r="VMF369" s="664"/>
      <c r="VMG369" s="521"/>
      <c r="VMH369" s="362"/>
      <c r="VMI369" s="295"/>
      <c r="VMJ369" s="656"/>
      <c r="VMK369" s="286"/>
      <c r="VML369" s="287"/>
      <c r="VMM369" s="296"/>
      <c r="VMN369" s="457"/>
      <c r="VMO369" s="664"/>
      <c r="VMP369" s="521"/>
      <c r="VMQ369" s="362"/>
      <c r="VMR369" s="295"/>
      <c r="VMS369" s="656"/>
      <c r="VMT369" s="286"/>
      <c r="VMU369" s="287"/>
      <c r="VMV369" s="296"/>
      <c r="VMW369" s="457"/>
      <c r="VMX369" s="664"/>
      <c r="VMY369" s="521"/>
      <c r="VMZ369" s="362"/>
      <c r="VNA369" s="295"/>
      <c r="VNB369" s="656"/>
      <c r="VNC369" s="286"/>
      <c r="VND369" s="287"/>
      <c r="VNE369" s="296"/>
      <c r="VNF369" s="457"/>
      <c r="VNG369" s="664"/>
      <c r="VNH369" s="521"/>
      <c r="VNI369" s="362"/>
      <c r="VNJ369" s="295"/>
      <c r="VNK369" s="656"/>
      <c r="VNL369" s="286"/>
      <c r="VNM369" s="287"/>
      <c r="VNN369" s="296"/>
      <c r="VNO369" s="457"/>
      <c r="VNP369" s="664"/>
      <c r="VNQ369" s="521"/>
      <c r="VNR369" s="362"/>
      <c r="VNS369" s="295"/>
      <c r="VNT369" s="656"/>
      <c r="VNU369" s="286"/>
      <c r="VNV369" s="287"/>
      <c r="VNW369" s="296"/>
      <c r="VNX369" s="457"/>
      <c r="VNY369" s="664"/>
      <c r="VNZ369" s="521"/>
      <c r="VOA369" s="362"/>
      <c r="VOB369" s="295"/>
      <c r="VOC369" s="656"/>
      <c r="VOD369" s="286"/>
      <c r="VOE369" s="287"/>
      <c r="VOF369" s="296"/>
      <c r="VOG369" s="457"/>
      <c r="VOH369" s="664"/>
      <c r="VOI369" s="521"/>
      <c r="VOJ369" s="362"/>
      <c r="VOK369" s="295"/>
      <c r="VOL369" s="656"/>
      <c r="VOM369" s="286"/>
      <c r="VON369" s="287"/>
      <c r="VOO369" s="296"/>
      <c r="VOP369" s="457"/>
      <c r="VOQ369" s="664"/>
      <c r="VOR369" s="521"/>
      <c r="VOS369" s="362"/>
      <c r="VOT369" s="295"/>
      <c r="VOU369" s="656"/>
      <c r="VOV369" s="286"/>
      <c r="VOW369" s="287"/>
      <c r="VOX369" s="296"/>
      <c r="VOY369" s="457"/>
      <c r="VOZ369" s="664"/>
      <c r="VPA369" s="521"/>
      <c r="VPB369" s="362"/>
      <c r="VPC369" s="295"/>
      <c r="VPD369" s="656"/>
      <c r="VPE369" s="286"/>
      <c r="VPF369" s="287"/>
      <c r="VPG369" s="296"/>
      <c r="VPH369" s="457"/>
      <c r="VPI369" s="664"/>
      <c r="VPJ369" s="521"/>
      <c r="VPK369" s="362"/>
      <c r="VPL369" s="295"/>
      <c r="VPM369" s="656"/>
      <c r="VPN369" s="286"/>
      <c r="VPO369" s="287"/>
      <c r="VPP369" s="296"/>
      <c r="VPQ369" s="457"/>
      <c r="VPR369" s="664"/>
      <c r="VPS369" s="521"/>
      <c r="VPT369" s="362"/>
      <c r="VPU369" s="295"/>
      <c r="VPV369" s="656"/>
      <c r="VPW369" s="286"/>
      <c r="VPX369" s="287"/>
      <c r="VPY369" s="296"/>
      <c r="VPZ369" s="457"/>
      <c r="VQA369" s="664"/>
      <c r="VQB369" s="521"/>
      <c r="VQC369" s="362"/>
      <c r="VQD369" s="295"/>
      <c r="VQE369" s="656"/>
      <c r="VQF369" s="286"/>
      <c r="VQG369" s="287"/>
      <c r="VQH369" s="296"/>
      <c r="VQI369" s="457"/>
      <c r="VQJ369" s="664"/>
      <c r="VQK369" s="521"/>
      <c r="VQL369" s="362"/>
      <c r="VQM369" s="295"/>
      <c r="VQN369" s="656"/>
      <c r="VQO369" s="286"/>
      <c r="VQP369" s="287"/>
      <c r="VQQ369" s="296"/>
      <c r="VQR369" s="457"/>
      <c r="VQS369" s="664"/>
      <c r="VQT369" s="521"/>
      <c r="VQU369" s="362"/>
      <c r="VQV369" s="295"/>
      <c r="VQW369" s="656"/>
      <c r="VQX369" s="286"/>
      <c r="VQY369" s="287"/>
      <c r="VQZ369" s="296"/>
      <c r="VRA369" s="457"/>
      <c r="VRB369" s="664"/>
      <c r="VRC369" s="521"/>
      <c r="VRD369" s="362"/>
      <c r="VRE369" s="295"/>
      <c r="VRF369" s="656"/>
      <c r="VRG369" s="286"/>
      <c r="VRH369" s="287"/>
      <c r="VRI369" s="296"/>
      <c r="VRJ369" s="457"/>
      <c r="VRK369" s="664"/>
      <c r="VRL369" s="521"/>
      <c r="VRM369" s="362"/>
      <c r="VRN369" s="295"/>
      <c r="VRO369" s="656"/>
      <c r="VRP369" s="286"/>
      <c r="VRQ369" s="287"/>
      <c r="VRR369" s="296"/>
      <c r="VRS369" s="457"/>
      <c r="VRT369" s="664"/>
      <c r="VRU369" s="521"/>
      <c r="VRV369" s="362"/>
      <c r="VRW369" s="295"/>
      <c r="VRX369" s="656"/>
      <c r="VRY369" s="286"/>
      <c r="VRZ369" s="287"/>
      <c r="VSA369" s="296"/>
      <c r="VSB369" s="457"/>
      <c r="VSC369" s="664"/>
      <c r="VSD369" s="521"/>
      <c r="VSE369" s="362"/>
      <c r="VSF369" s="295"/>
      <c r="VSG369" s="656"/>
      <c r="VSH369" s="286"/>
      <c r="VSI369" s="287"/>
      <c r="VSJ369" s="296"/>
      <c r="VSK369" s="457"/>
      <c r="VSL369" s="664"/>
      <c r="VSM369" s="521"/>
      <c r="VSN369" s="362"/>
      <c r="VSO369" s="295"/>
      <c r="VSP369" s="656"/>
      <c r="VSQ369" s="286"/>
      <c r="VSR369" s="287"/>
      <c r="VSS369" s="296"/>
      <c r="VST369" s="457"/>
      <c r="VSU369" s="664"/>
      <c r="VSV369" s="521"/>
      <c r="VSW369" s="362"/>
      <c r="VSX369" s="295"/>
      <c r="VSY369" s="656"/>
      <c r="VSZ369" s="286"/>
      <c r="VTA369" s="287"/>
      <c r="VTB369" s="296"/>
      <c r="VTC369" s="457"/>
      <c r="VTD369" s="664"/>
      <c r="VTE369" s="521"/>
      <c r="VTF369" s="362"/>
      <c r="VTG369" s="295"/>
      <c r="VTH369" s="656"/>
      <c r="VTI369" s="286"/>
      <c r="VTJ369" s="287"/>
      <c r="VTK369" s="296"/>
      <c r="VTL369" s="457"/>
      <c r="VTM369" s="664"/>
      <c r="VTN369" s="521"/>
      <c r="VTO369" s="362"/>
      <c r="VTP369" s="295"/>
      <c r="VTQ369" s="656"/>
      <c r="VTR369" s="286"/>
      <c r="VTS369" s="287"/>
      <c r="VTT369" s="296"/>
      <c r="VTU369" s="457"/>
      <c r="VTV369" s="664"/>
      <c r="VTW369" s="521"/>
      <c r="VTX369" s="362"/>
      <c r="VTY369" s="295"/>
      <c r="VTZ369" s="656"/>
      <c r="VUA369" s="286"/>
      <c r="VUB369" s="287"/>
      <c r="VUC369" s="296"/>
      <c r="VUD369" s="457"/>
      <c r="VUE369" s="664"/>
      <c r="VUF369" s="521"/>
      <c r="VUG369" s="362"/>
      <c r="VUH369" s="295"/>
      <c r="VUI369" s="656"/>
      <c r="VUJ369" s="286"/>
      <c r="VUK369" s="287"/>
      <c r="VUL369" s="296"/>
      <c r="VUM369" s="457"/>
      <c r="VUN369" s="664"/>
      <c r="VUO369" s="521"/>
      <c r="VUP369" s="362"/>
      <c r="VUQ369" s="295"/>
      <c r="VUR369" s="656"/>
      <c r="VUS369" s="286"/>
      <c r="VUT369" s="287"/>
      <c r="VUU369" s="296"/>
      <c r="VUV369" s="457"/>
      <c r="VUW369" s="664"/>
      <c r="VUX369" s="521"/>
      <c r="VUY369" s="362"/>
      <c r="VUZ369" s="295"/>
      <c r="VVA369" s="656"/>
      <c r="VVB369" s="286"/>
      <c r="VVC369" s="287"/>
      <c r="VVD369" s="296"/>
      <c r="VVE369" s="457"/>
      <c r="VVF369" s="664"/>
      <c r="VVG369" s="521"/>
      <c r="VVH369" s="362"/>
      <c r="VVI369" s="295"/>
      <c r="VVJ369" s="656"/>
      <c r="VVK369" s="286"/>
      <c r="VVL369" s="287"/>
      <c r="VVM369" s="296"/>
      <c r="VVN369" s="457"/>
      <c r="VVO369" s="664"/>
      <c r="VVP369" s="521"/>
      <c r="VVQ369" s="362"/>
      <c r="VVR369" s="295"/>
      <c r="VVS369" s="656"/>
      <c r="VVT369" s="286"/>
      <c r="VVU369" s="287"/>
      <c r="VVV369" s="296"/>
      <c r="VVW369" s="457"/>
      <c r="VVX369" s="664"/>
      <c r="VVY369" s="521"/>
      <c r="VVZ369" s="362"/>
      <c r="VWA369" s="295"/>
      <c r="VWB369" s="656"/>
      <c r="VWC369" s="286"/>
      <c r="VWD369" s="287"/>
      <c r="VWE369" s="296"/>
      <c r="VWF369" s="457"/>
      <c r="VWG369" s="664"/>
      <c r="VWH369" s="521"/>
      <c r="VWI369" s="362"/>
      <c r="VWJ369" s="295"/>
      <c r="VWK369" s="656"/>
      <c r="VWL369" s="286"/>
      <c r="VWM369" s="287"/>
      <c r="VWN369" s="296"/>
      <c r="VWO369" s="457"/>
      <c r="VWP369" s="664"/>
      <c r="VWQ369" s="521"/>
      <c r="VWR369" s="362"/>
      <c r="VWS369" s="295"/>
      <c r="VWT369" s="656"/>
      <c r="VWU369" s="286"/>
      <c r="VWV369" s="287"/>
      <c r="VWW369" s="296"/>
      <c r="VWX369" s="457"/>
      <c r="VWY369" s="664"/>
      <c r="VWZ369" s="521"/>
      <c r="VXA369" s="362"/>
      <c r="VXB369" s="295"/>
      <c r="VXC369" s="656"/>
      <c r="VXD369" s="286"/>
      <c r="VXE369" s="287"/>
      <c r="VXF369" s="296"/>
      <c r="VXG369" s="457"/>
      <c r="VXH369" s="664"/>
      <c r="VXI369" s="521"/>
      <c r="VXJ369" s="362"/>
      <c r="VXK369" s="295"/>
      <c r="VXL369" s="656"/>
      <c r="VXM369" s="286"/>
      <c r="VXN369" s="287"/>
      <c r="VXO369" s="296"/>
      <c r="VXP369" s="457"/>
      <c r="VXQ369" s="664"/>
      <c r="VXR369" s="521"/>
      <c r="VXS369" s="362"/>
      <c r="VXT369" s="295"/>
      <c r="VXU369" s="656"/>
      <c r="VXV369" s="286"/>
      <c r="VXW369" s="287"/>
      <c r="VXX369" s="296"/>
      <c r="VXY369" s="457"/>
      <c r="VXZ369" s="664"/>
      <c r="VYA369" s="521"/>
      <c r="VYB369" s="362"/>
      <c r="VYC369" s="295"/>
      <c r="VYD369" s="656"/>
      <c r="VYE369" s="286"/>
      <c r="VYF369" s="287"/>
      <c r="VYG369" s="296"/>
      <c r="VYH369" s="457"/>
      <c r="VYI369" s="664"/>
      <c r="VYJ369" s="521"/>
      <c r="VYK369" s="362"/>
      <c r="VYL369" s="295"/>
      <c r="VYM369" s="656"/>
      <c r="VYN369" s="286"/>
      <c r="VYO369" s="287"/>
      <c r="VYP369" s="296"/>
      <c r="VYQ369" s="457"/>
      <c r="VYR369" s="664"/>
      <c r="VYS369" s="521"/>
      <c r="VYT369" s="362"/>
      <c r="VYU369" s="295"/>
      <c r="VYV369" s="656"/>
      <c r="VYW369" s="286"/>
      <c r="VYX369" s="287"/>
      <c r="VYY369" s="296"/>
      <c r="VYZ369" s="457"/>
      <c r="VZA369" s="664"/>
      <c r="VZB369" s="521"/>
      <c r="VZC369" s="362"/>
      <c r="VZD369" s="295"/>
      <c r="VZE369" s="656"/>
      <c r="VZF369" s="286"/>
      <c r="VZG369" s="287"/>
      <c r="VZH369" s="296"/>
      <c r="VZI369" s="457"/>
      <c r="VZJ369" s="664"/>
      <c r="VZK369" s="521"/>
      <c r="VZL369" s="362"/>
      <c r="VZM369" s="295"/>
      <c r="VZN369" s="656"/>
      <c r="VZO369" s="286"/>
      <c r="VZP369" s="287"/>
      <c r="VZQ369" s="296"/>
      <c r="VZR369" s="457"/>
      <c r="VZS369" s="664"/>
      <c r="VZT369" s="521"/>
      <c r="VZU369" s="362"/>
      <c r="VZV369" s="295"/>
      <c r="VZW369" s="656"/>
      <c r="VZX369" s="286"/>
      <c r="VZY369" s="287"/>
      <c r="VZZ369" s="296"/>
      <c r="WAA369" s="457"/>
      <c r="WAB369" s="664"/>
      <c r="WAC369" s="521"/>
      <c r="WAD369" s="362"/>
      <c r="WAE369" s="295"/>
      <c r="WAF369" s="656"/>
      <c r="WAG369" s="286"/>
      <c r="WAH369" s="287"/>
      <c r="WAI369" s="296"/>
      <c r="WAJ369" s="457"/>
      <c r="WAK369" s="664"/>
      <c r="WAL369" s="521"/>
      <c r="WAM369" s="362"/>
      <c r="WAN369" s="295"/>
      <c r="WAO369" s="656"/>
      <c r="WAP369" s="286"/>
      <c r="WAQ369" s="287"/>
      <c r="WAR369" s="296"/>
      <c r="WAS369" s="457"/>
      <c r="WAT369" s="664"/>
      <c r="WAU369" s="521"/>
      <c r="WAV369" s="362"/>
      <c r="WAW369" s="295"/>
      <c r="WAX369" s="656"/>
      <c r="WAY369" s="286"/>
      <c r="WAZ369" s="287"/>
      <c r="WBA369" s="296"/>
      <c r="WBB369" s="457"/>
      <c r="WBC369" s="664"/>
      <c r="WBD369" s="521"/>
      <c r="WBE369" s="362"/>
      <c r="WBF369" s="295"/>
      <c r="WBG369" s="656"/>
      <c r="WBH369" s="286"/>
      <c r="WBI369" s="287"/>
      <c r="WBJ369" s="296"/>
      <c r="WBK369" s="457"/>
      <c r="WBL369" s="664"/>
      <c r="WBM369" s="521"/>
      <c r="WBN369" s="362"/>
      <c r="WBO369" s="295"/>
      <c r="WBP369" s="656"/>
      <c r="WBQ369" s="286"/>
      <c r="WBR369" s="287"/>
      <c r="WBS369" s="296"/>
      <c r="WBT369" s="457"/>
      <c r="WBU369" s="664"/>
      <c r="WBV369" s="521"/>
      <c r="WBW369" s="362"/>
      <c r="WBX369" s="295"/>
      <c r="WBY369" s="656"/>
      <c r="WBZ369" s="286"/>
      <c r="WCA369" s="287"/>
      <c r="WCB369" s="296"/>
      <c r="WCC369" s="457"/>
      <c r="WCD369" s="664"/>
      <c r="WCE369" s="521"/>
      <c r="WCF369" s="362"/>
      <c r="WCG369" s="295"/>
      <c r="WCH369" s="656"/>
      <c r="WCI369" s="286"/>
      <c r="WCJ369" s="287"/>
      <c r="WCK369" s="296"/>
      <c r="WCL369" s="457"/>
      <c r="WCM369" s="664"/>
      <c r="WCN369" s="521"/>
      <c r="WCO369" s="362"/>
      <c r="WCP369" s="295"/>
      <c r="WCQ369" s="656"/>
      <c r="WCR369" s="286"/>
      <c r="WCS369" s="287"/>
      <c r="WCT369" s="296"/>
      <c r="WCU369" s="457"/>
      <c r="WCV369" s="664"/>
      <c r="WCW369" s="521"/>
      <c r="WCX369" s="362"/>
      <c r="WCY369" s="295"/>
      <c r="WCZ369" s="656"/>
      <c r="WDA369" s="286"/>
      <c r="WDB369" s="287"/>
      <c r="WDC369" s="296"/>
      <c r="WDD369" s="457"/>
      <c r="WDE369" s="664"/>
      <c r="WDF369" s="521"/>
      <c r="WDG369" s="362"/>
      <c r="WDH369" s="295"/>
      <c r="WDI369" s="656"/>
      <c r="WDJ369" s="286"/>
      <c r="WDK369" s="287"/>
      <c r="WDL369" s="296"/>
      <c r="WDM369" s="457"/>
      <c r="WDN369" s="664"/>
      <c r="WDO369" s="521"/>
      <c r="WDP369" s="362"/>
      <c r="WDQ369" s="295"/>
      <c r="WDR369" s="656"/>
      <c r="WDS369" s="286"/>
      <c r="WDT369" s="287"/>
      <c r="WDU369" s="296"/>
      <c r="WDV369" s="457"/>
      <c r="WDW369" s="664"/>
      <c r="WDX369" s="521"/>
      <c r="WDY369" s="362"/>
      <c r="WDZ369" s="295"/>
      <c r="WEA369" s="656"/>
      <c r="WEB369" s="286"/>
      <c r="WEC369" s="287"/>
      <c r="WED369" s="296"/>
      <c r="WEE369" s="457"/>
      <c r="WEF369" s="664"/>
      <c r="WEG369" s="521"/>
      <c r="WEH369" s="362"/>
      <c r="WEI369" s="295"/>
      <c r="WEJ369" s="656"/>
      <c r="WEK369" s="286"/>
      <c r="WEL369" s="287"/>
      <c r="WEM369" s="296"/>
      <c r="WEN369" s="457"/>
      <c r="WEO369" s="664"/>
      <c r="WEP369" s="521"/>
      <c r="WEQ369" s="362"/>
      <c r="WER369" s="295"/>
      <c r="WES369" s="656"/>
      <c r="WET369" s="286"/>
      <c r="WEU369" s="287"/>
      <c r="WEV369" s="296"/>
      <c r="WEW369" s="457"/>
      <c r="WEX369" s="664"/>
      <c r="WEY369" s="521"/>
      <c r="WEZ369" s="362"/>
      <c r="WFA369" s="295"/>
      <c r="WFB369" s="656"/>
      <c r="WFC369" s="286"/>
      <c r="WFD369" s="287"/>
      <c r="WFE369" s="296"/>
      <c r="WFF369" s="457"/>
      <c r="WFG369" s="664"/>
      <c r="WFH369" s="521"/>
      <c r="WFI369" s="362"/>
      <c r="WFJ369" s="295"/>
      <c r="WFK369" s="656"/>
      <c r="WFL369" s="286"/>
      <c r="WFM369" s="287"/>
      <c r="WFN369" s="296"/>
      <c r="WFO369" s="457"/>
      <c r="WFP369" s="664"/>
      <c r="WFQ369" s="521"/>
      <c r="WFR369" s="362"/>
      <c r="WFS369" s="295"/>
      <c r="WFT369" s="656"/>
      <c r="WFU369" s="286"/>
      <c r="WFV369" s="287"/>
      <c r="WFW369" s="296"/>
      <c r="WFX369" s="457"/>
      <c r="WFY369" s="664"/>
      <c r="WFZ369" s="521"/>
      <c r="WGA369" s="362"/>
      <c r="WGB369" s="295"/>
      <c r="WGC369" s="656"/>
      <c r="WGD369" s="286"/>
      <c r="WGE369" s="287"/>
      <c r="WGF369" s="296"/>
      <c r="WGG369" s="457"/>
      <c r="WGH369" s="664"/>
      <c r="WGI369" s="521"/>
      <c r="WGJ369" s="362"/>
      <c r="WGK369" s="295"/>
      <c r="WGL369" s="656"/>
      <c r="WGM369" s="286"/>
      <c r="WGN369" s="287"/>
      <c r="WGO369" s="296"/>
      <c r="WGP369" s="457"/>
      <c r="WGQ369" s="664"/>
      <c r="WGR369" s="521"/>
      <c r="WGS369" s="362"/>
      <c r="WGT369" s="295"/>
      <c r="WGU369" s="656"/>
      <c r="WGV369" s="286"/>
      <c r="WGW369" s="287"/>
      <c r="WGX369" s="296"/>
      <c r="WGY369" s="457"/>
      <c r="WGZ369" s="664"/>
      <c r="WHA369" s="521"/>
      <c r="WHB369" s="362"/>
      <c r="WHC369" s="295"/>
      <c r="WHD369" s="656"/>
      <c r="WHE369" s="286"/>
      <c r="WHF369" s="287"/>
      <c r="WHG369" s="296"/>
      <c r="WHH369" s="457"/>
      <c r="WHI369" s="664"/>
      <c r="WHJ369" s="521"/>
      <c r="WHK369" s="362"/>
      <c r="WHL369" s="295"/>
      <c r="WHM369" s="656"/>
      <c r="WHN369" s="286"/>
      <c r="WHO369" s="287"/>
      <c r="WHP369" s="296"/>
      <c r="WHQ369" s="457"/>
      <c r="WHR369" s="664"/>
      <c r="WHS369" s="521"/>
      <c r="WHT369" s="362"/>
      <c r="WHU369" s="295"/>
      <c r="WHV369" s="656"/>
      <c r="WHW369" s="286"/>
      <c r="WHX369" s="287"/>
      <c r="WHY369" s="296"/>
      <c r="WHZ369" s="457"/>
      <c r="WIA369" s="664"/>
      <c r="WIB369" s="521"/>
      <c r="WIC369" s="362"/>
      <c r="WID369" s="295"/>
      <c r="WIE369" s="656"/>
      <c r="WIF369" s="286"/>
      <c r="WIG369" s="287"/>
      <c r="WIH369" s="296"/>
      <c r="WII369" s="457"/>
      <c r="WIJ369" s="664"/>
      <c r="WIK369" s="521"/>
      <c r="WIL369" s="362"/>
      <c r="WIM369" s="295"/>
      <c r="WIN369" s="656"/>
      <c r="WIO369" s="286"/>
      <c r="WIP369" s="287"/>
      <c r="WIQ369" s="296"/>
      <c r="WIR369" s="457"/>
      <c r="WIS369" s="664"/>
      <c r="WIT369" s="521"/>
      <c r="WIU369" s="362"/>
      <c r="WIV369" s="295"/>
      <c r="WIW369" s="656"/>
      <c r="WIX369" s="286"/>
      <c r="WIY369" s="287"/>
      <c r="WIZ369" s="296"/>
      <c r="WJA369" s="457"/>
      <c r="WJB369" s="664"/>
      <c r="WJC369" s="521"/>
      <c r="WJD369" s="362"/>
      <c r="WJE369" s="295"/>
      <c r="WJF369" s="656"/>
      <c r="WJG369" s="286"/>
      <c r="WJH369" s="287"/>
      <c r="WJI369" s="296"/>
      <c r="WJJ369" s="457"/>
      <c r="WJK369" s="664"/>
      <c r="WJL369" s="521"/>
      <c r="WJM369" s="362"/>
      <c r="WJN369" s="295"/>
      <c r="WJO369" s="656"/>
      <c r="WJP369" s="286"/>
      <c r="WJQ369" s="287"/>
      <c r="WJR369" s="296"/>
      <c r="WJS369" s="457"/>
      <c r="WJT369" s="664"/>
      <c r="WJU369" s="521"/>
      <c r="WJV369" s="362"/>
      <c r="WJW369" s="295"/>
      <c r="WJX369" s="656"/>
      <c r="WJY369" s="286"/>
      <c r="WJZ369" s="287"/>
      <c r="WKA369" s="296"/>
      <c r="WKB369" s="457"/>
      <c r="WKC369" s="664"/>
      <c r="WKD369" s="521"/>
      <c r="WKE369" s="362"/>
      <c r="WKF369" s="295"/>
      <c r="WKG369" s="656"/>
      <c r="WKH369" s="286"/>
      <c r="WKI369" s="287"/>
      <c r="WKJ369" s="296"/>
      <c r="WKK369" s="457"/>
      <c r="WKL369" s="664"/>
      <c r="WKM369" s="521"/>
      <c r="WKN369" s="362"/>
      <c r="WKO369" s="295"/>
      <c r="WKP369" s="656"/>
      <c r="WKQ369" s="286"/>
      <c r="WKR369" s="287"/>
      <c r="WKS369" s="296"/>
      <c r="WKT369" s="457"/>
      <c r="WKU369" s="664"/>
      <c r="WKV369" s="521"/>
      <c r="WKW369" s="362"/>
      <c r="WKX369" s="295"/>
      <c r="WKY369" s="656"/>
      <c r="WKZ369" s="286"/>
      <c r="WLA369" s="287"/>
      <c r="WLB369" s="296"/>
      <c r="WLC369" s="457"/>
      <c r="WLD369" s="664"/>
      <c r="WLE369" s="521"/>
      <c r="WLF369" s="362"/>
      <c r="WLG369" s="295"/>
      <c r="WLH369" s="656"/>
      <c r="WLI369" s="286"/>
      <c r="WLJ369" s="287"/>
      <c r="WLK369" s="296"/>
      <c r="WLL369" s="457"/>
      <c r="WLM369" s="664"/>
      <c r="WLN369" s="521"/>
      <c r="WLO369" s="362"/>
      <c r="WLP369" s="295"/>
      <c r="WLQ369" s="656"/>
      <c r="WLR369" s="286"/>
      <c r="WLS369" s="287"/>
      <c r="WLT369" s="296"/>
      <c r="WLU369" s="457"/>
      <c r="WLV369" s="664"/>
      <c r="WLW369" s="521"/>
      <c r="WLX369" s="362"/>
      <c r="WLY369" s="295"/>
      <c r="WLZ369" s="656"/>
      <c r="WMA369" s="286"/>
      <c r="WMB369" s="287"/>
      <c r="WMC369" s="296"/>
      <c r="WMD369" s="457"/>
      <c r="WME369" s="664"/>
      <c r="WMF369" s="521"/>
      <c r="WMG369" s="362"/>
      <c r="WMH369" s="295"/>
      <c r="WMI369" s="656"/>
      <c r="WMJ369" s="286"/>
      <c r="WMK369" s="287"/>
      <c r="WML369" s="296"/>
      <c r="WMM369" s="457"/>
      <c r="WMN369" s="664"/>
      <c r="WMO369" s="521"/>
      <c r="WMP369" s="362"/>
      <c r="WMQ369" s="295"/>
      <c r="WMR369" s="656"/>
      <c r="WMS369" s="286"/>
      <c r="WMT369" s="287"/>
      <c r="WMU369" s="296"/>
      <c r="WMV369" s="457"/>
      <c r="WMW369" s="664"/>
      <c r="WMX369" s="521"/>
      <c r="WMY369" s="362"/>
      <c r="WMZ369" s="295"/>
      <c r="WNA369" s="656"/>
      <c r="WNB369" s="286"/>
      <c r="WNC369" s="287"/>
      <c r="WND369" s="296"/>
      <c r="WNE369" s="457"/>
      <c r="WNF369" s="664"/>
      <c r="WNG369" s="521"/>
      <c r="WNH369" s="362"/>
      <c r="WNI369" s="295"/>
      <c r="WNJ369" s="656"/>
      <c r="WNK369" s="286"/>
      <c r="WNL369" s="287"/>
      <c r="WNM369" s="296"/>
      <c r="WNN369" s="457"/>
      <c r="WNO369" s="664"/>
      <c r="WNP369" s="521"/>
      <c r="WNQ369" s="362"/>
      <c r="WNR369" s="295"/>
      <c r="WNS369" s="656"/>
      <c r="WNT369" s="286"/>
      <c r="WNU369" s="287"/>
      <c r="WNV369" s="296"/>
      <c r="WNW369" s="457"/>
      <c r="WNX369" s="664"/>
      <c r="WNY369" s="521"/>
      <c r="WNZ369" s="362"/>
      <c r="WOA369" s="295"/>
      <c r="WOB369" s="656"/>
      <c r="WOC369" s="286"/>
      <c r="WOD369" s="287"/>
      <c r="WOE369" s="296"/>
      <c r="WOF369" s="457"/>
      <c r="WOG369" s="664"/>
      <c r="WOH369" s="521"/>
      <c r="WOI369" s="362"/>
      <c r="WOJ369" s="295"/>
      <c r="WOK369" s="656"/>
      <c r="WOL369" s="286"/>
      <c r="WOM369" s="287"/>
      <c r="WON369" s="296"/>
      <c r="WOO369" s="457"/>
      <c r="WOP369" s="664"/>
      <c r="WOQ369" s="521"/>
      <c r="WOR369" s="362"/>
      <c r="WOS369" s="295"/>
      <c r="WOT369" s="656"/>
      <c r="WOU369" s="286"/>
      <c r="WOV369" s="287"/>
      <c r="WOW369" s="296"/>
      <c r="WOX369" s="457"/>
      <c r="WOY369" s="664"/>
      <c r="WOZ369" s="521"/>
      <c r="WPA369" s="362"/>
      <c r="WPB369" s="295"/>
      <c r="WPC369" s="656"/>
      <c r="WPD369" s="286"/>
      <c r="WPE369" s="287"/>
      <c r="WPF369" s="296"/>
      <c r="WPG369" s="457"/>
      <c r="WPH369" s="664"/>
      <c r="WPI369" s="521"/>
      <c r="WPJ369" s="362"/>
      <c r="WPK369" s="295"/>
      <c r="WPL369" s="656"/>
      <c r="WPM369" s="286"/>
      <c r="WPN369" s="287"/>
      <c r="WPO369" s="296"/>
      <c r="WPP369" s="457"/>
      <c r="WPQ369" s="664"/>
      <c r="WPR369" s="521"/>
      <c r="WPS369" s="362"/>
      <c r="WPT369" s="295"/>
      <c r="WPU369" s="656"/>
      <c r="WPV369" s="286"/>
      <c r="WPW369" s="287"/>
      <c r="WPX369" s="296"/>
      <c r="WPY369" s="457"/>
      <c r="WPZ369" s="664"/>
      <c r="WQA369" s="521"/>
      <c r="WQB369" s="362"/>
      <c r="WQC369" s="295"/>
      <c r="WQD369" s="656"/>
      <c r="WQE369" s="286"/>
      <c r="WQF369" s="287"/>
      <c r="WQG369" s="296"/>
      <c r="WQH369" s="457"/>
      <c r="WQI369" s="664"/>
      <c r="WQJ369" s="521"/>
      <c r="WQK369" s="362"/>
      <c r="WQL369" s="295"/>
      <c r="WQM369" s="656"/>
      <c r="WQN369" s="286"/>
      <c r="WQO369" s="287"/>
      <c r="WQP369" s="296"/>
      <c r="WQQ369" s="457"/>
      <c r="WQR369" s="664"/>
      <c r="WQS369" s="521"/>
      <c r="WQT369" s="362"/>
      <c r="WQU369" s="295"/>
      <c r="WQV369" s="656"/>
      <c r="WQW369" s="286"/>
      <c r="WQX369" s="287"/>
      <c r="WQY369" s="296"/>
      <c r="WQZ369" s="457"/>
      <c r="WRA369" s="664"/>
      <c r="WRB369" s="521"/>
      <c r="WRC369" s="362"/>
      <c r="WRD369" s="295"/>
      <c r="WRE369" s="656"/>
      <c r="WRF369" s="286"/>
      <c r="WRG369" s="287"/>
      <c r="WRH369" s="296"/>
      <c r="WRI369" s="457"/>
      <c r="WRJ369" s="664"/>
      <c r="WRK369" s="521"/>
      <c r="WRL369" s="362"/>
      <c r="WRM369" s="295"/>
      <c r="WRN369" s="656"/>
      <c r="WRO369" s="286"/>
      <c r="WRP369" s="287"/>
      <c r="WRQ369" s="296"/>
      <c r="WRR369" s="457"/>
      <c r="WRS369" s="664"/>
      <c r="WRT369" s="521"/>
      <c r="WRU369" s="362"/>
      <c r="WRV369" s="295"/>
      <c r="WRW369" s="656"/>
      <c r="WRX369" s="286"/>
      <c r="WRY369" s="287"/>
      <c r="WRZ369" s="296"/>
      <c r="WSA369" s="457"/>
      <c r="WSB369" s="664"/>
      <c r="WSC369" s="521"/>
      <c r="WSD369" s="362"/>
      <c r="WSE369" s="295"/>
      <c r="WSF369" s="656"/>
      <c r="WSG369" s="286"/>
      <c r="WSH369" s="287"/>
      <c r="WSI369" s="296"/>
      <c r="WSJ369" s="457"/>
      <c r="WSK369" s="664"/>
      <c r="WSL369" s="521"/>
      <c r="WSM369" s="362"/>
      <c r="WSN369" s="295"/>
      <c r="WSO369" s="656"/>
      <c r="WSP369" s="286"/>
      <c r="WSQ369" s="287"/>
      <c r="WSR369" s="296"/>
      <c r="WSS369" s="457"/>
      <c r="WST369" s="664"/>
      <c r="WSU369" s="521"/>
      <c r="WSV369" s="362"/>
      <c r="WSW369" s="295"/>
      <c r="WSX369" s="656"/>
      <c r="WSY369" s="286"/>
      <c r="WSZ369" s="287"/>
      <c r="WTA369" s="296"/>
      <c r="WTB369" s="457"/>
      <c r="WTC369" s="664"/>
      <c r="WTD369" s="521"/>
      <c r="WTE369" s="362"/>
      <c r="WTF369" s="295"/>
      <c r="WTG369" s="656"/>
      <c r="WTH369" s="286"/>
      <c r="WTI369" s="287"/>
      <c r="WTJ369" s="296"/>
      <c r="WTK369" s="457"/>
      <c r="WTL369" s="664"/>
      <c r="WTM369" s="521"/>
      <c r="WTN369" s="362"/>
      <c r="WTO369" s="295"/>
      <c r="WTP369" s="656"/>
      <c r="WTQ369" s="286"/>
      <c r="WTR369" s="287"/>
      <c r="WTS369" s="296"/>
      <c r="WTT369" s="457"/>
      <c r="WTU369" s="664"/>
      <c r="WTV369" s="521"/>
      <c r="WTW369" s="362"/>
      <c r="WTX369" s="295"/>
      <c r="WTY369" s="656"/>
      <c r="WTZ369" s="286"/>
      <c r="WUA369" s="287"/>
      <c r="WUB369" s="296"/>
      <c r="WUC369" s="457"/>
      <c r="WUD369" s="664"/>
      <c r="WUE369" s="521"/>
      <c r="WUF369" s="362"/>
      <c r="WUG369" s="295"/>
      <c r="WUH369" s="656"/>
      <c r="WUI369" s="286"/>
      <c r="WUJ369" s="287"/>
      <c r="WUK369" s="296"/>
      <c r="WUL369" s="457"/>
      <c r="WUM369" s="664"/>
      <c r="WUN369" s="521"/>
      <c r="WUO369" s="362"/>
      <c r="WUP369" s="295"/>
      <c r="WUQ369" s="656"/>
      <c r="WUR369" s="286"/>
      <c r="WUS369" s="287"/>
      <c r="WUT369" s="296"/>
      <c r="WUU369" s="457"/>
      <c r="WUV369" s="664"/>
      <c r="WUW369" s="521"/>
      <c r="WUX369" s="362"/>
      <c r="WUY369" s="295"/>
      <c r="WUZ369" s="656"/>
      <c r="WVA369" s="286"/>
      <c r="WVB369" s="287"/>
      <c r="WVC369" s="296"/>
      <c r="WVD369" s="457"/>
      <c r="WVE369" s="664"/>
      <c r="WVF369" s="521"/>
      <c r="WVG369" s="362"/>
      <c r="WVH369" s="295"/>
      <c r="WVI369" s="656"/>
      <c r="WVJ369" s="286"/>
      <c r="WVK369" s="287"/>
      <c r="WVL369" s="296"/>
      <c r="WVM369" s="457"/>
      <c r="WVN369" s="664"/>
      <c r="WVO369" s="521"/>
      <c r="WVP369" s="362"/>
      <c r="WVQ369" s="295"/>
      <c r="WVR369" s="656"/>
      <c r="WVS369" s="286"/>
      <c r="WVT369" s="287"/>
      <c r="WVU369" s="296"/>
      <c r="WVV369" s="457"/>
      <c r="WVW369" s="664"/>
      <c r="WVX369" s="521"/>
      <c r="WVY369" s="362"/>
      <c r="WVZ369" s="295"/>
      <c r="WWA369" s="656"/>
      <c r="WWB369" s="286"/>
      <c r="WWC369" s="287"/>
      <c r="WWD369" s="296"/>
      <c r="WWE369" s="457"/>
      <c r="WWF369" s="664"/>
      <c r="WWG369" s="521"/>
      <c r="WWH369" s="362"/>
      <c r="WWI369" s="295"/>
      <c r="WWJ369" s="656"/>
      <c r="WWK369" s="286"/>
      <c r="WWL369" s="287"/>
      <c r="WWM369" s="296"/>
      <c r="WWN369" s="457"/>
      <c r="WWO369" s="664"/>
      <c r="WWP369" s="521"/>
      <c r="WWQ369" s="362"/>
      <c r="WWR369" s="295"/>
      <c r="WWS369" s="656"/>
      <c r="WWT369" s="286"/>
      <c r="WWU369" s="287"/>
      <c r="WWV369" s="296"/>
      <c r="WWW369" s="457"/>
      <c r="WWX369" s="664"/>
      <c r="WWY369" s="521"/>
      <c r="WWZ369" s="362"/>
      <c r="WXA369" s="295"/>
      <c r="WXB369" s="656"/>
      <c r="WXC369" s="286"/>
      <c r="WXD369" s="287"/>
      <c r="WXE369" s="296"/>
      <c r="WXF369" s="457"/>
      <c r="WXG369" s="664"/>
      <c r="WXH369" s="521"/>
      <c r="WXI369" s="362"/>
      <c r="WXJ369" s="295"/>
      <c r="WXK369" s="656"/>
      <c r="WXL369" s="286"/>
      <c r="WXM369" s="287"/>
      <c r="WXN369" s="296"/>
      <c r="WXO369" s="457"/>
      <c r="WXP369" s="664"/>
      <c r="WXQ369" s="521"/>
      <c r="WXR369" s="362"/>
      <c r="WXS369" s="295"/>
      <c r="WXT369" s="656"/>
      <c r="WXU369" s="286"/>
      <c r="WXV369" s="287"/>
      <c r="WXW369" s="296"/>
      <c r="WXX369" s="457"/>
      <c r="WXY369" s="664"/>
      <c r="WXZ369" s="521"/>
      <c r="WYA369" s="362"/>
      <c r="WYB369" s="295"/>
      <c r="WYC369" s="656"/>
      <c r="WYD369" s="286"/>
      <c r="WYE369" s="287"/>
      <c r="WYF369" s="296"/>
      <c r="WYG369" s="457"/>
      <c r="WYH369" s="664"/>
      <c r="WYI369" s="521"/>
      <c r="WYJ369" s="362"/>
      <c r="WYK369" s="295"/>
      <c r="WYL369" s="656"/>
      <c r="WYM369" s="286"/>
      <c r="WYN369" s="287"/>
      <c r="WYO369" s="296"/>
      <c r="WYP369" s="457"/>
      <c r="WYQ369" s="664"/>
      <c r="WYR369" s="521"/>
      <c r="WYS369" s="362"/>
      <c r="WYT369" s="295"/>
      <c r="WYU369" s="656"/>
      <c r="WYV369" s="286"/>
      <c r="WYW369" s="287"/>
      <c r="WYX369" s="296"/>
      <c r="WYY369" s="457"/>
      <c r="WYZ369" s="664"/>
      <c r="WZA369" s="521"/>
      <c r="WZB369" s="362"/>
      <c r="WZC369" s="295"/>
      <c r="WZD369" s="656"/>
      <c r="WZE369" s="286"/>
      <c r="WZF369" s="287"/>
      <c r="WZG369" s="296"/>
      <c r="WZH369" s="457"/>
      <c r="WZI369" s="664"/>
      <c r="WZJ369" s="521"/>
      <c r="WZK369" s="362"/>
      <c r="WZL369" s="295"/>
      <c r="WZM369" s="656"/>
      <c r="WZN369" s="286"/>
      <c r="WZO369" s="287"/>
      <c r="WZP369" s="296"/>
      <c r="WZQ369" s="457"/>
      <c r="WZR369" s="664"/>
      <c r="WZS369" s="521"/>
      <c r="WZT369" s="362"/>
      <c r="WZU369" s="295"/>
      <c r="WZV369" s="656"/>
      <c r="WZW369" s="286"/>
      <c r="WZX369" s="287"/>
      <c r="WZY369" s="296"/>
      <c r="WZZ369" s="457"/>
      <c r="XAA369" s="664"/>
      <c r="XAB369" s="521"/>
      <c r="XAC369" s="362"/>
      <c r="XAD369" s="295"/>
      <c r="XAE369" s="656"/>
      <c r="XAF369" s="286"/>
      <c r="XAG369" s="287"/>
      <c r="XAH369" s="296"/>
      <c r="XAI369" s="457"/>
      <c r="XAJ369" s="664"/>
      <c r="XAK369" s="521"/>
      <c r="XAL369" s="362"/>
      <c r="XAM369" s="295"/>
      <c r="XAN369" s="656"/>
      <c r="XAO369" s="286"/>
      <c r="XAP369" s="287"/>
      <c r="XAQ369" s="296"/>
      <c r="XAR369" s="457"/>
      <c r="XAS369" s="664"/>
      <c r="XAT369" s="521"/>
      <c r="XAU369" s="362"/>
      <c r="XAV369" s="295"/>
      <c r="XAW369" s="656"/>
      <c r="XAX369" s="286"/>
      <c r="XAY369" s="287"/>
      <c r="XAZ369" s="296"/>
      <c r="XBA369" s="457"/>
      <c r="XBB369" s="664"/>
      <c r="XBC369" s="521"/>
      <c r="XBD369" s="362"/>
      <c r="XBE369" s="295"/>
      <c r="XBF369" s="656"/>
      <c r="XBG369" s="286"/>
      <c r="XBH369" s="287"/>
      <c r="XBI369" s="296"/>
      <c r="XBJ369" s="457"/>
      <c r="XBK369" s="664"/>
      <c r="XBL369" s="521"/>
      <c r="XBM369" s="362"/>
      <c r="XBN369" s="295"/>
      <c r="XBO369" s="656"/>
      <c r="XBP369" s="286"/>
      <c r="XBQ369" s="287"/>
      <c r="XBR369" s="296"/>
      <c r="XBS369" s="457"/>
      <c r="XBT369" s="664"/>
      <c r="XBU369" s="521"/>
      <c r="XBV369" s="362"/>
      <c r="XBW369" s="295"/>
      <c r="XBX369" s="656"/>
      <c r="XBY369" s="286"/>
      <c r="XBZ369" s="287"/>
      <c r="XCA369" s="296"/>
      <c r="XCB369" s="457"/>
      <c r="XCC369" s="664"/>
      <c r="XCD369" s="521"/>
      <c r="XCE369" s="362"/>
      <c r="XCF369" s="295"/>
      <c r="XCG369" s="656"/>
      <c r="XCH369" s="286"/>
      <c r="XCI369" s="287"/>
      <c r="XCJ369" s="296"/>
      <c r="XCK369" s="457"/>
      <c r="XCL369" s="664"/>
      <c r="XCM369" s="521"/>
      <c r="XCN369" s="362"/>
      <c r="XCO369" s="295"/>
      <c r="XCP369" s="656"/>
      <c r="XCQ369" s="286"/>
      <c r="XCR369" s="287"/>
      <c r="XCS369" s="296"/>
      <c r="XCT369" s="457"/>
      <c r="XCU369" s="664"/>
      <c r="XCV369" s="521"/>
      <c r="XCW369" s="362"/>
      <c r="XCX369" s="295"/>
      <c r="XCY369" s="656"/>
      <c r="XCZ369" s="286"/>
      <c r="XDA369" s="287"/>
      <c r="XDB369" s="296"/>
      <c r="XDC369" s="457"/>
      <c r="XDD369" s="664"/>
      <c r="XDE369" s="521"/>
      <c r="XDF369" s="362"/>
      <c r="XDG369" s="295"/>
      <c r="XDH369" s="656"/>
      <c r="XDI369" s="286"/>
      <c r="XDJ369" s="287"/>
      <c r="XDK369" s="296"/>
      <c r="XDL369" s="457"/>
      <c r="XDM369" s="664"/>
      <c r="XDN369" s="521"/>
      <c r="XDO369" s="362"/>
      <c r="XDP369" s="295"/>
      <c r="XDQ369" s="656"/>
      <c r="XDR369" s="286"/>
      <c r="XDS369" s="287"/>
      <c r="XDT369" s="296"/>
      <c r="XDU369" s="457"/>
      <c r="XDV369" s="664"/>
      <c r="XDW369" s="521"/>
      <c r="XDX369" s="362"/>
      <c r="XDY369" s="295"/>
      <c r="XDZ369" s="656"/>
      <c r="XEA369" s="286"/>
      <c r="XEB369" s="287"/>
      <c r="XEC369" s="296"/>
      <c r="XED369" s="457"/>
      <c r="XEE369" s="664"/>
      <c r="XEF369" s="521"/>
      <c r="XEG369" s="362"/>
      <c r="XEH369" s="295"/>
      <c r="XEI369" s="656"/>
      <c r="XEJ369" s="286"/>
      <c r="XEK369" s="287"/>
      <c r="XEL369" s="296"/>
      <c r="XEM369" s="457"/>
      <c r="XEN369" s="664"/>
      <c r="XEO369" s="521"/>
      <c r="XEP369" s="362"/>
      <c r="XEQ369" s="295"/>
      <c r="XER369" s="656"/>
      <c r="XES369" s="286"/>
      <c r="XET369" s="287"/>
      <c r="XEU369" s="296"/>
      <c r="XEV369" s="457"/>
      <c r="XEW369" s="664"/>
      <c r="XEX369" s="521"/>
      <c r="XEY369" s="362"/>
      <c r="XEZ369" s="295"/>
      <c r="XFA369" s="656"/>
      <c r="XFB369" s="286"/>
      <c r="XFC369" s="287"/>
    </row>
    <row r="370" spans="1:16383" ht="16" hidden="1" outlineLevel="2" thickBot="1" x14ac:dyDescent="0.4">
      <c r="A370" s="391" t="s">
        <v>7</v>
      </c>
      <c r="B370" s="392"/>
      <c r="C370" s="393"/>
      <c r="D370" s="394">
        <v>1641</v>
      </c>
      <c r="E370" s="593"/>
      <c r="F370" s="665">
        <f>SUM(F364:F368)</f>
        <v>0.98567890393921542</v>
      </c>
      <c r="G370" s="666">
        <f>AVERAGE(G364:G369)</f>
        <v>79.333333333333329</v>
      </c>
      <c r="H370" s="330">
        <f>AVERAGE(H364:H369)</f>
        <v>0.60499999999999998</v>
      </c>
      <c r="I370" s="667">
        <f>SUM(I364:I368)</f>
        <v>85.036999999998443</v>
      </c>
      <c r="J370" s="632"/>
      <c r="K370" s="595"/>
      <c r="L370" s="633"/>
      <c r="M370" s="634"/>
      <c r="N370" s="668"/>
      <c r="O370" s="599"/>
      <c r="P370" s="95"/>
      <c r="Q370" s="600"/>
      <c r="R370" s="638"/>
      <c r="S370" s="632"/>
      <c r="T370" s="595"/>
      <c r="U370" s="633"/>
      <c r="V370" s="634"/>
      <c r="W370" s="668"/>
      <c r="X370" s="599"/>
      <c r="Y370" s="95"/>
      <c r="Z370" s="600"/>
      <c r="AA370" s="632"/>
      <c r="AB370" s="595"/>
      <c r="AC370" s="633"/>
      <c r="AD370" s="634"/>
      <c r="AE370" s="668"/>
      <c r="AF370" s="599"/>
      <c r="AG370" s="95"/>
      <c r="AH370" s="600"/>
      <c r="AI370" s="638"/>
      <c r="AJ370" s="632"/>
      <c r="AK370" s="595"/>
      <c r="AL370" s="633"/>
      <c r="AM370" s="634"/>
      <c r="AN370" s="668"/>
      <c r="AO370" s="599"/>
      <c r="AP370" s="95"/>
      <c r="AQ370" s="600"/>
      <c r="AR370" s="638"/>
      <c r="AS370" s="632"/>
      <c r="AT370" s="595"/>
      <c r="AU370" s="633"/>
      <c r="AV370" s="634"/>
      <c r="AW370" s="668"/>
      <c r="AX370" s="599"/>
      <c r="AY370" s="95"/>
      <c r="AZ370" s="600"/>
      <c r="BA370" s="638"/>
      <c r="BB370" s="632"/>
      <c r="BC370" s="595"/>
      <c r="BD370" s="633"/>
      <c r="BE370" s="634"/>
      <c r="BF370" s="668"/>
      <c r="BG370" s="599"/>
      <c r="BH370" s="95"/>
      <c r="BI370" s="600"/>
      <c r="BJ370" s="638"/>
      <c r="BK370" s="632"/>
      <c r="BL370" s="595"/>
      <c r="BM370" s="633"/>
      <c r="BN370" s="634"/>
      <c r="BO370" s="668"/>
      <c r="BP370" s="599"/>
      <c r="BQ370" s="95"/>
      <c r="BR370" s="600"/>
      <c r="BS370" s="638"/>
      <c r="BT370" s="632"/>
      <c r="BU370" s="595"/>
      <c r="BV370" s="633"/>
      <c r="BW370" s="634"/>
      <c r="BX370" s="668"/>
      <c r="BY370" s="599"/>
      <c r="BZ370" s="95"/>
      <c r="CA370" s="600"/>
      <c r="CB370" s="638"/>
      <c r="CC370" s="632"/>
      <c r="CD370" s="595"/>
      <c r="CE370" s="633"/>
      <c r="CF370" s="634"/>
      <c r="CG370" s="668"/>
      <c r="CH370" s="599"/>
      <c r="CI370" s="95"/>
      <c r="CJ370" s="600"/>
      <c r="CK370" s="638"/>
      <c r="CL370" s="632"/>
      <c r="CM370" s="595"/>
      <c r="CN370" s="633"/>
      <c r="CO370" s="634"/>
      <c r="CP370" s="668"/>
      <c r="CQ370" s="599"/>
      <c r="CR370" s="95"/>
      <c r="CS370" s="600"/>
      <c r="CT370" s="638"/>
      <c r="CU370" s="632"/>
      <c r="CV370" s="595"/>
      <c r="CW370" s="633"/>
      <c r="CX370" s="634"/>
      <c r="CY370" s="668"/>
      <c r="CZ370" s="599"/>
      <c r="DA370" s="95"/>
      <c r="DB370" s="600"/>
      <c r="DC370" s="638"/>
      <c r="DD370" s="632"/>
      <c r="DE370" s="595"/>
      <c r="DF370" s="633"/>
      <c r="DG370" s="634"/>
      <c r="DH370" s="668"/>
      <c r="DI370" s="599"/>
      <c r="DJ370" s="95"/>
      <c r="DK370" s="600"/>
      <c r="DL370" s="638"/>
      <c r="DM370" s="632"/>
      <c r="DN370" s="595"/>
      <c r="DO370" s="633"/>
      <c r="DP370" s="634"/>
      <c r="DQ370" s="668"/>
      <c r="DR370" s="599"/>
      <c r="DS370" s="95"/>
      <c r="DT370" s="600"/>
      <c r="DU370" s="638"/>
      <c r="DV370" s="632"/>
      <c r="DW370" s="595"/>
      <c r="DX370" s="633"/>
      <c r="DY370" s="634"/>
      <c r="DZ370" s="668"/>
      <c r="EA370" s="599"/>
      <c r="EB370" s="95"/>
      <c r="EC370" s="600"/>
      <c r="ED370" s="638"/>
      <c r="EE370" s="632"/>
      <c r="EF370" s="595"/>
      <c r="EG370" s="633"/>
      <c r="EH370" s="634"/>
      <c r="EI370" s="668"/>
      <c r="EJ370" s="599"/>
      <c r="EK370" s="95"/>
      <c r="EL370" s="600"/>
      <c r="EM370" s="638"/>
      <c r="EN370" s="632"/>
      <c r="EO370" s="595"/>
      <c r="EP370" s="633"/>
      <c r="EQ370" s="634"/>
      <c r="ER370" s="668"/>
      <c r="ES370" s="599"/>
      <c r="ET370" s="95"/>
      <c r="EU370" s="600"/>
      <c r="EV370" s="638"/>
      <c r="EW370" s="632"/>
      <c r="EX370" s="595"/>
      <c r="EY370" s="633"/>
      <c r="EZ370" s="634"/>
      <c r="FA370" s="668"/>
      <c r="FB370" s="599"/>
      <c r="FC370" s="95"/>
      <c r="FD370" s="600"/>
      <c r="FE370" s="638"/>
      <c r="FF370" s="632"/>
      <c r="FG370" s="595"/>
      <c r="FH370" s="633"/>
      <c r="FI370" s="634"/>
      <c r="FJ370" s="668"/>
      <c r="FK370" s="599"/>
      <c r="FL370" s="95"/>
      <c r="FM370" s="600"/>
      <c r="FN370" s="638"/>
      <c r="FO370" s="632"/>
      <c r="FP370" s="595"/>
      <c r="FQ370" s="633"/>
      <c r="FR370" s="634"/>
      <c r="FS370" s="669"/>
      <c r="FT370" s="117"/>
      <c r="FV370" s="440"/>
      <c r="FW370" s="277"/>
      <c r="FX370" s="261"/>
      <c r="FY370" s="118"/>
      <c r="FZ370" s="219"/>
      <c r="GA370" s="247"/>
      <c r="GB370" s="669"/>
      <c r="GC370" s="117"/>
      <c r="GE370" s="440"/>
      <c r="GF370" s="277"/>
      <c r="GG370" s="261"/>
      <c r="GH370" s="118"/>
      <c r="GI370" s="219"/>
      <c r="GJ370" s="247"/>
      <c r="GK370" s="669"/>
      <c r="GL370" s="117"/>
      <c r="GN370" s="440"/>
      <c r="GO370" s="277"/>
      <c r="GP370" s="261"/>
      <c r="GQ370" s="118"/>
      <c r="GR370" s="219"/>
      <c r="GS370" s="247"/>
      <c r="GT370" s="669"/>
      <c r="GU370" s="117"/>
      <c r="GW370" s="440"/>
      <c r="GX370" s="277"/>
      <c r="GY370" s="261"/>
      <c r="GZ370" s="118"/>
      <c r="HA370" s="219"/>
      <c r="HB370" s="247"/>
      <c r="HC370" s="669"/>
      <c r="HD370" s="117"/>
      <c r="HF370" s="440"/>
      <c r="HG370" s="277"/>
      <c r="HH370" s="261"/>
      <c r="HI370" s="118"/>
      <c r="HJ370" s="219"/>
      <c r="HK370" s="247"/>
      <c r="HL370" s="669"/>
      <c r="HM370" s="117"/>
      <c r="HO370" s="440"/>
      <c r="HP370" s="277"/>
      <c r="HQ370" s="261"/>
      <c r="HR370" s="118"/>
      <c r="HS370" s="219"/>
      <c r="HT370" s="247"/>
      <c r="HU370" s="669"/>
      <c r="HV370" s="117"/>
      <c r="HX370" s="440"/>
      <c r="HY370" s="277"/>
      <c r="HZ370" s="261"/>
      <c r="IA370" s="118"/>
      <c r="IB370" s="219"/>
      <c r="IC370" s="247"/>
      <c r="ID370" s="669"/>
      <c r="IE370" s="117"/>
      <c r="IG370" s="440"/>
      <c r="IH370" s="277"/>
      <c r="II370" s="261"/>
      <c r="IJ370" s="118"/>
      <c r="IK370" s="219"/>
      <c r="IL370" s="247"/>
      <c r="IM370" s="669"/>
      <c r="IN370" s="117"/>
      <c r="IP370" s="440"/>
      <c r="IQ370" s="277"/>
      <c r="IR370" s="261"/>
      <c r="IS370" s="118"/>
      <c r="IT370" s="219"/>
      <c r="IU370" s="247"/>
      <c r="IV370" s="669"/>
      <c r="IW370" s="117"/>
      <c r="IY370" s="440"/>
      <c r="IZ370" s="277"/>
      <c r="JA370" s="261"/>
      <c r="JB370" s="118"/>
      <c r="JC370" s="219"/>
      <c r="JD370" s="247"/>
      <c r="JE370" s="669"/>
      <c r="JF370" s="117"/>
      <c r="JH370" s="440"/>
      <c r="JI370" s="277"/>
      <c r="JJ370" s="261"/>
      <c r="JK370" s="118"/>
      <c r="JL370" s="219"/>
      <c r="JM370" s="247"/>
      <c r="JN370" s="669"/>
      <c r="JO370" s="117"/>
      <c r="JQ370" s="440"/>
      <c r="JR370" s="277"/>
      <c r="JS370" s="261"/>
      <c r="JT370" s="118"/>
      <c r="JU370" s="219"/>
      <c r="JV370" s="247"/>
      <c r="JW370" s="669"/>
      <c r="JX370" s="117"/>
      <c r="JZ370" s="440"/>
      <c r="KA370" s="277"/>
      <c r="KB370" s="261"/>
      <c r="KC370" s="118"/>
      <c r="KD370" s="219"/>
      <c r="KE370" s="247"/>
      <c r="KF370" s="669"/>
      <c r="KG370" s="117"/>
      <c r="KI370" s="440"/>
      <c r="KJ370" s="277"/>
      <c r="KK370" s="261"/>
      <c r="KL370" s="118"/>
      <c r="KM370" s="219"/>
      <c r="KN370" s="247"/>
      <c r="KO370" s="669"/>
      <c r="KP370" s="117"/>
      <c r="KR370" s="440"/>
      <c r="KS370" s="277"/>
      <c r="KT370" s="261"/>
      <c r="KU370" s="118"/>
      <c r="KV370" s="219"/>
      <c r="KW370" s="247"/>
      <c r="KX370" s="669"/>
      <c r="KY370" s="117"/>
      <c r="LA370" s="440"/>
      <c r="LB370" s="277"/>
      <c r="LC370" s="261"/>
      <c r="LD370" s="118"/>
      <c r="LE370" s="219"/>
      <c r="LF370" s="247"/>
      <c r="LG370" s="669"/>
      <c r="LH370" s="117"/>
      <c r="LJ370" s="440"/>
      <c r="LK370" s="277"/>
      <c r="LL370" s="261"/>
      <c r="LM370" s="118"/>
      <c r="LN370" s="219"/>
      <c r="LO370" s="247"/>
      <c r="LP370" s="669"/>
      <c r="LQ370" s="117"/>
      <c r="LS370" s="440"/>
      <c r="LT370" s="277"/>
      <c r="LU370" s="261"/>
      <c r="LV370" s="118"/>
      <c r="LW370" s="219"/>
      <c r="LX370" s="247"/>
      <c r="LY370" s="669"/>
      <c r="LZ370" s="117"/>
      <c r="MB370" s="440"/>
      <c r="MC370" s="277"/>
      <c r="MD370" s="261"/>
      <c r="ME370" s="118"/>
      <c r="MF370" s="219"/>
      <c r="MG370" s="247"/>
      <c r="MH370" s="669"/>
      <c r="MI370" s="117"/>
      <c r="MK370" s="440"/>
      <c r="ML370" s="277"/>
      <c r="MM370" s="261"/>
      <c r="MN370" s="118"/>
      <c r="MO370" s="219"/>
      <c r="MP370" s="247"/>
      <c r="MQ370" s="669"/>
      <c r="MR370" s="117"/>
      <c r="MT370" s="440"/>
      <c r="MU370" s="277"/>
      <c r="MV370" s="261"/>
      <c r="MW370" s="118"/>
      <c r="MX370" s="219"/>
      <c r="MY370" s="247"/>
      <c r="MZ370" s="669"/>
      <c r="NA370" s="117"/>
      <c r="NC370" s="440"/>
      <c r="ND370" s="277"/>
      <c r="NE370" s="261"/>
      <c r="NF370" s="118"/>
      <c r="NG370" s="219"/>
      <c r="NH370" s="247"/>
      <c r="NI370" s="669"/>
      <c r="NJ370" s="117"/>
      <c r="NL370" s="440"/>
      <c r="NM370" s="277"/>
      <c r="NN370" s="261"/>
      <c r="NO370" s="118"/>
      <c r="NP370" s="219"/>
      <c r="NQ370" s="247"/>
      <c r="NR370" s="669"/>
      <c r="NS370" s="117"/>
      <c r="NU370" s="440"/>
      <c r="NV370" s="277"/>
      <c r="NW370" s="261"/>
      <c r="NX370" s="118"/>
      <c r="NY370" s="219"/>
      <c r="NZ370" s="247"/>
      <c r="OA370" s="669"/>
      <c r="OB370" s="117"/>
      <c r="OD370" s="440"/>
      <c r="OE370" s="277"/>
      <c r="OF370" s="261"/>
      <c r="OG370" s="118"/>
      <c r="OH370" s="219"/>
      <c r="OI370" s="247"/>
      <c r="OJ370" s="669"/>
      <c r="OK370" s="117"/>
      <c r="OM370" s="440"/>
      <c r="ON370" s="277"/>
      <c r="OO370" s="261"/>
      <c r="OP370" s="118"/>
      <c r="OQ370" s="219"/>
      <c r="OR370" s="247"/>
      <c r="OS370" s="669"/>
      <c r="OT370" s="117"/>
      <c r="OV370" s="440"/>
      <c r="OW370" s="277"/>
      <c r="OX370" s="261"/>
      <c r="OY370" s="118"/>
      <c r="OZ370" s="219"/>
      <c r="PA370" s="247"/>
      <c r="PB370" s="669"/>
      <c r="PC370" s="117"/>
      <c r="PE370" s="440"/>
      <c r="PF370" s="277"/>
      <c r="PG370" s="261"/>
      <c r="PH370" s="118"/>
      <c r="PI370" s="219"/>
      <c r="PJ370" s="247"/>
      <c r="PK370" s="669"/>
      <c r="PL370" s="117"/>
      <c r="PN370" s="440"/>
      <c r="PO370" s="277"/>
      <c r="PP370" s="261"/>
      <c r="PQ370" s="118"/>
      <c r="PR370" s="219"/>
      <c r="PS370" s="247"/>
      <c r="PT370" s="669"/>
      <c r="PU370" s="117"/>
      <c r="PW370" s="440"/>
      <c r="PX370" s="277"/>
      <c r="PY370" s="261"/>
      <c r="PZ370" s="118"/>
      <c r="QA370" s="219"/>
      <c r="QB370" s="247"/>
      <c r="QC370" s="669"/>
      <c r="QD370" s="117"/>
      <c r="QF370" s="440"/>
      <c r="QG370" s="277"/>
      <c r="QH370" s="261"/>
      <c r="QI370" s="118"/>
      <c r="QJ370" s="219"/>
      <c r="QK370" s="247"/>
      <c r="QL370" s="669"/>
      <c r="QM370" s="117"/>
      <c r="QO370" s="440"/>
      <c r="QP370" s="277"/>
      <c r="QQ370" s="261"/>
      <c r="QR370" s="118"/>
      <c r="QS370" s="219"/>
      <c r="QT370" s="247"/>
      <c r="QU370" s="669"/>
      <c r="QV370" s="117"/>
      <c r="QX370" s="440"/>
      <c r="QY370" s="277"/>
      <c r="QZ370" s="261"/>
      <c r="RA370" s="118"/>
      <c r="RB370" s="219"/>
      <c r="RC370" s="247"/>
      <c r="RD370" s="669"/>
      <c r="RE370" s="117"/>
      <c r="RG370" s="440"/>
      <c r="RH370" s="277"/>
      <c r="RI370" s="261"/>
      <c r="RJ370" s="118"/>
      <c r="RK370" s="219"/>
      <c r="RL370" s="247"/>
      <c r="RM370" s="669"/>
      <c r="RN370" s="117"/>
      <c r="RP370" s="440"/>
      <c r="RQ370" s="277"/>
      <c r="RR370" s="261"/>
      <c r="RS370" s="118"/>
      <c r="RT370" s="219"/>
      <c r="RU370" s="247"/>
      <c r="RV370" s="669"/>
      <c r="RW370" s="117"/>
      <c r="RY370" s="440"/>
      <c r="RZ370" s="277"/>
      <c r="SA370" s="261"/>
      <c r="SB370" s="118"/>
      <c r="SC370" s="219"/>
      <c r="SD370" s="247"/>
      <c r="SE370" s="669"/>
      <c r="SF370" s="117"/>
      <c r="SH370" s="440"/>
      <c r="SI370" s="277"/>
      <c r="SJ370" s="261"/>
      <c r="SK370" s="118"/>
      <c r="SL370" s="219"/>
      <c r="SM370" s="247"/>
      <c r="SN370" s="669"/>
      <c r="SO370" s="117"/>
      <c r="SQ370" s="440"/>
      <c r="SR370" s="277"/>
      <c r="SS370" s="261"/>
      <c r="ST370" s="118"/>
      <c r="SU370" s="219"/>
      <c r="SV370" s="247"/>
      <c r="SW370" s="669"/>
      <c r="SX370" s="117"/>
      <c r="SZ370" s="440"/>
      <c r="TA370" s="277"/>
      <c r="TB370" s="261"/>
      <c r="TC370" s="118"/>
      <c r="TD370" s="219"/>
      <c r="TE370" s="247"/>
      <c r="TF370" s="669"/>
      <c r="TG370" s="117"/>
      <c r="TI370" s="440"/>
      <c r="TJ370" s="277"/>
      <c r="TK370" s="261"/>
      <c r="TL370" s="118"/>
      <c r="TM370" s="219"/>
      <c r="TN370" s="247"/>
      <c r="TO370" s="669"/>
      <c r="TP370" s="117"/>
      <c r="TR370" s="440"/>
      <c r="TS370" s="277"/>
      <c r="TT370" s="261"/>
      <c r="TU370" s="118"/>
      <c r="TV370" s="219"/>
      <c r="TW370" s="247"/>
      <c r="TX370" s="669"/>
      <c r="TY370" s="117"/>
      <c r="UA370" s="440"/>
      <c r="UB370" s="277"/>
      <c r="UC370" s="261"/>
      <c r="UD370" s="118"/>
      <c r="UE370" s="219"/>
      <c r="UF370" s="247"/>
      <c r="UG370" s="669"/>
      <c r="UH370" s="117"/>
      <c r="UJ370" s="440"/>
      <c r="UK370" s="277"/>
      <c r="UL370" s="261"/>
      <c r="UM370" s="118"/>
      <c r="UN370" s="219"/>
      <c r="UO370" s="247"/>
      <c r="UP370" s="669"/>
      <c r="UQ370" s="117"/>
      <c r="US370" s="440"/>
      <c r="UT370" s="277"/>
      <c r="UU370" s="261"/>
      <c r="UV370" s="118"/>
      <c r="UW370" s="219"/>
      <c r="UX370" s="247"/>
      <c r="UY370" s="669"/>
      <c r="UZ370" s="117"/>
      <c r="VB370" s="440"/>
      <c r="VC370" s="277"/>
      <c r="VD370" s="261"/>
      <c r="VE370" s="118"/>
      <c r="VF370" s="219"/>
      <c r="VG370" s="247"/>
      <c r="VH370" s="669"/>
      <c r="VI370" s="117"/>
      <c r="VK370" s="440"/>
      <c r="VL370" s="277"/>
      <c r="VM370" s="261"/>
      <c r="VN370" s="118"/>
      <c r="VO370" s="219"/>
      <c r="VP370" s="247"/>
      <c r="VQ370" s="669"/>
      <c r="VR370" s="117"/>
      <c r="VT370" s="440"/>
      <c r="VU370" s="277"/>
      <c r="VV370" s="261"/>
      <c r="VW370" s="118"/>
      <c r="VX370" s="219"/>
      <c r="VY370" s="247"/>
      <c r="VZ370" s="669"/>
      <c r="WA370" s="117"/>
      <c r="WC370" s="440"/>
      <c r="WD370" s="277"/>
      <c r="WE370" s="261"/>
      <c r="WF370" s="118"/>
      <c r="WG370" s="219"/>
      <c r="WH370" s="247"/>
      <c r="WI370" s="669"/>
      <c r="WJ370" s="117"/>
      <c r="WL370" s="440"/>
      <c r="WM370" s="277"/>
      <c r="WN370" s="261"/>
      <c r="WO370" s="118"/>
      <c r="WP370" s="219"/>
      <c r="WQ370" s="247"/>
      <c r="WR370" s="669"/>
      <c r="WS370" s="117"/>
      <c r="WU370" s="440"/>
      <c r="WV370" s="277"/>
      <c r="WW370" s="261"/>
      <c r="WX370" s="118"/>
      <c r="WY370" s="219"/>
      <c r="WZ370" s="247"/>
      <c r="XA370" s="669"/>
      <c r="XB370" s="117"/>
      <c r="XD370" s="440"/>
      <c r="XE370" s="277"/>
      <c r="XF370" s="261"/>
      <c r="XG370" s="118"/>
      <c r="XH370" s="219"/>
      <c r="XI370" s="247"/>
      <c r="XJ370" s="669"/>
      <c r="XK370" s="117"/>
      <c r="XM370" s="440"/>
      <c r="XN370" s="277"/>
      <c r="XO370" s="261"/>
      <c r="XP370" s="118"/>
      <c r="XQ370" s="219"/>
      <c r="XR370" s="247"/>
      <c r="XS370" s="669"/>
      <c r="XT370" s="117"/>
      <c r="XV370" s="440"/>
      <c r="XW370" s="277"/>
      <c r="XX370" s="261"/>
      <c r="XY370" s="118"/>
      <c r="XZ370" s="219"/>
      <c r="YA370" s="247"/>
      <c r="YB370" s="669"/>
      <c r="YC370" s="117"/>
      <c r="YE370" s="440"/>
      <c r="YF370" s="277"/>
      <c r="YG370" s="261"/>
      <c r="YH370" s="118"/>
      <c r="YI370" s="219"/>
      <c r="YJ370" s="247"/>
      <c r="YK370" s="669"/>
      <c r="YL370" s="117"/>
      <c r="YN370" s="440"/>
      <c r="YO370" s="277"/>
      <c r="YP370" s="261"/>
      <c r="YQ370" s="118"/>
      <c r="YR370" s="219"/>
      <c r="YS370" s="247"/>
      <c r="YT370" s="669"/>
      <c r="YU370" s="117"/>
      <c r="YW370" s="440"/>
      <c r="YX370" s="277"/>
      <c r="YY370" s="261"/>
      <c r="YZ370" s="118"/>
      <c r="ZA370" s="219"/>
      <c r="ZB370" s="247"/>
      <c r="ZC370" s="669"/>
      <c r="ZD370" s="117"/>
      <c r="ZF370" s="440"/>
      <c r="ZG370" s="277"/>
      <c r="ZH370" s="261"/>
      <c r="ZI370" s="118"/>
      <c r="ZJ370" s="219"/>
      <c r="ZK370" s="247"/>
      <c r="ZL370" s="669"/>
      <c r="ZM370" s="117"/>
      <c r="ZO370" s="440"/>
      <c r="ZP370" s="277"/>
      <c r="ZQ370" s="261"/>
      <c r="ZR370" s="118"/>
      <c r="ZS370" s="219"/>
      <c r="ZT370" s="247"/>
      <c r="ZU370" s="669"/>
      <c r="ZV370" s="117"/>
      <c r="ZX370" s="440"/>
      <c r="ZY370" s="277"/>
      <c r="ZZ370" s="261"/>
      <c r="AAA370" s="118"/>
      <c r="AAB370" s="219"/>
      <c r="AAC370" s="247"/>
      <c r="AAD370" s="669"/>
      <c r="AAE370" s="117"/>
      <c r="AAG370" s="440"/>
      <c r="AAH370" s="277"/>
      <c r="AAI370" s="261"/>
      <c r="AAJ370" s="118"/>
      <c r="AAK370" s="219"/>
      <c r="AAL370" s="247"/>
      <c r="AAM370" s="669"/>
      <c r="AAN370" s="117"/>
      <c r="AAP370" s="440"/>
      <c r="AAQ370" s="277"/>
      <c r="AAR370" s="261"/>
      <c r="AAS370" s="118"/>
      <c r="AAT370" s="219"/>
      <c r="AAU370" s="247"/>
      <c r="AAV370" s="669"/>
      <c r="AAW370" s="117"/>
      <c r="AAY370" s="440"/>
      <c r="AAZ370" s="277"/>
      <c r="ABA370" s="261"/>
      <c r="ABB370" s="118"/>
      <c r="ABC370" s="219"/>
      <c r="ABD370" s="247"/>
      <c r="ABE370" s="669"/>
      <c r="ABF370" s="117"/>
      <c r="ABH370" s="440"/>
      <c r="ABI370" s="277"/>
      <c r="ABJ370" s="261"/>
      <c r="ABK370" s="118"/>
      <c r="ABL370" s="219"/>
      <c r="ABM370" s="247"/>
      <c r="ABN370" s="669"/>
      <c r="ABO370" s="117"/>
      <c r="ABQ370" s="440"/>
      <c r="ABR370" s="277"/>
      <c r="ABS370" s="261"/>
      <c r="ABT370" s="118"/>
      <c r="ABU370" s="219"/>
      <c r="ABV370" s="247"/>
      <c r="ABW370" s="669"/>
      <c r="ABX370" s="117"/>
      <c r="ABZ370" s="440"/>
      <c r="ACA370" s="277"/>
      <c r="ACB370" s="261"/>
      <c r="ACC370" s="118"/>
      <c r="ACD370" s="219"/>
      <c r="ACE370" s="247"/>
      <c r="ACF370" s="669"/>
      <c r="ACG370" s="117"/>
      <c r="ACI370" s="440"/>
      <c r="ACJ370" s="277"/>
      <c r="ACK370" s="261"/>
      <c r="ACL370" s="118"/>
      <c r="ACM370" s="219"/>
      <c r="ACN370" s="247"/>
      <c r="ACO370" s="669"/>
      <c r="ACP370" s="117"/>
      <c r="ACR370" s="440"/>
      <c r="ACS370" s="277"/>
      <c r="ACT370" s="261"/>
      <c r="ACU370" s="118"/>
      <c r="ACV370" s="219"/>
      <c r="ACW370" s="247"/>
      <c r="ACX370" s="669"/>
      <c r="ACY370" s="117"/>
      <c r="ADA370" s="440"/>
      <c r="ADB370" s="277"/>
      <c r="ADC370" s="261"/>
      <c r="ADD370" s="118"/>
      <c r="ADE370" s="219"/>
      <c r="ADF370" s="247"/>
      <c r="ADG370" s="669"/>
      <c r="ADH370" s="117"/>
      <c r="ADJ370" s="440"/>
      <c r="ADK370" s="277"/>
      <c r="ADL370" s="261"/>
      <c r="ADM370" s="118"/>
      <c r="ADN370" s="219"/>
      <c r="ADO370" s="247"/>
      <c r="ADP370" s="669"/>
      <c r="ADQ370" s="117"/>
      <c r="ADS370" s="440"/>
      <c r="ADT370" s="277"/>
      <c r="ADU370" s="261"/>
      <c r="ADV370" s="118"/>
      <c r="ADW370" s="219"/>
      <c r="ADX370" s="247"/>
      <c r="ADY370" s="669"/>
      <c r="ADZ370" s="117"/>
      <c r="AEB370" s="440"/>
      <c r="AEC370" s="277"/>
      <c r="AED370" s="261"/>
      <c r="AEE370" s="118"/>
      <c r="AEF370" s="219"/>
      <c r="AEG370" s="247"/>
      <c r="AEH370" s="669"/>
      <c r="AEI370" s="117"/>
      <c r="AEK370" s="440"/>
      <c r="AEL370" s="277"/>
      <c r="AEM370" s="261"/>
      <c r="AEN370" s="118"/>
      <c r="AEO370" s="219"/>
      <c r="AEP370" s="247"/>
      <c r="AEQ370" s="669"/>
      <c r="AER370" s="117"/>
      <c r="AET370" s="440"/>
      <c r="AEU370" s="277"/>
      <c r="AEV370" s="261"/>
      <c r="AEW370" s="118"/>
      <c r="AEX370" s="219"/>
      <c r="AEY370" s="247"/>
      <c r="AEZ370" s="669"/>
      <c r="AFA370" s="117"/>
      <c r="AFC370" s="440"/>
      <c r="AFD370" s="277"/>
      <c r="AFE370" s="261"/>
      <c r="AFF370" s="118"/>
      <c r="AFG370" s="219"/>
      <c r="AFH370" s="247"/>
      <c r="AFI370" s="669"/>
      <c r="AFJ370" s="117"/>
      <c r="AFL370" s="440"/>
      <c r="AFM370" s="277"/>
      <c r="AFN370" s="261"/>
      <c r="AFO370" s="118"/>
      <c r="AFP370" s="219"/>
      <c r="AFQ370" s="247"/>
      <c r="AFR370" s="669"/>
      <c r="AFS370" s="117"/>
      <c r="AFU370" s="440"/>
      <c r="AFV370" s="277"/>
      <c r="AFW370" s="261"/>
      <c r="AFX370" s="118"/>
      <c r="AFY370" s="219"/>
      <c r="AFZ370" s="247"/>
      <c r="AGA370" s="669"/>
      <c r="AGB370" s="117"/>
      <c r="AGD370" s="440"/>
      <c r="AGE370" s="277"/>
      <c r="AGF370" s="261"/>
      <c r="AGG370" s="118"/>
      <c r="AGH370" s="219"/>
      <c r="AGI370" s="247"/>
      <c r="AGJ370" s="669"/>
      <c r="AGK370" s="117"/>
      <c r="AGM370" s="440"/>
      <c r="AGN370" s="277"/>
      <c r="AGO370" s="261"/>
      <c r="AGP370" s="118"/>
      <c r="AGQ370" s="219"/>
      <c r="AGR370" s="247"/>
      <c r="AGS370" s="669"/>
      <c r="AGT370" s="117"/>
      <c r="AGV370" s="440"/>
      <c r="AGW370" s="277"/>
      <c r="AGX370" s="261"/>
      <c r="AGY370" s="118"/>
      <c r="AGZ370" s="219"/>
      <c r="AHA370" s="247"/>
      <c r="AHB370" s="669"/>
      <c r="AHC370" s="117"/>
      <c r="AHE370" s="440"/>
      <c r="AHF370" s="277"/>
      <c r="AHG370" s="261"/>
      <c r="AHH370" s="118"/>
      <c r="AHI370" s="219"/>
      <c r="AHJ370" s="247"/>
      <c r="AHK370" s="669"/>
      <c r="AHL370" s="117"/>
      <c r="AHN370" s="440"/>
      <c r="AHO370" s="277"/>
      <c r="AHP370" s="261"/>
      <c r="AHQ370" s="118"/>
      <c r="AHR370" s="219"/>
      <c r="AHS370" s="247"/>
      <c r="AHT370" s="669"/>
      <c r="AHU370" s="117"/>
      <c r="AHW370" s="440"/>
      <c r="AHX370" s="277"/>
      <c r="AHY370" s="261"/>
      <c r="AHZ370" s="118"/>
      <c r="AIA370" s="219"/>
      <c r="AIB370" s="247"/>
      <c r="AIC370" s="669"/>
      <c r="AID370" s="117"/>
      <c r="AIF370" s="440"/>
      <c r="AIG370" s="277"/>
      <c r="AIH370" s="261"/>
      <c r="AII370" s="118"/>
      <c r="AIJ370" s="219"/>
      <c r="AIK370" s="247"/>
      <c r="AIL370" s="669"/>
      <c r="AIM370" s="117"/>
      <c r="AIO370" s="440"/>
      <c r="AIP370" s="277"/>
      <c r="AIQ370" s="261"/>
      <c r="AIR370" s="118"/>
      <c r="AIS370" s="219"/>
      <c r="AIT370" s="247"/>
      <c r="AIU370" s="669"/>
      <c r="AIV370" s="117"/>
      <c r="AIX370" s="440"/>
      <c r="AIY370" s="277"/>
      <c r="AIZ370" s="261"/>
      <c r="AJA370" s="118"/>
      <c r="AJB370" s="219"/>
      <c r="AJC370" s="247"/>
      <c r="AJD370" s="669"/>
      <c r="AJE370" s="117"/>
      <c r="AJG370" s="440"/>
      <c r="AJH370" s="277"/>
      <c r="AJI370" s="261"/>
      <c r="AJJ370" s="118"/>
      <c r="AJK370" s="219"/>
      <c r="AJL370" s="247"/>
      <c r="AJM370" s="669"/>
      <c r="AJN370" s="117"/>
      <c r="AJP370" s="440"/>
      <c r="AJQ370" s="277"/>
      <c r="AJR370" s="261"/>
      <c r="AJS370" s="118"/>
      <c r="AJT370" s="219"/>
      <c r="AJU370" s="247"/>
      <c r="AJV370" s="669"/>
      <c r="AJW370" s="117"/>
      <c r="AJY370" s="440"/>
      <c r="AJZ370" s="277"/>
      <c r="AKA370" s="261"/>
      <c r="AKB370" s="118"/>
      <c r="AKC370" s="219"/>
      <c r="AKD370" s="247"/>
      <c r="AKE370" s="669"/>
      <c r="AKF370" s="117"/>
      <c r="AKH370" s="440"/>
      <c r="AKI370" s="277"/>
      <c r="AKJ370" s="261"/>
      <c r="AKK370" s="118"/>
      <c r="AKL370" s="219"/>
      <c r="AKM370" s="247"/>
      <c r="AKN370" s="669"/>
      <c r="AKO370" s="117"/>
      <c r="AKQ370" s="440"/>
      <c r="AKR370" s="277"/>
      <c r="AKS370" s="261"/>
      <c r="AKT370" s="118"/>
      <c r="AKU370" s="219"/>
      <c r="AKV370" s="247"/>
      <c r="AKW370" s="669"/>
      <c r="AKX370" s="117"/>
      <c r="AKZ370" s="440"/>
      <c r="ALA370" s="277"/>
      <c r="ALB370" s="261"/>
      <c r="ALC370" s="118"/>
      <c r="ALD370" s="219"/>
      <c r="ALE370" s="247"/>
      <c r="ALF370" s="669"/>
      <c r="ALG370" s="117"/>
      <c r="ALI370" s="440"/>
      <c r="ALJ370" s="277"/>
      <c r="ALK370" s="261"/>
      <c r="ALL370" s="118"/>
      <c r="ALM370" s="219"/>
      <c r="ALN370" s="247"/>
      <c r="ALO370" s="669"/>
      <c r="ALP370" s="117"/>
      <c r="ALR370" s="440"/>
      <c r="ALS370" s="277"/>
      <c r="ALT370" s="261"/>
      <c r="ALU370" s="118"/>
      <c r="ALV370" s="219"/>
      <c r="ALW370" s="247"/>
      <c r="ALX370" s="669"/>
      <c r="ALY370" s="117"/>
      <c r="AMA370" s="440"/>
      <c r="AMB370" s="277"/>
      <c r="AMC370" s="261"/>
      <c r="AMD370" s="118"/>
      <c r="AME370" s="219"/>
      <c r="AMF370" s="247"/>
      <c r="AMG370" s="669"/>
      <c r="AMH370" s="117"/>
      <c r="AMJ370" s="440"/>
      <c r="AMK370" s="277"/>
      <c r="AML370" s="261"/>
      <c r="AMM370" s="118"/>
      <c r="AMN370" s="219"/>
      <c r="AMO370" s="247"/>
      <c r="AMP370" s="669"/>
      <c r="AMQ370" s="117"/>
      <c r="AMS370" s="440"/>
      <c r="AMT370" s="277"/>
      <c r="AMU370" s="261"/>
      <c r="AMV370" s="118"/>
      <c r="AMW370" s="219"/>
      <c r="AMX370" s="247"/>
      <c r="AMY370" s="669"/>
      <c r="AMZ370" s="117"/>
      <c r="ANB370" s="440"/>
      <c r="ANC370" s="277"/>
      <c r="AND370" s="261"/>
      <c r="ANE370" s="118"/>
      <c r="ANF370" s="219"/>
      <c r="ANG370" s="247"/>
      <c r="ANH370" s="669"/>
      <c r="ANI370" s="117"/>
      <c r="ANK370" s="440"/>
      <c r="ANL370" s="277"/>
      <c r="ANM370" s="261"/>
      <c r="ANN370" s="118"/>
      <c r="ANO370" s="219"/>
      <c r="ANP370" s="247"/>
      <c r="ANQ370" s="669"/>
      <c r="ANR370" s="117"/>
      <c r="ANT370" s="440"/>
      <c r="ANU370" s="277"/>
      <c r="ANV370" s="261"/>
      <c r="ANW370" s="118"/>
      <c r="ANX370" s="219"/>
      <c r="ANY370" s="247"/>
      <c r="ANZ370" s="669"/>
      <c r="AOA370" s="117"/>
      <c r="AOC370" s="440"/>
      <c r="AOD370" s="277"/>
      <c r="AOE370" s="261"/>
      <c r="AOF370" s="118"/>
      <c r="AOG370" s="219"/>
      <c r="AOH370" s="247"/>
      <c r="AOI370" s="669"/>
      <c r="AOJ370" s="117"/>
      <c r="AOL370" s="440"/>
      <c r="AOM370" s="277"/>
      <c r="AON370" s="261"/>
      <c r="AOO370" s="118"/>
      <c r="AOP370" s="219"/>
      <c r="AOQ370" s="247"/>
      <c r="AOR370" s="669"/>
      <c r="AOS370" s="117"/>
      <c r="AOU370" s="440"/>
      <c r="AOV370" s="277"/>
      <c r="AOW370" s="261"/>
      <c r="AOX370" s="118"/>
      <c r="AOY370" s="219"/>
      <c r="AOZ370" s="247"/>
      <c r="APA370" s="669"/>
      <c r="APB370" s="117"/>
      <c r="APD370" s="440"/>
      <c r="APE370" s="277"/>
      <c r="APF370" s="261"/>
      <c r="APG370" s="118"/>
      <c r="APH370" s="219"/>
      <c r="API370" s="247"/>
      <c r="APJ370" s="669"/>
      <c r="APK370" s="117"/>
      <c r="APM370" s="440"/>
      <c r="APN370" s="277"/>
      <c r="APO370" s="261"/>
      <c r="APP370" s="118"/>
      <c r="APQ370" s="219"/>
      <c r="APR370" s="247"/>
      <c r="APS370" s="669"/>
      <c r="APT370" s="117"/>
      <c r="APV370" s="440"/>
      <c r="APW370" s="277"/>
      <c r="APX370" s="261"/>
      <c r="APY370" s="118"/>
      <c r="APZ370" s="219"/>
      <c r="AQA370" s="247"/>
      <c r="AQB370" s="669"/>
      <c r="AQC370" s="117"/>
      <c r="AQE370" s="440"/>
      <c r="AQF370" s="277"/>
      <c r="AQG370" s="261"/>
      <c r="AQH370" s="118"/>
      <c r="AQI370" s="219"/>
      <c r="AQJ370" s="247"/>
      <c r="AQK370" s="669"/>
      <c r="AQL370" s="117"/>
      <c r="AQN370" s="440"/>
      <c r="AQO370" s="277"/>
      <c r="AQP370" s="261"/>
      <c r="AQQ370" s="118"/>
      <c r="AQR370" s="219"/>
      <c r="AQS370" s="247"/>
      <c r="AQT370" s="669"/>
      <c r="AQU370" s="117"/>
      <c r="AQW370" s="440"/>
      <c r="AQX370" s="277"/>
      <c r="AQY370" s="261"/>
      <c r="AQZ370" s="118"/>
      <c r="ARA370" s="219"/>
      <c r="ARB370" s="247"/>
      <c r="ARC370" s="669"/>
      <c r="ARD370" s="117"/>
      <c r="ARF370" s="440"/>
      <c r="ARG370" s="277"/>
      <c r="ARH370" s="261"/>
      <c r="ARI370" s="118"/>
      <c r="ARJ370" s="219"/>
      <c r="ARK370" s="247"/>
      <c r="ARL370" s="669"/>
      <c r="ARM370" s="117"/>
      <c r="ARO370" s="440"/>
      <c r="ARP370" s="277"/>
      <c r="ARQ370" s="261"/>
      <c r="ARR370" s="118"/>
      <c r="ARS370" s="219"/>
      <c r="ART370" s="247"/>
      <c r="ARU370" s="669"/>
      <c r="ARV370" s="117"/>
      <c r="ARX370" s="440"/>
      <c r="ARY370" s="277"/>
      <c r="ARZ370" s="261"/>
      <c r="ASA370" s="118"/>
      <c r="ASB370" s="219"/>
      <c r="ASC370" s="247"/>
      <c r="ASD370" s="669"/>
      <c r="ASE370" s="117"/>
      <c r="ASG370" s="440"/>
      <c r="ASH370" s="277"/>
      <c r="ASI370" s="261"/>
      <c r="ASJ370" s="118"/>
      <c r="ASK370" s="219"/>
      <c r="ASL370" s="247"/>
      <c r="ASM370" s="669"/>
      <c r="ASN370" s="117"/>
      <c r="ASP370" s="440"/>
      <c r="ASQ370" s="277"/>
      <c r="ASR370" s="261"/>
      <c r="ASS370" s="118"/>
      <c r="AST370" s="219"/>
      <c r="ASU370" s="247"/>
      <c r="ASV370" s="669"/>
      <c r="ASW370" s="117"/>
      <c r="ASY370" s="440"/>
      <c r="ASZ370" s="277"/>
      <c r="ATA370" s="261"/>
      <c r="ATB370" s="118"/>
      <c r="ATC370" s="219"/>
      <c r="ATD370" s="247"/>
      <c r="ATE370" s="669"/>
      <c r="ATF370" s="117"/>
      <c r="ATH370" s="440"/>
      <c r="ATI370" s="277"/>
      <c r="ATJ370" s="261"/>
      <c r="ATK370" s="118"/>
      <c r="ATL370" s="219"/>
      <c r="ATM370" s="247"/>
      <c r="ATN370" s="669"/>
      <c r="ATO370" s="117"/>
      <c r="ATQ370" s="440"/>
      <c r="ATR370" s="277"/>
      <c r="ATS370" s="261"/>
      <c r="ATT370" s="118"/>
      <c r="ATU370" s="219"/>
      <c r="ATV370" s="247"/>
      <c r="ATW370" s="669"/>
      <c r="ATX370" s="117"/>
      <c r="ATZ370" s="440"/>
      <c r="AUA370" s="277"/>
      <c r="AUB370" s="261"/>
      <c r="AUC370" s="118"/>
      <c r="AUD370" s="219"/>
      <c r="AUE370" s="247"/>
      <c r="AUF370" s="669"/>
      <c r="AUG370" s="117"/>
      <c r="AUI370" s="440"/>
      <c r="AUJ370" s="277"/>
      <c r="AUK370" s="261"/>
      <c r="AUL370" s="118"/>
      <c r="AUM370" s="219"/>
      <c r="AUN370" s="247"/>
      <c r="AUO370" s="669"/>
      <c r="AUP370" s="117"/>
      <c r="AUR370" s="440"/>
      <c r="AUS370" s="277"/>
      <c r="AUT370" s="261"/>
      <c r="AUU370" s="118"/>
      <c r="AUV370" s="219"/>
      <c r="AUW370" s="247"/>
      <c r="AUX370" s="669"/>
      <c r="AUY370" s="117"/>
      <c r="AVA370" s="440"/>
      <c r="AVB370" s="277"/>
      <c r="AVC370" s="261"/>
      <c r="AVD370" s="118"/>
      <c r="AVE370" s="219"/>
      <c r="AVF370" s="247"/>
      <c r="AVG370" s="669"/>
      <c r="AVH370" s="117"/>
      <c r="AVJ370" s="440"/>
      <c r="AVK370" s="277"/>
      <c r="AVL370" s="261"/>
      <c r="AVM370" s="118"/>
      <c r="AVN370" s="219"/>
      <c r="AVO370" s="247"/>
      <c r="AVP370" s="669"/>
      <c r="AVQ370" s="117"/>
      <c r="AVS370" s="440"/>
      <c r="AVT370" s="277"/>
      <c r="AVU370" s="261"/>
      <c r="AVV370" s="118"/>
      <c r="AVW370" s="219"/>
      <c r="AVX370" s="247"/>
      <c r="AVY370" s="669"/>
      <c r="AVZ370" s="117"/>
      <c r="AWB370" s="440"/>
      <c r="AWC370" s="277"/>
      <c r="AWD370" s="261"/>
      <c r="AWE370" s="118"/>
      <c r="AWF370" s="219"/>
      <c r="AWG370" s="247"/>
      <c r="AWH370" s="669"/>
      <c r="AWI370" s="117"/>
      <c r="AWK370" s="440"/>
      <c r="AWL370" s="277"/>
      <c r="AWM370" s="261"/>
      <c r="AWN370" s="118"/>
      <c r="AWO370" s="219"/>
      <c r="AWP370" s="247"/>
      <c r="AWQ370" s="669"/>
      <c r="AWR370" s="117"/>
      <c r="AWT370" s="440"/>
      <c r="AWU370" s="277"/>
      <c r="AWV370" s="261"/>
      <c r="AWW370" s="118"/>
      <c r="AWX370" s="219"/>
      <c r="AWY370" s="247"/>
      <c r="AWZ370" s="669"/>
      <c r="AXA370" s="117"/>
      <c r="AXC370" s="440"/>
      <c r="AXD370" s="277"/>
      <c r="AXE370" s="261"/>
      <c r="AXF370" s="118"/>
      <c r="AXG370" s="219"/>
      <c r="AXH370" s="247"/>
      <c r="AXI370" s="669"/>
      <c r="AXJ370" s="117"/>
      <c r="AXL370" s="440"/>
      <c r="AXM370" s="277"/>
      <c r="AXN370" s="261"/>
      <c r="AXO370" s="118"/>
      <c r="AXP370" s="219"/>
      <c r="AXQ370" s="247"/>
      <c r="AXR370" s="669"/>
      <c r="AXS370" s="117"/>
      <c r="AXU370" s="440"/>
      <c r="AXV370" s="277"/>
      <c r="AXW370" s="261"/>
      <c r="AXX370" s="118"/>
      <c r="AXY370" s="219"/>
      <c r="AXZ370" s="247"/>
      <c r="AYA370" s="669"/>
      <c r="AYB370" s="117"/>
      <c r="AYD370" s="440"/>
      <c r="AYE370" s="277"/>
      <c r="AYF370" s="261"/>
      <c r="AYG370" s="118"/>
      <c r="AYH370" s="219"/>
      <c r="AYI370" s="247"/>
      <c r="AYJ370" s="669"/>
      <c r="AYK370" s="117"/>
      <c r="AYM370" s="440"/>
      <c r="AYN370" s="277"/>
      <c r="AYO370" s="261"/>
      <c r="AYP370" s="118"/>
      <c r="AYQ370" s="219"/>
      <c r="AYR370" s="247"/>
      <c r="AYS370" s="669"/>
      <c r="AYT370" s="117"/>
      <c r="AYV370" s="440"/>
      <c r="AYW370" s="277"/>
      <c r="AYX370" s="261"/>
      <c r="AYY370" s="118"/>
      <c r="AYZ370" s="219"/>
      <c r="AZA370" s="247"/>
      <c r="AZB370" s="669"/>
      <c r="AZC370" s="117"/>
      <c r="AZE370" s="440"/>
      <c r="AZF370" s="277"/>
      <c r="AZG370" s="261"/>
      <c r="AZH370" s="118"/>
      <c r="AZI370" s="219"/>
      <c r="AZJ370" s="247"/>
      <c r="AZK370" s="669"/>
      <c r="AZL370" s="117"/>
      <c r="AZN370" s="440"/>
      <c r="AZO370" s="277"/>
      <c r="AZP370" s="261"/>
      <c r="AZQ370" s="118"/>
      <c r="AZR370" s="219"/>
      <c r="AZS370" s="247"/>
      <c r="AZT370" s="669"/>
      <c r="AZU370" s="117"/>
      <c r="AZW370" s="440"/>
      <c r="AZX370" s="277"/>
      <c r="AZY370" s="261"/>
      <c r="AZZ370" s="118"/>
      <c r="BAA370" s="219"/>
      <c r="BAB370" s="247"/>
      <c r="BAC370" s="669"/>
      <c r="BAD370" s="117"/>
      <c r="BAF370" s="440"/>
      <c r="BAG370" s="277"/>
      <c r="BAH370" s="261"/>
      <c r="BAI370" s="118"/>
      <c r="BAJ370" s="219"/>
      <c r="BAK370" s="247"/>
      <c r="BAL370" s="669"/>
      <c r="BAM370" s="117"/>
      <c r="BAO370" s="440"/>
      <c r="BAP370" s="277"/>
      <c r="BAQ370" s="261"/>
      <c r="BAR370" s="118"/>
      <c r="BAS370" s="219"/>
      <c r="BAT370" s="247"/>
      <c r="BAU370" s="669"/>
      <c r="BAV370" s="117"/>
      <c r="BAX370" s="440"/>
      <c r="BAY370" s="277"/>
      <c r="BAZ370" s="261"/>
      <c r="BBA370" s="118"/>
      <c r="BBB370" s="219"/>
      <c r="BBC370" s="247"/>
      <c r="BBD370" s="669"/>
      <c r="BBE370" s="117"/>
      <c r="BBG370" s="440"/>
      <c r="BBH370" s="277"/>
      <c r="BBI370" s="261"/>
      <c r="BBJ370" s="118"/>
      <c r="BBK370" s="219"/>
      <c r="BBL370" s="247"/>
      <c r="BBM370" s="669"/>
      <c r="BBN370" s="117"/>
      <c r="BBP370" s="440"/>
      <c r="BBQ370" s="277"/>
      <c r="BBR370" s="261"/>
      <c r="BBS370" s="118"/>
      <c r="BBT370" s="219"/>
      <c r="BBU370" s="247"/>
      <c r="BBV370" s="669"/>
      <c r="BBW370" s="117"/>
      <c r="BBY370" s="440"/>
      <c r="BBZ370" s="277"/>
      <c r="BCA370" s="261"/>
      <c r="BCB370" s="118"/>
      <c r="BCC370" s="219"/>
      <c r="BCD370" s="247"/>
      <c r="BCE370" s="669"/>
      <c r="BCF370" s="117"/>
      <c r="BCH370" s="440"/>
      <c r="BCI370" s="277"/>
      <c r="BCJ370" s="261"/>
      <c r="BCK370" s="118"/>
      <c r="BCL370" s="219"/>
      <c r="BCM370" s="247"/>
      <c r="BCN370" s="669"/>
      <c r="BCO370" s="117"/>
      <c r="BCQ370" s="440"/>
      <c r="BCR370" s="277"/>
      <c r="BCS370" s="261"/>
      <c r="BCT370" s="118"/>
      <c r="BCU370" s="219"/>
      <c r="BCV370" s="247"/>
      <c r="BCW370" s="669"/>
      <c r="BCX370" s="117"/>
      <c r="BCZ370" s="440"/>
      <c r="BDA370" s="277"/>
      <c r="BDB370" s="261"/>
      <c r="BDC370" s="118"/>
      <c r="BDD370" s="219"/>
      <c r="BDE370" s="247"/>
      <c r="BDF370" s="669"/>
      <c r="BDG370" s="117"/>
      <c r="BDI370" s="440"/>
      <c r="BDJ370" s="277"/>
      <c r="BDK370" s="261"/>
      <c r="BDL370" s="118"/>
      <c r="BDM370" s="219"/>
      <c r="BDN370" s="247"/>
      <c r="BDO370" s="669"/>
      <c r="BDP370" s="117"/>
      <c r="BDR370" s="440"/>
      <c r="BDS370" s="277"/>
      <c r="BDT370" s="261"/>
      <c r="BDU370" s="118"/>
      <c r="BDV370" s="219"/>
      <c r="BDW370" s="247"/>
      <c r="BDX370" s="669"/>
      <c r="BDY370" s="117"/>
      <c r="BEA370" s="440"/>
      <c r="BEB370" s="277"/>
      <c r="BEC370" s="261"/>
      <c r="BED370" s="118"/>
      <c r="BEE370" s="219"/>
      <c r="BEF370" s="247"/>
      <c r="BEG370" s="669"/>
      <c r="BEH370" s="117"/>
      <c r="BEJ370" s="440"/>
      <c r="BEK370" s="277"/>
      <c r="BEL370" s="261"/>
      <c r="BEM370" s="118"/>
      <c r="BEN370" s="219"/>
      <c r="BEO370" s="247"/>
      <c r="BEP370" s="669"/>
      <c r="BEQ370" s="117"/>
      <c r="BES370" s="440"/>
      <c r="BET370" s="277"/>
      <c r="BEU370" s="261"/>
      <c r="BEV370" s="118"/>
      <c r="BEW370" s="219"/>
      <c r="BEX370" s="247"/>
      <c r="BEY370" s="669"/>
      <c r="BEZ370" s="117"/>
      <c r="BFB370" s="440"/>
      <c r="BFC370" s="277"/>
      <c r="BFD370" s="261"/>
      <c r="BFE370" s="118"/>
      <c r="BFF370" s="219"/>
      <c r="BFG370" s="247"/>
      <c r="BFH370" s="669"/>
      <c r="BFI370" s="117"/>
      <c r="BFK370" s="440"/>
      <c r="BFL370" s="277"/>
      <c r="BFM370" s="261"/>
      <c r="BFN370" s="118"/>
      <c r="BFO370" s="219"/>
      <c r="BFP370" s="247"/>
      <c r="BFQ370" s="669"/>
      <c r="BFR370" s="117"/>
      <c r="BFT370" s="440"/>
      <c r="BFU370" s="277"/>
      <c r="BFV370" s="261"/>
      <c r="BFW370" s="118"/>
      <c r="BFX370" s="219"/>
      <c r="BFY370" s="247"/>
      <c r="BFZ370" s="669"/>
      <c r="BGA370" s="117"/>
      <c r="BGC370" s="440"/>
      <c r="BGD370" s="277"/>
      <c r="BGE370" s="261"/>
      <c r="BGF370" s="118"/>
      <c r="BGG370" s="219"/>
      <c r="BGH370" s="247"/>
      <c r="BGI370" s="669"/>
      <c r="BGJ370" s="117"/>
      <c r="BGL370" s="440"/>
      <c r="BGM370" s="277"/>
      <c r="BGN370" s="261"/>
      <c r="BGO370" s="118"/>
      <c r="BGP370" s="219"/>
      <c r="BGQ370" s="247"/>
      <c r="BGR370" s="669"/>
      <c r="BGS370" s="117"/>
      <c r="BGU370" s="440"/>
      <c r="BGV370" s="277"/>
      <c r="BGW370" s="261"/>
      <c r="BGX370" s="118"/>
      <c r="BGY370" s="219"/>
      <c r="BGZ370" s="247"/>
      <c r="BHA370" s="669"/>
      <c r="BHB370" s="117"/>
      <c r="BHD370" s="440"/>
      <c r="BHE370" s="277"/>
      <c r="BHF370" s="261"/>
      <c r="BHG370" s="118"/>
      <c r="BHH370" s="219"/>
      <c r="BHI370" s="247"/>
      <c r="BHJ370" s="669"/>
      <c r="BHK370" s="117"/>
      <c r="BHM370" s="440"/>
      <c r="BHN370" s="277"/>
      <c r="BHO370" s="261"/>
      <c r="BHP370" s="118"/>
      <c r="BHQ370" s="219"/>
      <c r="BHR370" s="247"/>
      <c r="BHS370" s="669"/>
      <c r="BHT370" s="117"/>
      <c r="BHV370" s="440"/>
      <c r="BHW370" s="277"/>
      <c r="BHX370" s="261"/>
      <c r="BHY370" s="118"/>
      <c r="BHZ370" s="219"/>
      <c r="BIA370" s="247"/>
      <c r="BIB370" s="669"/>
      <c r="BIC370" s="117"/>
      <c r="BIE370" s="440"/>
      <c r="BIF370" s="277"/>
      <c r="BIG370" s="261"/>
      <c r="BIH370" s="118"/>
      <c r="BII370" s="219"/>
      <c r="BIJ370" s="247"/>
      <c r="BIK370" s="669"/>
      <c r="BIL370" s="117"/>
      <c r="BIN370" s="440"/>
      <c r="BIO370" s="277"/>
      <c r="BIP370" s="261"/>
      <c r="BIQ370" s="118"/>
      <c r="BIR370" s="219"/>
      <c r="BIS370" s="247"/>
      <c r="BIT370" s="669"/>
      <c r="BIU370" s="117"/>
      <c r="BIW370" s="440"/>
      <c r="BIX370" s="277"/>
      <c r="BIY370" s="261"/>
      <c r="BIZ370" s="118"/>
      <c r="BJA370" s="219"/>
      <c r="BJB370" s="247"/>
      <c r="BJC370" s="669"/>
      <c r="BJD370" s="117"/>
      <c r="BJF370" s="440"/>
      <c r="BJG370" s="277"/>
      <c r="BJH370" s="261"/>
      <c r="BJI370" s="118"/>
      <c r="BJJ370" s="219"/>
      <c r="BJK370" s="247"/>
      <c r="BJL370" s="669"/>
      <c r="BJM370" s="117"/>
      <c r="BJO370" s="440"/>
      <c r="BJP370" s="277"/>
      <c r="BJQ370" s="261"/>
      <c r="BJR370" s="118"/>
      <c r="BJS370" s="219"/>
      <c r="BJT370" s="247"/>
      <c r="BJU370" s="669"/>
      <c r="BJV370" s="117"/>
      <c r="BJX370" s="440"/>
      <c r="BJY370" s="277"/>
      <c r="BJZ370" s="261"/>
      <c r="BKA370" s="118"/>
      <c r="BKB370" s="219"/>
      <c r="BKC370" s="247"/>
      <c r="BKD370" s="669"/>
      <c r="BKE370" s="117"/>
      <c r="BKG370" s="440"/>
      <c r="BKH370" s="277"/>
      <c r="BKI370" s="261"/>
      <c r="BKJ370" s="118"/>
      <c r="BKK370" s="219"/>
      <c r="BKL370" s="247"/>
      <c r="BKM370" s="669"/>
      <c r="BKN370" s="117"/>
      <c r="BKP370" s="440"/>
      <c r="BKQ370" s="277"/>
      <c r="BKR370" s="261"/>
      <c r="BKS370" s="118"/>
      <c r="BKT370" s="219"/>
      <c r="BKU370" s="247"/>
      <c r="BKV370" s="669"/>
      <c r="BKW370" s="117"/>
      <c r="BKY370" s="440"/>
      <c r="BKZ370" s="277"/>
      <c r="BLA370" s="261"/>
      <c r="BLB370" s="118"/>
      <c r="BLC370" s="219"/>
      <c r="BLD370" s="247"/>
      <c r="BLE370" s="669"/>
      <c r="BLF370" s="117"/>
      <c r="BLH370" s="440"/>
      <c r="BLI370" s="277"/>
      <c r="BLJ370" s="261"/>
      <c r="BLK370" s="118"/>
      <c r="BLL370" s="219"/>
      <c r="BLM370" s="247"/>
      <c r="BLN370" s="669"/>
      <c r="BLO370" s="117"/>
      <c r="BLQ370" s="440"/>
      <c r="BLR370" s="277"/>
      <c r="BLS370" s="261"/>
      <c r="BLT370" s="118"/>
      <c r="BLU370" s="219"/>
      <c r="BLV370" s="247"/>
      <c r="BLW370" s="669"/>
      <c r="BLX370" s="117"/>
      <c r="BLZ370" s="440"/>
      <c r="BMA370" s="277"/>
      <c r="BMB370" s="261"/>
      <c r="BMC370" s="118"/>
      <c r="BMD370" s="219"/>
      <c r="BME370" s="247"/>
      <c r="BMF370" s="669"/>
      <c r="BMG370" s="117"/>
      <c r="BMI370" s="440"/>
      <c r="BMJ370" s="277"/>
      <c r="BMK370" s="261"/>
      <c r="BML370" s="118"/>
      <c r="BMM370" s="219"/>
      <c r="BMN370" s="247"/>
      <c r="BMO370" s="669"/>
      <c r="BMP370" s="117"/>
      <c r="BMR370" s="440"/>
      <c r="BMS370" s="277"/>
      <c r="BMT370" s="261"/>
      <c r="BMU370" s="118"/>
      <c r="BMV370" s="219"/>
      <c r="BMW370" s="247"/>
      <c r="BMX370" s="669"/>
      <c r="BMY370" s="117"/>
      <c r="BNA370" s="440"/>
      <c r="BNB370" s="277"/>
      <c r="BNC370" s="261"/>
      <c r="BND370" s="118"/>
      <c r="BNE370" s="219"/>
      <c r="BNF370" s="247"/>
      <c r="BNG370" s="669"/>
      <c r="BNH370" s="117"/>
      <c r="BNJ370" s="440"/>
      <c r="BNK370" s="277"/>
      <c r="BNL370" s="261"/>
      <c r="BNM370" s="118"/>
      <c r="BNN370" s="219"/>
      <c r="BNO370" s="247"/>
      <c r="BNP370" s="669"/>
      <c r="BNQ370" s="117"/>
      <c r="BNS370" s="440"/>
      <c r="BNT370" s="277"/>
      <c r="BNU370" s="261"/>
      <c r="BNV370" s="118"/>
      <c r="BNW370" s="219"/>
      <c r="BNX370" s="247"/>
      <c r="BNY370" s="669"/>
      <c r="BNZ370" s="117"/>
      <c r="BOB370" s="440"/>
      <c r="BOC370" s="277"/>
      <c r="BOD370" s="261"/>
      <c r="BOE370" s="118"/>
      <c r="BOF370" s="219"/>
      <c r="BOG370" s="247"/>
      <c r="BOH370" s="669"/>
      <c r="BOI370" s="117"/>
      <c r="BOK370" s="440"/>
      <c r="BOL370" s="277"/>
      <c r="BOM370" s="261"/>
      <c r="BON370" s="118"/>
      <c r="BOO370" s="219"/>
      <c r="BOP370" s="247"/>
      <c r="BOQ370" s="669"/>
      <c r="BOR370" s="117"/>
      <c r="BOT370" s="440"/>
      <c r="BOU370" s="277"/>
      <c r="BOV370" s="261"/>
      <c r="BOW370" s="118"/>
      <c r="BOX370" s="219"/>
      <c r="BOY370" s="247"/>
      <c r="BOZ370" s="669"/>
      <c r="BPA370" s="117"/>
      <c r="BPC370" s="440"/>
      <c r="BPD370" s="277"/>
      <c r="BPE370" s="261"/>
      <c r="BPF370" s="118"/>
      <c r="BPG370" s="219"/>
      <c r="BPH370" s="247"/>
      <c r="BPI370" s="669"/>
      <c r="BPJ370" s="117"/>
      <c r="BPL370" s="440"/>
      <c r="BPM370" s="277"/>
      <c r="BPN370" s="261"/>
      <c r="BPO370" s="118"/>
      <c r="BPP370" s="219"/>
      <c r="BPQ370" s="247"/>
      <c r="BPR370" s="669"/>
      <c r="BPS370" s="117"/>
      <c r="BPU370" s="440"/>
      <c r="BPV370" s="277"/>
      <c r="BPW370" s="261"/>
      <c r="BPX370" s="118"/>
      <c r="BPY370" s="219"/>
      <c r="BPZ370" s="247"/>
      <c r="BQA370" s="669"/>
      <c r="BQB370" s="117"/>
      <c r="BQD370" s="440"/>
      <c r="BQE370" s="277"/>
      <c r="BQF370" s="261"/>
      <c r="BQG370" s="118"/>
      <c r="BQH370" s="219"/>
      <c r="BQI370" s="247"/>
      <c r="BQJ370" s="669"/>
      <c r="BQK370" s="117"/>
      <c r="BQM370" s="440"/>
      <c r="BQN370" s="277"/>
      <c r="BQO370" s="261"/>
      <c r="BQP370" s="118"/>
      <c r="BQQ370" s="219"/>
      <c r="BQR370" s="247"/>
      <c r="BQS370" s="669"/>
      <c r="BQT370" s="117"/>
      <c r="BQV370" s="440"/>
      <c r="BQW370" s="277"/>
      <c r="BQX370" s="261"/>
      <c r="BQY370" s="118"/>
      <c r="BQZ370" s="219"/>
      <c r="BRA370" s="247"/>
      <c r="BRB370" s="669"/>
      <c r="BRC370" s="117"/>
      <c r="BRE370" s="440"/>
      <c r="BRF370" s="277"/>
      <c r="BRG370" s="261"/>
      <c r="BRH370" s="118"/>
      <c r="BRI370" s="219"/>
      <c r="BRJ370" s="247"/>
      <c r="BRK370" s="669"/>
      <c r="BRL370" s="117"/>
      <c r="BRN370" s="440"/>
      <c r="BRO370" s="277"/>
      <c r="BRP370" s="261"/>
      <c r="BRQ370" s="118"/>
      <c r="BRR370" s="219"/>
      <c r="BRS370" s="247"/>
      <c r="BRT370" s="669"/>
      <c r="BRU370" s="117"/>
      <c r="BRW370" s="440"/>
      <c r="BRX370" s="277"/>
      <c r="BRY370" s="261"/>
      <c r="BRZ370" s="118"/>
      <c r="BSA370" s="219"/>
      <c r="BSB370" s="247"/>
      <c r="BSC370" s="669"/>
      <c r="BSD370" s="117"/>
      <c r="BSF370" s="440"/>
      <c r="BSG370" s="277"/>
      <c r="BSH370" s="261"/>
      <c r="BSI370" s="118"/>
      <c r="BSJ370" s="219"/>
      <c r="BSK370" s="247"/>
      <c r="BSL370" s="669"/>
      <c r="BSM370" s="117"/>
      <c r="BSO370" s="440"/>
      <c r="BSP370" s="277"/>
      <c r="BSQ370" s="261"/>
      <c r="BSR370" s="118"/>
      <c r="BSS370" s="219"/>
      <c r="BST370" s="247"/>
      <c r="BSU370" s="669"/>
      <c r="BSV370" s="117"/>
      <c r="BSX370" s="440"/>
      <c r="BSY370" s="277"/>
      <c r="BSZ370" s="261"/>
      <c r="BTA370" s="118"/>
      <c r="BTB370" s="219"/>
      <c r="BTC370" s="247"/>
      <c r="BTD370" s="669"/>
      <c r="BTE370" s="117"/>
      <c r="BTG370" s="440"/>
      <c r="BTH370" s="277"/>
      <c r="BTI370" s="261"/>
      <c r="BTJ370" s="118"/>
      <c r="BTK370" s="219"/>
      <c r="BTL370" s="247"/>
      <c r="BTM370" s="669"/>
      <c r="BTN370" s="117"/>
      <c r="BTP370" s="440"/>
      <c r="BTQ370" s="277"/>
      <c r="BTR370" s="261"/>
      <c r="BTS370" s="118"/>
      <c r="BTT370" s="219"/>
      <c r="BTU370" s="247"/>
      <c r="BTV370" s="669"/>
      <c r="BTW370" s="117"/>
      <c r="BTY370" s="440"/>
      <c r="BTZ370" s="277"/>
      <c r="BUA370" s="261"/>
      <c r="BUB370" s="118"/>
      <c r="BUC370" s="219"/>
      <c r="BUD370" s="247"/>
      <c r="BUE370" s="669"/>
      <c r="BUF370" s="117"/>
      <c r="BUH370" s="440"/>
      <c r="BUI370" s="277"/>
      <c r="BUJ370" s="261"/>
      <c r="BUK370" s="118"/>
      <c r="BUL370" s="219"/>
      <c r="BUM370" s="247"/>
      <c r="BUN370" s="669"/>
      <c r="BUO370" s="117"/>
      <c r="BUQ370" s="440"/>
      <c r="BUR370" s="277"/>
      <c r="BUS370" s="261"/>
      <c r="BUT370" s="118"/>
      <c r="BUU370" s="219"/>
      <c r="BUV370" s="247"/>
      <c r="BUW370" s="669"/>
      <c r="BUX370" s="117"/>
      <c r="BUZ370" s="440"/>
      <c r="BVA370" s="277"/>
      <c r="BVB370" s="261"/>
      <c r="BVC370" s="118"/>
      <c r="BVD370" s="219"/>
      <c r="BVE370" s="247"/>
      <c r="BVF370" s="669"/>
      <c r="BVG370" s="117"/>
      <c r="BVI370" s="440"/>
      <c r="BVJ370" s="277"/>
      <c r="BVK370" s="261"/>
      <c r="BVL370" s="118"/>
      <c r="BVM370" s="219"/>
      <c r="BVN370" s="247"/>
      <c r="BVO370" s="669"/>
      <c r="BVP370" s="117"/>
      <c r="BVR370" s="440"/>
      <c r="BVS370" s="277"/>
      <c r="BVT370" s="261"/>
      <c r="BVU370" s="118"/>
      <c r="BVV370" s="219"/>
      <c r="BVW370" s="247"/>
      <c r="BVX370" s="669"/>
      <c r="BVY370" s="117"/>
      <c r="BWA370" s="440"/>
      <c r="BWB370" s="277"/>
      <c r="BWC370" s="261"/>
      <c r="BWD370" s="118"/>
      <c r="BWE370" s="219"/>
      <c r="BWF370" s="247"/>
      <c r="BWG370" s="669"/>
      <c r="BWH370" s="117"/>
      <c r="BWJ370" s="440"/>
      <c r="BWK370" s="277"/>
      <c r="BWL370" s="261"/>
      <c r="BWM370" s="118"/>
      <c r="BWN370" s="219"/>
      <c r="BWO370" s="247"/>
      <c r="BWP370" s="669"/>
      <c r="BWQ370" s="117"/>
      <c r="BWS370" s="440"/>
      <c r="BWT370" s="277"/>
      <c r="BWU370" s="261"/>
      <c r="BWV370" s="118"/>
      <c r="BWW370" s="219"/>
      <c r="BWX370" s="247"/>
      <c r="BWY370" s="669"/>
      <c r="BWZ370" s="117"/>
      <c r="BXB370" s="440"/>
      <c r="BXC370" s="277"/>
      <c r="BXD370" s="261"/>
      <c r="BXE370" s="118"/>
      <c r="BXF370" s="219"/>
      <c r="BXG370" s="247"/>
      <c r="BXH370" s="669"/>
      <c r="BXI370" s="117"/>
      <c r="BXK370" s="440"/>
      <c r="BXL370" s="277"/>
      <c r="BXM370" s="261"/>
      <c r="BXN370" s="118"/>
      <c r="BXO370" s="219"/>
      <c r="BXP370" s="247"/>
      <c r="BXQ370" s="669"/>
      <c r="BXR370" s="117"/>
      <c r="BXT370" s="440"/>
      <c r="BXU370" s="277"/>
      <c r="BXV370" s="261"/>
      <c r="BXW370" s="118"/>
      <c r="BXX370" s="219"/>
      <c r="BXY370" s="247"/>
      <c r="BXZ370" s="669"/>
      <c r="BYA370" s="117"/>
      <c r="BYC370" s="440"/>
      <c r="BYD370" s="277"/>
      <c r="BYE370" s="261"/>
      <c r="BYF370" s="118"/>
      <c r="BYG370" s="219"/>
      <c r="BYH370" s="247"/>
      <c r="BYI370" s="669"/>
      <c r="BYJ370" s="117"/>
      <c r="BYL370" s="440"/>
      <c r="BYM370" s="277"/>
      <c r="BYN370" s="261"/>
      <c r="BYO370" s="118"/>
      <c r="BYP370" s="219"/>
      <c r="BYQ370" s="247"/>
      <c r="BYR370" s="669"/>
      <c r="BYS370" s="117"/>
      <c r="BYU370" s="440"/>
      <c r="BYV370" s="277"/>
      <c r="BYW370" s="261"/>
      <c r="BYX370" s="118"/>
      <c r="BYY370" s="219"/>
      <c r="BYZ370" s="247"/>
      <c r="BZA370" s="669"/>
      <c r="BZB370" s="117"/>
      <c r="BZD370" s="440"/>
      <c r="BZE370" s="277"/>
      <c r="BZF370" s="261"/>
      <c r="BZG370" s="118"/>
      <c r="BZH370" s="219"/>
      <c r="BZI370" s="247"/>
      <c r="BZJ370" s="669"/>
      <c r="BZK370" s="117"/>
      <c r="BZM370" s="440"/>
      <c r="BZN370" s="277"/>
      <c r="BZO370" s="261"/>
      <c r="BZP370" s="118"/>
      <c r="BZQ370" s="219"/>
      <c r="BZR370" s="247"/>
      <c r="BZS370" s="669"/>
      <c r="BZT370" s="117"/>
      <c r="BZV370" s="440"/>
      <c r="BZW370" s="277"/>
      <c r="BZX370" s="261"/>
      <c r="BZY370" s="118"/>
      <c r="BZZ370" s="219"/>
      <c r="CAA370" s="247"/>
      <c r="CAB370" s="669"/>
      <c r="CAC370" s="117"/>
      <c r="CAE370" s="440"/>
      <c r="CAF370" s="277"/>
      <c r="CAG370" s="261"/>
      <c r="CAH370" s="118"/>
      <c r="CAI370" s="219"/>
      <c r="CAJ370" s="247"/>
      <c r="CAK370" s="669"/>
      <c r="CAL370" s="117"/>
      <c r="CAN370" s="440"/>
      <c r="CAO370" s="277"/>
      <c r="CAP370" s="261"/>
      <c r="CAQ370" s="118"/>
      <c r="CAR370" s="219"/>
      <c r="CAS370" s="247"/>
      <c r="CAT370" s="669"/>
      <c r="CAU370" s="117"/>
      <c r="CAW370" s="440"/>
      <c r="CAX370" s="277"/>
      <c r="CAY370" s="261"/>
      <c r="CAZ370" s="118"/>
      <c r="CBA370" s="219"/>
      <c r="CBB370" s="247"/>
      <c r="CBC370" s="669"/>
      <c r="CBD370" s="117"/>
      <c r="CBF370" s="440"/>
      <c r="CBG370" s="277"/>
      <c r="CBH370" s="261"/>
      <c r="CBI370" s="118"/>
      <c r="CBJ370" s="219"/>
      <c r="CBK370" s="247"/>
      <c r="CBL370" s="669"/>
      <c r="CBM370" s="117"/>
      <c r="CBO370" s="440"/>
      <c r="CBP370" s="277"/>
      <c r="CBQ370" s="261"/>
      <c r="CBR370" s="118"/>
      <c r="CBS370" s="219"/>
      <c r="CBT370" s="247"/>
      <c r="CBU370" s="669"/>
      <c r="CBV370" s="117"/>
      <c r="CBX370" s="440"/>
      <c r="CBY370" s="277"/>
      <c r="CBZ370" s="261"/>
      <c r="CCA370" s="118"/>
      <c r="CCB370" s="219"/>
      <c r="CCC370" s="247"/>
      <c r="CCD370" s="669"/>
      <c r="CCE370" s="117"/>
      <c r="CCG370" s="440"/>
      <c r="CCH370" s="277"/>
      <c r="CCI370" s="261"/>
      <c r="CCJ370" s="118"/>
      <c r="CCK370" s="219"/>
      <c r="CCL370" s="247"/>
      <c r="CCM370" s="669"/>
      <c r="CCN370" s="117"/>
      <c r="CCP370" s="440"/>
      <c r="CCQ370" s="277"/>
      <c r="CCR370" s="261"/>
      <c r="CCS370" s="118"/>
      <c r="CCT370" s="219"/>
      <c r="CCU370" s="247"/>
      <c r="CCV370" s="669"/>
      <c r="CCW370" s="117"/>
      <c r="CCY370" s="440"/>
      <c r="CCZ370" s="277"/>
      <c r="CDA370" s="261"/>
      <c r="CDB370" s="118"/>
      <c r="CDC370" s="219"/>
      <c r="CDD370" s="247"/>
      <c r="CDE370" s="669"/>
      <c r="CDF370" s="117"/>
      <c r="CDH370" s="440"/>
      <c r="CDI370" s="277"/>
      <c r="CDJ370" s="261"/>
      <c r="CDK370" s="118"/>
      <c r="CDL370" s="219"/>
      <c r="CDM370" s="247"/>
      <c r="CDN370" s="669"/>
      <c r="CDO370" s="117"/>
      <c r="CDQ370" s="440"/>
      <c r="CDR370" s="277"/>
      <c r="CDS370" s="261"/>
      <c r="CDT370" s="118"/>
      <c r="CDU370" s="219"/>
      <c r="CDV370" s="247"/>
      <c r="CDW370" s="669"/>
      <c r="CDX370" s="117"/>
      <c r="CDZ370" s="440"/>
      <c r="CEA370" s="277"/>
      <c r="CEB370" s="261"/>
      <c r="CEC370" s="118"/>
      <c r="CED370" s="219"/>
      <c r="CEE370" s="247"/>
      <c r="CEF370" s="669"/>
      <c r="CEG370" s="117"/>
      <c r="CEI370" s="440"/>
      <c r="CEJ370" s="277"/>
      <c r="CEK370" s="261"/>
      <c r="CEL370" s="118"/>
      <c r="CEM370" s="219"/>
      <c r="CEN370" s="247"/>
      <c r="CEO370" s="669"/>
      <c r="CEP370" s="117"/>
      <c r="CER370" s="440"/>
      <c r="CES370" s="277"/>
      <c r="CET370" s="261"/>
      <c r="CEU370" s="118"/>
      <c r="CEV370" s="219"/>
      <c r="CEW370" s="247"/>
      <c r="CEX370" s="669"/>
      <c r="CEY370" s="117"/>
      <c r="CFA370" s="440"/>
      <c r="CFB370" s="277"/>
      <c r="CFC370" s="261"/>
      <c r="CFD370" s="118"/>
      <c r="CFE370" s="219"/>
      <c r="CFF370" s="247"/>
      <c r="CFG370" s="669"/>
      <c r="CFH370" s="117"/>
      <c r="CFJ370" s="440"/>
      <c r="CFK370" s="277"/>
      <c r="CFL370" s="261"/>
      <c r="CFM370" s="118"/>
      <c r="CFN370" s="219"/>
      <c r="CFO370" s="247"/>
      <c r="CFP370" s="669"/>
      <c r="CFQ370" s="117"/>
      <c r="CFS370" s="440"/>
      <c r="CFT370" s="277"/>
      <c r="CFU370" s="261"/>
      <c r="CFV370" s="118"/>
      <c r="CFW370" s="219"/>
      <c r="CFX370" s="247"/>
      <c r="CFY370" s="669"/>
      <c r="CFZ370" s="117"/>
      <c r="CGB370" s="440"/>
      <c r="CGC370" s="277"/>
      <c r="CGD370" s="261"/>
      <c r="CGE370" s="118"/>
      <c r="CGF370" s="219"/>
      <c r="CGG370" s="247"/>
      <c r="CGH370" s="669"/>
      <c r="CGI370" s="117"/>
      <c r="CGK370" s="440"/>
      <c r="CGL370" s="277"/>
      <c r="CGM370" s="261"/>
      <c r="CGN370" s="118"/>
      <c r="CGO370" s="219"/>
      <c r="CGP370" s="247"/>
      <c r="CGQ370" s="669"/>
      <c r="CGR370" s="117"/>
      <c r="CGT370" s="440"/>
      <c r="CGU370" s="277"/>
      <c r="CGV370" s="261"/>
      <c r="CGW370" s="118"/>
      <c r="CGX370" s="219"/>
      <c r="CGY370" s="247"/>
      <c r="CGZ370" s="669"/>
      <c r="CHA370" s="117"/>
      <c r="CHC370" s="440"/>
      <c r="CHD370" s="277"/>
      <c r="CHE370" s="261"/>
      <c r="CHF370" s="118"/>
      <c r="CHG370" s="219"/>
      <c r="CHH370" s="247"/>
      <c r="CHI370" s="669"/>
      <c r="CHJ370" s="117"/>
      <c r="CHL370" s="440"/>
      <c r="CHM370" s="277"/>
      <c r="CHN370" s="261"/>
      <c r="CHO370" s="118"/>
      <c r="CHP370" s="219"/>
      <c r="CHQ370" s="247"/>
      <c r="CHR370" s="669"/>
      <c r="CHS370" s="117"/>
      <c r="CHU370" s="440"/>
      <c r="CHV370" s="277"/>
      <c r="CHW370" s="261"/>
      <c r="CHX370" s="118"/>
      <c r="CHY370" s="219"/>
      <c r="CHZ370" s="247"/>
      <c r="CIA370" s="669"/>
      <c r="CIB370" s="117"/>
      <c r="CID370" s="440"/>
      <c r="CIE370" s="277"/>
      <c r="CIF370" s="261"/>
      <c r="CIG370" s="118"/>
      <c r="CIH370" s="219"/>
      <c r="CII370" s="247"/>
      <c r="CIJ370" s="669"/>
      <c r="CIK370" s="117"/>
      <c r="CIM370" s="440"/>
      <c r="CIN370" s="277"/>
      <c r="CIO370" s="261"/>
      <c r="CIP370" s="118"/>
      <c r="CIQ370" s="219"/>
      <c r="CIR370" s="247"/>
      <c r="CIS370" s="669"/>
      <c r="CIT370" s="117"/>
      <c r="CIV370" s="440"/>
      <c r="CIW370" s="277"/>
      <c r="CIX370" s="261"/>
      <c r="CIY370" s="118"/>
      <c r="CIZ370" s="219"/>
      <c r="CJA370" s="247"/>
      <c r="CJB370" s="669"/>
      <c r="CJC370" s="117"/>
      <c r="CJE370" s="440"/>
      <c r="CJF370" s="277"/>
      <c r="CJG370" s="261"/>
      <c r="CJH370" s="118"/>
      <c r="CJI370" s="219"/>
      <c r="CJJ370" s="247"/>
      <c r="CJK370" s="669"/>
      <c r="CJL370" s="117"/>
      <c r="CJN370" s="440"/>
      <c r="CJO370" s="277"/>
      <c r="CJP370" s="261"/>
      <c r="CJQ370" s="118"/>
      <c r="CJR370" s="219"/>
      <c r="CJS370" s="247"/>
      <c r="CJT370" s="669"/>
      <c r="CJU370" s="117"/>
      <c r="CJW370" s="440"/>
      <c r="CJX370" s="277"/>
      <c r="CJY370" s="261"/>
      <c r="CJZ370" s="118"/>
      <c r="CKA370" s="219"/>
      <c r="CKB370" s="247"/>
      <c r="CKC370" s="669"/>
      <c r="CKD370" s="117"/>
      <c r="CKF370" s="440"/>
      <c r="CKG370" s="277"/>
      <c r="CKH370" s="261"/>
      <c r="CKI370" s="118"/>
      <c r="CKJ370" s="219"/>
      <c r="CKK370" s="247"/>
      <c r="CKL370" s="669"/>
      <c r="CKM370" s="117"/>
      <c r="CKO370" s="440"/>
      <c r="CKP370" s="277"/>
      <c r="CKQ370" s="261"/>
      <c r="CKR370" s="118"/>
      <c r="CKS370" s="219"/>
      <c r="CKT370" s="247"/>
      <c r="CKU370" s="669"/>
      <c r="CKV370" s="117"/>
      <c r="CKX370" s="440"/>
      <c r="CKY370" s="277"/>
      <c r="CKZ370" s="261"/>
      <c r="CLA370" s="118"/>
      <c r="CLB370" s="219"/>
      <c r="CLC370" s="247"/>
      <c r="CLD370" s="669"/>
      <c r="CLE370" s="117"/>
      <c r="CLG370" s="440"/>
      <c r="CLH370" s="277"/>
      <c r="CLI370" s="261"/>
      <c r="CLJ370" s="118"/>
      <c r="CLK370" s="219"/>
      <c r="CLL370" s="247"/>
      <c r="CLM370" s="669"/>
      <c r="CLN370" s="117"/>
      <c r="CLP370" s="440"/>
      <c r="CLQ370" s="277"/>
      <c r="CLR370" s="261"/>
      <c r="CLS370" s="118"/>
      <c r="CLT370" s="219"/>
      <c r="CLU370" s="247"/>
      <c r="CLV370" s="669"/>
      <c r="CLW370" s="117"/>
      <c r="CLY370" s="440"/>
      <c r="CLZ370" s="277"/>
      <c r="CMA370" s="261"/>
      <c r="CMB370" s="118"/>
      <c r="CMC370" s="219"/>
      <c r="CMD370" s="247"/>
      <c r="CME370" s="669"/>
      <c r="CMF370" s="117"/>
      <c r="CMH370" s="440"/>
      <c r="CMI370" s="277"/>
      <c r="CMJ370" s="261"/>
      <c r="CMK370" s="118"/>
      <c r="CML370" s="219"/>
      <c r="CMM370" s="247"/>
      <c r="CMN370" s="669"/>
      <c r="CMO370" s="117"/>
      <c r="CMQ370" s="440"/>
      <c r="CMR370" s="277"/>
      <c r="CMS370" s="261"/>
      <c r="CMT370" s="118"/>
      <c r="CMU370" s="219"/>
      <c r="CMV370" s="247"/>
      <c r="CMW370" s="669"/>
      <c r="CMX370" s="117"/>
      <c r="CMZ370" s="440"/>
      <c r="CNA370" s="277"/>
      <c r="CNB370" s="261"/>
      <c r="CNC370" s="118"/>
      <c r="CND370" s="219"/>
      <c r="CNE370" s="247"/>
      <c r="CNF370" s="669"/>
      <c r="CNG370" s="117"/>
      <c r="CNI370" s="440"/>
      <c r="CNJ370" s="277"/>
      <c r="CNK370" s="261"/>
      <c r="CNL370" s="118"/>
      <c r="CNM370" s="219"/>
      <c r="CNN370" s="247"/>
      <c r="CNO370" s="669"/>
      <c r="CNP370" s="117"/>
      <c r="CNR370" s="440"/>
      <c r="CNS370" s="277"/>
      <c r="CNT370" s="261"/>
      <c r="CNU370" s="118"/>
      <c r="CNV370" s="219"/>
      <c r="CNW370" s="247"/>
      <c r="CNX370" s="669"/>
      <c r="CNY370" s="117"/>
      <c r="COA370" s="440"/>
      <c r="COB370" s="277"/>
      <c r="COC370" s="261"/>
      <c r="COD370" s="118"/>
      <c r="COE370" s="219"/>
      <c r="COF370" s="247"/>
      <c r="COG370" s="669"/>
      <c r="COH370" s="117"/>
      <c r="COJ370" s="440"/>
      <c r="COK370" s="277"/>
      <c r="COL370" s="261"/>
      <c r="COM370" s="118"/>
      <c r="CON370" s="219"/>
      <c r="COO370" s="247"/>
      <c r="COP370" s="669"/>
      <c r="COQ370" s="117"/>
      <c r="COS370" s="440"/>
      <c r="COT370" s="277"/>
      <c r="COU370" s="261"/>
      <c r="COV370" s="118"/>
      <c r="COW370" s="219"/>
      <c r="COX370" s="247"/>
      <c r="COY370" s="669"/>
      <c r="COZ370" s="117"/>
      <c r="CPB370" s="440"/>
      <c r="CPC370" s="277"/>
      <c r="CPD370" s="261"/>
      <c r="CPE370" s="118"/>
      <c r="CPF370" s="219"/>
      <c r="CPG370" s="247"/>
      <c r="CPH370" s="669"/>
      <c r="CPI370" s="117"/>
      <c r="CPK370" s="440"/>
      <c r="CPL370" s="277"/>
      <c r="CPM370" s="261"/>
      <c r="CPN370" s="118"/>
      <c r="CPO370" s="219"/>
      <c r="CPP370" s="247"/>
      <c r="CPQ370" s="669"/>
      <c r="CPR370" s="117"/>
      <c r="CPT370" s="440"/>
      <c r="CPU370" s="277"/>
      <c r="CPV370" s="261"/>
      <c r="CPW370" s="118"/>
      <c r="CPX370" s="219"/>
      <c r="CPY370" s="247"/>
      <c r="CPZ370" s="669"/>
      <c r="CQA370" s="117"/>
      <c r="CQC370" s="440"/>
      <c r="CQD370" s="277"/>
      <c r="CQE370" s="261"/>
      <c r="CQF370" s="118"/>
      <c r="CQG370" s="219"/>
      <c r="CQH370" s="247"/>
      <c r="CQI370" s="669"/>
      <c r="CQJ370" s="117"/>
      <c r="CQL370" s="440"/>
      <c r="CQM370" s="277"/>
      <c r="CQN370" s="261"/>
      <c r="CQO370" s="118"/>
      <c r="CQP370" s="219"/>
      <c r="CQQ370" s="247"/>
      <c r="CQR370" s="669"/>
      <c r="CQS370" s="117"/>
      <c r="CQU370" s="440"/>
      <c r="CQV370" s="277"/>
      <c r="CQW370" s="261"/>
      <c r="CQX370" s="118"/>
      <c r="CQY370" s="219"/>
      <c r="CQZ370" s="247"/>
      <c r="CRA370" s="669"/>
      <c r="CRB370" s="117"/>
      <c r="CRD370" s="440"/>
      <c r="CRE370" s="277"/>
      <c r="CRF370" s="261"/>
      <c r="CRG370" s="118"/>
      <c r="CRH370" s="219"/>
      <c r="CRI370" s="247"/>
      <c r="CRJ370" s="669"/>
      <c r="CRK370" s="117"/>
      <c r="CRM370" s="440"/>
      <c r="CRN370" s="277"/>
      <c r="CRO370" s="261"/>
      <c r="CRP370" s="118"/>
      <c r="CRQ370" s="219"/>
      <c r="CRR370" s="247"/>
      <c r="CRS370" s="669"/>
      <c r="CRT370" s="117"/>
      <c r="CRV370" s="440"/>
      <c r="CRW370" s="277"/>
      <c r="CRX370" s="261"/>
      <c r="CRY370" s="118"/>
      <c r="CRZ370" s="219"/>
      <c r="CSA370" s="247"/>
      <c r="CSB370" s="669"/>
      <c r="CSC370" s="117"/>
      <c r="CSE370" s="440"/>
      <c r="CSF370" s="277"/>
      <c r="CSG370" s="261"/>
      <c r="CSH370" s="118"/>
      <c r="CSI370" s="219"/>
      <c r="CSJ370" s="247"/>
      <c r="CSK370" s="669"/>
      <c r="CSL370" s="117"/>
      <c r="CSN370" s="440"/>
      <c r="CSO370" s="277"/>
      <c r="CSP370" s="261"/>
      <c r="CSQ370" s="118"/>
      <c r="CSR370" s="219"/>
      <c r="CSS370" s="247"/>
      <c r="CST370" s="669"/>
      <c r="CSU370" s="117"/>
      <c r="CSW370" s="440"/>
      <c r="CSX370" s="277"/>
      <c r="CSY370" s="261"/>
      <c r="CSZ370" s="118"/>
      <c r="CTA370" s="219"/>
      <c r="CTB370" s="247"/>
      <c r="CTC370" s="669"/>
      <c r="CTD370" s="117"/>
      <c r="CTF370" s="440"/>
      <c r="CTG370" s="277"/>
      <c r="CTH370" s="261"/>
      <c r="CTI370" s="118"/>
      <c r="CTJ370" s="219"/>
      <c r="CTK370" s="247"/>
      <c r="CTL370" s="669"/>
      <c r="CTM370" s="117"/>
      <c r="CTO370" s="440"/>
      <c r="CTP370" s="277"/>
      <c r="CTQ370" s="261"/>
      <c r="CTR370" s="118"/>
      <c r="CTS370" s="219"/>
      <c r="CTT370" s="247"/>
      <c r="CTU370" s="669"/>
      <c r="CTV370" s="117"/>
      <c r="CTX370" s="440"/>
      <c r="CTY370" s="277"/>
      <c r="CTZ370" s="261"/>
      <c r="CUA370" s="118"/>
      <c r="CUB370" s="219"/>
      <c r="CUC370" s="247"/>
      <c r="CUD370" s="669"/>
      <c r="CUE370" s="117"/>
      <c r="CUG370" s="440"/>
      <c r="CUH370" s="277"/>
      <c r="CUI370" s="261"/>
      <c r="CUJ370" s="118"/>
      <c r="CUK370" s="219"/>
      <c r="CUL370" s="247"/>
      <c r="CUM370" s="669"/>
      <c r="CUN370" s="117"/>
      <c r="CUP370" s="440"/>
      <c r="CUQ370" s="277"/>
      <c r="CUR370" s="261"/>
      <c r="CUS370" s="118"/>
      <c r="CUT370" s="219"/>
      <c r="CUU370" s="247"/>
      <c r="CUV370" s="669"/>
      <c r="CUW370" s="117"/>
      <c r="CUY370" s="440"/>
      <c r="CUZ370" s="277"/>
      <c r="CVA370" s="261"/>
      <c r="CVB370" s="118"/>
      <c r="CVC370" s="219"/>
      <c r="CVD370" s="247"/>
      <c r="CVE370" s="669"/>
      <c r="CVF370" s="117"/>
      <c r="CVH370" s="440"/>
      <c r="CVI370" s="277"/>
      <c r="CVJ370" s="261"/>
      <c r="CVK370" s="118"/>
      <c r="CVL370" s="219"/>
      <c r="CVM370" s="247"/>
      <c r="CVN370" s="669"/>
      <c r="CVO370" s="117"/>
      <c r="CVQ370" s="440"/>
      <c r="CVR370" s="277"/>
      <c r="CVS370" s="261"/>
      <c r="CVT370" s="118"/>
      <c r="CVU370" s="219"/>
      <c r="CVV370" s="247"/>
      <c r="CVW370" s="669"/>
      <c r="CVX370" s="117"/>
      <c r="CVZ370" s="440"/>
      <c r="CWA370" s="277"/>
      <c r="CWB370" s="261"/>
      <c r="CWC370" s="118"/>
      <c r="CWD370" s="219"/>
      <c r="CWE370" s="247"/>
      <c r="CWF370" s="669"/>
      <c r="CWG370" s="117"/>
      <c r="CWI370" s="440"/>
      <c r="CWJ370" s="277"/>
      <c r="CWK370" s="261"/>
      <c r="CWL370" s="118"/>
      <c r="CWM370" s="219"/>
      <c r="CWN370" s="247"/>
      <c r="CWO370" s="669"/>
      <c r="CWP370" s="117"/>
      <c r="CWR370" s="440"/>
      <c r="CWS370" s="277"/>
      <c r="CWT370" s="261"/>
      <c r="CWU370" s="118"/>
      <c r="CWV370" s="219"/>
      <c r="CWW370" s="247"/>
      <c r="CWX370" s="669"/>
      <c r="CWY370" s="117"/>
      <c r="CXA370" s="440"/>
      <c r="CXB370" s="277"/>
      <c r="CXC370" s="261"/>
      <c r="CXD370" s="118"/>
      <c r="CXE370" s="219"/>
      <c r="CXF370" s="247"/>
      <c r="CXG370" s="669"/>
      <c r="CXH370" s="117"/>
      <c r="CXJ370" s="440"/>
      <c r="CXK370" s="277"/>
      <c r="CXL370" s="261"/>
      <c r="CXM370" s="118"/>
      <c r="CXN370" s="219"/>
      <c r="CXO370" s="247"/>
      <c r="CXP370" s="669"/>
      <c r="CXQ370" s="117"/>
      <c r="CXS370" s="440"/>
      <c r="CXT370" s="277"/>
      <c r="CXU370" s="261"/>
      <c r="CXV370" s="118"/>
      <c r="CXW370" s="219"/>
      <c r="CXX370" s="247"/>
      <c r="CXY370" s="669"/>
      <c r="CXZ370" s="117"/>
      <c r="CYB370" s="440"/>
      <c r="CYC370" s="277"/>
      <c r="CYD370" s="261"/>
      <c r="CYE370" s="118"/>
      <c r="CYF370" s="219"/>
      <c r="CYG370" s="247"/>
      <c r="CYH370" s="669"/>
      <c r="CYI370" s="117"/>
      <c r="CYK370" s="440"/>
      <c r="CYL370" s="277"/>
      <c r="CYM370" s="261"/>
      <c r="CYN370" s="118"/>
      <c r="CYO370" s="219"/>
      <c r="CYP370" s="247"/>
      <c r="CYQ370" s="669"/>
      <c r="CYR370" s="117"/>
      <c r="CYT370" s="440"/>
      <c r="CYU370" s="277"/>
      <c r="CYV370" s="261"/>
      <c r="CYW370" s="118"/>
      <c r="CYX370" s="219"/>
      <c r="CYY370" s="247"/>
      <c r="CYZ370" s="669"/>
      <c r="CZA370" s="117"/>
      <c r="CZC370" s="440"/>
      <c r="CZD370" s="277"/>
      <c r="CZE370" s="261"/>
      <c r="CZF370" s="118"/>
      <c r="CZG370" s="219"/>
      <c r="CZH370" s="247"/>
      <c r="CZI370" s="669"/>
      <c r="CZJ370" s="117"/>
      <c r="CZL370" s="440"/>
      <c r="CZM370" s="277"/>
      <c r="CZN370" s="261"/>
      <c r="CZO370" s="118"/>
      <c r="CZP370" s="219"/>
      <c r="CZQ370" s="247"/>
      <c r="CZR370" s="669"/>
      <c r="CZS370" s="117"/>
      <c r="CZU370" s="440"/>
      <c r="CZV370" s="277"/>
      <c r="CZW370" s="261"/>
      <c r="CZX370" s="118"/>
      <c r="CZY370" s="219"/>
      <c r="CZZ370" s="247"/>
      <c r="DAA370" s="669"/>
      <c r="DAB370" s="117"/>
      <c r="DAD370" s="440"/>
      <c r="DAE370" s="277"/>
      <c r="DAF370" s="261"/>
      <c r="DAG370" s="118"/>
      <c r="DAH370" s="219"/>
      <c r="DAI370" s="247"/>
      <c r="DAJ370" s="669"/>
      <c r="DAK370" s="117"/>
      <c r="DAM370" s="440"/>
      <c r="DAN370" s="277"/>
      <c r="DAO370" s="261"/>
      <c r="DAP370" s="118"/>
      <c r="DAQ370" s="219"/>
      <c r="DAR370" s="247"/>
      <c r="DAS370" s="669"/>
      <c r="DAT370" s="117"/>
      <c r="DAV370" s="440"/>
      <c r="DAW370" s="277"/>
      <c r="DAX370" s="261"/>
      <c r="DAY370" s="118"/>
      <c r="DAZ370" s="219"/>
      <c r="DBA370" s="247"/>
      <c r="DBB370" s="669"/>
      <c r="DBC370" s="117"/>
      <c r="DBE370" s="440"/>
      <c r="DBF370" s="277"/>
      <c r="DBG370" s="261"/>
      <c r="DBH370" s="118"/>
      <c r="DBI370" s="219"/>
      <c r="DBJ370" s="247"/>
      <c r="DBK370" s="669"/>
      <c r="DBL370" s="117"/>
      <c r="DBN370" s="440"/>
      <c r="DBO370" s="277"/>
      <c r="DBP370" s="261"/>
      <c r="DBQ370" s="118"/>
      <c r="DBR370" s="219"/>
      <c r="DBS370" s="247"/>
      <c r="DBT370" s="669"/>
      <c r="DBU370" s="117"/>
      <c r="DBW370" s="440"/>
      <c r="DBX370" s="277"/>
      <c r="DBY370" s="261"/>
      <c r="DBZ370" s="118"/>
      <c r="DCA370" s="219"/>
      <c r="DCB370" s="247"/>
      <c r="DCC370" s="669"/>
      <c r="DCD370" s="117"/>
      <c r="DCF370" s="440"/>
      <c r="DCG370" s="277"/>
      <c r="DCH370" s="261"/>
      <c r="DCI370" s="118"/>
      <c r="DCJ370" s="219"/>
      <c r="DCK370" s="247"/>
      <c r="DCL370" s="669"/>
      <c r="DCM370" s="117"/>
      <c r="DCO370" s="440"/>
      <c r="DCP370" s="277"/>
      <c r="DCQ370" s="261"/>
      <c r="DCR370" s="118"/>
      <c r="DCS370" s="219"/>
      <c r="DCT370" s="247"/>
      <c r="DCU370" s="669"/>
      <c r="DCV370" s="117"/>
      <c r="DCX370" s="440"/>
      <c r="DCY370" s="277"/>
      <c r="DCZ370" s="261"/>
      <c r="DDA370" s="118"/>
      <c r="DDB370" s="219"/>
      <c r="DDC370" s="247"/>
      <c r="DDD370" s="669"/>
      <c r="DDE370" s="117"/>
      <c r="DDG370" s="440"/>
      <c r="DDH370" s="277"/>
      <c r="DDI370" s="261"/>
      <c r="DDJ370" s="118"/>
      <c r="DDK370" s="219"/>
      <c r="DDL370" s="247"/>
      <c r="DDM370" s="669"/>
      <c r="DDN370" s="117"/>
      <c r="DDP370" s="440"/>
      <c r="DDQ370" s="277"/>
      <c r="DDR370" s="261"/>
      <c r="DDS370" s="118"/>
      <c r="DDT370" s="219"/>
      <c r="DDU370" s="247"/>
      <c r="DDV370" s="669"/>
      <c r="DDW370" s="117"/>
      <c r="DDY370" s="440"/>
      <c r="DDZ370" s="277"/>
      <c r="DEA370" s="261"/>
      <c r="DEB370" s="118"/>
      <c r="DEC370" s="219"/>
      <c r="DED370" s="247"/>
      <c r="DEE370" s="669"/>
      <c r="DEF370" s="117"/>
      <c r="DEH370" s="440"/>
      <c r="DEI370" s="277"/>
      <c r="DEJ370" s="261"/>
      <c r="DEK370" s="118"/>
      <c r="DEL370" s="219"/>
      <c r="DEM370" s="247"/>
      <c r="DEN370" s="669"/>
      <c r="DEO370" s="117"/>
      <c r="DEQ370" s="440"/>
      <c r="DER370" s="277"/>
      <c r="DES370" s="261"/>
      <c r="DET370" s="118"/>
      <c r="DEU370" s="219"/>
      <c r="DEV370" s="247"/>
      <c r="DEW370" s="669"/>
      <c r="DEX370" s="117"/>
      <c r="DEZ370" s="440"/>
      <c r="DFA370" s="277"/>
      <c r="DFB370" s="261"/>
      <c r="DFC370" s="118"/>
      <c r="DFD370" s="219"/>
      <c r="DFE370" s="247"/>
      <c r="DFF370" s="669"/>
      <c r="DFG370" s="117"/>
      <c r="DFI370" s="440"/>
      <c r="DFJ370" s="277"/>
      <c r="DFK370" s="261"/>
      <c r="DFL370" s="118"/>
      <c r="DFM370" s="219"/>
      <c r="DFN370" s="247"/>
      <c r="DFO370" s="669"/>
      <c r="DFP370" s="117"/>
      <c r="DFR370" s="440"/>
      <c r="DFS370" s="277"/>
      <c r="DFT370" s="261"/>
      <c r="DFU370" s="118"/>
      <c r="DFV370" s="219"/>
      <c r="DFW370" s="247"/>
      <c r="DFX370" s="669"/>
      <c r="DFY370" s="117"/>
      <c r="DGA370" s="440"/>
      <c r="DGB370" s="277"/>
      <c r="DGC370" s="261"/>
      <c r="DGD370" s="118"/>
      <c r="DGE370" s="219"/>
      <c r="DGF370" s="247"/>
      <c r="DGG370" s="669"/>
      <c r="DGH370" s="117"/>
      <c r="DGJ370" s="440"/>
      <c r="DGK370" s="277"/>
      <c r="DGL370" s="261"/>
      <c r="DGM370" s="118"/>
      <c r="DGN370" s="219"/>
      <c r="DGO370" s="247"/>
      <c r="DGP370" s="669"/>
      <c r="DGQ370" s="117"/>
      <c r="DGS370" s="440"/>
      <c r="DGT370" s="277"/>
      <c r="DGU370" s="261"/>
      <c r="DGV370" s="118"/>
      <c r="DGW370" s="219"/>
      <c r="DGX370" s="247"/>
      <c r="DGY370" s="669"/>
      <c r="DGZ370" s="117"/>
      <c r="DHB370" s="440"/>
      <c r="DHC370" s="277"/>
      <c r="DHD370" s="261"/>
      <c r="DHE370" s="118"/>
      <c r="DHF370" s="219"/>
      <c r="DHG370" s="247"/>
      <c r="DHH370" s="669"/>
      <c r="DHI370" s="117"/>
      <c r="DHK370" s="440"/>
      <c r="DHL370" s="277"/>
      <c r="DHM370" s="261"/>
      <c r="DHN370" s="118"/>
      <c r="DHO370" s="219"/>
      <c r="DHP370" s="247"/>
      <c r="DHQ370" s="669"/>
      <c r="DHR370" s="117"/>
      <c r="DHT370" s="440"/>
      <c r="DHU370" s="277"/>
      <c r="DHV370" s="261"/>
      <c r="DHW370" s="118"/>
      <c r="DHX370" s="219"/>
      <c r="DHY370" s="247"/>
      <c r="DHZ370" s="669"/>
      <c r="DIA370" s="117"/>
      <c r="DIC370" s="440"/>
      <c r="DID370" s="277"/>
      <c r="DIE370" s="261"/>
      <c r="DIF370" s="118"/>
      <c r="DIG370" s="219"/>
      <c r="DIH370" s="247"/>
      <c r="DII370" s="669"/>
      <c r="DIJ370" s="117"/>
      <c r="DIL370" s="440"/>
      <c r="DIM370" s="277"/>
      <c r="DIN370" s="261"/>
      <c r="DIO370" s="118"/>
      <c r="DIP370" s="219"/>
      <c r="DIQ370" s="247"/>
      <c r="DIR370" s="669"/>
      <c r="DIS370" s="117"/>
      <c r="DIU370" s="440"/>
      <c r="DIV370" s="277"/>
      <c r="DIW370" s="261"/>
      <c r="DIX370" s="118"/>
      <c r="DIY370" s="219"/>
      <c r="DIZ370" s="247"/>
      <c r="DJA370" s="669"/>
      <c r="DJB370" s="117"/>
      <c r="DJD370" s="440"/>
      <c r="DJE370" s="277"/>
      <c r="DJF370" s="261"/>
      <c r="DJG370" s="118"/>
      <c r="DJH370" s="219"/>
      <c r="DJI370" s="247"/>
      <c r="DJJ370" s="669"/>
      <c r="DJK370" s="117"/>
      <c r="DJM370" s="440"/>
      <c r="DJN370" s="277"/>
      <c r="DJO370" s="261"/>
      <c r="DJP370" s="118"/>
      <c r="DJQ370" s="219"/>
      <c r="DJR370" s="247"/>
      <c r="DJS370" s="669"/>
      <c r="DJT370" s="117"/>
      <c r="DJV370" s="440"/>
      <c r="DJW370" s="277"/>
      <c r="DJX370" s="261"/>
      <c r="DJY370" s="118"/>
      <c r="DJZ370" s="219"/>
      <c r="DKA370" s="247"/>
      <c r="DKB370" s="669"/>
      <c r="DKC370" s="117"/>
      <c r="DKE370" s="440"/>
      <c r="DKF370" s="277"/>
      <c r="DKG370" s="261"/>
      <c r="DKH370" s="118"/>
      <c r="DKI370" s="219"/>
      <c r="DKJ370" s="247"/>
      <c r="DKK370" s="669"/>
      <c r="DKL370" s="117"/>
      <c r="DKN370" s="440"/>
      <c r="DKO370" s="277"/>
      <c r="DKP370" s="261"/>
      <c r="DKQ370" s="118"/>
      <c r="DKR370" s="219"/>
      <c r="DKS370" s="247"/>
      <c r="DKT370" s="669"/>
      <c r="DKU370" s="117"/>
      <c r="DKW370" s="440"/>
      <c r="DKX370" s="277"/>
      <c r="DKY370" s="261"/>
      <c r="DKZ370" s="118"/>
      <c r="DLA370" s="219"/>
      <c r="DLB370" s="247"/>
      <c r="DLC370" s="669"/>
      <c r="DLD370" s="117"/>
      <c r="DLF370" s="440"/>
      <c r="DLG370" s="277"/>
      <c r="DLH370" s="261"/>
      <c r="DLI370" s="118"/>
      <c r="DLJ370" s="219"/>
      <c r="DLK370" s="247"/>
      <c r="DLL370" s="669"/>
      <c r="DLM370" s="117"/>
      <c r="DLO370" s="440"/>
      <c r="DLP370" s="277"/>
      <c r="DLQ370" s="261"/>
      <c r="DLR370" s="118"/>
      <c r="DLS370" s="219"/>
      <c r="DLT370" s="247"/>
      <c r="DLU370" s="669"/>
      <c r="DLV370" s="117"/>
      <c r="DLX370" s="440"/>
      <c r="DLY370" s="277"/>
      <c r="DLZ370" s="261"/>
      <c r="DMA370" s="118"/>
      <c r="DMB370" s="219"/>
      <c r="DMC370" s="247"/>
      <c r="DMD370" s="669"/>
      <c r="DME370" s="117"/>
      <c r="DMG370" s="440"/>
      <c r="DMH370" s="277"/>
      <c r="DMI370" s="261"/>
      <c r="DMJ370" s="118"/>
      <c r="DMK370" s="219"/>
      <c r="DML370" s="247"/>
      <c r="DMM370" s="669"/>
      <c r="DMN370" s="117"/>
      <c r="DMP370" s="440"/>
      <c r="DMQ370" s="277"/>
      <c r="DMR370" s="261"/>
      <c r="DMS370" s="118"/>
      <c r="DMT370" s="219"/>
      <c r="DMU370" s="247"/>
      <c r="DMV370" s="669"/>
      <c r="DMW370" s="117"/>
      <c r="DMY370" s="440"/>
      <c r="DMZ370" s="277"/>
      <c r="DNA370" s="261"/>
      <c r="DNB370" s="118"/>
      <c r="DNC370" s="219"/>
      <c r="DND370" s="247"/>
      <c r="DNE370" s="669"/>
      <c r="DNF370" s="117"/>
      <c r="DNH370" s="440"/>
      <c r="DNI370" s="277"/>
      <c r="DNJ370" s="261"/>
      <c r="DNK370" s="118"/>
      <c r="DNL370" s="219"/>
      <c r="DNM370" s="247"/>
      <c r="DNN370" s="669"/>
      <c r="DNO370" s="117"/>
      <c r="DNQ370" s="440"/>
      <c r="DNR370" s="277"/>
      <c r="DNS370" s="261"/>
      <c r="DNT370" s="118"/>
      <c r="DNU370" s="219"/>
      <c r="DNV370" s="247"/>
      <c r="DNW370" s="669"/>
      <c r="DNX370" s="117"/>
      <c r="DNZ370" s="440"/>
      <c r="DOA370" s="277"/>
      <c r="DOB370" s="261"/>
      <c r="DOC370" s="118"/>
      <c r="DOD370" s="219"/>
      <c r="DOE370" s="247"/>
      <c r="DOF370" s="669"/>
      <c r="DOG370" s="117"/>
      <c r="DOI370" s="440"/>
      <c r="DOJ370" s="277"/>
      <c r="DOK370" s="261"/>
      <c r="DOL370" s="118"/>
      <c r="DOM370" s="219"/>
      <c r="DON370" s="247"/>
      <c r="DOO370" s="669"/>
      <c r="DOP370" s="117"/>
      <c r="DOR370" s="440"/>
      <c r="DOS370" s="277"/>
      <c r="DOT370" s="261"/>
      <c r="DOU370" s="118"/>
      <c r="DOV370" s="219"/>
      <c r="DOW370" s="247"/>
      <c r="DOX370" s="669"/>
      <c r="DOY370" s="117"/>
      <c r="DPA370" s="440"/>
      <c r="DPB370" s="277"/>
      <c r="DPC370" s="261"/>
      <c r="DPD370" s="118"/>
      <c r="DPE370" s="219"/>
      <c r="DPF370" s="247"/>
      <c r="DPG370" s="669"/>
      <c r="DPH370" s="117"/>
      <c r="DPJ370" s="440"/>
      <c r="DPK370" s="277"/>
      <c r="DPL370" s="261"/>
      <c r="DPM370" s="118"/>
      <c r="DPN370" s="219"/>
      <c r="DPO370" s="247"/>
      <c r="DPP370" s="669"/>
      <c r="DPQ370" s="117"/>
      <c r="DPS370" s="440"/>
      <c r="DPT370" s="277"/>
      <c r="DPU370" s="261"/>
      <c r="DPV370" s="118"/>
      <c r="DPW370" s="219"/>
      <c r="DPX370" s="247"/>
      <c r="DPY370" s="669"/>
      <c r="DPZ370" s="117"/>
      <c r="DQB370" s="440"/>
      <c r="DQC370" s="277"/>
      <c r="DQD370" s="261"/>
      <c r="DQE370" s="118"/>
      <c r="DQF370" s="219"/>
      <c r="DQG370" s="247"/>
      <c r="DQH370" s="669"/>
      <c r="DQI370" s="117"/>
      <c r="DQK370" s="440"/>
      <c r="DQL370" s="277"/>
      <c r="DQM370" s="261"/>
      <c r="DQN370" s="118"/>
      <c r="DQO370" s="219"/>
      <c r="DQP370" s="247"/>
      <c r="DQQ370" s="669"/>
      <c r="DQR370" s="117"/>
      <c r="DQT370" s="440"/>
      <c r="DQU370" s="277"/>
      <c r="DQV370" s="261"/>
      <c r="DQW370" s="118"/>
      <c r="DQX370" s="219"/>
      <c r="DQY370" s="247"/>
      <c r="DQZ370" s="669"/>
      <c r="DRA370" s="117"/>
      <c r="DRC370" s="440"/>
      <c r="DRD370" s="277"/>
      <c r="DRE370" s="261"/>
      <c r="DRF370" s="118"/>
      <c r="DRG370" s="219"/>
      <c r="DRH370" s="247"/>
      <c r="DRI370" s="669"/>
      <c r="DRJ370" s="117"/>
      <c r="DRL370" s="440"/>
      <c r="DRM370" s="277"/>
      <c r="DRN370" s="261"/>
      <c r="DRO370" s="118"/>
      <c r="DRP370" s="219"/>
      <c r="DRQ370" s="247"/>
      <c r="DRR370" s="669"/>
      <c r="DRS370" s="117"/>
      <c r="DRU370" s="440"/>
      <c r="DRV370" s="277"/>
      <c r="DRW370" s="261"/>
      <c r="DRX370" s="118"/>
      <c r="DRY370" s="219"/>
      <c r="DRZ370" s="247"/>
      <c r="DSA370" s="669"/>
      <c r="DSB370" s="117"/>
      <c r="DSD370" s="440"/>
      <c r="DSE370" s="277"/>
      <c r="DSF370" s="261"/>
      <c r="DSG370" s="118"/>
      <c r="DSH370" s="219"/>
      <c r="DSI370" s="247"/>
      <c r="DSJ370" s="669"/>
      <c r="DSK370" s="117"/>
      <c r="DSM370" s="440"/>
      <c r="DSN370" s="277"/>
      <c r="DSO370" s="261"/>
      <c r="DSP370" s="118"/>
      <c r="DSQ370" s="219"/>
      <c r="DSR370" s="247"/>
      <c r="DSS370" s="669"/>
      <c r="DST370" s="117"/>
      <c r="DSV370" s="440"/>
      <c r="DSW370" s="277"/>
      <c r="DSX370" s="261"/>
      <c r="DSY370" s="118"/>
      <c r="DSZ370" s="219"/>
      <c r="DTA370" s="247"/>
      <c r="DTB370" s="669"/>
      <c r="DTC370" s="117"/>
      <c r="DTE370" s="440"/>
      <c r="DTF370" s="277"/>
      <c r="DTG370" s="261"/>
      <c r="DTH370" s="118"/>
      <c r="DTI370" s="219"/>
      <c r="DTJ370" s="247"/>
      <c r="DTK370" s="669"/>
      <c r="DTL370" s="117"/>
      <c r="DTN370" s="440"/>
      <c r="DTO370" s="277"/>
      <c r="DTP370" s="261"/>
      <c r="DTQ370" s="118"/>
      <c r="DTR370" s="219"/>
      <c r="DTS370" s="247"/>
      <c r="DTT370" s="669"/>
      <c r="DTU370" s="117"/>
      <c r="DTW370" s="440"/>
      <c r="DTX370" s="277"/>
      <c r="DTY370" s="261"/>
      <c r="DTZ370" s="118"/>
      <c r="DUA370" s="219"/>
      <c r="DUB370" s="247"/>
      <c r="DUC370" s="669"/>
      <c r="DUD370" s="117"/>
      <c r="DUF370" s="440"/>
      <c r="DUG370" s="277"/>
      <c r="DUH370" s="261"/>
      <c r="DUI370" s="118"/>
      <c r="DUJ370" s="219"/>
      <c r="DUK370" s="247"/>
      <c r="DUL370" s="669"/>
      <c r="DUM370" s="117"/>
      <c r="DUO370" s="440"/>
      <c r="DUP370" s="277"/>
      <c r="DUQ370" s="261"/>
      <c r="DUR370" s="118"/>
      <c r="DUS370" s="219"/>
      <c r="DUT370" s="247"/>
      <c r="DUU370" s="669"/>
      <c r="DUV370" s="117"/>
      <c r="DUX370" s="440"/>
      <c r="DUY370" s="277"/>
      <c r="DUZ370" s="261"/>
      <c r="DVA370" s="118"/>
      <c r="DVB370" s="219"/>
      <c r="DVC370" s="247"/>
      <c r="DVD370" s="669"/>
      <c r="DVE370" s="117"/>
      <c r="DVG370" s="440"/>
      <c r="DVH370" s="277"/>
      <c r="DVI370" s="261"/>
      <c r="DVJ370" s="118"/>
      <c r="DVK370" s="219"/>
      <c r="DVL370" s="247"/>
      <c r="DVM370" s="669"/>
      <c r="DVN370" s="117"/>
      <c r="DVP370" s="440"/>
      <c r="DVQ370" s="277"/>
      <c r="DVR370" s="261"/>
      <c r="DVS370" s="118"/>
      <c r="DVT370" s="219"/>
      <c r="DVU370" s="247"/>
      <c r="DVV370" s="669"/>
      <c r="DVW370" s="117"/>
      <c r="DVY370" s="440"/>
      <c r="DVZ370" s="277"/>
      <c r="DWA370" s="261"/>
      <c r="DWB370" s="118"/>
      <c r="DWC370" s="219"/>
      <c r="DWD370" s="247"/>
      <c r="DWE370" s="669"/>
      <c r="DWF370" s="117"/>
      <c r="DWH370" s="440"/>
      <c r="DWI370" s="277"/>
      <c r="DWJ370" s="261"/>
      <c r="DWK370" s="118"/>
      <c r="DWL370" s="219"/>
      <c r="DWM370" s="247"/>
      <c r="DWN370" s="669"/>
      <c r="DWO370" s="117"/>
      <c r="DWQ370" s="440"/>
      <c r="DWR370" s="277"/>
      <c r="DWS370" s="261"/>
      <c r="DWT370" s="118"/>
      <c r="DWU370" s="219"/>
      <c r="DWV370" s="247"/>
      <c r="DWW370" s="669"/>
      <c r="DWX370" s="117"/>
      <c r="DWZ370" s="440"/>
      <c r="DXA370" s="277"/>
      <c r="DXB370" s="261"/>
      <c r="DXC370" s="118"/>
      <c r="DXD370" s="219"/>
      <c r="DXE370" s="247"/>
      <c r="DXF370" s="669"/>
      <c r="DXG370" s="117"/>
      <c r="DXI370" s="440"/>
      <c r="DXJ370" s="277"/>
      <c r="DXK370" s="261"/>
      <c r="DXL370" s="118"/>
      <c r="DXM370" s="219"/>
      <c r="DXN370" s="247"/>
      <c r="DXO370" s="669"/>
      <c r="DXP370" s="117"/>
      <c r="DXR370" s="440"/>
      <c r="DXS370" s="277"/>
      <c r="DXT370" s="261"/>
      <c r="DXU370" s="118"/>
      <c r="DXV370" s="219"/>
      <c r="DXW370" s="247"/>
      <c r="DXX370" s="669"/>
      <c r="DXY370" s="117"/>
      <c r="DYA370" s="440"/>
      <c r="DYB370" s="277"/>
      <c r="DYC370" s="261"/>
      <c r="DYD370" s="118"/>
      <c r="DYE370" s="219"/>
      <c r="DYF370" s="247"/>
      <c r="DYG370" s="669"/>
      <c r="DYH370" s="117"/>
      <c r="DYJ370" s="440"/>
      <c r="DYK370" s="277"/>
      <c r="DYL370" s="261"/>
      <c r="DYM370" s="118"/>
      <c r="DYN370" s="219"/>
      <c r="DYO370" s="247"/>
      <c r="DYP370" s="669"/>
      <c r="DYQ370" s="117"/>
      <c r="DYS370" s="440"/>
      <c r="DYT370" s="277"/>
      <c r="DYU370" s="261"/>
      <c r="DYV370" s="118"/>
      <c r="DYW370" s="219"/>
      <c r="DYX370" s="247"/>
      <c r="DYY370" s="669"/>
      <c r="DYZ370" s="117"/>
      <c r="DZB370" s="440"/>
      <c r="DZC370" s="277"/>
      <c r="DZD370" s="261"/>
      <c r="DZE370" s="118"/>
      <c r="DZF370" s="219"/>
      <c r="DZG370" s="247"/>
      <c r="DZH370" s="669"/>
      <c r="DZI370" s="117"/>
      <c r="DZK370" s="440"/>
      <c r="DZL370" s="277"/>
      <c r="DZM370" s="261"/>
      <c r="DZN370" s="118"/>
      <c r="DZO370" s="219"/>
      <c r="DZP370" s="247"/>
      <c r="DZQ370" s="669"/>
      <c r="DZR370" s="117"/>
      <c r="DZT370" s="440"/>
      <c r="DZU370" s="277"/>
      <c r="DZV370" s="261"/>
      <c r="DZW370" s="118"/>
      <c r="DZX370" s="219"/>
      <c r="DZY370" s="247"/>
      <c r="DZZ370" s="669"/>
      <c r="EAA370" s="117"/>
      <c r="EAC370" s="440"/>
      <c r="EAD370" s="277"/>
      <c r="EAE370" s="261"/>
      <c r="EAF370" s="118"/>
      <c r="EAG370" s="219"/>
      <c r="EAH370" s="247"/>
      <c r="EAI370" s="669"/>
      <c r="EAJ370" s="117"/>
      <c r="EAL370" s="440"/>
      <c r="EAM370" s="277"/>
      <c r="EAN370" s="261"/>
      <c r="EAO370" s="118"/>
      <c r="EAP370" s="219"/>
      <c r="EAQ370" s="247"/>
      <c r="EAR370" s="669"/>
      <c r="EAS370" s="117"/>
      <c r="EAU370" s="440"/>
      <c r="EAV370" s="277"/>
      <c r="EAW370" s="261"/>
      <c r="EAX370" s="118"/>
      <c r="EAY370" s="219"/>
      <c r="EAZ370" s="247"/>
      <c r="EBA370" s="669"/>
      <c r="EBB370" s="117"/>
      <c r="EBD370" s="440"/>
      <c r="EBE370" s="277"/>
      <c r="EBF370" s="261"/>
      <c r="EBG370" s="118"/>
      <c r="EBH370" s="219"/>
      <c r="EBI370" s="247"/>
      <c r="EBJ370" s="669"/>
      <c r="EBK370" s="117"/>
      <c r="EBM370" s="440"/>
      <c r="EBN370" s="277"/>
      <c r="EBO370" s="261"/>
      <c r="EBP370" s="118"/>
      <c r="EBQ370" s="219"/>
      <c r="EBR370" s="247"/>
      <c r="EBS370" s="669"/>
      <c r="EBT370" s="117"/>
      <c r="EBV370" s="440"/>
      <c r="EBW370" s="277"/>
      <c r="EBX370" s="261"/>
      <c r="EBY370" s="118"/>
      <c r="EBZ370" s="219"/>
      <c r="ECA370" s="247"/>
      <c r="ECB370" s="669"/>
      <c r="ECC370" s="117"/>
      <c r="ECE370" s="440"/>
      <c r="ECF370" s="277"/>
      <c r="ECG370" s="261"/>
      <c r="ECH370" s="118"/>
      <c r="ECI370" s="219"/>
      <c r="ECJ370" s="247"/>
      <c r="ECK370" s="669"/>
      <c r="ECL370" s="117"/>
      <c r="ECN370" s="440"/>
      <c r="ECO370" s="277"/>
      <c r="ECP370" s="261"/>
      <c r="ECQ370" s="118"/>
      <c r="ECR370" s="219"/>
      <c r="ECS370" s="247"/>
      <c r="ECT370" s="669"/>
      <c r="ECU370" s="117"/>
      <c r="ECW370" s="440"/>
      <c r="ECX370" s="277"/>
      <c r="ECY370" s="261"/>
      <c r="ECZ370" s="118"/>
      <c r="EDA370" s="219"/>
      <c r="EDB370" s="247"/>
      <c r="EDC370" s="669"/>
      <c r="EDD370" s="117"/>
      <c r="EDF370" s="440"/>
      <c r="EDG370" s="277"/>
      <c r="EDH370" s="261"/>
      <c r="EDI370" s="118"/>
      <c r="EDJ370" s="219"/>
      <c r="EDK370" s="247"/>
      <c r="EDL370" s="669"/>
      <c r="EDM370" s="117"/>
      <c r="EDO370" s="440"/>
      <c r="EDP370" s="277"/>
      <c r="EDQ370" s="261"/>
      <c r="EDR370" s="118"/>
      <c r="EDS370" s="219"/>
      <c r="EDT370" s="247"/>
      <c r="EDU370" s="669"/>
      <c r="EDV370" s="117"/>
      <c r="EDX370" s="440"/>
      <c r="EDY370" s="277"/>
      <c r="EDZ370" s="261"/>
      <c r="EEA370" s="118"/>
      <c r="EEB370" s="219"/>
      <c r="EEC370" s="247"/>
      <c r="EED370" s="669"/>
      <c r="EEE370" s="117"/>
      <c r="EEG370" s="440"/>
      <c r="EEH370" s="277"/>
      <c r="EEI370" s="261"/>
      <c r="EEJ370" s="118"/>
      <c r="EEK370" s="219"/>
      <c r="EEL370" s="247"/>
      <c r="EEM370" s="669"/>
      <c r="EEN370" s="117"/>
      <c r="EEP370" s="440"/>
      <c r="EEQ370" s="277"/>
      <c r="EER370" s="261"/>
      <c r="EES370" s="118"/>
      <c r="EET370" s="219"/>
      <c r="EEU370" s="247"/>
      <c r="EEV370" s="669"/>
      <c r="EEW370" s="117"/>
      <c r="EEY370" s="440"/>
      <c r="EEZ370" s="277"/>
      <c r="EFA370" s="261"/>
      <c r="EFB370" s="118"/>
      <c r="EFC370" s="219"/>
      <c r="EFD370" s="247"/>
      <c r="EFE370" s="669"/>
      <c r="EFF370" s="117"/>
      <c r="EFH370" s="440"/>
      <c r="EFI370" s="277"/>
      <c r="EFJ370" s="261"/>
      <c r="EFK370" s="118"/>
      <c r="EFL370" s="219"/>
      <c r="EFM370" s="247"/>
      <c r="EFN370" s="669"/>
      <c r="EFO370" s="117"/>
      <c r="EFQ370" s="440"/>
      <c r="EFR370" s="277"/>
      <c r="EFS370" s="261"/>
      <c r="EFT370" s="118"/>
      <c r="EFU370" s="219"/>
      <c r="EFV370" s="247"/>
      <c r="EFW370" s="669"/>
      <c r="EFX370" s="117"/>
      <c r="EFZ370" s="440"/>
      <c r="EGA370" s="277"/>
      <c r="EGB370" s="261"/>
      <c r="EGC370" s="118"/>
      <c r="EGD370" s="219"/>
      <c r="EGE370" s="247"/>
      <c r="EGF370" s="669"/>
      <c r="EGG370" s="117"/>
      <c r="EGI370" s="440"/>
      <c r="EGJ370" s="277"/>
      <c r="EGK370" s="261"/>
      <c r="EGL370" s="118"/>
      <c r="EGM370" s="219"/>
      <c r="EGN370" s="247"/>
      <c r="EGO370" s="669"/>
      <c r="EGP370" s="117"/>
      <c r="EGR370" s="440"/>
      <c r="EGS370" s="277"/>
      <c r="EGT370" s="261"/>
      <c r="EGU370" s="118"/>
      <c r="EGV370" s="219"/>
      <c r="EGW370" s="247"/>
      <c r="EGX370" s="669"/>
      <c r="EGY370" s="117"/>
      <c r="EHA370" s="440"/>
      <c r="EHB370" s="277"/>
      <c r="EHC370" s="261"/>
      <c r="EHD370" s="118"/>
      <c r="EHE370" s="219"/>
      <c r="EHF370" s="247"/>
      <c r="EHG370" s="669"/>
      <c r="EHH370" s="117"/>
      <c r="EHJ370" s="440"/>
      <c r="EHK370" s="277"/>
      <c r="EHL370" s="261"/>
      <c r="EHM370" s="118"/>
      <c r="EHN370" s="219"/>
      <c r="EHO370" s="247"/>
      <c r="EHP370" s="669"/>
      <c r="EHQ370" s="117"/>
      <c r="EHS370" s="440"/>
      <c r="EHT370" s="277"/>
      <c r="EHU370" s="261"/>
      <c r="EHV370" s="118"/>
      <c r="EHW370" s="219"/>
      <c r="EHX370" s="247"/>
      <c r="EHY370" s="669"/>
      <c r="EHZ370" s="117"/>
      <c r="EIB370" s="440"/>
      <c r="EIC370" s="277"/>
      <c r="EID370" s="261"/>
      <c r="EIE370" s="118"/>
      <c r="EIF370" s="219"/>
      <c r="EIG370" s="247"/>
      <c r="EIH370" s="669"/>
      <c r="EII370" s="117"/>
      <c r="EIK370" s="440"/>
      <c r="EIL370" s="277"/>
      <c r="EIM370" s="261"/>
      <c r="EIN370" s="118"/>
      <c r="EIO370" s="219"/>
      <c r="EIP370" s="247"/>
      <c r="EIQ370" s="669"/>
      <c r="EIR370" s="117"/>
      <c r="EIT370" s="440"/>
      <c r="EIU370" s="277"/>
      <c r="EIV370" s="261"/>
      <c r="EIW370" s="118"/>
      <c r="EIX370" s="219"/>
      <c r="EIY370" s="247"/>
      <c r="EIZ370" s="669"/>
      <c r="EJA370" s="117"/>
      <c r="EJC370" s="440"/>
      <c r="EJD370" s="277"/>
      <c r="EJE370" s="261"/>
      <c r="EJF370" s="118"/>
      <c r="EJG370" s="219"/>
      <c r="EJH370" s="247"/>
      <c r="EJI370" s="669"/>
      <c r="EJJ370" s="117"/>
      <c r="EJL370" s="440"/>
      <c r="EJM370" s="277"/>
      <c r="EJN370" s="261"/>
      <c r="EJO370" s="118"/>
      <c r="EJP370" s="219"/>
      <c r="EJQ370" s="247"/>
      <c r="EJR370" s="669"/>
      <c r="EJS370" s="117"/>
      <c r="EJU370" s="440"/>
      <c r="EJV370" s="277"/>
      <c r="EJW370" s="261"/>
      <c r="EJX370" s="118"/>
      <c r="EJY370" s="219"/>
      <c r="EJZ370" s="247"/>
      <c r="EKA370" s="669"/>
      <c r="EKB370" s="117"/>
      <c r="EKD370" s="440"/>
      <c r="EKE370" s="277"/>
      <c r="EKF370" s="261"/>
      <c r="EKG370" s="118"/>
      <c r="EKH370" s="219"/>
      <c r="EKI370" s="247"/>
      <c r="EKJ370" s="669"/>
      <c r="EKK370" s="117"/>
      <c r="EKM370" s="440"/>
      <c r="EKN370" s="277"/>
      <c r="EKO370" s="261"/>
      <c r="EKP370" s="118"/>
      <c r="EKQ370" s="219"/>
      <c r="EKR370" s="247"/>
      <c r="EKS370" s="669"/>
      <c r="EKT370" s="117"/>
      <c r="EKV370" s="440"/>
      <c r="EKW370" s="277"/>
      <c r="EKX370" s="261"/>
      <c r="EKY370" s="118"/>
      <c r="EKZ370" s="219"/>
      <c r="ELA370" s="247"/>
      <c r="ELB370" s="669"/>
      <c r="ELC370" s="117"/>
      <c r="ELE370" s="440"/>
      <c r="ELF370" s="277"/>
      <c r="ELG370" s="261"/>
      <c r="ELH370" s="118"/>
      <c r="ELI370" s="219"/>
      <c r="ELJ370" s="247"/>
      <c r="ELK370" s="669"/>
      <c r="ELL370" s="117"/>
      <c r="ELN370" s="440"/>
      <c r="ELO370" s="277"/>
      <c r="ELP370" s="261"/>
      <c r="ELQ370" s="118"/>
      <c r="ELR370" s="219"/>
      <c r="ELS370" s="247"/>
      <c r="ELT370" s="669"/>
      <c r="ELU370" s="117"/>
      <c r="ELW370" s="440"/>
      <c r="ELX370" s="277"/>
      <c r="ELY370" s="261"/>
      <c r="ELZ370" s="118"/>
      <c r="EMA370" s="219"/>
      <c r="EMB370" s="247"/>
      <c r="EMC370" s="669"/>
      <c r="EMD370" s="117"/>
      <c r="EMF370" s="440"/>
      <c r="EMG370" s="277"/>
      <c r="EMH370" s="261"/>
      <c r="EMI370" s="118"/>
      <c r="EMJ370" s="219"/>
      <c r="EMK370" s="247"/>
      <c r="EML370" s="669"/>
      <c r="EMM370" s="117"/>
      <c r="EMO370" s="440"/>
      <c r="EMP370" s="277"/>
      <c r="EMQ370" s="261"/>
      <c r="EMR370" s="118"/>
      <c r="EMS370" s="219"/>
      <c r="EMT370" s="247"/>
      <c r="EMU370" s="669"/>
      <c r="EMV370" s="117"/>
      <c r="EMX370" s="440"/>
      <c r="EMY370" s="277"/>
      <c r="EMZ370" s="261"/>
      <c r="ENA370" s="118"/>
      <c r="ENB370" s="219"/>
      <c r="ENC370" s="247"/>
      <c r="END370" s="669"/>
      <c r="ENE370" s="117"/>
      <c r="ENG370" s="440"/>
      <c r="ENH370" s="277"/>
      <c r="ENI370" s="261"/>
      <c r="ENJ370" s="118"/>
      <c r="ENK370" s="219"/>
      <c r="ENL370" s="247"/>
      <c r="ENM370" s="669"/>
      <c r="ENN370" s="117"/>
      <c r="ENP370" s="440"/>
      <c r="ENQ370" s="277"/>
      <c r="ENR370" s="261"/>
      <c r="ENS370" s="118"/>
      <c r="ENT370" s="219"/>
      <c r="ENU370" s="247"/>
      <c r="ENV370" s="669"/>
      <c r="ENW370" s="117"/>
      <c r="ENY370" s="440"/>
      <c r="ENZ370" s="277"/>
      <c r="EOA370" s="261"/>
      <c r="EOB370" s="118"/>
      <c r="EOC370" s="219"/>
      <c r="EOD370" s="247"/>
      <c r="EOE370" s="669"/>
      <c r="EOF370" s="117"/>
      <c r="EOH370" s="440"/>
      <c r="EOI370" s="277"/>
      <c r="EOJ370" s="261"/>
      <c r="EOK370" s="118"/>
      <c r="EOL370" s="219"/>
      <c r="EOM370" s="247"/>
      <c r="EON370" s="669"/>
      <c r="EOO370" s="117"/>
      <c r="EOQ370" s="440"/>
      <c r="EOR370" s="277"/>
      <c r="EOS370" s="261"/>
      <c r="EOT370" s="118"/>
      <c r="EOU370" s="219"/>
      <c r="EOV370" s="247"/>
      <c r="EOW370" s="669"/>
      <c r="EOX370" s="117"/>
      <c r="EOZ370" s="440"/>
      <c r="EPA370" s="277"/>
      <c r="EPB370" s="261"/>
      <c r="EPC370" s="118"/>
      <c r="EPD370" s="219"/>
      <c r="EPE370" s="247"/>
      <c r="EPF370" s="669"/>
      <c r="EPG370" s="117"/>
      <c r="EPI370" s="440"/>
      <c r="EPJ370" s="277"/>
      <c r="EPK370" s="261"/>
      <c r="EPL370" s="118"/>
      <c r="EPM370" s="219"/>
      <c r="EPN370" s="247"/>
      <c r="EPO370" s="669"/>
      <c r="EPP370" s="117"/>
      <c r="EPR370" s="440"/>
      <c r="EPS370" s="277"/>
      <c r="EPT370" s="261"/>
      <c r="EPU370" s="118"/>
      <c r="EPV370" s="219"/>
      <c r="EPW370" s="247"/>
      <c r="EPX370" s="669"/>
      <c r="EPY370" s="117"/>
      <c r="EQA370" s="440"/>
      <c r="EQB370" s="277"/>
      <c r="EQC370" s="261"/>
      <c r="EQD370" s="118"/>
      <c r="EQE370" s="219"/>
      <c r="EQF370" s="247"/>
      <c r="EQG370" s="669"/>
      <c r="EQH370" s="117"/>
      <c r="EQJ370" s="440"/>
      <c r="EQK370" s="277"/>
      <c r="EQL370" s="261"/>
      <c r="EQM370" s="118"/>
      <c r="EQN370" s="219"/>
      <c r="EQO370" s="247"/>
      <c r="EQP370" s="669"/>
      <c r="EQQ370" s="117"/>
      <c r="EQS370" s="440"/>
      <c r="EQT370" s="277"/>
      <c r="EQU370" s="261"/>
      <c r="EQV370" s="118"/>
      <c r="EQW370" s="219"/>
      <c r="EQX370" s="247"/>
      <c r="EQY370" s="669"/>
      <c r="EQZ370" s="117"/>
      <c r="ERB370" s="440"/>
      <c r="ERC370" s="277"/>
      <c r="ERD370" s="261"/>
      <c r="ERE370" s="118"/>
      <c r="ERF370" s="219"/>
      <c r="ERG370" s="247"/>
      <c r="ERH370" s="669"/>
      <c r="ERI370" s="117"/>
      <c r="ERK370" s="440"/>
      <c r="ERL370" s="277"/>
      <c r="ERM370" s="261"/>
      <c r="ERN370" s="118"/>
      <c r="ERO370" s="219"/>
      <c r="ERP370" s="247"/>
      <c r="ERQ370" s="669"/>
      <c r="ERR370" s="117"/>
      <c r="ERT370" s="440"/>
      <c r="ERU370" s="277"/>
      <c r="ERV370" s="261"/>
      <c r="ERW370" s="118"/>
      <c r="ERX370" s="219"/>
      <c r="ERY370" s="247"/>
      <c r="ERZ370" s="669"/>
      <c r="ESA370" s="117"/>
      <c r="ESC370" s="440"/>
      <c r="ESD370" s="277"/>
      <c r="ESE370" s="261"/>
      <c r="ESF370" s="118"/>
      <c r="ESG370" s="219"/>
      <c r="ESH370" s="247"/>
      <c r="ESI370" s="669"/>
      <c r="ESJ370" s="117"/>
      <c r="ESL370" s="440"/>
      <c r="ESM370" s="277"/>
      <c r="ESN370" s="261"/>
      <c r="ESO370" s="118"/>
      <c r="ESP370" s="219"/>
      <c r="ESQ370" s="247"/>
      <c r="ESR370" s="669"/>
      <c r="ESS370" s="117"/>
      <c r="ESU370" s="440"/>
      <c r="ESV370" s="277"/>
      <c r="ESW370" s="261"/>
      <c r="ESX370" s="118"/>
      <c r="ESY370" s="219"/>
      <c r="ESZ370" s="247"/>
      <c r="ETA370" s="669"/>
      <c r="ETB370" s="117"/>
      <c r="ETD370" s="440"/>
      <c r="ETE370" s="277"/>
      <c r="ETF370" s="261"/>
      <c r="ETG370" s="118"/>
      <c r="ETH370" s="219"/>
      <c r="ETI370" s="247"/>
      <c r="ETJ370" s="669"/>
      <c r="ETK370" s="117"/>
      <c r="ETM370" s="440"/>
      <c r="ETN370" s="277"/>
      <c r="ETO370" s="261"/>
      <c r="ETP370" s="118"/>
      <c r="ETQ370" s="219"/>
      <c r="ETR370" s="247"/>
      <c r="ETS370" s="669"/>
      <c r="ETT370" s="117"/>
      <c r="ETV370" s="440"/>
      <c r="ETW370" s="277"/>
      <c r="ETX370" s="261"/>
      <c r="ETY370" s="118"/>
      <c r="ETZ370" s="219"/>
      <c r="EUA370" s="247"/>
      <c r="EUB370" s="669"/>
      <c r="EUC370" s="117"/>
      <c r="EUE370" s="440"/>
      <c r="EUF370" s="277"/>
      <c r="EUG370" s="261"/>
      <c r="EUH370" s="118"/>
      <c r="EUI370" s="219"/>
      <c r="EUJ370" s="247"/>
      <c r="EUK370" s="669"/>
      <c r="EUL370" s="117"/>
      <c r="EUN370" s="440"/>
      <c r="EUO370" s="277"/>
      <c r="EUP370" s="261"/>
      <c r="EUQ370" s="118"/>
      <c r="EUR370" s="219"/>
      <c r="EUS370" s="247"/>
      <c r="EUT370" s="669"/>
      <c r="EUU370" s="117"/>
      <c r="EUW370" s="440"/>
      <c r="EUX370" s="277"/>
      <c r="EUY370" s="261"/>
      <c r="EUZ370" s="118"/>
      <c r="EVA370" s="219"/>
      <c r="EVB370" s="247"/>
      <c r="EVC370" s="669"/>
      <c r="EVD370" s="117"/>
      <c r="EVF370" s="440"/>
      <c r="EVG370" s="277"/>
      <c r="EVH370" s="261"/>
      <c r="EVI370" s="118"/>
      <c r="EVJ370" s="219"/>
      <c r="EVK370" s="247"/>
      <c r="EVL370" s="669"/>
      <c r="EVM370" s="117"/>
      <c r="EVO370" s="440"/>
      <c r="EVP370" s="277"/>
      <c r="EVQ370" s="261"/>
      <c r="EVR370" s="118"/>
      <c r="EVS370" s="219"/>
      <c r="EVT370" s="247"/>
      <c r="EVU370" s="669"/>
      <c r="EVV370" s="117"/>
      <c r="EVX370" s="440"/>
      <c r="EVY370" s="277"/>
      <c r="EVZ370" s="261"/>
      <c r="EWA370" s="118"/>
      <c r="EWB370" s="219"/>
      <c r="EWC370" s="247"/>
      <c r="EWD370" s="669"/>
      <c r="EWE370" s="117"/>
      <c r="EWG370" s="440"/>
      <c r="EWH370" s="277"/>
      <c r="EWI370" s="261"/>
      <c r="EWJ370" s="118"/>
      <c r="EWK370" s="219"/>
      <c r="EWL370" s="247"/>
      <c r="EWM370" s="669"/>
      <c r="EWN370" s="117"/>
      <c r="EWP370" s="440"/>
      <c r="EWQ370" s="277"/>
      <c r="EWR370" s="261"/>
      <c r="EWS370" s="118"/>
      <c r="EWT370" s="219"/>
      <c r="EWU370" s="247"/>
      <c r="EWV370" s="669"/>
      <c r="EWW370" s="117"/>
      <c r="EWY370" s="440"/>
      <c r="EWZ370" s="277"/>
      <c r="EXA370" s="261"/>
      <c r="EXB370" s="118"/>
      <c r="EXC370" s="219"/>
      <c r="EXD370" s="247"/>
      <c r="EXE370" s="669"/>
      <c r="EXF370" s="117"/>
      <c r="EXH370" s="440"/>
      <c r="EXI370" s="277"/>
      <c r="EXJ370" s="261"/>
      <c r="EXK370" s="118"/>
      <c r="EXL370" s="219"/>
      <c r="EXM370" s="247"/>
      <c r="EXN370" s="669"/>
      <c r="EXO370" s="117"/>
      <c r="EXQ370" s="440"/>
      <c r="EXR370" s="277"/>
      <c r="EXS370" s="261"/>
      <c r="EXT370" s="118"/>
      <c r="EXU370" s="219"/>
      <c r="EXV370" s="247"/>
      <c r="EXW370" s="669"/>
      <c r="EXX370" s="117"/>
      <c r="EXZ370" s="440"/>
      <c r="EYA370" s="277"/>
      <c r="EYB370" s="261"/>
      <c r="EYC370" s="118"/>
      <c r="EYD370" s="219"/>
      <c r="EYE370" s="247"/>
      <c r="EYF370" s="669"/>
      <c r="EYG370" s="117"/>
      <c r="EYI370" s="440"/>
      <c r="EYJ370" s="277"/>
      <c r="EYK370" s="261"/>
      <c r="EYL370" s="118"/>
      <c r="EYM370" s="219"/>
      <c r="EYN370" s="247"/>
      <c r="EYO370" s="669"/>
      <c r="EYP370" s="117"/>
      <c r="EYR370" s="440"/>
      <c r="EYS370" s="277"/>
      <c r="EYT370" s="261"/>
      <c r="EYU370" s="118"/>
      <c r="EYV370" s="219"/>
      <c r="EYW370" s="247"/>
      <c r="EYX370" s="669"/>
      <c r="EYY370" s="117"/>
      <c r="EZA370" s="440"/>
      <c r="EZB370" s="277"/>
      <c r="EZC370" s="261"/>
      <c r="EZD370" s="118"/>
      <c r="EZE370" s="219"/>
      <c r="EZF370" s="247"/>
      <c r="EZG370" s="669"/>
      <c r="EZH370" s="117"/>
      <c r="EZJ370" s="440"/>
      <c r="EZK370" s="277"/>
      <c r="EZL370" s="261"/>
      <c r="EZM370" s="118"/>
      <c r="EZN370" s="219"/>
      <c r="EZO370" s="247"/>
      <c r="EZP370" s="669"/>
      <c r="EZQ370" s="117"/>
      <c r="EZS370" s="440"/>
      <c r="EZT370" s="277"/>
      <c r="EZU370" s="261"/>
      <c r="EZV370" s="118"/>
      <c r="EZW370" s="219"/>
      <c r="EZX370" s="247"/>
      <c r="EZY370" s="669"/>
      <c r="EZZ370" s="117"/>
      <c r="FAB370" s="440"/>
      <c r="FAC370" s="277"/>
      <c r="FAD370" s="261"/>
      <c r="FAE370" s="118"/>
      <c r="FAF370" s="219"/>
      <c r="FAG370" s="247"/>
      <c r="FAH370" s="669"/>
      <c r="FAI370" s="117"/>
      <c r="FAK370" s="440"/>
      <c r="FAL370" s="277"/>
      <c r="FAM370" s="261"/>
      <c r="FAN370" s="118"/>
      <c r="FAO370" s="219"/>
      <c r="FAP370" s="247"/>
      <c r="FAQ370" s="669"/>
      <c r="FAR370" s="117"/>
      <c r="FAT370" s="440"/>
      <c r="FAU370" s="277"/>
      <c r="FAV370" s="261"/>
      <c r="FAW370" s="118"/>
      <c r="FAX370" s="219"/>
      <c r="FAY370" s="247"/>
      <c r="FAZ370" s="669"/>
      <c r="FBA370" s="117"/>
      <c r="FBC370" s="440"/>
      <c r="FBD370" s="277"/>
      <c r="FBE370" s="261"/>
      <c r="FBF370" s="118"/>
      <c r="FBG370" s="219"/>
      <c r="FBH370" s="247"/>
      <c r="FBI370" s="669"/>
      <c r="FBJ370" s="117"/>
      <c r="FBL370" s="440"/>
      <c r="FBM370" s="277"/>
      <c r="FBN370" s="261"/>
      <c r="FBO370" s="118"/>
      <c r="FBP370" s="219"/>
      <c r="FBQ370" s="247"/>
      <c r="FBR370" s="669"/>
      <c r="FBS370" s="117"/>
      <c r="FBU370" s="440"/>
      <c r="FBV370" s="277"/>
      <c r="FBW370" s="261"/>
      <c r="FBX370" s="118"/>
      <c r="FBY370" s="219"/>
      <c r="FBZ370" s="247"/>
      <c r="FCA370" s="669"/>
      <c r="FCB370" s="117"/>
      <c r="FCD370" s="440"/>
      <c r="FCE370" s="277"/>
      <c r="FCF370" s="261"/>
      <c r="FCG370" s="118"/>
      <c r="FCH370" s="219"/>
      <c r="FCI370" s="247"/>
      <c r="FCJ370" s="669"/>
      <c r="FCK370" s="117"/>
      <c r="FCM370" s="440"/>
      <c r="FCN370" s="277"/>
      <c r="FCO370" s="261"/>
      <c r="FCP370" s="118"/>
      <c r="FCQ370" s="219"/>
      <c r="FCR370" s="247"/>
      <c r="FCS370" s="669"/>
      <c r="FCT370" s="117"/>
      <c r="FCV370" s="440"/>
      <c r="FCW370" s="277"/>
      <c r="FCX370" s="261"/>
      <c r="FCY370" s="118"/>
      <c r="FCZ370" s="219"/>
      <c r="FDA370" s="247"/>
      <c r="FDB370" s="669"/>
      <c r="FDC370" s="117"/>
      <c r="FDE370" s="440"/>
      <c r="FDF370" s="277"/>
      <c r="FDG370" s="261"/>
      <c r="FDH370" s="118"/>
      <c r="FDI370" s="219"/>
      <c r="FDJ370" s="247"/>
      <c r="FDK370" s="669"/>
      <c r="FDL370" s="117"/>
      <c r="FDN370" s="440"/>
      <c r="FDO370" s="277"/>
      <c r="FDP370" s="261"/>
      <c r="FDQ370" s="118"/>
      <c r="FDR370" s="219"/>
      <c r="FDS370" s="247"/>
      <c r="FDT370" s="669"/>
      <c r="FDU370" s="117"/>
      <c r="FDW370" s="440"/>
      <c r="FDX370" s="277"/>
      <c r="FDY370" s="261"/>
      <c r="FDZ370" s="118"/>
      <c r="FEA370" s="219"/>
      <c r="FEB370" s="247"/>
      <c r="FEC370" s="669"/>
      <c r="FED370" s="117"/>
      <c r="FEF370" s="440"/>
      <c r="FEG370" s="277"/>
      <c r="FEH370" s="261"/>
      <c r="FEI370" s="118"/>
      <c r="FEJ370" s="219"/>
      <c r="FEK370" s="247"/>
      <c r="FEL370" s="669"/>
      <c r="FEM370" s="117"/>
      <c r="FEO370" s="440"/>
      <c r="FEP370" s="277"/>
      <c r="FEQ370" s="261"/>
      <c r="FER370" s="118"/>
      <c r="FES370" s="219"/>
      <c r="FET370" s="247"/>
      <c r="FEU370" s="669"/>
      <c r="FEV370" s="117"/>
      <c r="FEX370" s="440"/>
      <c r="FEY370" s="277"/>
      <c r="FEZ370" s="261"/>
      <c r="FFA370" s="118"/>
      <c r="FFB370" s="219"/>
      <c r="FFC370" s="247"/>
      <c r="FFD370" s="669"/>
      <c r="FFE370" s="117"/>
      <c r="FFG370" s="440"/>
      <c r="FFH370" s="277"/>
      <c r="FFI370" s="261"/>
      <c r="FFJ370" s="118"/>
      <c r="FFK370" s="219"/>
      <c r="FFL370" s="247"/>
      <c r="FFM370" s="669"/>
      <c r="FFN370" s="117"/>
      <c r="FFP370" s="440"/>
      <c r="FFQ370" s="277"/>
      <c r="FFR370" s="261"/>
      <c r="FFS370" s="118"/>
      <c r="FFT370" s="219"/>
      <c r="FFU370" s="247"/>
      <c r="FFV370" s="669"/>
      <c r="FFW370" s="117"/>
      <c r="FFY370" s="440"/>
      <c r="FFZ370" s="277"/>
      <c r="FGA370" s="261"/>
      <c r="FGB370" s="118"/>
      <c r="FGC370" s="219"/>
      <c r="FGD370" s="247"/>
      <c r="FGE370" s="669"/>
      <c r="FGF370" s="117"/>
      <c r="FGH370" s="440"/>
      <c r="FGI370" s="277"/>
      <c r="FGJ370" s="261"/>
      <c r="FGK370" s="118"/>
      <c r="FGL370" s="219"/>
      <c r="FGM370" s="247"/>
      <c r="FGN370" s="669"/>
      <c r="FGO370" s="117"/>
      <c r="FGQ370" s="440"/>
      <c r="FGR370" s="277"/>
      <c r="FGS370" s="261"/>
      <c r="FGT370" s="118"/>
      <c r="FGU370" s="219"/>
      <c r="FGV370" s="247"/>
      <c r="FGW370" s="669"/>
      <c r="FGX370" s="117"/>
      <c r="FGZ370" s="440"/>
      <c r="FHA370" s="277"/>
      <c r="FHB370" s="261"/>
      <c r="FHC370" s="118"/>
      <c r="FHD370" s="219"/>
      <c r="FHE370" s="247"/>
      <c r="FHF370" s="669"/>
      <c r="FHG370" s="117"/>
      <c r="FHI370" s="440"/>
      <c r="FHJ370" s="277"/>
      <c r="FHK370" s="261"/>
      <c r="FHL370" s="118"/>
      <c r="FHM370" s="219"/>
      <c r="FHN370" s="247"/>
      <c r="FHO370" s="669"/>
      <c r="FHP370" s="117"/>
      <c r="FHR370" s="440"/>
      <c r="FHS370" s="277"/>
      <c r="FHT370" s="261"/>
      <c r="FHU370" s="118"/>
      <c r="FHV370" s="219"/>
      <c r="FHW370" s="247"/>
      <c r="FHX370" s="669"/>
      <c r="FHY370" s="117"/>
      <c r="FIA370" s="440"/>
      <c r="FIB370" s="277"/>
      <c r="FIC370" s="261"/>
      <c r="FID370" s="118"/>
      <c r="FIE370" s="219"/>
      <c r="FIF370" s="247"/>
      <c r="FIG370" s="669"/>
      <c r="FIH370" s="117"/>
      <c r="FIJ370" s="440"/>
      <c r="FIK370" s="277"/>
      <c r="FIL370" s="261"/>
      <c r="FIM370" s="118"/>
      <c r="FIN370" s="219"/>
      <c r="FIO370" s="247"/>
      <c r="FIP370" s="669"/>
      <c r="FIQ370" s="117"/>
      <c r="FIS370" s="440"/>
      <c r="FIT370" s="277"/>
      <c r="FIU370" s="261"/>
      <c r="FIV370" s="118"/>
      <c r="FIW370" s="219"/>
      <c r="FIX370" s="247"/>
      <c r="FIY370" s="669"/>
      <c r="FIZ370" s="117"/>
      <c r="FJB370" s="440"/>
      <c r="FJC370" s="277"/>
      <c r="FJD370" s="261"/>
      <c r="FJE370" s="118"/>
      <c r="FJF370" s="219"/>
      <c r="FJG370" s="247"/>
      <c r="FJH370" s="669"/>
      <c r="FJI370" s="117"/>
      <c r="FJK370" s="440"/>
      <c r="FJL370" s="277"/>
      <c r="FJM370" s="261"/>
      <c r="FJN370" s="118"/>
      <c r="FJO370" s="219"/>
      <c r="FJP370" s="247"/>
      <c r="FJQ370" s="669"/>
      <c r="FJR370" s="117"/>
      <c r="FJT370" s="440"/>
      <c r="FJU370" s="277"/>
      <c r="FJV370" s="261"/>
      <c r="FJW370" s="118"/>
      <c r="FJX370" s="219"/>
      <c r="FJY370" s="247"/>
      <c r="FJZ370" s="669"/>
      <c r="FKA370" s="117"/>
      <c r="FKC370" s="440"/>
      <c r="FKD370" s="277"/>
      <c r="FKE370" s="261"/>
      <c r="FKF370" s="118"/>
      <c r="FKG370" s="219"/>
      <c r="FKH370" s="247"/>
      <c r="FKI370" s="669"/>
      <c r="FKJ370" s="117"/>
      <c r="FKL370" s="440"/>
      <c r="FKM370" s="277"/>
      <c r="FKN370" s="261"/>
      <c r="FKO370" s="118"/>
      <c r="FKP370" s="219"/>
      <c r="FKQ370" s="247"/>
      <c r="FKR370" s="669"/>
      <c r="FKS370" s="117"/>
      <c r="FKU370" s="440"/>
      <c r="FKV370" s="277"/>
      <c r="FKW370" s="261"/>
      <c r="FKX370" s="118"/>
      <c r="FKY370" s="219"/>
      <c r="FKZ370" s="247"/>
      <c r="FLA370" s="669"/>
      <c r="FLB370" s="117"/>
      <c r="FLD370" s="440"/>
      <c r="FLE370" s="277"/>
      <c r="FLF370" s="261"/>
      <c r="FLG370" s="118"/>
      <c r="FLH370" s="219"/>
      <c r="FLI370" s="247"/>
      <c r="FLJ370" s="669"/>
      <c r="FLK370" s="117"/>
      <c r="FLM370" s="440"/>
      <c r="FLN370" s="277"/>
      <c r="FLO370" s="261"/>
      <c r="FLP370" s="118"/>
      <c r="FLQ370" s="219"/>
      <c r="FLR370" s="247"/>
      <c r="FLS370" s="669"/>
      <c r="FLT370" s="117"/>
      <c r="FLV370" s="440"/>
      <c r="FLW370" s="277"/>
      <c r="FLX370" s="261"/>
      <c r="FLY370" s="118"/>
      <c r="FLZ370" s="219"/>
      <c r="FMA370" s="247"/>
      <c r="FMB370" s="669"/>
      <c r="FMC370" s="117"/>
      <c r="FME370" s="440"/>
      <c r="FMF370" s="277"/>
      <c r="FMG370" s="261"/>
      <c r="FMH370" s="118"/>
      <c r="FMI370" s="219"/>
      <c r="FMJ370" s="247"/>
      <c r="FMK370" s="669"/>
      <c r="FML370" s="117"/>
      <c r="FMN370" s="440"/>
      <c r="FMO370" s="277"/>
      <c r="FMP370" s="261"/>
      <c r="FMQ370" s="118"/>
      <c r="FMR370" s="219"/>
      <c r="FMS370" s="247"/>
      <c r="FMT370" s="669"/>
      <c r="FMU370" s="117"/>
      <c r="FMW370" s="440"/>
      <c r="FMX370" s="277"/>
      <c r="FMY370" s="261"/>
      <c r="FMZ370" s="118"/>
      <c r="FNA370" s="219"/>
      <c r="FNB370" s="247"/>
      <c r="FNC370" s="669"/>
      <c r="FND370" s="117"/>
      <c r="FNF370" s="440"/>
      <c r="FNG370" s="277"/>
      <c r="FNH370" s="261"/>
      <c r="FNI370" s="118"/>
      <c r="FNJ370" s="219"/>
      <c r="FNK370" s="247"/>
      <c r="FNL370" s="669"/>
      <c r="FNM370" s="117"/>
      <c r="FNO370" s="440"/>
      <c r="FNP370" s="277"/>
      <c r="FNQ370" s="261"/>
      <c r="FNR370" s="118"/>
      <c r="FNS370" s="219"/>
      <c r="FNT370" s="247"/>
      <c r="FNU370" s="669"/>
      <c r="FNV370" s="117"/>
      <c r="FNX370" s="440"/>
      <c r="FNY370" s="277"/>
      <c r="FNZ370" s="261"/>
      <c r="FOA370" s="118"/>
      <c r="FOB370" s="219"/>
      <c r="FOC370" s="247"/>
      <c r="FOD370" s="669"/>
      <c r="FOE370" s="117"/>
      <c r="FOG370" s="440"/>
      <c r="FOH370" s="277"/>
      <c r="FOI370" s="261"/>
      <c r="FOJ370" s="118"/>
      <c r="FOK370" s="219"/>
      <c r="FOL370" s="247"/>
      <c r="FOM370" s="669"/>
      <c r="FON370" s="117"/>
      <c r="FOP370" s="440"/>
      <c r="FOQ370" s="277"/>
      <c r="FOR370" s="261"/>
      <c r="FOS370" s="118"/>
      <c r="FOT370" s="219"/>
      <c r="FOU370" s="247"/>
      <c r="FOV370" s="669"/>
      <c r="FOW370" s="117"/>
      <c r="FOY370" s="440"/>
      <c r="FOZ370" s="277"/>
      <c r="FPA370" s="261"/>
      <c r="FPB370" s="118"/>
      <c r="FPC370" s="219"/>
      <c r="FPD370" s="247"/>
      <c r="FPE370" s="669"/>
      <c r="FPF370" s="117"/>
      <c r="FPH370" s="440"/>
      <c r="FPI370" s="277"/>
      <c r="FPJ370" s="261"/>
      <c r="FPK370" s="118"/>
      <c r="FPL370" s="219"/>
      <c r="FPM370" s="247"/>
      <c r="FPN370" s="669"/>
      <c r="FPO370" s="117"/>
      <c r="FPQ370" s="440"/>
      <c r="FPR370" s="277"/>
      <c r="FPS370" s="261"/>
      <c r="FPT370" s="118"/>
      <c r="FPU370" s="219"/>
      <c r="FPV370" s="247"/>
      <c r="FPW370" s="669"/>
      <c r="FPX370" s="117"/>
      <c r="FPZ370" s="440"/>
      <c r="FQA370" s="277"/>
      <c r="FQB370" s="261"/>
      <c r="FQC370" s="118"/>
      <c r="FQD370" s="219"/>
      <c r="FQE370" s="247"/>
      <c r="FQF370" s="669"/>
      <c r="FQG370" s="117"/>
      <c r="FQI370" s="440"/>
      <c r="FQJ370" s="277"/>
      <c r="FQK370" s="261"/>
      <c r="FQL370" s="118"/>
      <c r="FQM370" s="219"/>
      <c r="FQN370" s="247"/>
      <c r="FQO370" s="669"/>
      <c r="FQP370" s="117"/>
      <c r="FQR370" s="440"/>
      <c r="FQS370" s="277"/>
      <c r="FQT370" s="261"/>
      <c r="FQU370" s="118"/>
      <c r="FQV370" s="219"/>
      <c r="FQW370" s="247"/>
      <c r="FQX370" s="669"/>
      <c r="FQY370" s="117"/>
      <c r="FRA370" s="440"/>
      <c r="FRB370" s="277"/>
      <c r="FRC370" s="261"/>
      <c r="FRD370" s="118"/>
      <c r="FRE370" s="219"/>
      <c r="FRF370" s="247"/>
      <c r="FRG370" s="669"/>
      <c r="FRH370" s="117"/>
      <c r="FRJ370" s="440"/>
      <c r="FRK370" s="277"/>
      <c r="FRL370" s="261"/>
      <c r="FRM370" s="118"/>
      <c r="FRN370" s="219"/>
      <c r="FRO370" s="247"/>
      <c r="FRP370" s="669"/>
      <c r="FRQ370" s="117"/>
      <c r="FRS370" s="440"/>
      <c r="FRT370" s="277"/>
      <c r="FRU370" s="261"/>
      <c r="FRV370" s="118"/>
      <c r="FRW370" s="219"/>
      <c r="FRX370" s="247"/>
      <c r="FRY370" s="669"/>
      <c r="FRZ370" s="117"/>
      <c r="FSB370" s="440"/>
      <c r="FSC370" s="277"/>
      <c r="FSD370" s="261"/>
      <c r="FSE370" s="118"/>
      <c r="FSF370" s="219"/>
      <c r="FSG370" s="247"/>
      <c r="FSH370" s="669"/>
      <c r="FSI370" s="117"/>
      <c r="FSK370" s="440"/>
      <c r="FSL370" s="277"/>
      <c r="FSM370" s="261"/>
      <c r="FSN370" s="118"/>
      <c r="FSO370" s="219"/>
      <c r="FSP370" s="247"/>
      <c r="FSQ370" s="669"/>
      <c r="FSR370" s="117"/>
      <c r="FST370" s="440"/>
      <c r="FSU370" s="277"/>
      <c r="FSV370" s="261"/>
      <c r="FSW370" s="118"/>
      <c r="FSX370" s="219"/>
      <c r="FSY370" s="247"/>
      <c r="FSZ370" s="669"/>
      <c r="FTA370" s="117"/>
      <c r="FTC370" s="440"/>
      <c r="FTD370" s="277"/>
      <c r="FTE370" s="261"/>
      <c r="FTF370" s="118"/>
      <c r="FTG370" s="219"/>
      <c r="FTH370" s="247"/>
      <c r="FTI370" s="669"/>
      <c r="FTJ370" s="117"/>
      <c r="FTL370" s="440"/>
      <c r="FTM370" s="277"/>
      <c r="FTN370" s="261"/>
      <c r="FTO370" s="118"/>
      <c r="FTP370" s="219"/>
      <c r="FTQ370" s="247"/>
      <c r="FTR370" s="669"/>
      <c r="FTS370" s="117"/>
      <c r="FTU370" s="440"/>
      <c r="FTV370" s="277"/>
      <c r="FTW370" s="261"/>
      <c r="FTX370" s="118"/>
      <c r="FTY370" s="219"/>
      <c r="FTZ370" s="247"/>
      <c r="FUA370" s="669"/>
      <c r="FUB370" s="117"/>
      <c r="FUD370" s="440"/>
      <c r="FUE370" s="277"/>
      <c r="FUF370" s="261"/>
      <c r="FUG370" s="118"/>
      <c r="FUH370" s="219"/>
      <c r="FUI370" s="247"/>
      <c r="FUJ370" s="669"/>
      <c r="FUK370" s="117"/>
      <c r="FUM370" s="440"/>
      <c r="FUN370" s="277"/>
      <c r="FUO370" s="261"/>
      <c r="FUP370" s="118"/>
      <c r="FUQ370" s="219"/>
      <c r="FUR370" s="247"/>
      <c r="FUS370" s="669"/>
      <c r="FUT370" s="117"/>
      <c r="FUV370" s="440"/>
      <c r="FUW370" s="277"/>
      <c r="FUX370" s="261"/>
      <c r="FUY370" s="118"/>
      <c r="FUZ370" s="219"/>
      <c r="FVA370" s="247"/>
      <c r="FVB370" s="669"/>
      <c r="FVC370" s="117"/>
      <c r="FVE370" s="440"/>
      <c r="FVF370" s="277"/>
      <c r="FVG370" s="261"/>
      <c r="FVH370" s="670"/>
      <c r="FVI370" s="393"/>
      <c r="FVJ370" s="394"/>
      <c r="FVK370" s="593"/>
      <c r="FVL370" s="594"/>
      <c r="FVM370" s="671"/>
      <c r="FVN370" s="330"/>
      <c r="FVO370" s="377"/>
      <c r="FVP370" s="391"/>
      <c r="FVQ370" s="672"/>
      <c r="FVR370" s="393"/>
      <c r="FVS370" s="394"/>
      <c r="FVT370" s="593"/>
      <c r="FVU370" s="594"/>
      <c r="FVV370" s="671"/>
      <c r="FVW370" s="330"/>
      <c r="FVX370" s="377"/>
      <c r="FVY370" s="391"/>
      <c r="FVZ370" s="672"/>
      <c r="FWA370" s="393"/>
      <c r="FWB370" s="394"/>
      <c r="FWC370" s="593"/>
      <c r="FWD370" s="594"/>
      <c r="FWE370" s="671"/>
      <c r="FWF370" s="330"/>
      <c r="FWG370" s="377"/>
      <c r="FWH370" s="391"/>
      <c r="FWI370" s="672"/>
      <c r="FWJ370" s="393"/>
      <c r="FWK370" s="394"/>
      <c r="FWL370" s="593"/>
      <c r="FWM370" s="594"/>
      <c r="FWN370" s="671"/>
      <c r="FWO370" s="330"/>
      <c r="FWP370" s="377"/>
      <c r="FWQ370" s="391"/>
      <c r="FWR370" s="672"/>
      <c r="FWS370" s="393"/>
      <c r="FWT370" s="394"/>
      <c r="FWU370" s="593"/>
      <c r="FWV370" s="594"/>
      <c r="FWW370" s="671"/>
      <c r="FWX370" s="330"/>
      <c r="FWY370" s="377"/>
      <c r="FWZ370" s="391"/>
      <c r="FXA370" s="672"/>
      <c r="FXB370" s="393"/>
      <c r="FXC370" s="394"/>
      <c r="FXD370" s="593"/>
      <c r="FXE370" s="594"/>
      <c r="FXF370" s="671"/>
      <c r="FXG370" s="330"/>
      <c r="FXH370" s="377"/>
      <c r="FXI370" s="391"/>
      <c r="FXJ370" s="672"/>
      <c r="FXK370" s="393"/>
      <c r="FXL370" s="394"/>
      <c r="FXM370" s="593"/>
      <c r="FXN370" s="594"/>
      <c r="FXO370" s="671"/>
      <c r="FXP370" s="330"/>
      <c r="FXQ370" s="377"/>
      <c r="FXR370" s="391"/>
      <c r="FXS370" s="672"/>
      <c r="FXT370" s="393"/>
      <c r="FXU370" s="394"/>
      <c r="FXV370" s="593"/>
      <c r="FXW370" s="594"/>
      <c r="FXX370" s="671"/>
      <c r="FXY370" s="330"/>
      <c r="FXZ370" s="377"/>
      <c r="FYA370" s="391"/>
      <c r="FYB370" s="672"/>
      <c r="FYC370" s="393"/>
      <c r="FYD370" s="394"/>
      <c r="FYE370" s="593"/>
      <c r="FYF370" s="594"/>
      <c r="FYG370" s="671"/>
      <c r="FYH370" s="330"/>
      <c r="FYI370" s="377"/>
      <c r="FYJ370" s="391"/>
      <c r="FYK370" s="672"/>
      <c r="FYL370" s="393"/>
      <c r="FYM370" s="394"/>
      <c r="FYN370" s="593"/>
      <c r="FYO370" s="594"/>
      <c r="FYP370" s="671"/>
      <c r="FYQ370" s="330"/>
      <c r="FYR370" s="377"/>
      <c r="FYS370" s="391"/>
      <c r="FYT370" s="672"/>
      <c r="FYU370" s="393"/>
      <c r="FYV370" s="394"/>
      <c r="FYW370" s="593"/>
      <c r="FYX370" s="594"/>
      <c r="FYY370" s="671"/>
      <c r="FYZ370" s="330"/>
      <c r="FZA370" s="377"/>
      <c r="FZB370" s="391"/>
      <c r="FZC370" s="672"/>
      <c r="FZD370" s="393"/>
      <c r="FZE370" s="394"/>
      <c r="FZF370" s="593"/>
      <c r="FZG370" s="594"/>
      <c r="FZH370" s="671"/>
      <c r="FZI370" s="330"/>
      <c r="FZJ370" s="377"/>
      <c r="FZK370" s="391"/>
      <c r="FZL370" s="672"/>
      <c r="FZM370" s="393"/>
      <c r="FZN370" s="394"/>
      <c r="FZO370" s="593"/>
      <c r="FZP370" s="594"/>
      <c r="FZQ370" s="671"/>
      <c r="FZR370" s="330"/>
      <c r="FZS370" s="377"/>
      <c r="FZT370" s="391"/>
      <c r="FZU370" s="672"/>
      <c r="FZV370" s="393"/>
      <c r="FZW370" s="394"/>
      <c r="FZX370" s="593"/>
      <c r="FZY370" s="594"/>
      <c r="FZZ370" s="671"/>
      <c r="GAA370" s="330"/>
      <c r="GAB370" s="377"/>
      <c r="GAC370" s="391"/>
      <c r="GAD370" s="672"/>
      <c r="GAE370" s="393"/>
      <c r="GAF370" s="394"/>
      <c r="GAG370" s="593"/>
      <c r="GAH370" s="594"/>
      <c r="GAI370" s="671"/>
      <c r="GAJ370" s="330"/>
      <c r="GAK370" s="377"/>
      <c r="GAL370" s="391"/>
      <c r="GAM370" s="672"/>
      <c r="GAN370" s="393"/>
      <c r="GAO370" s="394"/>
      <c r="GAP370" s="593"/>
      <c r="GAQ370" s="594"/>
      <c r="GAR370" s="671"/>
      <c r="GAS370" s="330"/>
      <c r="GAT370" s="377"/>
      <c r="GAU370" s="391"/>
      <c r="GAV370" s="672"/>
      <c r="GAW370" s="393"/>
      <c r="GAX370" s="394"/>
      <c r="GAY370" s="593"/>
      <c r="GAZ370" s="594"/>
      <c r="GBA370" s="671"/>
      <c r="GBB370" s="330"/>
      <c r="GBC370" s="377"/>
      <c r="GBD370" s="391"/>
      <c r="GBE370" s="672"/>
      <c r="GBF370" s="393"/>
      <c r="GBG370" s="394"/>
      <c r="GBH370" s="593"/>
      <c r="GBI370" s="594"/>
      <c r="GBJ370" s="671"/>
      <c r="GBK370" s="330"/>
      <c r="GBL370" s="377"/>
      <c r="GBM370" s="391"/>
      <c r="GBN370" s="672"/>
      <c r="GBO370" s="393"/>
      <c r="GBP370" s="394"/>
      <c r="GBQ370" s="593"/>
      <c r="GBR370" s="594"/>
      <c r="GBS370" s="671"/>
      <c r="GBT370" s="330"/>
      <c r="GBU370" s="377"/>
      <c r="GBV370" s="391"/>
      <c r="GBW370" s="672"/>
      <c r="GBX370" s="393"/>
      <c r="GBY370" s="394"/>
      <c r="GBZ370" s="593"/>
      <c r="GCA370" s="594"/>
      <c r="GCB370" s="671"/>
      <c r="GCC370" s="330"/>
      <c r="GCD370" s="377"/>
      <c r="GCE370" s="391"/>
      <c r="GCF370" s="672"/>
      <c r="GCG370" s="393"/>
      <c r="GCH370" s="394"/>
      <c r="GCI370" s="593"/>
      <c r="GCJ370" s="594"/>
      <c r="GCK370" s="671"/>
      <c r="GCL370" s="330"/>
      <c r="GCM370" s="377"/>
      <c r="GCN370" s="391"/>
      <c r="GCO370" s="672"/>
      <c r="GCP370" s="393"/>
      <c r="GCQ370" s="394"/>
      <c r="GCR370" s="593"/>
      <c r="GCS370" s="594"/>
      <c r="GCT370" s="671"/>
      <c r="GCU370" s="330"/>
      <c r="GCV370" s="377"/>
      <c r="GCW370" s="391"/>
      <c r="GCX370" s="672"/>
      <c r="GCY370" s="393"/>
      <c r="GCZ370" s="394"/>
      <c r="GDA370" s="593"/>
      <c r="GDB370" s="594"/>
      <c r="GDC370" s="671"/>
      <c r="GDD370" s="330"/>
      <c r="GDE370" s="377"/>
      <c r="GDF370" s="391"/>
      <c r="GDG370" s="672"/>
      <c r="GDH370" s="393"/>
      <c r="GDI370" s="394"/>
      <c r="GDJ370" s="593"/>
      <c r="GDK370" s="594"/>
      <c r="GDL370" s="671"/>
      <c r="GDM370" s="330"/>
      <c r="GDN370" s="377"/>
      <c r="GDO370" s="391"/>
      <c r="GDP370" s="672"/>
      <c r="GDQ370" s="393"/>
      <c r="GDR370" s="394"/>
      <c r="GDS370" s="593"/>
      <c r="GDT370" s="594"/>
      <c r="GDU370" s="671"/>
      <c r="GDV370" s="330"/>
      <c r="GDW370" s="377"/>
      <c r="GDX370" s="391"/>
      <c r="GDY370" s="672"/>
      <c r="GDZ370" s="393"/>
      <c r="GEA370" s="394"/>
      <c r="GEB370" s="593"/>
      <c r="GEC370" s="594"/>
      <c r="GED370" s="671"/>
      <c r="GEE370" s="330"/>
      <c r="GEF370" s="377"/>
      <c r="GEG370" s="391"/>
      <c r="GEH370" s="672"/>
      <c r="GEI370" s="393"/>
      <c r="GEJ370" s="394"/>
      <c r="GEK370" s="593"/>
      <c r="GEL370" s="594"/>
      <c r="GEM370" s="671"/>
      <c r="GEN370" s="330"/>
      <c r="GEO370" s="377"/>
      <c r="GEP370" s="391"/>
      <c r="GEQ370" s="672"/>
      <c r="GER370" s="393"/>
      <c r="GES370" s="394"/>
      <c r="GET370" s="593"/>
      <c r="GEU370" s="594"/>
      <c r="GEV370" s="671"/>
      <c r="GEW370" s="330"/>
      <c r="GEX370" s="377"/>
      <c r="GEY370" s="391"/>
      <c r="GEZ370" s="672"/>
      <c r="GFA370" s="393"/>
      <c r="GFB370" s="394"/>
      <c r="GFC370" s="593"/>
      <c r="GFD370" s="594"/>
      <c r="GFE370" s="671"/>
      <c r="GFF370" s="330"/>
      <c r="GFG370" s="377"/>
      <c r="GFH370" s="391"/>
      <c r="GFI370" s="672"/>
      <c r="GFJ370" s="393"/>
      <c r="GFK370" s="394"/>
      <c r="GFL370" s="593"/>
      <c r="GFM370" s="594"/>
      <c r="GFN370" s="671"/>
      <c r="GFO370" s="330"/>
      <c r="GFP370" s="377"/>
      <c r="GFQ370" s="391"/>
      <c r="GFR370" s="672"/>
      <c r="GFS370" s="393"/>
      <c r="GFT370" s="394"/>
      <c r="GFU370" s="593"/>
      <c r="GFV370" s="594"/>
      <c r="GFW370" s="671"/>
      <c r="GFX370" s="330"/>
      <c r="GFY370" s="377"/>
      <c r="GFZ370" s="391"/>
      <c r="GGA370" s="672"/>
      <c r="GGB370" s="393"/>
      <c r="GGC370" s="394"/>
      <c r="GGD370" s="593"/>
      <c r="GGE370" s="594"/>
      <c r="GGF370" s="671"/>
      <c r="GGG370" s="330"/>
      <c r="GGH370" s="377"/>
      <c r="GGI370" s="391"/>
      <c r="GGJ370" s="672"/>
      <c r="GGK370" s="393"/>
      <c r="GGL370" s="394"/>
      <c r="GGM370" s="593"/>
      <c r="GGN370" s="594"/>
      <c r="GGO370" s="671"/>
      <c r="GGP370" s="330"/>
      <c r="GGQ370" s="377"/>
      <c r="GGR370" s="391"/>
      <c r="GGS370" s="672"/>
      <c r="GGT370" s="393"/>
      <c r="GGU370" s="394"/>
      <c r="GGV370" s="593"/>
      <c r="GGW370" s="594"/>
      <c r="GGX370" s="671"/>
      <c r="GGY370" s="330"/>
      <c r="GGZ370" s="377"/>
      <c r="GHA370" s="391"/>
      <c r="GHB370" s="672"/>
      <c r="GHC370" s="393"/>
      <c r="GHD370" s="394"/>
      <c r="GHE370" s="593"/>
      <c r="GHF370" s="594"/>
      <c r="GHG370" s="671"/>
      <c r="GHH370" s="330"/>
      <c r="GHI370" s="377"/>
      <c r="GHJ370" s="391"/>
      <c r="GHK370" s="672"/>
      <c r="GHL370" s="393"/>
      <c r="GHM370" s="394"/>
      <c r="GHN370" s="593"/>
      <c r="GHO370" s="594"/>
      <c r="GHP370" s="671"/>
      <c r="GHQ370" s="330"/>
      <c r="GHR370" s="377"/>
      <c r="GHS370" s="391"/>
      <c r="GHT370" s="672"/>
      <c r="GHU370" s="393"/>
      <c r="GHV370" s="394"/>
      <c r="GHW370" s="593"/>
      <c r="GHX370" s="594"/>
      <c r="GHY370" s="671"/>
      <c r="GHZ370" s="330"/>
      <c r="GIA370" s="377"/>
      <c r="GIB370" s="391"/>
      <c r="GIC370" s="672"/>
      <c r="GID370" s="393"/>
      <c r="GIE370" s="394"/>
      <c r="GIF370" s="593"/>
      <c r="GIG370" s="594"/>
      <c r="GIH370" s="671"/>
      <c r="GII370" s="330"/>
      <c r="GIJ370" s="377"/>
      <c r="GIK370" s="391"/>
      <c r="GIL370" s="672"/>
      <c r="GIM370" s="393"/>
      <c r="GIN370" s="394"/>
      <c r="GIO370" s="593"/>
      <c r="GIP370" s="594"/>
      <c r="GIQ370" s="671"/>
      <c r="GIR370" s="330"/>
      <c r="GIS370" s="377"/>
      <c r="GIT370" s="391"/>
      <c r="GIU370" s="672"/>
      <c r="GIV370" s="393"/>
      <c r="GIW370" s="394"/>
      <c r="GIX370" s="593"/>
      <c r="GIY370" s="594"/>
      <c r="GIZ370" s="671"/>
      <c r="GJA370" s="330"/>
      <c r="GJB370" s="377"/>
      <c r="GJC370" s="391"/>
      <c r="GJD370" s="672"/>
      <c r="GJE370" s="393"/>
      <c r="GJF370" s="394"/>
      <c r="GJG370" s="593"/>
      <c r="GJH370" s="594"/>
      <c r="GJI370" s="671"/>
      <c r="GJJ370" s="330"/>
      <c r="GJK370" s="377"/>
      <c r="GJL370" s="391"/>
      <c r="GJM370" s="672"/>
      <c r="GJN370" s="393"/>
      <c r="GJO370" s="394"/>
      <c r="GJP370" s="593"/>
      <c r="GJQ370" s="594"/>
      <c r="GJR370" s="671"/>
      <c r="GJS370" s="330"/>
      <c r="GJT370" s="377"/>
      <c r="GJU370" s="391"/>
      <c r="GJV370" s="672"/>
      <c r="GJW370" s="393"/>
      <c r="GJX370" s="394"/>
      <c r="GJY370" s="593"/>
      <c r="GJZ370" s="594"/>
      <c r="GKA370" s="671"/>
      <c r="GKB370" s="330"/>
      <c r="GKC370" s="377"/>
      <c r="GKD370" s="391"/>
      <c r="GKE370" s="672"/>
      <c r="GKF370" s="393"/>
      <c r="GKG370" s="394"/>
      <c r="GKH370" s="593"/>
      <c r="GKI370" s="594"/>
      <c r="GKJ370" s="671"/>
      <c r="GKK370" s="330"/>
      <c r="GKL370" s="377"/>
      <c r="GKM370" s="391"/>
      <c r="GKN370" s="672"/>
      <c r="GKO370" s="393"/>
      <c r="GKP370" s="394"/>
      <c r="GKQ370" s="593"/>
      <c r="GKR370" s="594"/>
      <c r="GKS370" s="671"/>
      <c r="GKT370" s="330"/>
      <c r="GKU370" s="377"/>
      <c r="GKV370" s="391"/>
      <c r="GKW370" s="672"/>
      <c r="GKX370" s="393"/>
      <c r="GKY370" s="394"/>
      <c r="GKZ370" s="593"/>
      <c r="GLA370" s="594"/>
      <c r="GLB370" s="671"/>
      <c r="GLC370" s="330"/>
      <c r="GLD370" s="377"/>
      <c r="GLE370" s="391"/>
      <c r="GLF370" s="672"/>
      <c r="GLG370" s="393"/>
      <c r="GLH370" s="394"/>
      <c r="GLI370" s="593"/>
      <c r="GLJ370" s="594"/>
      <c r="GLK370" s="671"/>
      <c r="GLL370" s="330"/>
      <c r="GLM370" s="377"/>
      <c r="GLN370" s="391"/>
      <c r="GLO370" s="672"/>
      <c r="GLP370" s="393"/>
      <c r="GLQ370" s="394"/>
      <c r="GLR370" s="593"/>
      <c r="GLS370" s="594"/>
      <c r="GLT370" s="671"/>
      <c r="GLU370" s="330"/>
      <c r="GLV370" s="377"/>
      <c r="GLW370" s="391"/>
      <c r="GLX370" s="672"/>
      <c r="GLY370" s="393"/>
      <c r="GLZ370" s="394"/>
      <c r="GMA370" s="593"/>
      <c r="GMB370" s="594"/>
      <c r="GMC370" s="671"/>
      <c r="GMD370" s="330"/>
      <c r="GME370" s="377"/>
      <c r="GMF370" s="391"/>
      <c r="GMG370" s="672"/>
      <c r="GMH370" s="393"/>
      <c r="GMI370" s="394"/>
      <c r="GMJ370" s="593"/>
      <c r="GMK370" s="594"/>
      <c r="GML370" s="671"/>
      <c r="GMM370" s="330"/>
      <c r="GMN370" s="377"/>
      <c r="GMO370" s="391"/>
      <c r="GMP370" s="672"/>
      <c r="GMQ370" s="393"/>
      <c r="GMR370" s="394"/>
      <c r="GMS370" s="593"/>
      <c r="GMT370" s="594"/>
      <c r="GMU370" s="671"/>
      <c r="GMV370" s="330"/>
      <c r="GMW370" s="377"/>
      <c r="GMX370" s="391"/>
      <c r="GMY370" s="672"/>
      <c r="GMZ370" s="393"/>
      <c r="GNA370" s="394"/>
      <c r="GNB370" s="593"/>
      <c r="GNC370" s="594"/>
      <c r="GND370" s="671"/>
      <c r="GNE370" s="330"/>
      <c r="GNF370" s="377"/>
      <c r="GNG370" s="391"/>
      <c r="GNH370" s="672"/>
      <c r="GNI370" s="393"/>
      <c r="GNJ370" s="394"/>
      <c r="GNK370" s="593"/>
      <c r="GNL370" s="594"/>
      <c r="GNM370" s="671"/>
      <c r="GNN370" s="330"/>
      <c r="GNO370" s="377"/>
      <c r="GNP370" s="391"/>
      <c r="GNQ370" s="672"/>
      <c r="GNR370" s="393"/>
      <c r="GNS370" s="394"/>
      <c r="GNT370" s="593"/>
      <c r="GNU370" s="594"/>
      <c r="GNV370" s="671"/>
      <c r="GNW370" s="330"/>
      <c r="GNX370" s="377"/>
      <c r="GNY370" s="391"/>
      <c r="GNZ370" s="672"/>
      <c r="GOA370" s="393"/>
      <c r="GOB370" s="394"/>
      <c r="GOC370" s="593"/>
      <c r="GOD370" s="594"/>
      <c r="GOE370" s="671"/>
      <c r="GOF370" s="330"/>
      <c r="GOG370" s="377"/>
      <c r="GOH370" s="391"/>
      <c r="GOI370" s="672"/>
      <c r="GOJ370" s="393"/>
      <c r="GOK370" s="394"/>
      <c r="GOL370" s="593"/>
      <c r="GOM370" s="594"/>
      <c r="GON370" s="671"/>
      <c r="GOO370" s="330"/>
      <c r="GOP370" s="377"/>
      <c r="GOQ370" s="391"/>
      <c r="GOR370" s="672"/>
      <c r="GOS370" s="393"/>
      <c r="GOT370" s="394"/>
      <c r="GOU370" s="593"/>
      <c r="GOV370" s="594"/>
      <c r="GOW370" s="671"/>
      <c r="GOX370" s="330"/>
      <c r="GOY370" s="377"/>
      <c r="GOZ370" s="391"/>
      <c r="GPA370" s="672"/>
      <c r="GPB370" s="393"/>
      <c r="GPC370" s="394"/>
      <c r="GPD370" s="593"/>
      <c r="GPE370" s="594"/>
      <c r="GPF370" s="671"/>
      <c r="GPG370" s="330"/>
      <c r="GPH370" s="377"/>
      <c r="GPI370" s="391"/>
      <c r="GPJ370" s="672"/>
      <c r="GPK370" s="393"/>
      <c r="GPL370" s="394"/>
      <c r="GPM370" s="593"/>
      <c r="GPN370" s="594"/>
      <c r="GPO370" s="671"/>
      <c r="GPP370" s="330"/>
      <c r="GPQ370" s="377"/>
      <c r="GPR370" s="391"/>
      <c r="GPS370" s="672"/>
      <c r="GPT370" s="393"/>
      <c r="GPU370" s="394"/>
      <c r="GPV370" s="593"/>
      <c r="GPW370" s="594"/>
      <c r="GPX370" s="671"/>
      <c r="GPY370" s="330"/>
      <c r="GPZ370" s="377"/>
      <c r="GQA370" s="391"/>
      <c r="GQB370" s="672"/>
      <c r="GQC370" s="393"/>
      <c r="GQD370" s="394"/>
      <c r="GQE370" s="593"/>
      <c r="GQF370" s="594"/>
      <c r="GQG370" s="671"/>
      <c r="GQH370" s="330"/>
      <c r="GQI370" s="377"/>
      <c r="GQJ370" s="391"/>
      <c r="GQK370" s="672"/>
      <c r="GQL370" s="393"/>
      <c r="GQM370" s="394"/>
      <c r="GQN370" s="593"/>
      <c r="GQO370" s="594"/>
      <c r="GQP370" s="671"/>
      <c r="GQQ370" s="330"/>
      <c r="GQR370" s="377"/>
      <c r="GQS370" s="391"/>
      <c r="GQT370" s="672"/>
      <c r="GQU370" s="393"/>
      <c r="GQV370" s="394"/>
      <c r="GQW370" s="593"/>
      <c r="GQX370" s="594"/>
      <c r="GQY370" s="671"/>
      <c r="GQZ370" s="330"/>
      <c r="GRA370" s="377"/>
      <c r="GRB370" s="391"/>
      <c r="GRC370" s="672"/>
      <c r="GRD370" s="393"/>
      <c r="GRE370" s="394"/>
      <c r="GRF370" s="593"/>
      <c r="GRG370" s="594"/>
      <c r="GRH370" s="671"/>
      <c r="GRI370" s="330"/>
      <c r="GRJ370" s="377"/>
      <c r="GRK370" s="391"/>
      <c r="GRL370" s="672"/>
      <c r="GRM370" s="393"/>
      <c r="GRN370" s="394"/>
      <c r="GRO370" s="593"/>
      <c r="GRP370" s="594"/>
      <c r="GRQ370" s="671"/>
      <c r="GRR370" s="330"/>
      <c r="GRS370" s="377"/>
      <c r="GRT370" s="391"/>
      <c r="GRU370" s="672"/>
      <c r="GRV370" s="393"/>
      <c r="GRW370" s="394"/>
      <c r="GRX370" s="593"/>
      <c r="GRY370" s="594"/>
      <c r="GRZ370" s="671"/>
      <c r="GSA370" s="330"/>
      <c r="GSB370" s="377"/>
      <c r="GSC370" s="391"/>
      <c r="GSD370" s="672"/>
      <c r="GSE370" s="393"/>
      <c r="GSF370" s="394"/>
      <c r="GSG370" s="593"/>
      <c r="GSH370" s="594"/>
      <c r="GSI370" s="671"/>
      <c r="GSJ370" s="330"/>
      <c r="GSK370" s="377"/>
      <c r="GSL370" s="391"/>
      <c r="GSM370" s="672"/>
      <c r="GSN370" s="393"/>
      <c r="GSO370" s="394"/>
      <c r="GSP370" s="593"/>
      <c r="GSQ370" s="594"/>
      <c r="GSR370" s="671"/>
      <c r="GSS370" s="330"/>
      <c r="GST370" s="377"/>
      <c r="GSU370" s="391"/>
      <c r="GSV370" s="672"/>
      <c r="GSW370" s="393"/>
      <c r="GSX370" s="394"/>
      <c r="GSY370" s="593"/>
      <c r="GSZ370" s="594"/>
      <c r="GTA370" s="671"/>
      <c r="GTB370" s="330"/>
      <c r="GTC370" s="377"/>
      <c r="GTD370" s="391"/>
      <c r="GTE370" s="672"/>
      <c r="GTF370" s="393"/>
      <c r="GTG370" s="394"/>
      <c r="GTH370" s="593"/>
      <c r="GTI370" s="594"/>
      <c r="GTJ370" s="671"/>
      <c r="GTK370" s="330"/>
      <c r="GTL370" s="377"/>
      <c r="GTM370" s="391"/>
      <c r="GTN370" s="672"/>
      <c r="GTO370" s="393"/>
      <c r="GTP370" s="394"/>
      <c r="GTQ370" s="593"/>
      <c r="GTR370" s="594"/>
      <c r="GTS370" s="671"/>
      <c r="GTT370" s="330"/>
      <c r="GTU370" s="377"/>
      <c r="GTV370" s="391"/>
      <c r="GTW370" s="672"/>
      <c r="GTX370" s="393"/>
      <c r="GTY370" s="394"/>
      <c r="GTZ370" s="593"/>
      <c r="GUA370" s="594"/>
      <c r="GUB370" s="671"/>
      <c r="GUC370" s="330"/>
      <c r="GUD370" s="377"/>
      <c r="GUE370" s="391"/>
      <c r="GUF370" s="672"/>
      <c r="GUG370" s="393"/>
      <c r="GUH370" s="394"/>
      <c r="GUI370" s="593"/>
      <c r="GUJ370" s="594"/>
      <c r="GUK370" s="671"/>
      <c r="GUL370" s="330"/>
      <c r="GUM370" s="377"/>
      <c r="GUN370" s="391"/>
      <c r="GUO370" s="672"/>
      <c r="GUP370" s="393"/>
      <c r="GUQ370" s="394"/>
      <c r="GUR370" s="593"/>
      <c r="GUS370" s="594"/>
      <c r="GUT370" s="671"/>
      <c r="GUU370" s="330"/>
      <c r="GUV370" s="377"/>
      <c r="GUW370" s="391"/>
      <c r="GUX370" s="672"/>
      <c r="GUY370" s="393"/>
      <c r="GUZ370" s="394"/>
      <c r="GVA370" s="593"/>
      <c r="GVB370" s="594"/>
      <c r="GVC370" s="671"/>
      <c r="GVD370" s="330"/>
      <c r="GVE370" s="377"/>
      <c r="GVF370" s="391"/>
      <c r="GVG370" s="672"/>
      <c r="GVH370" s="393"/>
      <c r="GVI370" s="394"/>
      <c r="GVJ370" s="593"/>
      <c r="GVK370" s="594"/>
      <c r="GVL370" s="671"/>
      <c r="GVM370" s="330"/>
      <c r="GVN370" s="377"/>
      <c r="GVO370" s="391"/>
      <c r="GVP370" s="672"/>
      <c r="GVQ370" s="393"/>
      <c r="GVR370" s="394"/>
      <c r="GVS370" s="593"/>
      <c r="GVT370" s="594"/>
      <c r="GVU370" s="671"/>
      <c r="GVV370" s="330"/>
      <c r="GVW370" s="377"/>
      <c r="GVX370" s="391"/>
      <c r="GVY370" s="672"/>
      <c r="GVZ370" s="393"/>
      <c r="GWA370" s="394"/>
      <c r="GWB370" s="593"/>
      <c r="GWC370" s="594"/>
      <c r="GWD370" s="671"/>
      <c r="GWE370" s="330"/>
      <c r="GWF370" s="377"/>
      <c r="GWG370" s="391"/>
      <c r="GWH370" s="672"/>
      <c r="GWI370" s="393"/>
      <c r="GWJ370" s="394"/>
      <c r="GWK370" s="593"/>
      <c r="GWL370" s="594"/>
      <c r="GWM370" s="671"/>
      <c r="GWN370" s="330"/>
      <c r="GWO370" s="377"/>
      <c r="GWP370" s="391"/>
      <c r="GWQ370" s="672"/>
      <c r="GWR370" s="393"/>
      <c r="GWS370" s="394"/>
      <c r="GWT370" s="593"/>
      <c r="GWU370" s="594"/>
      <c r="GWV370" s="671"/>
      <c r="GWW370" s="330"/>
      <c r="GWX370" s="377"/>
      <c r="GWY370" s="391"/>
      <c r="GWZ370" s="672"/>
      <c r="GXA370" s="393"/>
      <c r="GXB370" s="394"/>
      <c r="GXC370" s="593"/>
      <c r="GXD370" s="594"/>
      <c r="GXE370" s="671"/>
      <c r="GXF370" s="330"/>
      <c r="GXG370" s="377"/>
      <c r="GXH370" s="391"/>
      <c r="GXI370" s="672"/>
      <c r="GXJ370" s="393"/>
      <c r="GXK370" s="394"/>
      <c r="GXL370" s="593"/>
      <c r="GXM370" s="594"/>
      <c r="GXN370" s="671"/>
      <c r="GXO370" s="330"/>
      <c r="GXP370" s="377"/>
      <c r="GXQ370" s="391"/>
      <c r="GXR370" s="672"/>
      <c r="GXS370" s="393"/>
      <c r="GXT370" s="394"/>
      <c r="GXU370" s="593"/>
      <c r="GXV370" s="594"/>
      <c r="GXW370" s="671"/>
      <c r="GXX370" s="330"/>
      <c r="GXY370" s="377"/>
      <c r="GXZ370" s="391"/>
      <c r="GYA370" s="672"/>
      <c r="GYB370" s="393"/>
      <c r="GYC370" s="394"/>
      <c r="GYD370" s="593"/>
      <c r="GYE370" s="594"/>
      <c r="GYF370" s="671"/>
      <c r="GYG370" s="330"/>
      <c r="GYH370" s="377"/>
      <c r="GYI370" s="391"/>
      <c r="GYJ370" s="672"/>
      <c r="GYK370" s="393"/>
      <c r="GYL370" s="394"/>
      <c r="GYM370" s="593"/>
      <c r="GYN370" s="594"/>
      <c r="GYO370" s="671"/>
      <c r="GYP370" s="330"/>
      <c r="GYQ370" s="377"/>
      <c r="GYR370" s="391"/>
      <c r="GYS370" s="672"/>
      <c r="GYT370" s="393"/>
      <c r="GYU370" s="394"/>
      <c r="GYV370" s="593"/>
      <c r="GYW370" s="594"/>
      <c r="GYX370" s="671"/>
      <c r="GYY370" s="330"/>
      <c r="GYZ370" s="377"/>
      <c r="GZA370" s="391"/>
      <c r="GZB370" s="672"/>
      <c r="GZC370" s="393"/>
      <c r="GZD370" s="394"/>
      <c r="GZE370" s="593"/>
      <c r="GZF370" s="594"/>
      <c r="GZG370" s="671"/>
      <c r="GZH370" s="330"/>
      <c r="GZI370" s="377"/>
      <c r="GZJ370" s="391"/>
      <c r="GZK370" s="672"/>
      <c r="GZL370" s="393"/>
      <c r="GZM370" s="394"/>
      <c r="GZN370" s="593"/>
      <c r="GZO370" s="594"/>
      <c r="GZP370" s="671"/>
      <c r="GZQ370" s="330"/>
      <c r="GZR370" s="377"/>
      <c r="GZS370" s="391"/>
      <c r="GZT370" s="672"/>
      <c r="GZU370" s="393"/>
      <c r="GZV370" s="394"/>
      <c r="GZW370" s="593"/>
      <c r="GZX370" s="594"/>
      <c r="GZY370" s="671"/>
      <c r="GZZ370" s="330"/>
      <c r="HAA370" s="377"/>
      <c r="HAB370" s="391"/>
      <c r="HAC370" s="672"/>
      <c r="HAD370" s="393"/>
      <c r="HAE370" s="394"/>
      <c r="HAF370" s="593"/>
      <c r="HAG370" s="594"/>
      <c r="HAH370" s="671"/>
      <c r="HAI370" s="330"/>
      <c r="HAJ370" s="377"/>
      <c r="HAK370" s="391"/>
      <c r="HAL370" s="672"/>
      <c r="HAM370" s="393"/>
      <c r="HAN370" s="394"/>
      <c r="HAO370" s="593"/>
      <c r="HAP370" s="594"/>
      <c r="HAQ370" s="671"/>
      <c r="HAR370" s="330"/>
      <c r="HAS370" s="377"/>
      <c r="HAT370" s="391"/>
      <c r="HAU370" s="672"/>
      <c r="HAV370" s="393"/>
      <c r="HAW370" s="394"/>
      <c r="HAX370" s="593"/>
      <c r="HAY370" s="594"/>
      <c r="HAZ370" s="671"/>
      <c r="HBA370" s="330"/>
      <c r="HBB370" s="377"/>
      <c r="HBC370" s="391"/>
      <c r="HBD370" s="672"/>
      <c r="HBE370" s="393"/>
      <c r="HBF370" s="394"/>
      <c r="HBG370" s="593"/>
      <c r="HBH370" s="594"/>
      <c r="HBI370" s="671"/>
      <c r="HBJ370" s="330"/>
      <c r="HBK370" s="377"/>
      <c r="HBL370" s="391"/>
      <c r="HBM370" s="672"/>
      <c r="HBN370" s="393"/>
      <c r="HBO370" s="394"/>
      <c r="HBP370" s="593"/>
      <c r="HBQ370" s="594"/>
      <c r="HBR370" s="671"/>
      <c r="HBS370" s="330"/>
      <c r="HBT370" s="377"/>
      <c r="HBU370" s="391"/>
      <c r="HBV370" s="672"/>
      <c r="HBW370" s="393"/>
      <c r="HBX370" s="394"/>
      <c r="HBY370" s="593"/>
      <c r="HBZ370" s="594"/>
      <c r="HCA370" s="671"/>
      <c r="HCB370" s="330"/>
      <c r="HCC370" s="377"/>
      <c r="HCD370" s="391"/>
      <c r="HCE370" s="672"/>
      <c r="HCF370" s="393"/>
      <c r="HCG370" s="394"/>
      <c r="HCH370" s="593"/>
      <c r="HCI370" s="594"/>
      <c r="HCJ370" s="671"/>
      <c r="HCK370" s="330"/>
      <c r="HCL370" s="377"/>
      <c r="HCM370" s="391"/>
      <c r="HCN370" s="672"/>
      <c r="HCO370" s="393"/>
      <c r="HCP370" s="394"/>
      <c r="HCQ370" s="593"/>
      <c r="HCR370" s="594"/>
      <c r="HCS370" s="671"/>
      <c r="HCT370" s="330"/>
      <c r="HCU370" s="377"/>
      <c r="HCV370" s="391"/>
      <c r="HCW370" s="672"/>
      <c r="HCX370" s="393"/>
      <c r="HCY370" s="394"/>
      <c r="HCZ370" s="593"/>
      <c r="HDA370" s="594"/>
      <c r="HDB370" s="671"/>
      <c r="HDC370" s="330"/>
      <c r="HDD370" s="377"/>
      <c r="HDE370" s="391"/>
      <c r="HDF370" s="672"/>
      <c r="HDG370" s="393"/>
      <c r="HDH370" s="394"/>
      <c r="HDI370" s="593"/>
      <c r="HDJ370" s="594"/>
      <c r="HDK370" s="671"/>
      <c r="HDL370" s="330"/>
      <c r="HDM370" s="377"/>
      <c r="HDN370" s="391"/>
      <c r="HDO370" s="672"/>
      <c r="HDP370" s="393"/>
      <c r="HDQ370" s="394"/>
      <c r="HDR370" s="593"/>
      <c r="HDS370" s="594"/>
      <c r="HDT370" s="671"/>
      <c r="HDU370" s="330"/>
      <c r="HDV370" s="377"/>
      <c r="HDW370" s="391"/>
      <c r="HDX370" s="672"/>
      <c r="HDY370" s="393"/>
      <c r="HDZ370" s="394"/>
      <c r="HEA370" s="593"/>
      <c r="HEB370" s="594"/>
      <c r="HEC370" s="671"/>
      <c r="HED370" s="330"/>
      <c r="HEE370" s="377"/>
      <c r="HEF370" s="391"/>
      <c r="HEG370" s="672"/>
      <c r="HEH370" s="393"/>
      <c r="HEI370" s="394"/>
      <c r="HEJ370" s="593"/>
      <c r="HEK370" s="594"/>
      <c r="HEL370" s="671"/>
      <c r="HEM370" s="330"/>
      <c r="HEN370" s="377"/>
      <c r="HEO370" s="391"/>
      <c r="HEP370" s="672"/>
      <c r="HEQ370" s="393"/>
      <c r="HER370" s="394"/>
      <c r="HES370" s="593"/>
      <c r="HET370" s="594"/>
      <c r="HEU370" s="671"/>
      <c r="HEV370" s="330"/>
      <c r="HEW370" s="377"/>
      <c r="HEX370" s="391"/>
      <c r="HEY370" s="672"/>
      <c r="HEZ370" s="393"/>
      <c r="HFA370" s="394"/>
      <c r="HFB370" s="593"/>
      <c r="HFC370" s="594"/>
      <c r="HFD370" s="671"/>
      <c r="HFE370" s="330"/>
      <c r="HFF370" s="377"/>
      <c r="HFG370" s="391"/>
      <c r="HFH370" s="672"/>
      <c r="HFI370" s="393"/>
      <c r="HFJ370" s="394"/>
      <c r="HFK370" s="593"/>
      <c r="HFL370" s="594"/>
      <c r="HFM370" s="671"/>
      <c r="HFN370" s="330"/>
      <c r="HFO370" s="377"/>
      <c r="HFP370" s="391"/>
      <c r="HFQ370" s="672"/>
      <c r="HFR370" s="393"/>
      <c r="HFS370" s="394"/>
      <c r="HFT370" s="593"/>
      <c r="HFU370" s="594"/>
      <c r="HFV370" s="671"/>
      <c r="HFW370" s="330"/>
      <c r="HFX370" s="377"/>
      <c r="HFY370" s="391"/>
      <c r="HFZ370" s="672"/>
      <c r="HGA370" s="393"/>
      <c r="HGB370" s="394"/>
      <c r="HGC370" s="593"/>
      <c r="HGD370" s="594"/>
      <c r="HGE370" s="671"/>
      <c r="HGF370" s="330"/>
      <c r="HGG370" s="377"/>
      <c r="HGH370" s="391"/>
      <c r="HGI370" s="672"/>
      <c r="HGJ370" s="393"/>
      <c r="HGK370" s="394"/>
      <c r="HGL370" s="593"/>
      <c r="HGM370" s="594"/>
      <c r="HGN370" s="671"/>
      <c r="HGO370" s="330"/>
      <c r="HGP370" s="377"/>
      <c r="HGQ370" s="391"/>
      <c r="HGR370" s="672"/>
      <c r="HGS370" s="393"/>
      <c r="HGT370" s="394"/>
      <c r="HGU370" s="593"/>
      <c r="HGV370" s="594"/>
      <c r="HGW370" s="671"/>
      <c r="HGX370" s="330"/>
      <c r="HGY370" s="377"/>
      <c r="HGZ370" s="391"/>
      <c r="HHA370" s="672"/>
      <c r="HHB370" s="393"/>
      <c r="HHC370" s="394"/>
      <c r="HHD370" s="593"/>
      <c r="HHE370" s="594"/>
      <c r="HHF370" s="671"/>
      <c r="HHG370" s="330"/>
      <c r="HHH370" s="377"/>
      <c r="HHI370" s="391"/>
      <c r="HHJ370" s="672"/>
      <c r="HHK370" s="393"/>
      <c r="HHL370" s="394"/>
      <c r="HHM370" s="593"/>
      <c r="HHN370" s="594"/>
      <c r="HHO370" s="671"/>
      <c r="HHP370" s="330"/>
      <c r="HHQ370" s="377"/>
      <c r="HHR370" s="391"/>
      <c r="HHS370" s="672"/>
      <c r="HHT370" s="393"/>
      <c r="HHU370" s="394"/>
      <c r="HHV370" s="593"/>
      <c r="HHW370" s="594"/>
      <c r="HHX370" s="671"/>
      <c r="HHY370" s="330"/>
      <c r="HHZ370" s="377"/>
      <c r="HIA370" s="391"/>
      <c r="HIB370" s="672"/>
      <c r="HIC370" s="393"/>
      <c r="HID370" s="394"/>
      <c r="HIE370" s="593"/>
      <c r="HIF370" s="594"/>
      <c r="HIG370" s="671"/>
      <c r="HIH370" s="330"/>
      <c r="HII370" s="377"/>
      <c r="HIJ370" s="391"/>
      <c r="HIK370" s="672"/>
      <c r="HIL370" s="393"/>
      <c r="HIM370" s="394"/>
      <c r="HIN370" s="593"/>
      <c r="HIO370" s="594"/>
      <c r="HIP370" s="671"/>
      <c r="HIQ370" s="330"/>
      <c r="HIR370" s="377"/>
      <c r="HIS370" s="391"/>
      <c r="HIT370" s="672"/>
      <c r="HIU370" s="393"/>
      <c r="HIV370" s="394"/>
      <c r="HIW370" s="593"/>
      <c r="HIX370" s="594"/>
      <c r="HIY370" s="671"/>
      <c r="HIZ370" s="330"/>
      <c r="HJA370" s="377"/>
      <c r="HJB370" s="391"/>
      <c r="HJC370" s="672"/>
      <c r="HJD370" s="393"/>
      <c r="HJE370" s="394"/>
      <c r="HJF370" s="593"/>
      <c r="HJG370" s="594"/>
      <c r="HJH370" s="671"/>
      <c r="HJI370" s="330"/>
      <c r="HJJ370" s="377"/>
      <c r="HJK370" s="391"/>
      <c r="HJL370" s="672"/>
      <c r="HJM370" s="393"/>
      <c r="HJN370" s="394"/>
      <c r="HJO370" s="593"/>
      <c r="HJP370" s="594"/>
      <c r="HJQ370" s="671"/>
      <c r="HJR370" s="330"/>
      <c r="HJS370" s="377"/>
      <c r="HJT370" s="391"/>
      <c r="HJU370" s="672"/>
      <c r="HJV370" s="393"/>
      <c r="HJW370" s="394"/>
      <c r="HJX370" s="593"/>
      <c r="HJY370" s="594"/>
      <c r="HJZ370" s="671"/>
      <c r="HKA370" s="330"/>
      <c r="HKB370" s="377"/>
      <c r="HKC370" s="391"/>
      <c r="HKD370" s="672"/>
      <c r="HKE370" s="393"/>
      <c r="HKF370" s="394"/>
      <c r="HKG370" s="593"/>
      <c r="HKH370" s="594"/>
      <c r="HKI370" s="671"/>
      <c r="HKJ370" s="330"/>
      <c r="HKK370" s="377"/>
      <c r="HKL370" s="391"/>
      <c r="HKM370" s="672"/>
      <c r="HKN370" s="393"/>
      <c r="HKO370" s="394"/>
      <c r="HKP370" s="593"/>
      <c r="HKQ370" s="594"/>
      <c r="HKR370" s="671"/>
      <c r="HKS370" s="330"/>
      <c r="HKT370" s="377"/>
      <c r="HKU370" s="391"/>
      <c r="HKV370" s="672"/>
      <c r="HKW370" s="393"/>
      <c r="HKX370" s="394"/>
      <c r="HKY370" s="593"/>
      <c r="HKZ370" s="594"/>
      <c r="HLA370" s="671"/>
      <c r="HLB370" s="330"/>
      <c r="HLC370" s="377"/>
      <c r="HLD370" s="391"/>
      <c r="HLE370" s="672"/>
      <c r="HLF370" s="393"/>
      <c r="HLG370" s="394"/>
      <c r="HLH370" s="593"/>
      <c r="HLI370" s="594"/>
      <c r="HLJ370" s="671"/>
      <c r="HLK370" s="330"/>
      <c r="HLL370" s="377"/>
      <c r="HLM370" s="391"/>
      <c r="HLN370" s="672"/>
      <c r="HLO370" s="393"/>
      <c r="HLP370" s="394"/>
      <c r="HLQ370" s="593"/>
      <c r="HLR370" s="594"/>
      <c r="HLS370" s="671"/>
      <c r="HLT370" s="330"/>
      <c r="HLU370" s="377"/>
      <c r="HLV370" s="391"/>
      <c r="HLW370" s="672"/>
      <c r="HLX370" s="393"/>
      <c r="HLY370" s="394"/>
      <c r="HLZ370" s="593"/>
      <c r="HMA370" s="594"/>
      <c r="HMB370" s="671"/>
      <c r="HMC370" s="330"/>
      <c r="HMD370" s="377"/>
      <c r="HME370" s="391"/>
      <c r="HMF370" s="672"/>
      <c r="HMG370" s="393"/>
      <c r="HMH370" s="394"/>
      <c r="HMI370" s="593"/>
      <c r="HMJ370" s="594"/>
      <c r="HMK370" s="671"/>
      <c r="HML370" s="330"/>
      <c r="HMM370" s="377"/>
      <c r="HMN370" s="391"/>
      <c r="HMO370" s="672"/>
      <c r="HMP370" s="393"/>
      <c r="HMQ370" s="394"/>
      <c r="HMR370" s="593"/>
      <c r="HMS370" s="594"/>
      <c r="HMT370" s="671"/>
      <c r="HMU370" s="330"/>
      <c r="HMV370" s="377"/>
      <c r="HMW370" s="391"/>
      <c r="HMX370" s="672"/>
      <c r="HMY370" s="393"/>
      <c r="HMZ370" s="394"/>
      <c r="HNA370" s="593"/>
      <c r="HNB370" s="594"/>
      <c r="HNC370" s="671"/>
      <c r="HND370" s="330"/>
      <c r="HNE370" s="377"/>
      <c r="HNF370" s="391"/>
      <c r="HNG370" s="672"/>
      <c r="HNH370" s="393"/>
      <c r="HNI370" s="394"/>
      <c r="HNJ370" s="593"/>
      <c r="HNK370" s="594"/>
      <c r="HNL370" s="671"/>
      <c r="HNM370" s="330"/>
      <c r="HNN370" s="377"/>
      <c r="HNO370" s="391"/>
      <c r="HNP370" s="672"/>
      <c r="HNQ370" s="393"/>
      <c r="HNR370" s="394"/>
      <c r="HNS370" s="593"/>
      <c r="HNT370" s="594"/>
      <c r="HNU370" s="671"/>
      <c r="HNV370" s="330"/>
      <c r="HNW370" s="377"/>
      <c r="HNX370" s="391"/>
      <c r="HNY370" s="672"/>
      <c r="HNZ370" s="393"/>
      <c r="HOA370" s="394"/>
      <c r="HOB370" s="593"/>
      <c r="HOC370" s="594"/>
      <c r="HOD370" s="671"/>
      <c r="HOE370" s="330"/>
      <c r="HOF370" s="377"/>
      <c r="HOG370" s="391"/>
      <c r="HOH370" s="672"/>
      <c r="HOI370" s="393"/>
      <c r="HOJ370" s="394"/>
      <c r="HOK370" s="593"/>
      <c r="HOL370" s="594"/>
      <c r="HOM370" s="671"/>
      <c r="HON370" s="330"/>
      <c r="HOO370" s="377"/>
      <c r="HOP370" s="391"/>
      <c r="HOQ370" s="672"/>
      <c r="HOR370" s="393"/>
      <c r="HOS370" s="394"/>
      <c r="HOT370" s="593"/>
      <c r="HOU370" s="594"/>
      <c r="HOV370" s="671"/>
      <c r="HOW370" s="330"/>
      <c r="HOX370" s="377"/>
      <c r="HOY370" s="391"/>
      <c r="HOZ370" s="672"/>
      <c r="HPA370" s="393"/>
      <c r="HPB370" s="394"/>
      <c r="HPC370" s="593"/>
      <c r="HPD370" s="594"/>
      <c r="HPE370" s="671"/>
      <c r="HPF370" s="330"/>
      <c r="HPG370" s="377"/>
      <c r="HPH370" s="391"/>
      <c r="HPI370" s="672"/>
      <c r="HPJ370" s="393"/>
      <c r="HPK370" s="394"/>
      <c r="HPL370" s="593"/>
      <c r="HPM370" s="594"/>
      <c r="HPN370" s="671"/>
      <c r="HPO370" s="330"/>
      <c r="HPP370" s="377"/>
      <c r="HPQ370" s="391"/>
      <c r="HPR370" s="672"/>
      <c r="HPS370" s="393"/>
      <c r="HPT370" s="394"/>
      <c r="HPU370" s="593"/>
      <c r="HPV370" s="594"/>
      <c r="HPW370" s="671"/>
      <c r="HPX370" s="330"/>
      <c r="HPY370" s="377"/>
      <c r="HPZ370" s="391"/>
      <c r="HQA370" s="672"/>
      <c r="HQB370" s="393"/>
      <c r="HQC370" s="394"/>
      <c r="HQD370" s="593"/>
      <c r="HQE370" s="594"/>
      <c r="HQF370" s="671"/>
      <c r="HQG370" s="330"/>
      <c r="HQH370" s="377"/>
      <c r="HQI370" s="391"/>
      <c r="HQJ370" s="672"/>
      <c r="HQK370" s="393"/>
      <c r="HQL370" s="394"/>
      <c r="HQM370" s="593"/>
      <c r="HQN370" s="594"/>
      <c r="HQO370" s="671"/>
      <c r="HQP370" s="330"/>
      <c r="HQQ370" s="377"/>
      <c r="HQR370" s="391"/>
      <c r="HQS370" s="672"/>
      <c r="HQT370" s="393"/>
      <c r="HQU370" s="394"/>
      <c r="HQV370" s="593"/>
      <c r="HQW370" s="594"/>
      <c r="HQX370" s="671"/>
      <c r="HQY370" s="330"/>
      <c r="HQZ370" s="377"/>
      <c r="HRA370" s="391"/>
      <c r="HRB370" s="672"/>
      <c r="HRC370" s="393"/>
      <c r="HRD370" s="394"/>
      <c r="HRE370" s="593"/>
      <c r="HRF370" s="594"/>
      <c r="HRG370" s="671"/>
      <c r="HRH370" s="330"/>
      <c r="HRI370" s="377"/>
      <c r="HRJ370" s="391"/>
      <c r="HRK370" s="672"/>
      <c r="HRL370" s="393"/>
      <c r="HRM370" s="394"/>
      <c r="HRN370" s="593"/>
      <c r="HRO370" s="594"/>
      <c r="HRP370" s="671"/>
      <c r="HRQ370" s="330"/>
      <c r="HRR370" s="377"/>
      <c r="HRS370" s="391"/>
      <c r="HRT370" s="672"/>
      <c r="HRU370" s="393"/>
      <c r="HRV370" s="394"/>
      <c r="HRW370" s="593"/>
      <c r="HRX370" s="594"/>
      <c r="HRY370" s="671"/>
      <c r="HRZ370" s="330"/>
      <c r="HSA370" s="377"/>
      <c r="HSB370" s="391"/>
      <c r="HSC370" s="672"/>
      <c r="HSD370" s="393"/>
      <c r="HSE370" s="394"/>
      <c r="HSF370" s="593"/>
      <c r="HSG370" s="594"/>
      <c r="HSH370" s="671"/>
      <c r="HSI370" s="330"/>
      <c r="HSJ370" s="377"/>
      <c r="HSK370" s="391"/>
      <c r="HSL370" s="672"/>
      <c r="HSM370" s="393"/>
      <c r="HSN370" s="394"/>
      <c r="HSO370" s="593"/>
      <c r="HSP370" s="594"/>
      <c r="HSQ370" s="671"/>
      <c r="HSR370" s="330"/>
      <c r="HSS370" s="377"/>
      <c r="HST370" s="391"/>
      <c r="HSU370" s="672"/>
      <c r="HSV370" s="393"/>
      <c r="HSW370" s="394"/>
      <c r="HSX370" s="593"/>
      <c r="HSY370" s="594"/>
      <c r="HSZ370" s="671"/>
      <c r="HTA370" s="330"/>
      <c r="HTB370" s="377"/>
      <c r="HTC370" s="391"/>
      <c r="HTD370" s="672"/>
      <c r="HTE370" s="393"/>
      <c r="HTF370" s="394"/>
      <c r="HTG370" s="593"/>
      <c r="HTH370" s="594"/>
      <c r="HTI370" s="671"/>
      <c r="HTJ370" s="330"/>
      <c r="HTK370" s="377"/>
      <c r="HTL370" s="391"/>
      <c r="HTM370" s="672"/>
      <c r="HTN370" s="393"/>
      <c r="HTO370" s="394"/>
      <c r="HTP370" s="593"/>
      <c r="HTQ370" s="594"/>
      <c r="HTR370" s="671"/>
      <c r="HTS370" s="330"/>
      <c r="HTT370" s="377"/>
      <c r="HTU370" s="391"/>
      <c r="HTV370" s="672"/>
      <c r="HTW370" s="393"/>
      <c r="HTX370" s="394"/>
      <c r="HTY370" s="593"/>
      <c r="HTZ370" s="594"/>
      <c r="HUA370" s="671"/>
      <c r="HUB370" s="330"/>
      <c r="HUC370" s="377"/>
      <c r="HUD370" s="391"/>
      <c r="HUE370" s="672"/>
      <c r="HUF370" s="393"/>
      <c r="HUG370" s="394"/>
      <c r="HUH370" s="593"/>
      <c r="HUI370" s="594"/>
      <c r="HUJ370" s="671"/>
      <c r="HUK370" s="330"/>
      <c r="HUL370" s="377"/>
      <c r="HUM370" s="391"/>
      <c r="HUN370" s="672"/>
      <c r="HUO370" s="393"/>
      <c r="HUP370" s="394"/>
      <c r="HUQ370" s="593"/>
      <c r="HUR370" s="594"/>
      <c r="HUS370" s="671"/>
      <c r="HUT370" s="330"/>
      <c r="HUU370" s="377"/>
      <c r="HUV370" s="391"/>
      <c r="HUW370" s="672"/>
      <c r="HUX370" s="393"/>
      <c r="HUY370" s="394"/>
      <c r="HUZ370" s="593"/>
      <c r="HVA370" s="594"/>
      <c r="HVB370" s="671"/>
      <c r="HVC370" s="330"/>
      <c r="HVD370" s="377"/>
      <c r="HVE370" s="391"/>
      <c r="HVF370" s="672"/>
      <c r="HVG370" s="393"/>
      <c r="HVH370" s="394"/>
      <c r="HVI370" s="593"/>
      <c r="HVJ370" s="594"/>
      <c r="HVK370" s="671"/>
      <c r="HVL370" s="330"/>
      <c r="HVM370" s="377"/>
      <c r="HVN370" s="391"/>
      <c r="HVO370" s="672"/>
      <c r="HVP370" s="393"/>
      <c r="HVQ370" s="394"/>
      <c r="HVR370" s="593"/>
      <c r="HVS370" s="594"/>
      <c r="HVT370" s="671"/>
      <c r="HVU370" s="330"/>
      <c r="HVV370" s="377"/>
      <c r="HVW370" s="391"/>
      <c r="HVX370" s="672"/>
      <c r="HVY370" s="393"/>
      <c r="HVZ370" s="394"/>
      <c r="HWA370" s="593"/>
      <c r="HWB370" s="594"/>
      <c r="HWC370" s="671"/>
      <c r="HWD370" s="330"/>
      <c r="HWE370" s="377"/>
      <c r="HWF370" s="391"/>
      <c r="HWG370" s="672"/>
      <c r="HWH370" s="393"/>
      <c r="HWI370" s="394"/>
      <c r="HWJ370" s="593"/>
      <c r="HWK370" s="594"/>
      <c r="HWL370" s="671"/>
      <c r="HWM370" s="330"/>
      <c r="HWN370" s="377"/>
      <c r="HWO370" s="391"/>
      <c r="HWP370" s="672"/>
      <c r="HWQ370" s="393"/>
      <c r="HWR370" s="394"/>
      <c r="HWS370" s="593"/>
      <c r="HWT370" s="594"/>
      <c r="HWU370" s="671"/>
      <c r="HWV370" s="330"/>
      <c r="HWW370" s="377"/>
      <c r="HWX370" s="391"/>
      <c r="HWY370" s="672"/>
      <c r="HWZ370" s="393"/>
      <c r="HXA370" s="394"/>
      <c r="HXB370" s="593"/>
      <c r="HXC370" s="594"/>
      <c r="HXD370" s="671"/>
      <c r="HXE370" s="330"/>
      <c r="HXF370" s="377"/>
      <c r="HXG370" s="391"/>
      <c r="HXH370" s="672"/>
      <c r="HXI370" s="393"/>
      <c r="HXJ370" s="394"/>
      <c r="HXK370" s="593"/>
      <c r="HXL370" s="594"/>
      <c r="HXM370" s="671"/>
      <c r="HXN370" s="330"/>
      <c r="HXO370" s="377"/>
      <c r="HXP370" s="391"/>
      <c r="HXQ370" s="672"/>
      <c r="HXR370" s="393"/>
      <c r="HXS370" s="394"/>
      <c r="HXT370" s="593"/>
      <c r="HXU370" s="594"/>
      <c r="HXV370" s="671"/>
      <c r="HXW370" s="330"/>
      <c r="HXX370" s="377"/>
      <c r="HXY370" s="391"/>
      <c r="HXZ370" s="672"/>
      <c r="HYA370" s="393"/>
      <c r="HYB370" s="394"/>
      <c r="HYC370" s="593"/>
      <c r="HYD370" s="594"/>
      <c r="HYE370" s="671"/>
      <c r="HYF370" s="330"/>
      <c r="HYG370" s="377"/>
      <c r="HYH370" s="391"/>
      <c r="HYI370" s="672"/>
      <c r="HYJ370" s="393"/>
      <c r="HYK370" s="394"/>
      <c r="HYL370" s="593"/>
      <c r="HYM370" s="594"/>
      <c r="HYN370" s="671"/>
      <c r="HYO370" s="330"/>
      <c r="HYP370" s="377"/>
      <c r="HYQ370" s="391"/>
      <c r="HYR370" s="672"/>
      <c r="HYS370" s="393"/>
      <c r="HYT370" s="394"/>
      <c r="HYU370" s="593"/>
      <c r="HYV370" s="594"/>
      <c r="HYW370" s="671"/>
      <c r="HYX370" s="330"/>
      <c r="HYY370" s="377"/>
      <c r="HYZ370" s="391"/>
      <c r="HZA370" s="672"/>
      <c r="HZB370" s="393"/>
      <c r="HZC370" s="394"/>
      <c r="HZD370" s="593"/>
      <c r="HZE370" s="594"/>
      <c r="HZF370" s="671"/>
      <c r="HZG370" s="330"/>
      <c r="HZH370" s="377"/>
      <c r="HZI370" s="391"/>
      <c r="HZJ370" s="672"/>
      <c r="HZK370" s="393"/>
      <c r="HZL370" s="394"/>
      <c r="HZM370" s="593"/>
      <c r="HZN370" s="594"/>
      <c r="HZO370" s="671"/>
      <c r="HZP370" s="330"/>
      <c r="HZQ370" s="377"/>
      <c r="HZR370" s="391"/>
      <c r="HZS370" s="672"/>
      <c r="HZT370" s="393"/>
      <c r="HZU370" s="394"/>
      <c r="HZV370" s="593"/>
      <c r="HZW370" s="594"/>
      <c r="HZX370" s="671"/>
      <c r="HZY370" s="330"/>
      <c r="HZZ370" s="377"/>
      <c r="IAA370" s="391"/>
      <c r="IAB370" s="672"/>
      <c r="IAC370" s="393"/>
      <c r="IAD370" s="394"/>
      <c r="IAE370" s="593"/>
      <c r="IAF370" s="594"/>
      <c r="IAG370" s="671"/>
      <c r="IAH370" s="330"/>
      <c r="IAI370" s="377"/>
      <c r="IAJ370" s="391"/>
      <c r="IAK370" s="672"/>
      <c r="IAL370" s="393"/>
      <c r="IAM370" s="394"/>
      <c r="IAN370" s="593"/>
      <c r="IAO370" s="594"/>
      <c r="IAP370" s="671"/>
      <c r="IAQ370" s="330"/>
      <c r="IAR370" s="377"/>
      <c r="IAS370" s="391"/>
      <c r="IAT370" s="672"/>
      <c r="IAU370" s="393"/>
      <c r="IAV370" s="394"/>
      <c r="IAW370" s="593"/>
      <c r="IAX370" s="594"/>
      <c r="IAY370" s="671"/>
      <c r="IAZ370" s="330"/>
      <c r="IBA370" s="377"/>
      <c r="IBB370" s="391"/>
      <c r="IBC370" s="672"/>
      <c r="IBD370" s="393"/>
      <c r="IBE370" s="394"/>
      <c r="IBF370" s="593"/>
      <c r="IBG370" s="594"/>
      <c r="IBH370" s="671"/>
      <c r="IBI370" s="330"/>
      <c r="IBJ370" s="377"/>
      <c r="IBK370" s="391"/>
      <c r="IBL370" s="672"/>
      <c r="IBM370" s="393"/>
      <c r="IBN370" s="394"/>
      <c r="IBO370" s="593"/>
      <c r="IBP370" s="594"/>
      <c r="IBQ370" s="671"/>
      <c r="IBR370" s="330"/>
      <c r="IBS370" s="377"/>
      <c r="IBT370" s="391"/>
      <c r="IBU370" s="672"/>
      <c r="IBV370" s="393"/>
      <c r="IBW370" s="394"/>
      <c r="IBX370" s="593"/>
      <c r="IBY370" s="594"/>
      <c r="IBZ370" s="671"/>
      <c r="ICA370" s="330"/>
      <c r="ICB370" s="377"/>
      <c r="ICC370" s="391"/>
      <c r="ICD370" s="672"/>
      <c r="ICE370" s="393"/>
      <c r="ICF370" s="394"/>
      <c r="ICG370" s="593"/>
      <c r="ICH370" s="594"/>
      <c r="ICI370" s="671"/>
      <c r="ICJ370" s="330"/>
      <c r="ICK370" s="377"/>
      <c r="ICL370" s="391"/>
      <c r="ICM370" s="672"/>
      <c r="ICN370" s="393"/>
      <c r="ICO370" s="394"/>
      <c r="ICP370" s="593"/>
      <c r="ICQ370" s="594"/>
      <c r="ICR370" s="671"/>
      <c r="ICS370" s="330"/>
      <c r="ICT370" s="377"/>
      <c r="ICU370" s="391"/>
      <c r="ICV370" s="672"/>
      <c r="ICW370" s="393"/>
      <c r="ICX370" s="394"/>
      <c r="ICY370" s="593"/>
      <c r="ICZ370" s="594"/>
      <c r="IDA370" s="671"/>
      <c r="IDB370" s="330"/>
      <c r="IDC370" s="377"/>
      <c r="IDD370" s="391"/>
      <c r="IDE370" s="672"/>
      <c r="IDF370" s="393"/>
      <c r="IDG370" s="394"/>
      <c r="IDH370" s="593"/>
      <c r="IDI370" s="594"/>
      <c r="IDJ370" s="671"/>
      <c r="IDK370" s="330"/>
      <c r="IDL370" s="377"/>
      <c r="IDM370" s="391"/>
      <c r="IDN370" s="672"/>
      <c r="IDO370" s="393"/>
      <c r="IDP370" s="394"/>
      <c r="IDQ370" s="593"/>
      <c r="IDR370" s="594"/>
      <c r="IDS370" s="671"/>
      <c r="IDT370" s="330"/>
      <c r="IDU370" s="377"/>
      <c r="IDV370" s="391"/>
      <c r="IDW370" s="672"/>
      <c r="IDX370" s="393"/>
      <c r="IDY370" s="394"/>
      <c r="IDZ370" s="593"/>
      <c r="IEA370" s="594"/>
      <c r="IEB370" s="671"/>
      <c r="IEC370" s="330"/>
      <c r="IED370" s="377"/>
      <c r="IEE370" s="391"/>
      <c r="IEF370" s="672"/>
      <c r="IEG370" s="393"/>
      <c r="IEH370" s="394"/>
      <c r="IEI370" s="593"/>
      <c r="IEJ370" s="594"/>
      <c r="IEK370" s="671"/>
      <c r="IEL370" s="330"/>
      <c r="IEM370" s="377"/>
      <c r="IEN370" s="391"/>
      <c r="IEO370" s="672"/>
      <c r="IEP370" s="393"/>
      <c r="IEQ370" s="394"/>
      <c r="IER370" s="593"/>
      <c r="IES370" s="594"/>
      <c r="IET370" s="671"/>
      <c r="IEU370" s="330"/>
      <c r="IEV370" s="377"/>
      <c r="IEW370" s="391"/>
      <c r="IEX370" s="672"/>
      <c r="IEY370" s="393"/>
      <c r="IEZ370" s="394"/>
      <c r="IFA370" s="593"/>
      <c r="IFB370" s="594"/>
      <c r="IFC370" s="671"/>
      <c r="IFD370" s="330"/>
      <c r="IFE370" s="377"/>
      <c r="IFF370" s="391"/>
      <c r="IFG370" s="672"/>
      <c r="IFH370" s="393"/>
      <c r="IFI370" s="394"/>
      <c r="IFJ370" s="593"/>
      <c r="IFK370" s="594"/>
      <c r="IFL370" s="671"/>
      <c r="IFM370" s="330"/>
      <c r="IFN370" s="377"/>
      <c r="IFO370" s="391"/>
      <c r="IFP370" s="672"/>
      <c r="IFQ370" s="393"/>
      <c r="IFR370" s="394"/>
      <c r="IFS370" s="593"/>
      <c r="IFT370" s="594"/>
      <c r="IFU370" s="671"/>
      <c r="IFV370" s="330"/>
      <c r="IFW370" s="377"/>
      <c r="IFX370" s="391"/>
      <c r="IFY370" s="672"/>
      <c r="IFZ370" s="393"/>
      <c r="IGA370" s="394"/>
      <c r="IGB370" s="593"/>
      <c r="IGC370" s="594"/>
      <c r="IGD370" s="671"/>
      <c r="IGE370" s="330"/>
      <c r="IGF370" s="377"/>
      <c r="IGG370" s="391"/>
      <c r="IGH370" s="672"/>
      <c r="IGI370" s="393"/>
      <c r="IGJ370" s="394"/>
      <c r="IGK370" s="593"/>
      <c r="IGL370" s="594"/>
      <c r="IGM370" s="671"/>
      <c r="IGN370" s="330"/>
      <c r="IGO370" s="377"/>
      <c r="IGP370" s="391"/>
      <c r="IGQ370" s="672"/>
      <c r="IGR370" s="393"/>
      <c r="IGS370" s="394"/>
      <c r="IGT370" s="593"/>
      <c r="IGU370" s="594"/>
      <c r="IGV370" s="671"/>
      <c r="IGW370" s="330"/>
      <c r="IGX370" s="377"/>
      <c r="IGY370" s="391"/>
      <c r="IGZ370" s="672"/>
      <c r="IHA370" s="393"/>
      <c r="IHB370" s="394"/>
      <c r="IHC370" s="593"/>
      <c r="IHD370" s="594"/>
      <c r="IHE370" s="671"/>
      <c r="IHF370" s="330"/>
      <c r="IHG370" s="377"/>
      <c r="IHH370" s="391"/>
      <c r="IHI370" s="672"/>
      <c r="IHJ370" s="393"/>
      <c r="IHK370" s="394"/>
      <c r="IHL370" s="593"/>
      <c r="IHM370" s="594"/>
      <c r="IHN370" s="671"/>
      <c r="IHO370" s="330"/>
      <c r="IHP370" s="377"/>
      <c r="IHQ370" s="391"/>
      <c r="IHR370" s="672"/>
      <c r="IHS370" s="393"/>
      <c r="IHT370" s="394"/>
      <c r="IHU370" s="593"/>
      <c r="IHV370" s="594"/>
      <c r="IHW370" s="671"/>
      <c r="IHX370" s="330"/>
      <c r="IHY370" s="377"/>
      <c r="IHZ370" s="391"/>
      <c r="IIA370" s="672"/>
      <c r="IIB370" s="393"/>
      <c r="IIC370" s="394"/>
      <c r="IID370" s="593"/>
      <c r="IIE370" s="594"/>
      <c r="IIF370" s="671"/>
      <c r="IIG370" s="330"/>
      <c r="IIH370" s="377"/>
      <c r="III370" s="391"/>
      <c r="IIJ370" s="672"/>
      <c r="IIK370" s="393"/>
      <c r="IIL370" s="394"/>
      <c r="IIM370" s="593"/>
      <c r="IIN370" s="594"/>
      <c r="IIO370" s="671"/>
      <c r="IIP370" s="330"/>
      <c r="IIQ370" s="377"/>
      <c r="IIR370" s="391"/>
      <c r="IIS370" s="672"/>
      <c r="IIT370" s="393"/>
      <c r="IIU370" s="394"/>
      <c r="IIV370" s="593"/>
      <c r="IIW370" s="594"/>
      <c r="IIX370" s="671"/>
      <c r="IIY370" s="330"/>
      <c r="IIZ370" s="377"/>
      <c r="IJA370" s="391"/>
      <c r="IJB370" s="672"/>
      <c r="IJC370" s="393"/>
      <c r="IJD370" s="394"/>
      <c r="IJE370" s="593"/>
      <c r="IJF370" s="594"/>
      <c r="IJG370" s="671"/>
      <c r="IJH370" s="330"/>
      <c r="IJI370" s="377"/>
      <c r="IJJ370" s="391"/>
      <c r="IJK370" s="672"/>
      <c r="IJL370" s="393"/>
      <c r="IJM370" s="394"/>
      <c r="IJN370" s="593"/>
      <c r="IJO370" s="594"/>
      <c r="IJP370" s="671"/>
      <c r="IJQ370" s="330"/>
      <c r="IJR370" s="377"/>
      <c r="IJS370" s="391"/>
      <c r="IJT370" s="672"/>
      <c r="IJU370" s="393"/>
      <c r="IJV370" s="394"/>
      <c r="IJW370" s="593"/>
      <c r="IJX370" s="594"/>
      <c r="IJY370" s="671"/>
      <c r="IJZ370" s="330"/>
      <c r="IKA370" s="377"/>
      <c r="IKB370" s="391"/>
      <c r="IKC370" s="672"/>
      <c r="IKD370" s="393"/>
      <c r="IKE370" s="394"/>
      <c r="IKF370" s="593"/>
      <c r="IKG370" s="594"/>
      <c r="IKH370" s="671"/>
      <c r="IKI370" s="330"/>
      <c r="IKJ370" s="377"/>
      <c r="IKK370" s="391"/>
      <c r="IKL370" s="672"/>
      <c r="IKM370" s="393"/>
      <c r="IKN370" s="394"/>
      <c r="IKO370" s="593"/>
      <c r="IKP370" s="594"/>
      <c r="IKQ370" s="671"/>
      <c r="IKR370" s="330"/>
      <c r="IKS370" s="377"/>
      <c r="IKT370" s="391"/>
      <c r="IKU370" s="672"/>
      <c r="IKV370" s="393"/>
      <c r="IKW370" s="394"/>
      <c r="IKX370" s="593"/>
      <c r="IKY370" s="594"/>
      <c r="IKZ370" s="671"/>
      <c r="ILA370" s="330"/>
      <c r="ILB370" s="377"/>
      <c r="ILC370" s="391"/>
      <c r="ILD370" s="672"/>
      <c r="ILE370" s="393"/>
      <c r="ILF370" s="394"/>
      <c r="ILG370" s="593"/>
      <c r="ILH370" s="594"/>
      <c r="ILI370" s="671"/>
      <c r="ILJ370" s="330"/>
      <c r="ILK370" s="377"/>
      <c r="ILL370" s="391"/>
      <c r="ILM370" s="672"/>
      <c r="ILN370" s="393"/>
      <c r="ILO370" s="394"/>
      <c r="ILP370" s="593"/>
      <c r="ILQ370" s="594"/>
      <c r="ILR370" s="671"/>
      <c r="ILS370" s="330"/>
      <c r="ILT370" s="377"/>
      <c r="ILU370" s="391"/>
      <c r="ILV370" s="672"/>
      <c r="ILW370" s="393"/>
      <c r="ILX370" s="394"/>
      <c r="ILY370" s="593"/>
      <c r="ILZ370" s="594"/>
      <c r="IMA370" s="671"/>
      <c r="IMB370" s="330"/>
      <c r="IMC370" s="377"/>
      <c r="IMD370" s="391"/>
      <c r="IME370" s="672"/>
      <c r="IMF370" s="393"/>
      <c r="IMG370" s="394"/>
      <c r="IMH370" s="593"/>
      <c r="IMI370" s="594"/>
      <c r="IMJ370" s="671"/>
      <c r="IMK370" s="330"/>
      <c r="IML370" s="377"/>
      <c r="IMM370" s="391"/>
      <c r="IMN370" s="672"/>
      <c r="IMO370" s="393"/>
      <c r="IMP370" s="394"/>
      <c r="IMQ370" s="593"/>
      <c r="IMR370" s="594"/>
      <c r="IMS370" s="671"/>
      <c r="IMT370" s="330"/>
      <c r="IMU370" s="377"/>
      <c r="IMV370" s="391"/>
      <c r="IMW370" s="672"/>
      <c r="IMX370" s="393"/>
      <c r="IMY370" s="394"/>
      <c r="IMZ370" s="593"/>
      <c r="INA370" s="594"/>
      <c r="INB370" s="671"/>
      <c r="INC370" s="330"/>
      <c r="IND370" s="377"/>
      <c r="INE370" s="391"/>
      <c r="INF370" s="672"/>
      <c r="ING370" s="393"/>
      <c r="INH370" s="394"/>
      <c r="INI370" s="593"/>
      <c r="INJ370" s="594"/>
      <c r="INK370" s="671"/>
      <c r="INL370" s="330"/>
      <c r="INM370" s="377"/>
      <c r="INN370" s="391"/>
      <c r="INO370" s="672"/>
      <c r="INP370" s="393"/>
      <c r="INQ370" s="394"/>
      <c r="INR370" s="593"/>
      <c r="INS370" s="594"/>
      <c r="INT370" s="671"/>
      <c r="INU370" s="330"/>
      <c r="INV370" s="377"/>
      <c r="INW370" s="391"/>
      <c r="INX370" s="672"/>
      <c r="INY370" s="393"/>
      <c r="INZ370" s="394"/>
      <c r="IOA370" s="593"/>
      <c r="IOB370" s="594"/>
      <c r="IOC370" s="671"/>
      <c r="IOD370" s="330"/>
      <c r="IOE370" s="377"/>
      <c r="IOF370" s="391"/>
      <c r="IOG370" s="672"/>
      <c r="IOH370" s="393"/>
      <c r="IOI370" s="394"/>
      <c r="IOJ370" s="593"/>
      <c r="IOK370" s="594"/>
      <c r="IOL370" s="671"/>
      <c r="IOM370" s="330"/>
      <c r="ION370" s="377"/>
      <c r="IOO370" s="391"/>
      <c r="IOP370" s="672"/>
      <c r="IOQ370" s="393"/>
      <c r="IOR370" s="394"/>
      <c r="IOS370" s="593"/>
      <c r="IOT370" s="594"/>
      <c r="IOU370" s="671"/>
      <c r="IOV370" s="330"/>
      <c r="IOW370" s="377"/>
      <c r="IOX370" s="391"/>
      <c r="IOY370" s="672"/>
      <c r="IOZ370" s="393"/>
      <c r="IPA370" s="394"/>
      <c r="IPB370" s="593"/>
      <c r="IPC370" s="594"/>
      <c r="IPD370" s="671"/>
      <c r="IPE370" s="330"/>
      <c r="IPF370" s="377"/>
      <c r="IPG370" s="391"/>
      <c r="IPH370" s="672"/>
      <c r="IPI370" s="393"/>
      <c r="IPJ370" s="394"/>
      <c r="IPK370" s="593"/>
      <c r="IPL370" s="594"/>
      <c r="IPM370" s="671"/>
      <c r="IPN370" s="330"/>
      <c r="IPO370" s="377"/>
      <c r="IPP370" s="391"/>
      <c r="IPQ370" s="672"/>
      <c r="IPR370" s="393"/>
      <c r="IPS370" s="394"/>
      <c r="IPT370" s="593"/>
      <c r="IPU370" s="594"/>
      <c r="IPV370" s="671"/>
      <c r="IPW370" s="330"/>
      <c r="IPX370" s="377"/>
      <c r="IPY370" s="391"/>
      <c r="IPZ370" s="672"/>
      <c r="IQA370" s="393"/>
      <c r="IQB370" s="394"/>
      <c r="IQC370" s="593"/>
      <c r="IQD370" s="594"/>
      <c r="IQE370" s="671"/>
      <c r="IQF370" s="330"/>
      <c r="IQG370" s="377"/>
      <c r="IQH370" s="391"/>
      <c r="IQI370" s="672"/>
      <c r="IQJ370" s="393"/>
      <c r="IQK370" s="394"/>
      <c r="IQL370" s="593"/>
      <c r="IQM370" s="594"/>
      <c r="IQN370" s="671"/>
      <c r="IQO370" s="330"/>
      <c r="IQP370" s="377"/>
      <c r="IQQ370" s="391"/>
      <c r="IQR370" s="672"/>
      <c r="IQS370" s="393"/>
      <c r="IQT370" s="394"/>
      <c r="IQU370" s="593"/>
      <c r="IQV370" s="594"/>
      <c r="IQW370" s="671"/>
      <c r="IQX370" s="330"/>
      <c r="IQY370" s="377"/>
      <c r="IQZ370" s="391"/>
      <c r="IRA370" s="672"/>
      <c r="IRB370" s="393"/>
      <c r="IRC370" s="394"/>
      <c r="IRD370" s="593"/>
      <c r="IRE370" s="594"/>
      <c r="IRF370" s="671"/>
      <c r="IRG370" s="330"/>
      <c r="IRH370" s="377"/>
      <c r="IRI370" s="391"/>
      <c r="IRJ370" s="672"/>
      <c r="IRK370" s="393"/>
      <c r="IRL370" s="394"/>
      <c r="IRM370" s="593"/>
      <c r="IRN370" s="594"/>
      <c r="IRO370" s="671"/>
      <c r="IRP370" s="330"/>
      <c r="IRQ370" s="377"/>
      <c r="IRR370" s="391"/>
      <c r="IRS370" s="672"/>
      <c r="IRT370" s="393"/>
      <c r="IRU370" s="394"/>
      <c r="IRV370" s="593"/>
      <c r="IRW370" s="594"/>
      <c r="IRX370" s="671"/>
      <c r="IRY370" s="330"/>
      <c r="IRZ370" s="377"/>
      <c r="ISA370" s="391"/>
      <c r="ISB370" s="672"/>
      <c r="ISC370" s="393"/>
      <c r="ISD370" s="394"/>
      <c r="ISE370" s="593"/>
      <c r="ISF370" s="594"/>
      <c r="ISG370" s="671"/>
      <c r="ISH370" s="330"/>
      <c r="ISI370" s="377"/>
      <c r="ISJ370" s="391"/>
      <c r="ISK370" s="672"/>
      <c r="ISL370" s="393"/>
      <c r="ISM370" s="394"/>
      <c r="ISN370" s="593"/>
      <c r="ISO370" s="594"/>
      <c r="ISP370" s="671"/>
      <c r="ISQ370" s="330"/>
      <c r="ISR370" s="377"/>
      <c r="ISS370" s="391"/>
      <c r="IST370" s="672"/>
      <c r="ISU370" s="393"/>
      <c r="ISV370" s="394"/>
      <c r="ISW370" s="593"/>
      <c r="ISX370" s="594"/>
      <c r="ISY370" s="671"/>
      <c r="ISZ370" s="330"/>
      <c r="ITA370" s="377"/>
      <c r="ITB370" s="391"/>
      <c r="ITC370" s="672"/>
      <c r="ITD370" s="393"/>
      <c r="ITE370" s="394"/>
      <c r="ITF370" s="593"/>
      <c r="ITG370" s="594"/>
      <c r="ITH370" s="671"/>
      <c r="ITI370" s="330"/>
      <c r="ITJ370" s="377"/>
      <c r="ITK370" s="391"/>
      <c r="ITL370" s="672"/>
      <c r="ITM370" s="393"/>
      <c r="ITN370" s="394"/>
      <c r="ITO370" s="593"/>
      <c r="ITP370" s="594"/>
      <c r="ITQ370" s="671"/>
      <c r="ITR370" s="330"/>
      <c r="ITS370" s="377"/>
      <c r="ITT370" s="391"/>
      <c r="ITU370" s="672"/>
      <c r="ITV370" s="393"/>
      <c r="ITW370" s="394"/>
      <c r="ITX370" s="593"/>
      <c r="ITY370" s="594"/>
      <c r="ITZ370" s="671"/>
      <c r="IUA370" s="330"/>
      <c r="IUB370" s="377"/>
      <c r="IUC370" s="391"/>
      <c r="IUD370" s="672"/>
      <c r="IUE370" s="393"/>
      <c r="IUF370" s="394"/>
      <c r="IUG370" s="593"/>
      <c r="IUH370" s="594"/>
      <c r="IUI370" s="671"/>
      <c r="IUJ370" s="330"/>
      <c r="IUK370" s="377"/>
      <c r="IUL370" s="391"/>
      <c r="IUM370" s="672"/>
      <c r="IUN370" s="393"/>
      <c r="IUO370" s="394"/>
      <c r="IUP370" s="593"/>
      <c r="IUQ370" s="594"/>
      <c r="IUR370" s="671"/>
      <c r="IUS370" s="330"/>
      <c r="IUT370" s="377"/>
      <c r="IUU370" s="391"/>
      <c r="IUV370" s="672"/>
      <c r="IUW370" s="393"/>
      <c r="IUX370" s="394"/>
      <c r="IUY370" s="593"/>
      <c r="IUZ370" s="594"/>
      <c r="IVA370" s="671"/>
      <c r="IVB370" s="330"/>
      <c r="IVC370" s="377"/>
      <c r="IVD370" s="391"/>
      <c r="IVE370" s="672"/>
      <c r="IVF370" s="393"/>
      <c r="IVG370" s="394"/>
      <c r="IVH370" s="593"/>
      <c r="IVI370" s="594"/>
      <c r="IVJ370" s="671"/>
      <c r="IVK370" s="330"/>
      <c r="IVL370" s="377"/>
      <c r="IVM370" s="391"/>
      <c r="IVN370" s="672"/>
      <c r="IVO370" s="393"/>
      <c r="IVP370" s="394"/>
      <c r="IVQ370" s="593"/>
      <c r="IVR370" s="594"/>
      <c r="IVS370" s="671"/>
      <c r="IVT370" s="330"/>
      <c r="IVU370" s="377"/>
      <c r="IVV370" s="391"/>
      <c r="IVW370" s="672"/>
      <c r="IVX370" s="393"/>
      <c r="IVY370" s="394"/>
      <c r="IVZ370" s="593"/>
      <c r="IWA370" s="594"/>
      <c r="IWB370" s="671"/>
      <c r="IWC370" s="330"/>
      <c r="IWD370" s="377"/>
      <c r="IWE370" s="391"/>
      <c r="IWF370" s="672"/>
      <c r="IWG370" s="393"/>
      <c r="IWH370" s="394"/>
      <c r="IWI370" s="593"/>
      <c r="IWJ370" s="594"/>
      <c r="IWK370" s="671"/>
      <c r="IWL370" s="330"/>
      <c r="IWM370" s="377"/>
      <c r="IWN370" s="391"/>
      <c r="IWO370" s="672"/>
      <c r="IWP370" s="393"/>
      <c r="IWQ370" s="394"/>
      <c r="IWR370" s="593"/>
      <c r="IWS370" s="594"/>
      <c r="IWT370" s="671"/>
      <c r="IWU370" s="330"/>
      <c r="IWV370" s="377"/>
      <c r="IWW370" s="391"/>
      <c r="IWX370" s="672"/>
      <c r="IWY370" s="393"/>
      <c r="IWZ370" s="394"/>
      <c r="IXA370" s="593"/>
      <c r="IXB370" s="594"/>
      <c r="IXC370" s="671"/>
      <c r="IXD370" s="330"/>
      <c r="IXE370" s="377"/>
      <c r="IXF370" s="391"/>
      <c r="IXG370" s="672"/>
      <c r="IXH370" s="393"/>
      <c r="IXI370" s="394"/>
      <c r="IXJ370" s="593"/>
      <c r="IXK370" s="594"/>
      <c r="IXL370" s="671"/>
      <c r="IXM370" s="330"/>
      <c r="IXN370" s="377"/>
      <c r="IXO370" s="391"/>
      <c r="IXP370" s="672"/>
      <c r="IXQ370" s="393"/>
      <c r="IXR370" s="394"/>
      <c r="IXS370" s="593"/>
      <c r="IXT370" s="594"/>
      <c r="IXU370" s="671"/>
      <c r="IXV370" s="330"/>
      <c r="IXW370" s="377"/>
      <c r="IXX370" s="391"/>
      <c r="IXY370" s="672"/>
      <c r="IXZ370" s="393"/>
      <c r="IYA370" s="394"/>
      <c r="IYB370" s="593"/>
      <c r="IYC370" s="594"/>
      <c r="IYD370" s="671"/>
      <c r="IYE370" s="330"/>
      <c r="IYF370" s="377"/>
      <c r="IYG370" s="391"/>
      <c r="IYH370" s="672"/>
      <c r="IYI370" s="393"/>
      <c r="IYJ370" s="394"/>
      <c r="IYK370" s="593"/>
      <c r="IYL370" s="594"/>
      <c r="IYM370" s="671"/>
      <c r="IYN370" s="330"/>
      <c r="IYO370" s="377"/>
      <c r="IYP370" s="391"/>
      <c r="IYQ370" s="672"/>
      <c r="IYR370" s="393"/>
      <c r="IYS370" s="394"/>
      <c r="IYT370" s="593"/>
      <c r="IYU370" s="594"/>
      <c r="IYV370" s="671"/>
      <c r="IYW370" s="330"/>
      <c r="IYX370" s="377"/>
      <c r="IYY370" s="391"/>
      <c r="IYZ370" s="672"/>
      <c r="IZA370" s="393"/>
      <c r="IZB370" s="394"/>
      <c r="IZC370" s="593"/>
      <c r="IZD370" s="594"/>
      <c r="IZE370" s="671"/>
      <c r="IZF370" s="330"/>
      <c r="IZG370" s="377"/>
      <c r="IZH370" s="391"/>
      <c r="IZI370" s="672"/>
      <c r="IZJ370" s="393"/>
      <c r="IZK370" s="394"/>
      <c r="IZL370" s="593"/>
      <c r="IZM370" s="594"/>
      <c r="IZN370" s="671"/>
      <c r="IZO370" s="330"/>
      <c r="IZP370" s="377"/>
      <c r="IZQ370" s="391"/>
      <c r="IZR370" s="672"/>
      <c r="IZS370" s="393"/>
      <c r="IZT370" s="394"/>
      <c r="IZU370" s="593"/>
      <c r="IZV370" s="594"/>
      <c r="IZW370" s="671"/>
      <c r="IZX370" s="330"/>
      <c r="IZY370" s="377"/>
      <c r="IZZ370" s="391"/>
      <c r="JAA370" s="672"/>
      <c r="JAB370" s="393"/>
      <c r="JAC370" s="394"/>
      <c r="JAD370" s="593"/>
      <c r="JAE370" s="594"/>
      <c r="JAF370" s="671"/>
      <c r="JAG370" s="330"/>
      <c r="JAH370" s="377"/>
      <c r="JAI370" s="391"/>
      <c r="JAJ370" s="672"/>
      <c r="JAK370" s="393"/>
      <c r="JAL370" s="394"/>
      <c r="JAM370" s="593"/>
      <c r="JAN370" s="594"/>
      <c r="JAO370" s="671"/>
      <c r="JAP370" s="330"/>
      <c r="JAQ370" s="377"/>
      <c r="JAR370" s="391"/>
      <c r="JAS370" s="672"/>
      <c r="JAT370" s="393"/>
      <c r="JAU370" s="394"/>
      <c r="JAV370" s="593"/>
      <c r="JAW370" s="594"/>
      <c r="JAX370" s="671"/>
      <c r="JAY370" s="330"/>
      <c r="JAZ370" s="377"/>
      <c r="JBA370" s="391"/>
      <c r="JBB370" s="672"/>
      <c r="JBC370" s="393"/>
      <c r="JBD370" s="394"/>
      <c r="JBE370" s="593"/>
      <c r="JBF370" s="594"/>
      <c r="JBG370" s="671"/>
      <c r="JBH370" s="330"/>
      <c r="JBI370" s="377"/>
      <c r="JBJ370" s="391"/>
      <c r="JBK370" s="672"/>
      <c r="JBL370" s="393"/>
      <c r="JBM370" s="394"/>
      <c r="JBN370" s="593"/>
      <c r="JBO370" s="594"/>
      <c r="JBP370" s="671"/>
      <c r="JBQ370" s="330"/>
      <c r="JBR370" s="377"/>
      <c r="JBS370" s="391"/>
      <c r="JBT370" s="672"/>
      <c r="JBU370" s="393"/>
      <c r="JBV370" s="394"/>
      <c r="JBW370" s="593"/>
      <c r="JBX370" s="594"/>
      <c r="JBY370" s="671"/>
      <c r="JBZ370" s="330"/>
      <c r="JCA370" s="377"/>
      <c r="JCB370" s="391"/>
      <c r="JCC370" s="672"/>
      <c r="JCD370" s="393"/>
      <c r="JCE370" s="394"/>
      <c r="JCF370" s="593"/>
      <c r="JCG370" s="594"/>
      <c r="JCH370" s="671"/>
      <c r="JCI370" s="330"/>
      <c r="JCJ370" s="377"/>
      <c r="JCK370" s="391"/>
      <c r="JCL370" s="672"/>
      <c r="JCM370" s="393"/>
      <c r="JCN370" s="394"/>
      <c r="JCO370" s="593"/>
      <c r="JCP370" s="594"/>
      <c r="JCQ370" s="671"/>
      <c r="JCR370" s="330"/>
      <c r="JCS370" s="377"/>
      <c r="JCT370" s="391"/>
      <c r="JCU370" s="672"/>
      <c r="JCV370" s="393"/>
      <c r="JCW370" s="394"/>
      <c r="JCX370" s="593"/>
      <c r="JCY370" s="594"/>
      <c r="JCZ370" s="671"/>
      <c r="JDA370" s="330"/>
      <c r="JDB370" s="377"/>
      <c r="JDC370" s="391"/>
      <c r="JDD370" s="672"/>
      <c r="JDE370" s="393"/>
      <c r="JDF370" s="394"/>
      <c r="JDG370" s="593"/>
      <c r="JDH370" s="594"/>
      <c r="JDI370" s="671"/>
      <c r="JDJ370" s="330"/>
      <c r="JDK370" s="377"/>
      <c r="JDL370" s="391"/>
      <c r="JDM370" s="672"/>
      <c r="JDN370" s="393"/>
      <c r="JDO370" s="394"/>
      <c r="JDP370" s="593"/>
      <c r="JDQ370" s="594"/>
      <c r="JDR370" s="671"/>
      <c r="JDS370" s="330"/>
      <c r="JDT370" s="377"/>
      <c r="JDU370" s="391"/>
      <c r="JDV370" s="672"/>
      <c r="JDW370" s="393"/>
      <c r="JDX370" s="394"/>
      <c r="JDY370" s="593"/>
      <c r="JDZ370" s="594"/>
      <c r="JEA370" s="671"/>
      <c r="JEB370" s="330"/>
      <c r="JEC370" s="377"/>
      <c r="JED370" s="391"/>
      <c r="JEE370" s="672"/>
      <c r="JEF370" s="393"/>
      <c r="JEG370" s="394"/>
      <c r="JEH370" s="593"/>
      <c r="JEI370" s="594"/>
      <c r="JEJ370" s="671"/>
      <c r="JEK370" s="330"/>
      <c r="JEL370" s="377"/>
      <c r="JEM370" s="391"/>
      <c r="JEN370" s="672"/>
      <c r="JEO370" s="393"/>
      <c r="JEP370" s="394"/>
      <c r="JEQ370" s="593"/>
      <c r="JER370" s="594"/>
      <c r="JES370" s="671"/>
      <c r="JET370" s="330"/>
      <c r="JEU370" s="377"/>
      <c r="JEV370" s="391"/>
      <c r="JEW370" s="672"/>
      <c r="JEX370" s="393"/>
      <c r="JEY370" s="394"/>
      <c r="JEZ370" s="593"/>
      <c r="JFA370" s="594"/>
      <c r="JFB370" s="671"/>
      <c r="JFC370" s="330"/>
      <c r="JFD370" s="377"/>
      <c r="JFE370" s="391"/>
      <c r="JFF370" s="672"/>
      <c r="JFG370" s="393"/>
      <c r="JFH370" s="394"/>
      <c r="JFI370" s="593"/>
      <c r="JFJ370" s="594"/>
      <c r="JFK370" s="671"/>
      <c r="JFL370" s="330"/>
      <c r="JFM370" s="377"/>
      <c r="JFN370" s="391"/>
      <c r="JFO370" s="672"/>
      <c r="JFP370" s="393"/>
      <c r="JFQ370" s="394"/>
      <c r="JFR370" s="593"/>
      <c r="JFS370" s="594"/>
      <c r="JFT370" s="671"/>
      <c r="JFU370" s="330"/>
      <c r="JFV370" s="377"/>
      <c r="JFW370" s="391"/>
      <c r="JFX370" s="672"/>
      <c r="JFY370" s="393"/>
      <c r="JFZ370" s="394"/>
      <c r="JGA370" s="593"/>
      <c r="JGB370" s="594"/>
      <c r="JGC370" s="671"/>
      <c r="JGD370" s="330"/>
      <c r="JGE370" s="377"/>
      <c r="JGF370" s="391"/>
      <c r="JGG370" s="672"/>
      <c r="JGH370" s="393"/>
      <c r="JGI370" s="394"/>
      <c r="JGJ370" s="593"/>
      <c r="JGK370" s="594"/>
      <c r="JGL370" s="671"/>
      <c r="JGM370" s="330"/>
      <c r="JGN370" s="377"/>
      <c r="JGO370" s="391"/>
      <c r="JGP370" s="672"/>
      <c r="JGQ370" s="393"/>
      <c r="JGR370" s="394"/>
      <c r="JGS370" s="593"/>
      <c r="JGT370" s="594"/>
      <c r="JGU370" s="671"/>
      <c r="JGV370" s="330"/>
      <c r="JGW370" s="377"/>
      <c r="JGX370" s="391"/>
      <c r="JGY370" s="672"/>
      <c r="JGZ370" s="393"/>
      <c r="JHA370" s="394"/>
      <c r="JHB370" s="593"/>
      <c r="JHC370" s="594"/>
      <c r="JHD370" s="671"/>
      <c r="JHE370" s="330"/>
      <c r="JHF370" s="377"/>
      <c r="JHG370" s="391"/>
      <c r="JHH370" s="672"/>
      <c r="JHI370" s="393"/>
      <c r="JHJ370" s="394"/>
      <c r="JHK370" s="593"/>
      <c r="JHL370" s="594"/>
      <c r="JHM370" s="671"/>
      <c r="JHN370" s="330"/>
      <c r="JHO370" s="377"/>
      <c r="JHP370" s="391"/>
      <c r="JHQ370" s="672"/>
      <c r="JHR370" s="393"/>
      <c r="JHS370" s="394"/>
      <c r="JHT370" s="593"/>
      <c r="JHU370" s="594"/>
      <c r="JHV370" s="671"/>
      <c r="JHW370" s="330"/>
      <c r="JHX370" s="377"/>
      <c r="JHY370" s="391"/>
      <c r="JHZ370" s="672"/>
      <c r="JIA370" s="393"/>
      <c r="JIB370" s="394"/>
      <c r="JIC370" s="593"/>
      <c r="JID370" s="594"/>
      <c r="JIE370" s="671"/>
      <c r="JIF370" s="330"/>
      <c r="JIG370" s="377"/>
      <c r="JIH370" s="391"/>
      <c r="JII370" s="672"/>
      <c r="JIJ370" s="393"/>
      <c r="JIK370" s="394"/>
      <c r="JIL370" s="593"/>
      <c r="JIM370" s="594"/>
      <c r="JIN370" s="671"/>
      <c r="JIO370" s="330"/>
      <c r="JIP370" s="377"/>
      <c r="JIQ370" s="391"/>
      <c r="JIR370" s="672"/>
      <c r="JIS370" s="393"/>
      <c r="JIT370" s="394"/>
      <c r="JIU370" s="593"/>
      <c r="JIV370" s="594"/>
      <c r="JIW370" s="671"/>
      <c r="JIX370" s="330"/>
      <c r="JIY370" s="377"/>
      <c r="JIZ370" s="391"/>
      <c r="JJA370" s="672"/>
      <c r="JJB370" s="393"/>
      <c r="JJC370" s="394"/>
      <c r="JJD370" s="593"/>
      <c r="JJE370" s="594"/>
      <c r="JJF370" s="671"/>
      <c r="JJG370" s="330"/>
      <c r="JJH370" s="377"/>
      <c r="JJI370" s="391"/>
      <c r="JJJ370" s="672"/>
      <c r="JJK370" s="393"/>
      <c r="JJL370" s="394"/>
      <c r="JJM370" s="593"/>
      <c r="JJN370" s="594"/>
      <c r="JJO370" s="671"/>
      <c r="JJP370" s="330"/>
      <c r="JJQ370" s="377"/>
      <c r="JJR370" s="391"/>
      <c r="JJS370" s="672"/>
      <c r="JJT370" s="393"/>
      <c r="JJU370" s="394"/>
      <c r="JJV370" s="593"/>
      <c r="JJW370" s="594"/>
      <c r="JJX370" s="671"/>
      <c r="JJY370" s="330"/>
      <c r="JJZ370" s="377"/>
      <c r="JKA370" s="391"/>
      <c r="JKB370" s="672"/>
      <c r="JKC370" s="393"/>
      <c r="JKD370" s="394"/>
      <c r="JKE370" s="593"/>
      <c r="JKF370" s="594"/>
      <c r="JKG370" s="671"/>
      <c r="JKH370" s="330"/>
      <c r="JKI370" s="377"/>
      <c r="JKJ370" s="391"/>
      <c r="JKK370" s="672"/>
      <c r="JKL370" s="393"/>
      <c r="JKM370" s="394"/>
      <c r="JKN370" s="593"/>
      <c r="JKO370" s="594"/>
      <c r="JKP370" s="671"/>
      <c r="JKQ370" s="330"/>
      <c r="JKR370" s="377"/>
      <c r="JKS370" s="391"/>
      <c r="JKT370" s="672"/>
      <c r="JKU370" s="393"/>
      <c r="JKV370" s="394"/>
      <c r="JKW370" s="593"/>
      <c r="JKX370" s="594"/>
      <c r="JKY370" s="671"/>
      <c r="JKZ370" s="330"/>
      <c r="JLA370" s="377"/>
      <c r="JLB370" s="391"/>
      <c r="JLC370" s="672"/>
      <c r="JLD370" s="393"/>
      <c r="JLE370" s="394"/>
      <c r="JLF370" s="593"/>
      <c r="JLG370" s="594"/>
      <c r="JLH370" s="671"/>
      <c r="JLI370" s="330"/>
      <c r="JLJ370" s="377"/>
      <c r="JLK370" s="391"/>
      <c r="JLL370" s="672"/>
      <c r="JLM370" s="393"/>
      <c r="JLN370" s="394"/>
      <c r="JLO370" s="593"/>
      <c r="JLP370" s="594"/>
      <c r="JLQ370" s="671"/>
      <c r="JLR370" s="330"/>
      <c r="JLS370" s="377"/>
      <c r="JLT370" s="391"/>
      <c r="JLU370" s="672"/>
      <c r="JLV370" s="393"/>
      <c r="JLW370" s="394"/>
      <c r="JLX370" s="593"/>
      <c r="JLY370" s="594"/>
      <c r="JLZ370" s="671"/>
      <c r="JMA370" s="330"/>
      <c r="JMB370" s="377"/>
      <c r="JMC370" s="391"/>
      <c r="JMD370" s="672"/>
      <c r="JME370" s="393"/>
      <c r="JMF370" s="394"/>
      <c r="JMG370" s="593"/>
      <c r="JMH370" s="594"/>
      <c r="JMI370" s="671"/>
      <c r="JMJ370" s="330"/>
      <c r="JMK370" s="377"/>
      <c r="JML370" s="391"/>
      <c r="JMM370" s="672"/>
      <c r="JMN370" s="393"/>
      <c r="JMO370" s="394"/>
      <c r="JMP370" s="593"/>
      <c r="JMQ370" s="594"/>
      <c r="JMR370" s="671"/>
      <c r="JMS370" s="330"/>
      <c r="JMT370" s="377"/>
      <c r="JMU370" s="391"/>
      <c r="JMV370" s="672"/>
      <c r="JMW370" s="393"/>
      <c r="JMX370" s="394"/>
      <c r="JMY370" s="593"/>
      <c r="JMZ370" s="594"/>
      <c r="JNA370" s="671"/>
      <c r="JNB370" s="330"/>
      <c r="JNC370" s="377"/>
      <c r="JND370" s="391"/>
      <c r="JNE370" s="672"/>
      <c r="JNF370" s="393"/>
      <c r="JNG370" s="394"/>
      <c r="JNH370" s="593"/>
      <c r="JNI370" s="594"/>
      <c r="JNJ370" s="671"/>
      <c r="JNK370" s="330"/>
      <c r="JNL370" s="377"/>
      <c r="JNM370" s="391"/>
      <c r="JNN370" s="672"/>
      <c r="JNO370" s="393"/>
      <c r="JNP370" s="394"/>
      <c r="JNQ370" s="593"/>
      <c r="JNR370" s="594"/>
      <c r="JNS370" s="671"/>
      <c r="JNT370" s="330"/>
      <c r="JNU370" s="377"/>
      <c r="JNV370" s="391"/>
      <c r="JNW370" s="672"/>
      <c r="JNX370" s="393"/>
      <c r="JNY370" s="394"/>
      <c r="JNZ370" s="593"/>
      <c r="JOA370" s="594"/>
      <c r="JOB370" s="671"/>
      <c r="JOC370" s="330"/>
      <c r="JOD370" s="377"/>
      <c r="JOE370" s="391"/>
      <c r="JOF370" s="672"/>
      <c r="JOG370" s="393"/>
      <c r="JOH370" s="394"/>
      <c r="JOI370" s="593"/>
      <c r="JOJ370" s="594"/>
      <c r="JOK370" s="671"/>
      <c r="JOL370" s="330"/>
      <c r="JOM370" s="377"/>
      <c r="JON370" s="391"/>
      <c r="JOO370" s="672"/>
      <c r="JOP370" s="393"/>
      <c r="JOQ370" s="394"/>
      <c r="JOR370" s="593"/>
      <c r="JOS370" s="594"/>
      <c r="JOT370" s="671"/>
      <c r="JOU370" s="330"/>
      <c r="JOV370" s="377"/>
      <c r="JOW370" s="391"/>
      <c r="JOX370" s="672"/>
      <c r="JOY370" s="393"/>
      <c r="JOZ370" s="394"/>
      <c r="JPA370" s="593"/>
      <c r="JPB370" s="594"/>
      <c r="JPC370" s="671"/>
      <c r="JPD370" s="330"/>
      <c r="JPE370" s="377"/>
      <c r="JPF370" s="391"/>
      <c r="JPG370" s="672"/>
      <c r="JPH370" s="393"/>
      <c r="JPI370" s="394"/>
      <c r="JPJ370" s="593"/>
      <c r="JPK370" s="594"/>
      <c r="JPL370" s="671"/>
      <c r="JPM370" s="330"/>
      <c r="JPN370" s="377"/>
      <c r="JPO370" s="391"/>
      <c r="JPP370" s="672"/>
      <c r="JPQ370" s="393"/>
      <c r="JPR370" s="394"/>
      <c r="JPS370" s="593"/>
      <c r="JPT370" s="594"/>
      <c r="JPU370" s="671"/>
      <c r="JPV370" s="330"/>
      <c r="JPW370" s="377"/>
      <c r="JPX370" s="391"/>
      <c r="JPY370" s="672"/>
      <c r="JPZ370" s="393"/>
      <c r="JQA370" s="394"/>
      <c r="JQB370" s="593"/>
      <c r="JQC370" s="594"/>
      <c r="JQD370" s="671"/>
      <c r="JQE370" s="330"/>
      <c r="JQF370" s="377"/>
      <c r="JQG370" s="391"/>
      <c r="JQH370" s="672"/>
      <c r="JQI370" s="393"/>
      <c r="JQJ370" s="394"/>
      <c r="JQK370" s="593"/>
      <c r="JQL370" s="594"/>
      <c r="JQM370" s="671"/>
      <c r="JQN370" s="330"/>
      <c r="JQO370" s="377"/>
      <c r="JQP370" s="391"/>
      <c r="JQQ370" s="672"/>
      <c r="JQR370" s="393"/>
      <c r="JQS370" s="394"/>
      <c r="JQT370" s="593"/>
      <c r="JQU370" s="594"/>
      <c r="JQV370" s="671"/>
      <c r="JQW370" s="330"/>
      <c r="JQX370" s="377"/>
      <c r="JQY370" s="391"/>
      <c r="JQZ370" s="672"/>
      <c r="JRA370" s="393"/>
      <c r="JRB370" s="394"/>
      <c r="JRC370" s="593"/>
      <c r="JRD370" s="594"/>
      <c r="JRE370" s="671"/>
      <c r="JRF370" s="330"/>
      <c r="JRG370" s="377"/>
      <c r="JRH370" s="391"/>
      <c r="JRI370" s="672"/>
      <c r="JRJ370" s="393"/>
      <c r="JRK370" s="394"/>
      <c r="JRL370" s="593"/>
      <c r="JRM370" s="594"/>
      <c r="JRN370" s="671"/>
      <c r="JRO370" s="330"/>
      <c r="JRP370" s="377"/>
      <c r="JRQ370" s="391"/>
      <c r="JRR370" s="672"/>
      <c r="JRS370" s="393"/>
      <c r="JRT370" s="394"/>
      <c r="JRU370" s="593"/>
      <c r="JRV370" s="594"/>
      <c r="JRW370" s="671"/>
      <c r="JRX370" s="330"/>
      <c r="JRY370" s="377"/>
      <c r="JRZ370" s="391"/>
      <c r="JSA370" s="672"/>
      <c r="JSB370" s="393"/>
      <c r="JSC370" s="394"/>
      <c r="JSD370" s="593"/>
      <c r="JSE370" s="594"/>
      <c r="JSF370" s="671"/>
      <c r="JSG370" s="330"/>
      <c r="JSH370" s="377"/>
      <c r="JSI370" s="391"/>
      <c r="JSJ370" s="672"/>
      <c r="JSK370" s="393"/>
      <c r="JSL370" s="394"/>
      <c r="JSM370" s="593"/>
      <c r="JSN370" s="594"/>
      <c r="JSO370" s="671"/>
      <c r="JSP370" s="330"/>
      <c r="JSQ370" s="377"/>
      <c r="JSR370" s="391"/>
      <c r="JSS370" s="672"/>
      <c r="JST370" s="393"/>
      <c r="JSU370" s="394"/>
      <c r="JSV370" s="593"/>
      <c r="JSW370" s="594"/>
      <c r="JSX370" s="671"/>
      <c r="JSY370" s="330"/>
      <c r="JSZ370" s="377"/>
      <c r="JTA370" s="391"/>
      <c r="JTB370" s="672"/>
      <c r="JTC370" s="393"/>
      <c r="JTD370" s="394"/>
      <c r="JTE370" s="593"/>
      <c r="JTF370" s="594"/>
      <c r="JTG370" s="671"/>
      <c r="JTH370" s="330"/>
      <c r="JTI370" s="377"/>
      <c r="JTJ370" s="391"/>
      <c r="JTK370" s="672"/>
      <c r="JTL370" s="393"/>
      <c r="JTM370" s="394"/>
      <c r="JTN370" s="593"/>
      <c r="JTO370" s="594"/>
      <c r="JTP370" s="671"/>
      <c r="JTQ370" s="330"/>
      <c r="JTR370" s="377"/>
      <c r="JTS370" s="391"/>
      <c r="JTT370" s="672"/>
      <c r="JTU370" s="393"/>
      <c r="JTV370" s="394"/>
      <c r="JTW370" s="593"/>
      <c r="JTX370" s="594"/>
      <c r="JTY370" s="671"/>
      <c r="JTZ370" s="330"/>
      <c r="JUA370" s="377"/>
      <c r="JUB370" s="391"/>
      <c r="JUC370" s="672"/>
      <c r="JUD370" s="393"/>
      <c r="JUE370" s="394"/>
      <c r="JUF370" s="593"/>
      <c r="JUG370" s="594"/>
      <c r="JUH370" s="671"/>
      <c r="JUI370" s="330"/>
      <c r="JUJ370" s="377"/>
      <c r="JUK370" s="391"/>
      <c r="JUL370" s="672"/>
      <c r="JUM370" s="393"/>
      <c r="JUN370" s="394"/>
      <c r="JUO370" s="593"/>
      <c r="JUP370" s="594"/>
      <c r="JUQ370" s="671"/>
      <c r="JUR370" s="330"/>
      <c r="JUS370" s="377"/>
      <c r="JUT370" s="391"/>
      <c r="JUU370" s="672"/>
      <c r="JUV370" s="393"/>
      <c r="JUW370" s="394"/>
      <c r="JUX370" s="593"/>
      <c r="JUY370" s="594"/>
      <c r="JUZ370" s="671"/>
      <c r="JVA370" s="330"/>
      <c r="JVB370" s="377"/>
      <c r="JVC370" s="391"/>
      <c r="JVD370" s="672"/>
      <c r="JVE370" s="393"/>
      <c r="JVF370" s="394"/>
      <c r="JVG370" s="593"/>
      <c r="JVH370" s="594"/>
      <c r="JVI370" s="671"/>
      <c r="JVJ370" s="330"/>
      <c r="JVK370" s="377"/>
      <c r="JVL370" s="391"/>
      <c r="JVM370" s="672"/>
      <c r="JVN370" s="393"/>
      <c r="JVO370" s="394"/>
      <c r="JVP370" s="593"/>
      <c r="JVQ370" s="594"/>
      <c r="JVR370" s="671"/>
      <c r="JVS370" s="330"/>
      <c r="JVT370" s="377"/>
      <c r="JVU370" s="391"/>
      <c r="JVV370" s="672"/>
      <c r="JVW370" s="393"/>
      <c r="JVX370" s="394"/>
      <c r="JVY370" s="593"/>
      <c r="JVZ370" s="594"/>
      <c r="JWA370" s="671"/>
      <c r="JWB370" s="330"/>
      <c r="JWC370" s="377"/>
      <c r="JWD370" s="391"/>
      <c r="JWE370" s="672"/>
      <c r="JWF370" s="393"/>
      <c r="JWG370" s="394"/>
      <c r="JWH370" s="593"/>
      <c r="JWI370" s="594"/>
      <c r="JWJ370" s="671"/>
      <c r="JWK370" s="330"/>
      <c r="JWL370" s="377"/>
      <c r="JWM370" s="391"/>
      <c r="JWN370" s="672"/>
      <c r="JWO370" s="393"/>
      <c r="JWP370" s="394"/>
      <c r="JWQ370" s="593"/>
      <c r="JWR370" s="594"/>
      <c r="JWS370" s="671"/>
      <c r="JWT370" s="330"/>
      <c r="JWU370" s="377"/>
      <c r="JWV370" s="391"/>
      <c r="JWW370" s="672"/>
      <c r="JWX370" s="393"/>
      <c r="JWY370" s="394"/>
      <c r="JWZ370" s="593"/>
      <c r="JXA370" s="594"/>
      <c r="JXB370" s="671"/>
      <c r="JXC370" s="330"/>
      <c r="JXD370" s="377"/>
      <c r="JXE370" s="391"/>
      <c r="JXF370" s="672"/>
      <c r="JXG370" s="393"/>
      <c r="JXH370" s="394"/>
      <c r="JXI370" s="593"/>
      <c r="JXJ370" s="594"/>
      <c r="JXK370" s="671"/>
      <c r="JXL370" s="330"/>
      <c r="JXM370" s="377"/>
      <c r="JXN370" s="391"/>
      <c r="JXO370" s="672"/>
      <c r="JXP370" s="393"/>
      <c r="JXQ370" s="394"/>
      <c r="JXR370" s="593"/>
      <c r="JXS370" s="594"/>
      <c r="JXT370" s="671"/>
      <c r="JXU370" s="330"/>
      <c r="JXV370" s="377"/>
      <c r="JXW370" s="391"/>
      <c r="JXX370" s="672"/>
      <c r="JXY370" s="393"/>
      <c r="JXZ370" s="394"/>
      <c r="JYA370" s="593"/>
      <c r="JYB370" s="594"/>
      <c r="JYC370" s="671"/>
      <c r="JYD370" s="330"/>
      <c r="JYE370" s="377"/>
      <c r="JYF370" s="391"/>
      <c r="JYG370" s="672"/>
      <c r="JYH370" s="393"/>
      <c r="JYI370" s="394"/>
      <c r="JYJ370" s="593"/>
      <c r="JYK370" s="594"/>
      <c r="JYL370" s="671"/>
      <c r="JYM370" s="330"/>
      <c r="JYN370" s="377"/>
      <c r="JYO370" s="391"/>
      <c r="JYP370" s="672"/>
      <c r="JYQ370" s="393"/>
      <c r="JYR370" s="394"/>
      <c r="JYS370" s="593"/>
      <c r="JYT370" s="594"/>
      <c r="JYU370" s="671"/>
      <c r="JYV370" s="330"/>
      <c r="JYW370" s="377"/>
      <c r="JYX370" s="391"/>
      <c r="JYY370" s="672"/>
      <c r="JYZ370" s="393"/>
      <c r="JZA370" s="394"/>
      <c r="JZB370" s="593"/>
      <c r="JZC370" s="594"/>
      <c r="JZD370" s="671"/>
      <c r="JZE370" s="330"/>
      <c r="JZF370" s="377"/>
      <c r="JZG370" s="391"/>
      <c r="JZH370" s="672"/>
      <c r="JZI370" s="393"/>
      <c r="JZJ370" s="394"/>
      <c r="JZK370" s="593"/>
      <c r="JZL370" s="594"/>
      <c r="JZM370" s="671"/>
      <c r="JZN370" s="330"/>
      <c r="JZO370" s="377"/>
      <c r="JZP370" s="391"/>
      <c r="JZQ370" s="672"/>
      <c r="JZR370" s="393"/>
      <c r="JZS370" s="394"/>
      <c r="JZT370" s="593"/>
      <c r="JZU370" s="594"/>
      <c r="JZV370" s="671"/>
      <c r="JZW370" s="330"/>
      <c r="JZX370" s="377"/>
      <c r="JZY370" s="391"/>
      <c r="JZZ370" s="672"/>
      <c r="KAA370" s="393"/>
      <c r="KAB370" s="394"/>
      <c r="KAC370" s="593"/>
      <c r="KAD370" s="594"/>
      <c r="KAE370" s="671"/>
      <c r="KAF370" s="330"/>
      <c r="KAG370" s="377"/>
      <c r="KAH370" s="391"/>
      <c r="KAI370" s="672"/>
      <c r="KAJ370" s="393"/>
      <c r="KAK370" s="394"/>
      <c r="KAL370" s="593"/>
      <c r="KAM370" s="594"/>
      <c r="KAN370" s="671"/>
      <c r="KAO370" s="330"/>
      <c r="KAP370" s="377"/>
      <c r="KAQ370" s="391"/>
      <c r="KAR370" s="672"/>
      <c r="KAS370" s="393"/>
      <c r="KAT370" s="394"/>
      <c r="KAU370" s="593"/>
      <c r="KAV370" s="594"/>
      <c r="KAW370" s="671"/>
      <c r="KAX370" s="330"/>
      <c r="KAY370" s="377"/>
      <c r="KAZ370" s="391"/>
      <c r="KBA370" s="672"/>
      <c r="KBB370" s="393"/>
      <c r="KBC370" s="394"/>
      <c r="KBD370" s="593"/>
      <c r="KBE370" s="594"/>
      <c r="KBF370" s="671"/>
      <c r="KBG370" s="330"/>
      <c r="KBH370" s="377"/>
      <c r="KBI370" s="391"/>
      <c r="KBJ370" s="672"/>
      <c r="KBK370" s="393"/>
      <c r="KBL370" s="394"/>
      <c r="KBM370" s="593"/>
      <c r="KBN370" s="594"/>
      <c r="KBO370" s="671"/>
      <c r="KBP370" s="330"/>
      <c r="KBQ370" s="377"/>
      <c r="KBR370" s="391"/>
      <c r="KBS370" s="672"/>
      <c r="KBT370" s="393"/>
      <c r="KBU370" s="394"/>
      <c r="KBV370" s="593"/>
      <c r="KBW370" s="594"/>
      <c r="KBX370" s="671"/>
      <c r="KBY370" s="330"/>
      <c r="KBZ370" s="377"/>
      <c r="KCA370" s="391"/>
      <c r="KCB370" s="672"/>
      <c r="KCC370" s="393"/>
      <c r="KCD370" s="394"/>
      <c r="KCE370" s="593"/>
      <c r="KCF370" s="594"/>
      <c r="KCG370" s="671"/>
      <c r="KCH370" s="330"/>
      <c r="KCI370" s="377"/>
      <c r="KCJ370" s="391"/>
      <c r="KCK370" s="672"/>
      <c r="KCL370" s="393"/>
      <c r="KCM370" s="394"/>
      <c r="KCN370" s="593"/>
      <c r="KCO370" s="594"/>
      <c r="KCP370" s="671"/>
      <c r="KCQ370" s="330"/>
      <c r="KCR370" s="377"/>
      <c r="KCS370" s="391"/>
      <c r="KCT370" s="672"/>
      <c r="KCU370" s="393"/>
      <c r="KCV370" s="394"/>
      <c r="KCW370" s="593"/>
      <c r="KCX370" s="594"/>
      <c r="KCY370" s="671"/>
      <c r="KCZ370" s="330"/>
      <c r="KDA370" s="377"/>
      <c r="KDB370" s="391"/>
      <c r="KDC370" s="672"/>
      <c r="KDD370" s="393"/>
      <c r="KDE370" s="394"/>
      <c r="KDF370" s="593"/>
      <c r="KDG370" s="594"/>
      <c r="KDH370" s="671"/>
      <c r="KDI370" s="330"/>
      <c r="KDJ370" s="377"/>
      <c r="KDK370" s="391"/>
      <c r="KDL370" s="672"/>
      <c r="KDM370" s="393"/>
      <c r="KDN370" s="394"/>
      <c r="KDO370" s="593"/>
      <c r="KDP370" s="594"/>
      <c r="KDQ370" s="671"/>
      <c r="KDR370" s="330"/>
      <c r="KDS370" s="377"/>
      <c r="KDT370" s="391"/>
      <c r="KDU370" s="672"/>
      <c r="KDV370" s="393"/>
      <c r="KDW370" s="394"/>
      <c r="KDX370" s="593"/>
      <c r="KDY370" s="594"/>
      <c r="KDZ370" s="671"/>
      <c r="KEA370" s="330"/>
      <c r="KEB370" s="377"/>
      <c r="KEC370" s="391"/>
      <c r="KED370" s="672"/>
      <c r="KEE370" s="393"/>
      <c r="KEF370" s="394"/>
      <c r="KEG370" s="593"/>
      <c r="KEH370" s="594"/>
      <c r="KEI370" s="671"/>
      <c r="KEJ370" s="330"/>
      <c r="KEK370" s="377"/>
      <c r="KEL370" s="391"/>
      <c r="KEM370" s="672"/>
      <c r="KEN370" s="393"/>
      <c r="KEO370" s="394"/>
      <c r="KEP370" s="593"/>
      <c r="KEQ370" s="594"/>
      <c r="KER370" s="671"/>
      <c r="KES370" s="330"/>
      <c r="KET370" s="377"/>
      <c r="KEU370" s="391"/>
      <c r="KEV370" s="672"/>
      <c r="KEW370" s="393"/>
      <c r="KEX370" s="394"/>
      <c r="KEY370" s="593"/>
      <c r="KEZ370" s="594"/>
      <c r="KFA370" s="671"/>
      <c r="KFB370" s="330"/>
      <c r="KFC370" s="377"/>
      <c r="KFD370" s="391"/>
      <c r="KFE370" s="672"/>
      <c r="KFF370" s="393"/>
      <c r="KFG370" s="394"/>
      <c r="KFH370" s="593"/>
      <c r="KFI370" s="594"/>
      <c r="KFJ370" s="671"/>
      <c r="KFK370" s="330"/>
      <c r="KFL370" s="377"/>
      <c r="KFM370" s="391"/>
      <c r="KFN370" s="672"/>
      <c r="KFO370" s="393"/>
      <c r="KFP370" s="394"/>
      <c r="KFQ370" s="593"/>
      <c r="KFR370" s="594"/>
      <c r="KFS370" s="671"/>
      <c r="KFT370" s="330"/>
      <c r="KFU370" s="377"/>
      <c r="KFV370" s="391"/>
      <c r="KFW370" s="672"/>
      <c r="KFX370" s="393"/>
      <c r="KFY370" s="394"/>
      <c r="KFZ370" s="593"/>
      <c r="KGA370" s="594"/>
      <c r="KGB370" s="671"/>
      <c r="KGC370" s="330"/>
      <c r="KGD370" s="377"/>
      <c r="KGE370" s="391"/>
      <c r="KGF370" s="672"/>
      <c r="KGG370" s="393"/>
      <c r="KGH370" s="394"/>
      <c r="KGI370" s="593"/>
      <c r="KGJ370" s="594"/>
      <c r="KGK370" s="671"/>
      <c r="KGL370" s="330"/>
      <c r="KGM370" s="377"/>
      <c r="KGN370" s="391"/>
      <c r="KGO370" s="672"/>
      <c r="KGP370" s="393"/>
      <c r="KGQ370" s="394"/>
      <c r="KGR370" s="593"/>
      <c r="KGS370" s="594"/>
      <c r="KGT370" s="671"/>
      <c r="KGU370" s="330"/>
      <c r="KGV370" s="377"/>
      <c r="KGW370" s="391"/>
      <c r="KGX370" s="672"/>
      <c r="KGY370" s="393"/>
      <c r="KGZ370" s="394"/>
      <c r="KHA370" s="593"/>
      <c r="KHB370" s="594"/>
      <c r="KHC370" s="671"/>
      <c r="KHD370" s="330"/>
      <c r="KHE370" s="377"/>
      <c r="KHF370" s="391"/>
      <c r="KHG370" s="672"/>
      <c r="KHH370" s="393"/>
      <c r="KHI370" s="394"/>
      <c r="KHJ370" s="593"/>
      <c r="KHK370" s="594"/>
      <c r="KHL370" s="671"/>
      <c r="KHM370" s="330"/>
      <c r="KHN370" s="377"/>
      <c r="KHO370" s="391"/>
      <c r="KHP370" s="672"/>
      <c r="KHQ370" s="393"/>
      <c r="KHR370" s="394"/>
      <c r="KHS370" s="593"/>
      <c r="KHT370" s="594"/>
      <c r="KHU370" s="671"/>
      <c r="KHV370" s="330"/>
      <c r="KHW370" s="377"/>
      <c r="KHX370" s="391"/>
      <c r="KHY370" s="672"/>
      <c r="KHZ370" s="393"/>
      <c r="KIA370" s="394"/>
      <c r="KIB370" s="593"/>
      <c r="KIC370" s="594"/>
      <c r="KID370" s="671"/>
      <c r="KIE370" s="330"/>
      <c r="KIF370" s="377"/>
      <c r="KIG370" s="391"/>
      <c r="KIH370" s="672"/>
      <c r="KII370" s="393"/>
      <c r="KIJ370" s="394"/>
      <c r="KIK370" s="593"/>
      <c r="KIL370" s="594"/>
      <c r="KIM370" s="671"/>
      <c r="KIN370" s="330"/>
      <c r="KIO370" s="377"/>
      <c r="KIP370" s="391"/>
      <c r="KIQ370" s="672"/>
      <c r="KIR370" s="393"/>
      <c r="KIS370" s="394"/>
      <c r="KIT370" s="593"/>
      <c r="KIU370" s="594"/>
      <c r="KIV370" s="671"/>
      <c r="KIW370" s="330"/>
      <c r="KIX370" s="377"/>
      <c r="KIY370" s="391"/>
      <c r="KIZ370" s="672"/>
      <c r="KJA370" s="393"/>
      <c r="KJB370" s="394"/>
      <c r="KJC370" s="593"/>
      <c r="KJD370" s="594"/>
      <c r="KJE370" s="671"/>
      <c r="KJF370" s="330"/>
      <c r="KJG370" s="377"/>
      <c r="KJH370" s="391"/>
      <c r="KJI370" s="672"/>
      <c r="KJJ370" s="393"/>
      <c r="KJK370" s="394"/>
      <c r="KJL370" s="593"/>
      <c r="KJM370" s="594"/>
      <c r="KJN370" s="671"/>
      <c r="KJO370" s="330"/>
      <c r="KJP370" s="377"/>
      <c r="KJQ370" s="391"/>
      <c r="KJR370" s="672"/>
      <c r="KJS370" s="393"/>
      <c r="KJT370" s="394"/>
      <c r="KJU370" s="593"/>
      <c r="KJV370" s="594"/>
      <c r="KJW370" s="671"/>
      <c r="KJX370" s="330"/>
      <c r="KJY370" s="377"/>
      <c r="KJZ370" s="391"/>
      <c r="KKA370" s="672"/>
      <c r="KKB370" s="393"/>
      <c r="KKC370" s="394"/>
      <c r="KKD370" s="593"/>
      <c r="KKE370" s="594"/>
      <c r="KKF370" s="671"/>
      <c r="KKG370" s="330"/>
      <c r="KKH370" s="377"/>
      <c r="KKI370" s="391"/>
      <c r="KKJ370" s="672"/>
      <c r="KKK370" s="393"/>
      <c r="KKL370" s="394"/>
      <c r="KKM370" s="593"/>
      <c r="KKN370" s="594"/>
      <c r="KKO370" s="671"/>
      <c r="KKP370" s="330"/>
      <c r="KKQ370" s="377"/>
      <c r="KKR370" s="391"/>
      <c r="KKS370" s="672"/>
      <c r="KKT370" s="393"/>
      <c r="KKU370" s="394"/>
      <c r="KKV370" s="593"/>
      <c r="KKW370" s="594"/>
      <c r="KKX370" s="671"/>
      <c r="KKY370" s="330"/>
      <c r="KKZ370" s="377"/>
      <c r="KLA370" s="391"/>
      <c r="KLB370" s="672"/>
      <c r="KLC370" s="393"/>
      <c r="KLD370" s="394"/>
      <c r="KLE370" s="593"/>
      <c r="KLF370" s="594"/>
      <c r="KLG370" s="671"/>
      <c r="KLH370" s="330"/>
      <c r="KLI370" s="377"/>
      <c r="KLJ370" s="391"/>
      <c r="KLK370" s="672"/>
      <c r="KLL370" s="393"/>
      <c r="KLM370" s="394"/>
      <c r="KLN370" s="593"/>
      <c r="KLO370" s="594"/>
      <c r="KLP370" s="671"/>
      <c r="KLQ370" s="330"/>
      <c r="KLR370" s="377"/>
      <c r="KLS370" s="391"/>
      <c r="KLT370" s="672"/>
      <c r="KLU370" s="393"/>
      <c r="KLV370" s="394"/>
      <c r="KLW370" s="593"/>
      <c r="KLX370" s="594"/>
      <c r="KLY370" s="671"/>
      <c r="KLZ370" s="330"/>
      <c r="KMA370" s="377"/>
      <c r="KMB370" s="391"/>
      <c r="KMC370" s="672"/>
      <c r="KMD370" s="393"/>
      <c r="KME370" s="394"/>
      <c r="KMF370" s="593"/>
      <c r="KMG370" s="594"/>
      <c r="KMH370" s="671"/>
      <c r="KMI370" s="330"/>
      <c r="KMJ370" s="377"/>
      <c r="KMK370" s="391"/>
      <c r="KML370" s="672"/>
      <c r="KMM370" s="393"/>
      <c r="KMN370" s="394"/>
      <c r="KMO370" s="593"/>
      <c r="KMP370" s="594"/>
      <c r="KMQ370" s="671"/>
      <c r="KMR370" s="330"/>
      <c r="KMS370" s="377"/>
      <c r="KMT370" s="391"/>
      <c r="KMU370" s="672"/>
      <c r="KMV370" s="393"/>
      <c r="KMW370" s="394"/>
      <c r="KMX370" s="593"/>
      <c r="KMY370" s="594"/>
      <c r="KMZ370" s="671"/>
      <c r="KNA370" s="330"/>
      <c r="KNB370" s="377"/>
      <c r="KNC370" s="391"/>
      <c r="KND370" s="672"/>
      <c r="KNE370" s="393"/>
      <c r="KNF370" s="394"/>
      <c r="KNG370" s="593"/>
      <c r="KNH370" s="594"/>
      <c r="KNI370" s="671"/>
      <c r="KNJ370" s="330"/>
      <c r="KNK370" s="377"/>
      <c r="KNL370" s="391"/>
      <c r="KNM370" s="672"/>
      <c r="KNN370" s="393"/>
      <c r="KNO370" s="394"/>
      <c r="KNP370" s="593"/>
      <c r="KNQ370" s="594"/>
      <c r="KNR370" s="671"/>
      <c r="KNS370" s="330"/>
      <c r="KNT370" s="377"/>
      <c r="KNU370" s="391"/>
      <c r="KNV370" s="672"/>
      <c r="KNW370" s="393"/>
      <c r="KNX370" s="394"/>
      <c r="KNY370" s="593"/>
      <c r="KNZ370" s="594"/>
      <c r="KOA370" s="671"/>
      <c r="KOB370" s="330"/>
      <c r="KOC370" s="377"/>
      <c r="KOD370" s="391"/>
      <c r="KOE370" s="672"/>
      <c r="KOF370" s="393"/>
      <c r="KOG370" s="394"/>
      <c r="KOH370" s="593"/>
      <c r="KOI370" s="594"/>
      <c r="KOJ370" s="671"/>
      <c r="KOK370" s="330"/>
      <c r="KOL370" s="377"/>
      <c r="KOM370" s="391"/>
      <c r="KON370" s="672"/>
      <c r="KOO370" s="393"/>
      <c r="KOP370" s="394"/>
      <c r="KOQ370" s="593"/>
      <c r="KOR370" s="594"/>
      <c r="KOS370" s="671"/>
      <c r="KOT370" s="330"/>
      <c r="KOU370" s="377"/>
      <c r="KOV370" s="391"/>
      <c r="KOW370" s="672"/>
      <c r="KOX370" s="393"/>
      <c r="KOY370" s="394"/>
      <c r="KOZ370" s="593"/>
      <c r="KPA370" s="594"/>
      <c r="KPB370" s="671"/>
      <c r="KPC370" s="330"/>
      <c r="KPD370" s="377"/>
      <c r="KPE370" s="391"/>
      <c r="KPF370" s="672"/>
      <c r="KPG370" s="393"/>
      <c r="KPH370" s="394"/>
      <c r="KPI370" s="593"/>
      <c r="KPJ370" s="594"/>
      <c r="KPK370" s="671"/>
      <c r="KPL370" s="330"/>
      <c r="KPM370" s="377"/>
      <c r="KPN370" s="391"/>
      <c r="KPO370" s="672"/>
      <c r="KPP370" s="393"/>
      <c r="KPQ370" s="394"/>
      <c r="KPR370" s="593"/>
      <c r="KPS370" s="594"/>
      <c r="KPT370" s="671"/>
      <c r="KPU370" s="330"/>
      <c r="KPV370" s="377"/>
      <c r="KPW370" s="391"/>
      <c r="KPX370" s="672"/>
      <c r="KPY370" s="393"/>
      <c r="KPZ370" s="394"/>
      <c r="KQA370" s="593"/>
      <c r="KQB370" s="594"/>
      <c r="KQC370" s="671"/>
      <c r="KQD370" s="330"/>
      <c r="KQE370" s="377"/>
      <c r="KQF370" s="391"/>
      <c r="KQG370" s="672"/>
      <c r="KQH370" s="393"/>
      <c r="KQI370" s="394"/>
      <c r="KQJ370" s="593"/>
      <c r="KQK370" s="594"/>
      <c r="KQL370" s="671"/>
      <c r="KQM370" s="330"/>
      <c r="KQN370" s="377"/>
      <c r="KQO370" s="391"/>
      <c r="KQP370" s="672"/>
      <c r="KQQ370" s="393"/>
      <c r="KQR370" s="394"/>
      <c r="KQS370" s="593"/>
      <c r="KQT370" s="594"/>
      <c r="KQU370" s="671"/>
      <c r="KQV370" s="330"/>
      <c r="KQW370" s="377"/>
      <c r="KQX370" s="391"/>
      <c r="KQY370" s="672"/>
      <c r="KQZ370" s="393"/>
      <c r="KRA370" s="394"/>
      <c r="KRB370" s="593"/>
      <c r="KRC370" s="594"/>
      <c r="KRD370" s="671"/>
      <c r="KRE370" s="330"/>
      <c r="KRF370" s="377"/>
      <c r="KRG370" s="391"/>
      <c r="KRH370" s="672"/>
      <c r="KRI370" s="393"/>
      <c r="KRJ370" s="394"/>
      <c r="KRK370" s="593"/>
      <c r="KRL370" s="594"/>
      <c r="KRM370" s="671"/>
      <c r="KRN370" s="330"/>
      <c r="KRO370" s="377"/>
      <c r="KRP370" s="391"/>
      <c r="KRQ370" s="672"/>
      <c r="KRR370" s="393"/>
      <c r="KRS370" s="394"/>
      <c r="KRT370" s="593"/>
      <c r="KRU370" s="594"/>
      <c r="KRV370" s="671"/>
      <c r="KRW370" s="330"/>
      <c r="KRX370" s="377"/>
      <c r="KRY370" s="391"/>
      <c r="KRZ370" s="672"/>
      <c r="KSA370" s="393"/>
      <c r="KSB370" s="394"/>
      <c r="KSC370" s="593"/>
      <c r="KSD370" s="594"/>
      <c r="KSE370" s="671"/>
      <c r="KSF370" s="330"/>
      <c r="KSG370" s="377"/>
      <c r="KSH370" s="391"/>
      <c r="KSI370" s="672"/>
      <c r="KSJ370" s="393"/>
      <c r="KSK370" s="394"/>
      <c r="KSL370" s="593"/>
      <c r="KSM370" s="594"/>
      <c r="KSN370" s="671"/>
      <c r="KSO370" s="330"/>
      <c r="KSP370" s="377"/>
      <c r="KSQ370" s="391"/>
      <c r="KSR370" s="672"/>
      <c r="KSS370" s="393"/>
      <c r="KST370" s="394"/>
      <c r="KSU370" s="593"/>
      <c r="KSV370" s="594"/>
      <c r="KSW370" s="671"/>
      <c r="KSX370" s="330"/>
      <c r="KSY370" s="377"/>
      <c r="KSZ370" s="391"/>
      <c r="KTA370" s="672"/>
      <c r="KTB370" s="393"/>
      <c r="KTC370" s="394"/>
      <c r="KTD370" s="593"/>
      <c r="KTE370" s="594"/>
      <c r="KTF370" s="671"/>
      <c r="KTG370" s="330"/>
      <c r="KTH370" s="377"/>
      <c r="KTI370" s="391"/>
      <c r="KTJ370" s="672"/>
      <c r="KTK370" s="393"/>
      <c r="KTL370" s="394"/>
      <c r="KTM370" s="593"/>
      <c r="KTN370" s="594"/>
      <c r="KTO370" s="671"/>
      <c r="KTP370" s="330"/>
      <c r="KTQ370" s="377"/>
      <c r="KTR370" s="391"/>
      <c r="KTS370" s="672"/>
      <c r="KTT370" s="393"/>
      <c r="KTU370" s="394"/>
      <c r="KTV370" s="593"/>
      <c r="KTW370" s="594"/>
      <c r="KTX370" s="671"/>
      <c r="KTY370" s="330"/>
      <c r="KTZ370" s="377"/>
      <c r="KUA370" s="391"/>
      <c r="KUB370" s="672"/>
      <c r="KUC370" s="393"/>
      <c r="KUD370" s="394"/>
      <c r="KUE370" s="593"/>
      <c r="KUF370" s="594"/>
      <c r="KUG370" s="671"/>
      <c r="KUH370" s="330"/>
      <c r="KUI370" s="377"/>
      <c r="KUJ370" s="391"/>
      <c r="KUK370" s="672"/>
      <c r="KUL370" s="393"/>
      <c r="KUM370" s="394"/>
      <c r="KUN370" s="593"/>
      <c r="KUO370" s="594"/>
      <c r="KUP370" s="671"/>
      <c r="KUQ370" s="330"/>
      <c r="KUR370" s="377"/>
      <c r="KUS370" s="391"/>
      <c r="KUT370" s="672"/>
      <c r="KUU370" s="393"/>
      <c r="KUV370" s="394"/>
      <c r="KUW370" s="593"/>
      <c r="KUX370" s="594"/>
      <c r="KUY370" s="671"/>
      <c r="KUZ370" s="330"/>
      <c r="KVA370" s="377"/>
      <c r="KVB370" s="391"/>
      <c r="KVC370" s="672"/>
      <c r="KVD370" s="393"/>
      <c r="KVE370" s="394"/>
      <c r="KVF370" s="593"/>
      <c r="KVG370" s="594"/>
      <c r="KVH370" s="671"/>
      <c r="KVI370" s="330"/>
      <c r="KVJ370" s="377"/>
      <c r="KVK370" s="391"/>
      <c r="KVL370" s="672"/>
      <c r="KVM370" s="393"/>
      <c r="KVN370" s="394"/>
      <c r="KVO370" s="593"/>
      <c r="KVP370" s="594"/>
      <c r="KVQ370" s="671"/>
      <c r="KVR370" s="330"/>
      <c r="KVS370" s="377"/>
      <c r="KVT370" s="391"/>
      <c r="KVU370" s="672"/>
      <c r="KVV370" s="393"/>
      <c r="KVW370" s="394"/>
      <c r="KVX370" s="593"/>
      <c r="KVY370" s="594"/>
      <c r="KVZ370" s="671"/>
      <c r="KWA370" s="330"/>
      <c r="KWB370" s="377"/>
      <c r="KWC370" s="391"/>
      <c r="KWD370" s="672"/>
      <c r="KWE370" s="393"/>
      <c r="KWF370" s="394"/>
      <c r="KWG370" s="593"/>
      <c r="KWH370" s="594"/>
      <c r="KWI370" s="671"/>
      <c r="KWJ370" s="330"/>
      <c r="KWK370" s="377"/>
      <c r="KWL370" s="391"/>
      <c r="KWM370" s="672"/>
      <c r="KWN370" s="393"/>
      <c r="KWO370" s="394"/>
      <c r="KWP370" s="593"/>
      <c r="KWQ370" s="594"/>
      <c r="KWR370" s="671"/>
      <c r="KWS370" s="330"/>
      <c r="KWT370" s="377"/>
      <c r="KWU370" s="391"/>
      <c r="KWV370" s="672"/>
      <c r="KWW370" s="393"/>
      <c r="KWX370" s="394"/>
      <c r="KWY370" s="593"/>
      <c r="KWZ370" s="594"/>
      <c r="KXA370" s="671"/>
      <c r="KXB370" s="330"/>
      <c r="KXC370" s="377"/>
      <c r="KXD370" s="391"/>
      <c r="KXE370" s="672"/>
      <c r="KXF370" s="393"/>
      <c r="KXG370" s="394"/>
      <c r="KXH370" s="593"/>
      <c r="KXI370" s="594"/>
      <c r="KXJ370" s="671"/>
      <c r="KXK370" s="330"/>
      <c r="KXL370" s="377"/>
      <c r="KXM370" s="391"/>
      <c r="KXN370" s="672"/>
      <c r="KXO370" s="393"/>
      <c r="KXP370" s="394"/>
      <c r="KXQ370" s="593"/>
      <c r="KXR370" s="594"/>
      <c r="KXS370" s="671"/>
      <c r="KXT370" s="330"/>
      <c r="KXU370" s="377"/>
      <c r="KXV370" s="391"/>
      <c r="KXW370" s="672"/>
      <c r="KXX370" s="393"/>
      <c r="KXY370" s="394"/>
      <c r="KXZ370" s="593"/>
      <c r="KYA370" s="594"/>
      <c r="KYB370" s="671"/>
      <c r="KYC370" s="330"/>
      <c r="KYD370" s="377"/>
      <c r="KYE370" s="391"/>
      <c r="KYF370" s="672"/>
      <c r="KYG370" s="393"/>
      <c r="KYH370" s="394"/>
      <c r="KYI370" s="593"/>
      <c r="KYJ370" s="594"/>
      <c r="KYK370" s="671"/>
      <c r="KYL370" s="330"/>
      <c r="KYM370" s="377"/>
      <c r="KYN370" s="391"/>
      <c r="KYO370" s="672"/>
      <c r="KYP370" s="393"/>
      <c r="KYQ370" s="394"/>
      <c r="KYR370" s="593"/>
      <c r="KYS370" s="594"/>
      <c r="KYT370" s="671"/>
      <c r="KYU370" s="330"/>
      <c r="KYV370" s="377"/>
      <c r="KYW370" s="391"/>
      <c r="KYX370" s="672"/>
      <c r="KYY370" s="393"/>
      <c r="KYZ370" s="394"/>
      <c r="KZA370" s="593"/>
      <c r="KZB370" s="594"/>
      <c r="KZC370" s="671"/>
      <c r="KZD370" s="330"/>
      <c r="KZE370" s="377"/>
      <c r="KZF370" s="391"/>
      <c r="KZG370" s="672"/>
      <c r="KZH370" s="393"/>
      <c r="KZI370" s="394"/>
      <c r="KZJ370" s="593"/>
      <c r="KZK370" s="594"/>
      <c r="KZL370" s="671"/>
      <c r="KZM370" s="330"/>
      <c r="KZN370" s="377"/>
      <c r="KZO370" s="391"/>
      <c r="KZP370" s="672"/>
      <c r="KZQ370" s="393"/>
      <c r="KZR370" s="394"/>
      <c r="KZS370" s="593"/>
      <c r="KZT370" s="594"/>
      <c r="KZU370" s="671"/>
      <c r="KZV370" s="330"/>
      <c r="KZW370" s="377"/>
      <c r="KZX370" s="391"/>
      <c r="KZY370" s="672"/>
      <c r="KZZ370" s="393"/>
      <c r="LAA370" s="394"/>
      <c r="LAB370" s="593"/>
      <c r="LAC370" s="594"/>
      <c r="LAD370" s="671"/>
      <c r="LAE370" s="330"/>
      <c r="LAF370" s="377"/>
      <c r="LAG370" s="391"/>
      <c r="LAH370" s="672"/>
      <c r="LAI370" s="393"/>
      <c r="LAJ370" s="394"/>
      <c r="LAK370" s="593"/>
      <c r="LAL370" s="594"/>
      <c r="LAM370" s="671"/>
      <c r="LAN370" s="330"/>
      <c r="LAO370" s="377"/>
      <c r="LAP370" s="391"/>
      <c r="LAQ370" s="672"/>
      <c r="LAR370" s="393"/>
      <c r="LAS370" s="394"/>
      <c r="LAT370" s="593"/>
      <c r="LAU370" s="594"/>
      <c r="LAV370" s="671"/>
      <c r="LAW370" s="330"/>
      <c r="LAX370" s="377"/>
      <c r="LAY370" s="391"/>
      <c r="LAZ370" s="672"/>
      <c r="LBA370" s="393"/>
      <c r="LBB370" s="394"/>
      <c r="LBC370" s="593"/>
      <c r="LBD370" s="594"/>
      <c r="LBE370" s="671"/>
      <c r="LBF370" s="330"/>
      <c r="LBG370" s="377"/>
      <c r="LBH370" s="391"/>
      <c r="LBI370" s="672"/>
      <c r="LBJ370" s="393"/>
      <c r="LBK370" s="394"/>
      <c r="LBL370" s="593"/>
      <c r="LBM370" s="594"/>
      <c r="LBN370" s="671"/>
      <c r="LBO370" s="330"/>
      <c r="LBP370" s="377"/>
      <c r="LBQ370" s="391"/>
      <c r="LBR370" s="672"/>
      <c r="LBS370" s="393"/>
      <c r="LBT370" s="394"/>
      <c r="LBU370" s="593"/>
      <c r="LBV370" s="594"/>
      <c r="LBW370" s="671"/>
      <c r="LBX370" s="330"/>
      <c r="LBY370" s="377"/>
      <c r="LBZ370" s="391"/>
      <c r="LCA370" s="672"/>
      <c r="LCB370" s="393"/>
      <c r="LCC370" s="394"/>
      <c r="LCD370" s="593"/>
      <c r="LCE370" s="594"/>
      <c r="LCF370" s="671"/>
      <c r="LCG370" s="330"/>
      <c r="LCH370" s="377"/>
      <c r="LCI370" s="391"/>
      <c r="LCJ370" s="672"/>
      <c r="LCK370" s="393"/>
      <c r="LCL370" s="394"/>
      <c r="LCM370" s="593"/>
      <c r="LCN370" s="594"/>
      <c r="LCO370" s="671"/>
      <c r="LCP370" s="330"/>
      <c r="LCQ370" s="377"/>
      <c r="LCR370" s="391"/>
      <c r="LCS370" s="672"/>
      <c r="LCT370" s="393"/>
      <c r="LCU370" s="394"/>
      <c r="LCV370" s="593"/>
      <c r="LCW370" s="594"/>
      <c r="LCX370" s="671"/>
      <c r="LCY370" s="330"/>
      <c r="LCZ370" s="377"/>
      <c r="LDA370" s="391"/>
      <c r="LDB370" s="672"/>
      <c r="LDC370" s="393"/>
      <c r="LDD370" s="394"/>
      <c r="LDE370" s="593"/>
      <c r="LDF370" s="594"/>
      <c r="LDG370" s="671"/>
      <c r="LDH370" s="330"/>
      <c r="LDI370" s="377"/>
      <c r="LDJ370" s="391"/>
      <c r="LDK370" s="672"/>
      <c r="LDL370" s="393"/>
      <c r="LDM370" s="394"/>
      <c r="LDN370" s="593"/>
      <c r="LDO370" s="594"/>
      <c r="LDP370" s="671"/>
      <c r="LDQ370" s="330"/>
      <c r="LDR370" s="377"/>
      <c r="LDS370" s="391"/>
      <c r="LDT370" s="672"/>
      <c r="LDU370" s="393"/>
      <c r="LDV370" s="394"/>
      <c r="LDW370" s="593"/>
      <c r="LDX370" s="594"/>
      <c r="LDY370" s="671"/>
      <c r="LDZ370" s="330"/>
      <c r="LEA370" s="377"/>
      <c r="LEB370" s="391"/>
      <c r="LEC370" s="672"/>
      <c r="LED370" s="393"/>
      <c r="LEE370" s="394"/>
      <c r="LEF370" s="593"/>
      <c r="LEG370" s="594"/>
      <c r="LEH370" s="671"/>
      <c r="LEI370" s="330"/>
      <c r="LEJ370" s="377"/>
      <c r="LEK370" s="391"/>
      <c r="LEL370" s="672"/>
      <c r="LEM370" s="393"/>
      <c r="LEN370" s="394"/>
      <c r="LEO370" s="593"/>
      <c r="LEP370" s="594"/>
      <c r="LEQ370" s="671"/>
      <c r="LER370" s="330"/>
      <c r="LES370" s="377"/>
      <c r="LET370" s="391"/>
      <c r="LEU370" s="672"/>
      <c r="LEV370" s="393"/>
      <c r="LEW370" s="394"/>
      <c r="LEX370" s="593"/>
      <c r="LEY370" s="594"/>
      <c r="LEZ370" s="671"/>
      <c r="LFA370" s="330"/>
      <c r="LFB370" s="377"/>
      <c r="LFC370" s="391"/>
      <c r="LFD370" s="672"/>
      <c r="LFE370" s="393"/>
      <c r="LFF370" s="394"/>
      <c r="LFG370" s="593"/>
      <c r="LFH370" s="594"/>
      <c r="LFI370" s="671"/>
      <c r="LFJ370" s="330"/>
      <c r="LFK370" s="377"/>
      <c r="LFL370" s="391"/>
      <c r="LFM370" s="672"/>
      <c r="LFN370" s="393"/>
      <c r="LFO370" s="394"/>
      <c r="LFP370" s="593"/>
      <c r="LFQ370" s="594"/>
      <c r="LFR370" s="671"/>
      <c r="LFS370" s="330"/>
      <c r="LFT370" s="377"/>
      <c r="LFU370" s="391"/>
      <c r="LFV370" s="672"/>
      <c r="LFW370" s="393"/>
      <c r="LFX370" s="394"/>
      <c r="LFY370" s="593"/>
      <c r="LFZ370" s="594"/>
      <c r="LGA370" s="671"/>
      <c r="LGB370" s="330"/>
      <c r="LGC370" s="377"/>
      <c r="LGD370" s="391"/>
      <c r="LGE370" s="672"/>
      <c r="LGF370" s="393"/>
      <c r="LGG370" s="394"/>
      <c r="LGH370" s="593"/>
      <c r="LGI370" s="594"/>
      <c r="LGJ370" s="671"/>
      <c r="LGK370" s="330"/>
      <c r="LGL370" s="377"/>
      <c r="LGM370" s="391"/>
      <c r="LGN370" s="672"/>
      <c r="LGO370" s="393"/>
      <c r="LGP370" s="394"/>
      <c r="LGQ370" s="593"/>
      <c r="LGR370" s="594"/>
      <c r="LGS370" s="671"/>
      <c r="LGT370" s="330"/>
      <c r="LGU370" s="377"/>
      <c r="LGV370" s="391"/>
      <c r="LGW370" s="672"/>
      <c r="LGX370" s="393"/>
      <c r="LGY370" s="394"/>
      <c r="LGZ370" s="593"/>
      <c r="LHA370" s="594"/>
      <c r="LHB370" s="671"/>
      <c r="LHC370" s="330"/>
      <c r="LHD370" s="377"/>
      <c r="LHE370" s="391"/>
      <c r="LHF370" s="672"/>
      <c r="LHG370" s="393"/>
      <c r="LHH370" s="394"/>
      <c r="LHI370" s="593"/>
      <c r="LHJ370" s="594"/>
      <c r="LHK370" s="671"/>
      <c r="LHL370" s="330"/>
      <c r="LHM370" s="377"/>
      <c r="LHN370" s="391"/>
      <c r="LHO370" s="672"/>
      <c r="LHP370" s="393"/>
      <c r="LHQ370" s="394"/>
      <c r="LHR370" s="593"/>
      <c r="LHS370" s="594"/>
      <c r="LHT370" s="671"/>
      <c r="LHU370" s="330"/>
      <c r="LHV370" s="377"/>
      <c r="LHW370" s="391"/>
      <c r="LHX370" s="672"/>
      <c r="LHY370" s="393"/>
      <c r="LHZ370" s="394"/>
      <c r="LIA370" s="593"/>
      <c r="LIB370" s="594"/>
      <c r="LIC370" s="671"/>
      <c r="LID370" s="330"/>
      <c r="LIE370" s="377"/>
      <c r="LIF370" s="391"/>
      <c r="LIG370" s="672"/>
      <c r="LIH370" s="393"/>
      <c r="LII370" s="394"/>
      <c r="LIJ370" s="593"/>
      <c r="LIK370" s="594"/>
      <c r="LIL370" s="671"/>
      <c r="LIM370" s="330"/>
      <c r="LIN370" s="377"/>
      <c r="LIO370" s="391"/>
      <c r="LIP370" s="672"/>
      <c r="LIQ370" s="393"/>
      <c r="LIR370" s="394"/>
      <c r="LIS370" s="593"/>
      <c r="LIT370" s="594"/>
      <c r="LIU370" s="671"/>
      <c r="LIV370" s="330"/>
      <c r="LIW370" s="377"/>
      <c r="LIX370" s="391"/>
      <c r="LIY370" s="672"/>
      <c r="LIZ370" s="393"/>
      <c r="LJA370" s="394"/>
      <c r="LJB370" s="593"/>
      <c r="LJC370" s="594"/>
      <c r="LJD370" s="671"/>
      <c r="LJE370" s="330"/>
      <c r="LJF370" s="377"/>
      <c r="LJG370" s="391"/>
      <c r="LJH370" s="672"/>
      <c r="LJI370" s="393"/>
      <c r="LJJ370" s="394"/>
      <c r="LJK370" s="593"/>
      <c r="LJL370" s="594"/>
      <c r="LJM370" s="671"/>
      <c r="LJN370" s="330"/>
      <c r="LJO370" s="377"/>
      <c r="LJP370" s="391"/>
      <c r="LJQ370" s="672"/>
      <c r="LJR370" s="393"/>
      <c r="LJS370" s="394"/>
      <c r="LJT370" s="593"/>
      <c r="LJU370" s="594"/>
      <c r="LJV370" s="671"/>
      <c r="LJW370" s="330"/>
      <c r="LJX370" s="377"/>
      <c r="LJY370" s="391"/>
      <c r="LJZ370" s="672"/>
      <c r="LKA370" s="393"/>
      <c r="LKB370" s="394"/>
      <c r="LKC370" s="593"/>
      <c r="LKD370" s="594"/>
      <c r="LKE370" s="671"/>
      <c r="LKF370" s="330"/>
      <c r="LKG370" s="377"/>
      <c r="LKH370" s="391"/>
      <c r="LKI370" s="672"/>
      <c r="LKJ370" s="393"/>
      <c r="LKK370" s="394"/>
      <c r="LKL370" s="593"/>
      <c r="LKM370" s="594"/>
      <c r="LKN370" s="671"/>
      <c r="LKO370" s="330"/>
      <c r="LKP370" s="377"/>
      <c r="LKQ370" s="391"/>
      <c r="LKR370" s="672"/>
      <c r="LKS370" s="393"/>
      <c r="LKT370" s="394"/>
      <c r="LKU370" s="593"/>
      <c r="LKV370" s="594"/>
      <c r="LKW370" s="671"/>
      <c r="LKX370" s="330"/>
      <c r="LKY370" s="377"/>
      <c r="LKZ370" s="391"/>
      <c r="LLA370" s="672"/>
      <c r="LLB370" s="393"/>
      <c r="LLC370" s="394"/>
      <c r="LLD370" s="593"/>
      <c r="LLE370" s="594"/>
      <c r="LLF370" s="671"/>
      <c r="LLG370" s="330"/>
      <c r="LLH370" s="377"/>
      <c r="LLI370" s="391"/>
      <c r="LLJ370" s="672"/>
      <c r="LLK370" s="393"/>
      <c r="LLL370" s="394"/>
      <c r="LLM370" s="593"/>
      <c r="LLN370" s="594"/>
      <c r="LLO370" s="671"/>
      <c r="LLP370" s="330"/>
      <c r="LLQ370" s="377"/>
      <c r="LLR370" s="391"/>
      <c r="LLS370" s="672"/>
      <c r="LLT370" s="393"/>
      <c r="LLU370" s="394"/>
      <c r="LLV370" s="593"/>
      <c r="LLW370" s="594"/>
      <c r="LLX370" s="671"/>
      <c r="LLY370" s="330"/>
      <c r="LLZ370" s="377"/>
      <c r="LMA370" s="391"/>
      <c r="LMB370" s="672"/>
      <c r="LMC370" s="393"/>
      <c r="LMD370" s="394"/>
      <c r="LME370" s="593"/>
      <c r="LMF370" s="594"/>
      <c r="LMG370" s="671"/>
      <c r="LMH370" s="330"/>
      <c r="LMI370" s="377"/>
      <c r="LMJ370" s="391"/>
      <c r="LMK370" s="672"/>
      <c r="LML370" s="393"/>
      <c r="LMM370" s="394"/>
      <c r="LMN370" s="593"/>
      <c r="LMO370" s="594"/>
      <c r="LMP370" s="671"/>
      <c r="LMQ370" s="330"/>
      <c r="LMR370" s="377"/>
      <c r="LMS370" s="391"/>
      <c r="LMT370" s="672"/>
      <c r="LMU370" s="393"/>
      <c r="LMV370" s="394"/>
      <c r="LMW370" s="593"/>
      <c r="LMX370" s="594"/>
      <c r="LMY370" s="671"/>
      <c r="LMZ370" s="330"/>
      <c r="LNA370" s="377"/>
      <c r="LNB370" s="391"/>
      <c r="LNC370" s="672"/>
      <c r="LND370" s="393"/>
      <c r="LNE370" s="394"/>
      <c r="LNF370" s="593"/>
      <c r="LNG370" s="594"/>
      <c r="LNH370" s="671"/>
      <c r="LNI370" s="330"/>
      <c r="LNJ370" s="377"/>
      <c r="LNK370" s="391"/>
      <c r="LNL370" s="672"/>
      <c r="LNM370" s="393"/>
      <c r="LNN370" s="394"/>
      <c r="LNO370" s="593"/>
      <c r="LNP370" s="594"/>
      <c r="LNQ370" s="671"/>
      <c r="LNR370" s="330"/>
      <c r="LNS370" s="377"/>
      <c r="LNT370" s="391"/>
      <c r="LNU370" s="672"/>
      <c r="LNV370" s="393"/>
      <c r="LNW370" s="394"/>
      <c r="LNX370" s="593"/>
      <c r="LNY370" s="594"/>
      <c r="LNZ370" s="671"/>
      <c r="LOA370" s="330"/>
      <c r="LOB370" s="377"/>
      <c r="LOC370" s="391"/>
      <c r="LOD370" s="672"/>
      <c r="LOE370" s="393"/>
      <c r="LOF370" s="394"/>
      <c r="LOG370" s="593"/>
      <c r="LOH370" s="594"/>
      <c r="LOI370" s="671"/>
      <c r="LOJ370" s="330"/>
      <c r="LOK370" s="377"/>
      <c r="LOL370" s="391"/>
      <c r="LOM370" s="672"/>
      <c r="LON370" s="393"/>
      <c r="LOO370" s="394"/>
      <c r="LOP370" s="593"/>
      <c r="LOQ370" s="594"/>
      <c r="LOR370" s="671"/>
      <c r="LOS370" s="330"/>
      <c r="LOT370" s="377"/>
      <c r="LOU370" s="391"/>
      <c r="LOV370" s="672"/>
      <c r="LOW370" s="393"/>
      <c r="LOX370" s="394"/>
      <c r="LOY370" s="593"/>
      <c r="LOZ370" s="594"/>
      <c r="LPA370" s="671"/>
      <c r="LPB370" s="330"/>
      <c r="LPC370" s="377"/>
      <c r="LPD370" s="391"/>
      <c r="LPE370" s="672"/>
      <c r="LPF370" s="393"/>
      <c r="LPG370" s="394"/>
      <c r="LPH370" s="593"/>
      <c r="LPI370" s="594"/>
      <c r="LPJ370" s="671"/>
      <c r="LPK370" s="330"/>
      <c r="LPL370" s="377"/>
      <c r="LPM370" s="391"/>
      <c r="LPN370" s="672"/>
      <c r="LPO370" s="393"/>
      <c r="LPP370" s="394"/>
      <c r="LPQ370" s="593"/>
      <c r="LPR370" s="594"/>
      <c r="LPS370" s="671"/>
      <c r="LPT370" s="330"/>
      <c r="LPU370" s="377"/>
      <c r="LPV370" s="391"/>
      <c r="LPW370" s="672"/>
      <c r="LPX370" s="393"/>
      <c r="LPY370" s="394"/>
      <c r="LPZ370" s="593"/>
      <c r="LQA370" s="594"/>
      <c r="LQB370" s="671"/>
      <c r="LQC370" s="330"/>
      <c r="LQD370" s="377"/>
      <c r="LQE370" s="391"/>
      <c r="LQF370" s="672"/>
      <c r="LQG370" s="393"/>
      <c r="LQH370" s="394"/>
      <c r="LQI370" s="593"/>
      <c r="LQJ370" s="594"/>
      <c r="LQK370" s="671"/>
      <c r="LQL370" s="330"/>
      <c r="LQM370" s="377"/>
      <c r="LQN370" s="391"/>
      <c r="LQO370" s="672"/>
      <c r="LQP370" s="393"/>
      <c r="LQQ370" s="394"/>
      <c r="LQR370" s="593"/>
      <c r="LQS370" s="594"/>
      <c r="LQT370" s="671"/>
      <c r="LQU370" s="330"/>
      <c r="LQV370" s="377"/>
      <c r="LQW370" s="391"/>
      <c r="LQX370" s="672"/>
      <c r="LQY370" s="393"/>
      <c r="LQZ370" s="394"/>
      <c r="LRA370" s="593"/>
      <c r="LRB370" s="594"/>
      <c r="LRC370" s="671"/>
      <c r="LRD370" s="330"/>
      <c r="LRE370" s="377"/>
      <c r="LRF370" s="391"/>
      <c r="LRG370" s="672"/>
      <c r="LRH370" s="393"/>
      <c r="LRI370" s="394"/>
      <c r="LRJ370" s="593"/>
      <c r="LRK370" s="594"/>
      <c r="LRL370" s="671"/>
      <c r="LRM370" s="330"/>
      <c r="LRN370" s="377"/>
      <c r="LRO370" s="391"/>
      <c r="LRP370" s="672"/>
      <c r="LRQ370" s="393"/>
      <c r="LRR370" s="394"/>
      <c r="LRS370" s="593"/>
      <c r="LRT370" s="594"/>
      <c r="LRU370" s="671"/>
      <c r="LRV370" s="330"/>
      <c r="LRW370" s="377"/>
      <c r="LRX370" s="391"/>
      <c r="LRY370" s="672"/>
      <c r="LRZ370" s="393"/>
      <c r="LSA370" s="394"/>
      <c r="LSB370" s="593"/>
      <c r="LSC370" s="594"/>
      <c r="LSD370" s="671"/>
      <c r="LSE370" s="330"/>
      <c r="LSF370" s="377"/>
      <c r="LSG370" s="391"/>
      <c r="LSH370" s="672"/>
      <c r="LSI370" s="393"/>
      <c r="LSJ370" s="394"/>
      <c r="LSK370" s="593"/>
      <c r="LSL370" s="594"/>
      <c r="LSM370" s="671"/>
      <c r="LSN370" s="330"/>
      <c r="LSO370" s="377"/>
      <c r="LSP370" s="391"/>
      <c r="LSQ370" s="672"/>
      <c r="LSR370" s="393"/>
      <c r="LSS370" s="394"/>
      <c r="LST370" s="593"/>
      <c r="LSU370" s="594"/>
      <c r="LSV370" s="671"/>
      <c r="LSW370" s="330"/>
      <c r="LSX370" s="377"/>
      <c r="LSY370" s="391"/>
      <c r="LSZ370" s="672"/>
      <c r="LTA370" s="393"/>
      <c r="LTB370" s="394"/>
      <c r="LTC370" s="593"/>
      <c r="LTD370" s="594"/>
      <c r="LTE370" s="671"/>
      <c r="LTF370" s="330"/>
      <c r="LTG370" s="377"/>
      <c r="LTH370" s="391"/>
      <c r="LTI370" s="672"/>
      <c r="LTJ370" s="393"/>
      <c r="LTK370" s="394"/>
      <c r="LTL370" s="593"/>
      <c r="LTM370" s="594"/>
      <c r="LTN370" s="671"/>
      <c r="LTO370" s="330"/>
      <c r="LTP370" s="377"/>
      <c r="LTQ370" s="391"/>
      <c r="LTR370" s="672"/>
      <c r="LTS370" s="393"/>
      <c r="LTT370" s="394"/>
      <c r="LTU370" s="593"/>
      <c r="LTV370" s="594"/>
      <c r="LTW370" s="671"/>
      <c r="LTX370" s="330"/>
      <c r="LTY370" s="377"/>
      <c r="LTZ370" s="391"/>
      <c r="LUA370" s="672"/>
      <c r="LUB370" s="393"/>
      <c r="LUC370" s="394"/>
      <c r="LUD370" s="593"/>
      <c r="LUE370" s="594"/>
      <c r="LUF370" s="671"/>
      <c r="LUG370" s="330"/>
      <c r="LUH370" s="377"/>
      <c r="LUI370" s="391"/>
      <c r="LUJ370" s="672"/>
      <c r="LUK370" s="393"/>
      <c r="LUL370" s="394"/>
      <c r="LUM370" s="593"/>
      <c r="LUN370" s="594"/>
      <c r="LUO370" s="671"/>
      <c r="LUP370" s="330"/>
      <c r="LUQ370" s="377"/>
      <c r="LUR370" s="391"/>
      <c r="LUS370" s="672"/>
      <c r="LUT370" s="393"/>
      <c r="LUU370" s="394"/>
      <c r="LUV370" s="593"/>
      <c r="LUW370" s="594"/>
      <c r="LUX370" s="671"/>
      <c r="LUY370" s="330"/>
      <c r="LUZ370" s="377"/>
      <c r="LVA370" s="391"/>
      <c r="LVB370" s="672"/>
      <c r="LVC370" s="393"/>
      <c r="LVD370" s="394"/>
      <c r="LVE370" s="593"/>
      <c r="LVF370" s="594"/>
      <c r="LVG370" s="671"/>
      <c r="LVH370" s="330"/>
      <c r="LVI370" s="377"/>
      <c r="LVJ370" s="391"/>
      <c r="LVK370" s="672"/>
      <c r="LVL370" s="393"/>
      <c r="LVM370" s="394"/>
      <c r="LVN370" s="593"/>
      <c r="LVO370" s="594"/>
      <c r="LVP370" s="671"/>
      <c r="LVQ370" s="330"/>
      <c r="LVR370" s="377"/>
      <c r="LVS370" s="391"/>
      <c r="LVT370" s="672"/>
      <c r="LVU370" s="393"/>
      <c r="LVV370" s="394"/>
      <c r="LVW370" s="593"/>
      <c r="LVX370" s="594"/>
      <c r="LVY370" s="671"/>
      <c r="LVZ370" s="330"/>
      <c r="LWA370" s="377"/>
      <c r="LWB370" s="391"/>
      <c r="LWC370" s="672"/>
      <c r="LWD370" s="393"/>
      <c r="LWE370" s="394"/>
      <c r="LWF370" s="593"/>
      <c r="LWG370" s="594"/>
      <c r="LWH370" s="671"/>
      <c r="LWI370" s="330"/>
      <c r="LWJ370" s="377"/>
      <c r="LWK370" s="391"/>
      <c r="LWL370" s="672"/>
      <c r="LWM370" s="393"/>
      <c r="LWN370" s="394"/>
      <c r="LWO370" s="593"/>
      <c r="LWP370" s="594"/>
      <c r="LWQ370" s="671"/>
      <c r="LWR370" s="330"/>
      <c r="LWS370" s="377"/>
      <c r="LWT370" s="391"/>
      <c r="LWU370" s="672"/>
      <c r="LWV370" s="393"/>
      <c r="LWW370" s="394"/>
      <c r="LWX370" s="593"/>
      <c r="LWY370" s="594"/>
      <c r="LWZ370" s="671"/>
      <c r="LXA370" s="330"/>
      <c r="LXB370" s="377"/>
      <c r="LXC370" s="391"/>
      <c r="LXD370" s="672"/>
      <c r="LXE370" s="393"/>
      <c r="LXF370" s="394"/>
      <c r="LXG370" s="593"/>
      <c r="LXH370" s="594"/>
      <c r="LXI370" s="671"/>
      <c r="LXJ370" s="330"/>
      <c r="LXK370" s="377"/>
      <c r="LXL370" s="391"/>
      <c r="LXM370" s="672"/>
      <c r="LXN370" s="393"/>
      <c r="LXO370" s="394"/>
      <c r="LXP370" s="593"/>
      <c r="LXQ370" s="594"/>
      <c r="LXR370" s="671"/>
      <c r="LXS370" s="330"/>
      <c r="LXT370" s="377"/>
      <c r="LXU370" s="391"/>
      <c r="LXV370" s="672"/>
      <c r="LXW370" s="393"/>
      <c r="LXX370" s="394"/>
      <c r="LXY370" s="593"/>
      <c r="LXZ370" s="594"/>
      <c r="LYA370" s="671"/>
      <c r="LYB370" s="330"/>
      <c r="LYC370" s="377"/>
      <c r="LYD370" s="391"/>
      <c r="LYE370" s="672"/>
      <c r="LYF370" s="393"/>
      <c r="LYG370" s="394"/>
      <c r="LYH370" s="593"/>
      <c r="LYI370" s="594"/>
      <c r="LYJ370" s="671"/>
      <c r="LYK370" s="330"/>
      <c r="LYL370" s="377"/>
      <c r="LYM370" s="391"/>
      <c r="LYN370" s="672"/>
      <c r="LYO370" s="393"/>
      <c r="LYP370" s="394"/>
      <c r="LYQ370" s="593"/>
      <c r="LYR370" s="594"/>
      <c r="LYS370" s="671"/>
      <c r="LYT370" s="330"/>
      <c r="LYU370" s="377"/>
      <c r="LYV370" s="391"/>
      <c r="LYW370" s="672"/>
      <c r="LYX370" s="393"/>
      <c r="LYY370" s="394"/>
      <c r="LYZ370" s="593"/>
      <c r="LZA370" s="594"/>
      <c r="LZB370" s="671"/>
      <c r="LZC370" s="330"/>
      <c r="LZD370" s="377"/>
      <c r="LZE370" s="391"/>
      <c r="LZF370" s="672"/>
      <c r="LZG370" s="393"/>
      <c r="LZH370" s="394"/>
      <c r="LZI370" s="593"/>
      <c r="LZJ370" s="594"/>
      <c r="LZK370" s="671"/>
      <c r="LZL370" s="330"/>
      <c r="LZM370" s="377"/>
      <c r="LZN370" s="391"/>
      <c r="LZO370" s="672"/>
      <c r="LZP370" s="393"/>
      <c r="LZQ370" s="394"/>
      <c r="LZR370" s="593"/>
      <c r="LZS370" s="594"/>
      <c r="LZT370" s="671"/>
      <c r="LZU370" s="330"/>
      <c r="LZV370" s="377"/>
      <c r="LZW370" s="391"/>
      <c r="LZX370" s="672"/>
      <c r="LZY370" s="393"/>
      <c r="LZZ370" s="394"/>
      <c r="MAA370" s="593"/>
      <c r="MAB370" s="594"/>
      <c r="MAC370" s="671"/>
      <c r="MAD370" s="330"/>
      <c r="MAE370" s="377"/>
      <c r="MAF370" s="391"/>
      <c r="MAG370" s="672"/>
      <c r="MAH370" s="393"/>
      <c r="MAI370" s="394"/>
      <c r="MAJ370" s="593"/>
      <c r="MAK370" s="594"/>
      <c r="MAL370" s="671"/>
      <c r="MAM370" s="330"/>
      <c r="MAN370" s="377"/>
      <c r="MAO370" s="391"/>
      <c r="MAP370" s="672"/>
      <c r="MAQ370" s="393"/>
      <c r="MAR370" s="394"/>
      <c r="MAS370" s="593"/>
      <c r="MAT370" s="594"/>
      <c r="MAU370" s="671"/>
      <c r="MAV370" s="330"/>
      <c r="MAW370" s="377"/>
      <c r="MAX370" s="391"/>
      <c r="MAY370" s="672"/>
      <c r="MAZ370" s="393"/>
      <c r="MBA370" s="394"/>
      <c r="MBB370" s="593"/>
      <c r="MBC370" s="594"/>
      <c r="MBD370" s="671"/>
      <c r="MBE370" s="330"/>
      <c r="MBF370" s="377"/>
      <c r="MBG370" s="391"/>
      <c r="MBH370" s="672"/>
      <c r="MBI370" s="393"/>
      <c r="MBJ370" s="394"/>
      <c r="MBK370" s="593"/>
      <c r="MBL370" s="594"/>
      <c r="MBM370" s="671"/>
      <c r="MBN370" s="330"/>
      <c r="MBO370" s="377"/>
      <c r="MBP370" s="391"/>
      <c r="MBQ370" s="672"/>
      <c r="MBR370" s="393"/>
      <c r="MBS370" s="394"/>
      <c r="MBT370" s="593"/>
      <c r="MBU370" s="594"/>
      <c r="MBV370" s="671"/>
      <c r="MBW370" s="330"/>
      <c r="MBX370" s="377"/>
      <c r="MBY370" s="391"/>
      <c r="MBZ370" s="672"/>
      <c r="MCA370" s="393"/>
      <c r="MCB370" s="394"/>
      <c r="MCC370" s="593"/>
      <c r="MCD370" s="594"/>
      <c r="MCE370" s="671"/>
      <c r="MCF370" s="330"/>
      <c r="MCG370" s="377"/>
      <c r="MCH370" s="391"/>
      <c r="MCI370" s="672"/>
      <c r="MCJ370" s="393"/>
      <c r="MCK370" s="394"/>
      <c r="MCL370" s="593"/>
      <c r="MCM370" s="594"/>
      <c r="MCN370" s="671"/>
      <c r="MCO370" s="330"/>
      <c r="MCP370" s="377"/>
      <c r="MCQ370" s="391"/>
      <c r="MCR370" s="672"/>
      <c r="MCS370" s="393"/>
      <c r="MCT370" s="394"/>
      <c r="MCU370" s="593"/>
      <c r="MCV370" s="594"/>
      <c r="MCW370" s="671"/>
      <c r="MCX370" s="330"/>
      <c r="MCY370" s="377"/>
      <c r="MCZ370" s="391"/>
      <c r="MDA370" s="672"/>
      <c r="MDB370" s="393"/>
      <c r="MDC370" s="394"/>
      <c r="MDD370" s="593"/>
      <c r="MDE370" s="594"/>
      <c r="MDF370" s="671"/>
      <c r="MDG370" s="330"/>
      <c r="MDH370" s="377"/>
      <c r="MDI370" s="391"/>
      <c r="MDJ370" s="672"/>
      <c r="MDK370" s="393"/>
      <c r="MDL370" s="394"/>
      <c r="MDM370" s="593"/>
      <c r="MDN370" s="594"/>
      <c r="MDO370" s="671"/>
      <c r="MDP370" s="330"/>
      <c r="MDQ370" s="377"/>
      <c r="MDR370" s="391"/>
      <c r="MDS370" s="672"/>
      <c r="MDT370" s="393"/>
      <c r="MDU370" s="394"/>
      <c r="MDV370" s="593"/>
      <c r="MDW370" s="594"/>
      <c r="MDX370" s="671"/>
      <c r="MDY370" s="330"/>
      <c r="MDZ370" s="377"/>
      <c r="MEA370" s="391"/>
      <c r="MEB370" s="672"/>
      <c r="MEC370" s="393"/>
      <c r="MED370" s="394"/>
      <c r="MEE370" s="593"/>
      <c r="MEF370" s="594"/>
      <c r="MEG370" s="671"/>
      <c r="MEH370" s="330"/>
      <c r="MEI370" s="377"/>
      <c r="MEJ370" s="391"/>
      <c r="MEK370" s="672"/>
      <c r="MEL370" s="393"/>
      <c r="MEM370" s="394"/>
      <c r="MEN370" s="593"/>
      <c r="MEO370" s="594"/>
      <c r="MEP370" s="671"/>
      <c r="MEQ370" s="330"/>
      <c r="MER370" s="377"/>
      <c r="MES370" s="391"/>
      <c r="MET370" s="672"/>
      <c r="MEU370" s="393"/>
      <c r="MEV370" s="394"/>
      <c r="MEW370" s="593"/>
      <c r="MEX370" s="594"/>
      <c r="MEY370" s="671"/>
      <c r="MEZ370" s="330"/>
      <c r="MFA370" s="377"/>
      <c r="MFB370" s="391"/>
      <c r="MFC370" s="672"/>
      <c r="MFD370" s="393"/>
      <c r="MFE370" s="394"/>
      <c r="MFF370" s="593"/>
      <c r="MFG370" s="594"/>
      <c r="MFH370" s="671"/>
      <c r="MFI370" s="330"/>
      <c r="MFJ370" s="377"/>
      <c r="MFK370" s="391"/>
      <c r="MFL370" s="672"/>
      <c r="MFM370" s="393"/>
      <c r="MFN370" s="394"/>
      <c r="MFO370" s="593"/>
      <c r="MFP370" s="594"/>
      <c r="MFQ370" s="671"/>
      <c r="MFR370" s="330"/>
      <c r="MFS370" s="377"/>
      <c r="MFT370" s="391"/>
      <c r="MFU370" s="672"/>
      <c r="MFV370" s="393"/>
      <c r="MFW370" s="394"/>
      <c r="MFX370" s="593"/>
      <c r="MFY370" s="594"/>
      <c r="MFZ370" s="671"/>
      <c r="MGA370" s="330"/>
      <c r="MGB370" s="377"/>
      <c r="MGC370" s="391"/>
      <c r="MGD370" s="672"/>
      <c r="MGE370" s="393"/>
      <c r="MGF370" s="394"/>
      <c r="MGG370" s="593"/>
      <c r="MGH370" s="594"/>
      <c r="MGI370" s="671"/>
      <c r="MGJ370" s="330"/>
      <c r="MGK370" s="377"/>
      <c r="MGL370" s="391"/>
      <c r="MGM370" s="672"/>
      <c r="MGN370" s="393"/>
      <c r="MGO370" s="394"/>
      <c r="MGP370" s="593"/>
      <c r="MGQ370" s="594"/>
      <c r="MGR370" s="671"/>
      <c r="MGS370" s="330"/>
      <c r="MGT370" s="377"/>
      <c r="MGU370" s="391"/>
      <c r="MGV370" s="672"/>
      <c r="MGW370" s="393"/>
      <c r="MGX370" s="394"/>
      <c r="MGY370" s="593"/>
      <c r="MGZ370" s="594"/>
      <c r="MHA370" s="671"/>
      <c r="MHB370" s="330"/>
      <c r="MHC370" s="377"/>
      <c r="MHD370" s="391"/>
      <c r="MHE370" s="672"/>
      <c r="MHF370" s="393"/>
      <c r="MHG370" s="394"/>
      <c r="MHH370" s="593"/>
      <c r="MHI370" s="594"/>
      <c r="MHJ370" s="671"/>
      <c r="MHK370" s="330"/>
      <c r="MHL370" s="377"/>
      <c r="MHM370" s="391"/>
      <c r="MHN370" s="672"/>
      <c r="MHO370" s="393"/>
      <c r="MHP370" s="394"/>
      <c r="MHQ370" s="593"/>
      <c r="MHR370" s="594"/>
      <c r="MHS370" s="671"/>
      <c r="MHT370" s="330"/>
      <c r="MHU370" s="377"/>
      <c r="MHV370" s="391"/>
      <c r="MHW370" s="672"/>
      <c r="MHX370" s="393"/>
      <c r="MHY370" s="394"/>
      <c r="MHZ370" s="593"/>
      <c r="MIA370" s="594"/>
      <c r="MIB370" s="671"/>
      <c r="MIC370" s="330"/>
      <c r="MID370" s="377"/>
      <c r="MIE370" s="391"/>
      <c r="MIF370" s="672"/>
      <c r="MIG370" s="393"/>
      <c r="MIH370" s="394"/>
      <c r="MII370" s="593"/>
      <c r="MIJ370" s="594"/>
      <c r="MIK370" s="671"/>
      <c r="MIL370" s="330"/>
      <c r="MIM370" s="377"/>
      <c r="MIN370" s="391"/>
      <c r="MIO370" s="672"/>
      <c r="MIP370" s="393"/>
      <c r="MIQ370" s="394"/>
      <c r="MIR370" s="593"/>
      <c r="MIS370" s="594"/>
      <c r="MIT370" s="671"/>
      <c r="MIU370" s="330"/>
      <c r="MIV370" s="377"/>
      <c r="MIW370" s="391"/>
      <c r="MIX370" s="672"/>
      <c r="MIY370" s="393"/>
      <c r="MIZ370" s="394"/>
      <c r="MJA370" s="593"/>
      <c r="MJB370" s="594"/>
      <c r="MJC370" s="671"/>
      <c r="MJD370" s="330"/>
      <c r="MJE370" s="377"/>
      <c r="MJF370" s="391"/>
      <c r="MJG370" s="672"/>
      <c r="MJH370" s="393"/>
      <c r="MJI370" s="394"/>
      <c r="MJJ370" s="593"/>
      <c r="MJK370" s="594"/>
      <c r="MJL370" s="671"/>
      <c r="MJM370" s="330"/>
      <c r="MJN370" s="377"/>
      <c r="MJO370" s="391"/>
      <c r="MJP370" s="672"/>
      <c r="MJQ370" s="393"/>
      <c r="MJR370" s="394"/>
      <c r="MJS370" s="593"/>
      <c r="MJT370" s="594"/>
      <c r="MJU370" s="671"/>
      <c r="MJV370" s="330"/>
      <c r="MJW370" s="377"/>
      <c r="MJX370" s="391"/>
      <c r="MJY370" s="672"/>
      <c r="MJZ370" s="393"/>
      <c r="MKA370" s="394"/>
      <c r="MKB370" s="593"/>
      <c r="MKC370" s="594"/>
      <c r="MKD370" s="671"/>
      <c r="MKE370" s="330"/>
      <c r="MKF370" s="377"/>
      <c r="MKG370" s="391"/>
      <c r="MKH370" s="672"/>
      <c r="MKI370" s="393"/>
      <c r="MKJ370" s="394"/>
      <c r="MKK370" s="593"/>
      <c r="MKL370" s="594"/>
      <c r="MKM370" s="671"/>
      <c r="MKN370" s="330"/>
      <c r="MKO370" s="377"/>
      <c r="MKP370" s="391"/>
      <c r="MKQ370" s="672"/>
      <c r="MKR370" s="393"/>
      <c r="MKS370" s="394"/>
      <c r="MKT370" s="593"/>
      <c r="MKU370" s="594"/>
      <c r="MKV370" s="671"/>
      <c r="MKW370" s="330"/>
      <c r="MKX370" s="377"/>
      <c r="MKY370" s="391"/>
      <c r="MKZ370" s="672"/>
      <c r="MLA370" s="393"/>
      <c r="MLB370" s="394"/>
      <c r="MLC370" s="593"/>
      <c r="MLD370" s="594"/>
      <c r="MLE370" s="671"/>
      <c r="MLF370" s="330"/>
      <c r="MLG370" s="377"/>
      <c r="MLH370" s="391"/>
      <c r="MLI370" s="672"/>
      <c r="MLJ370" s="393"/>
      <c r="MLK370" s="394"/>
      <c r="MLL370" s="593"/>
      <c r="MLM370" s="594"/>
      <c r="MLN370" s="671"/>
      <c r="MLO370" s="330"/>
      <c r="MLP370" s="377"/>
      <c r="MLQ370" s="391"/>
      <c r="MLR370" s="672"/>
      <c r="MLS370" s="393"/>
      <c r="MLT370" s="394"/>
      <c r="MLU370" s="593"/>
      <c r="MLV370" s="594"/>
      <c r="MLW370" s="671"/>
      <c r="MLX370" s="330"/>
      <c r="MLY370" s="377"/>
      <c r="MLZ370" s="391"/>
      <c r="MMA370" s="672"/>
      <c r="MMB370" s="393"/>
      <c r="MMC370" s="394"/>
      <c r="MMD370" s="593"/>
      <c r="MME370" s="594"/>
      <c r="MMF370" s="671"/>
      <c r="MMG370" s="330"/>
      <c r="MMH370" s="377"/>
      <c r="MMI370" s="391"/>
      <c r="MMJ370" s="672"/>
      <c r="MMK370" s="393"/>
      <c r="MML370" s="394"/>
      <c r="MMM370" s="593"/>
      <c r="MMN370" s="594"/>
      <c r="MMO370" s="671"/>
      <c r="MMP370" s="330"/>
      <c r="MMQ370" s="377"/>
      <c r="MMR370" s="391"/>
      <c r="MMS370" s="672"/>
      <c r="MMT370" s="393"/>
      <c r="MMU370" s="394"/>
      <c r="MMV370" s="593"/>
      <c r="MMW370" s="594"/>
      <c r="MMX370" s="671"/>
      <c r="MMY370" s="330"/>
      <c r="MMZ370" s="377"/>
      <c r="MNA370" s="391"/>
      <c r="MNB370" s="672"/>
      <c r="MNC370" s="393"/>
      <c r="MND370" s="394"/>
      <c r="MNE370" s="593"/>
      <c r="MNF370" s="594"/>
      <c r="MNG370" s="671"/>
      <c r="MNH370" s="330"/>
      <c r="MNI370" s="377"/>
      <c r="MNJ370" s="391"/>
      <c r="MNK370" s="672"/>
      <c r="MNL370" s="393"/>
      <c r="MNM370" s="394"/>
      <c r="MNN370" s="593"/>
      <c r="MNO370" s="594"/>
      <c r="MNP370" s="671"/>
      <c r="MNQ370" s="330"/>
      <c r="MNR370" s="377"/>
      <c r="MNS370" s="391"/>
      <c r="MNT370" s="672"/>
      <c r="MNU370" s="393"/>
      <c r="MNV370" s="394"/>
      <c r="MNW370" s="593"/>
      <c r="MNX370" s="594"/>
      <c r="MNY370" s="671"/>
      <c r="MNZ370" s="330"/>
      <c r="MOA370" s="377"/>
      <c r="MOB370" s="391"/>
      <c r="MOC370" s="672"/>
      <c r="MOD370" s="393"/>
      <c r="MOE370" s="394"/>
      <c r="MOF370" s="593"/>
      <c r="MOG370" s="594"/>
      <c r="MOH370" s="671"/>
      <c r="MOI370" s="330"/>
      <c r="MOJ370" s="377"/>
      <c r="MOK370" s="391"/>
      <c r="MOL370" s="672"/>
      <c r="MOM370" s="393"/>
      <c r="MON370" s="394"/>
      <c r="MOO370" s="593"/>
      <c r="MOP370" s="594"/>
      <c r="MOQ370" s="671"/>
      <c r="MOR370" s="330"/>
      <c r="MOS370" s="377"/>
      <c r="MOT370" s="391"/>
      <c r="MOU370" s="672"/>
      <c r="MOV370" s="393"/>
      <c r="MOW370" s="394"/>
      <c r="MOX370" s="593"/>
      <c r="MOY370" s="594"/>
      <c r="MOZ370" s="671"/>
      <c r="MPA370" s="330"/>
      <c r="MPB370" s="377"/>
      <c r="MPC370" s="391"/>
      <c r="MPD370" s="672"/>
      <c r="MPE370" s="393"/>
      <c r="MPF370" s="394"/>
      <c r="MPG370" s="593"/>
      <c r="MPH370" s="594"/>
      <c r="MPI370" s="671"/>
      <c r="MPJ370" s="330"/>
      <c r="MPK370" s="377"/>
      <c r="MPL370" s="391"/>
      <c r="MPM370" s="672"/>
      <c r="MPN370" s="393"/>
      <c r="MPO370" s="394"/>
      <c r="MPP370" s="593"/>
      <c r="MPQ370" s="594"/>
      <c r="MPR370" s="671"/>
      <c r="MPS370" s="330"/>
      <c r="MPT370" s="377"/>
      <c r="MPU370" s="391"/>
      <c r="MPV370" s="672"/>
      <c r="MPW370" s="393"/>
      <c r="MPX370" s="394"/>
      <c r="MPY370" s="593"/>
      <c r="MPZ370" s="594"/>
      <c r="MQA370" s="671"/>
      <c r="MQB370" s="330"/>
      <c r="MQC370" s="377"/>
      <c r="MQD370" s="391"/>
      <c r="MQE370" s="672"/>
      <c r="MQF370" s="393"/>
      <c r="MQG370" s="394"/>
      <c r="MQH370" s="593"/>
      <c r="MQI370" s="594"/>
      <c r="MQJ370" s="671"/>
      <c r="MQK370" s="330"/>
      <c r="MQL370" s="377"/>
      <c r="MQM370" s="391"/>
      <c r="MQN370" s="672"/>
      <c r="MQO370" s="393"/>
      <c r="MQP370" s="394"/>
      <c r="MQQ370" s="593"/>
      <c r="MQR370" s="594"/>
      <c r="MQS370" s="671"/>
      <c r="MQT370" s="330"/>
      <c r="MQU370" s="377"/>
      <c r="MQV370" s="391"/>
      <c r="MQW370" s="672"/>
      <c r="MQX370" s="393"/>
      <c r="MQY370" s="394"/>
      <c r="MQZ370" s="593"/>
      <c r="MRA370" s="594"/>
      <c r="MRB370" s="671"/>
      <c r="MRC370" s="330"/>
      <c r="MRD370" s="377"/>
      <c r="MRE370" s="391"/>
      <c r="MRF370" s="672"/>
      <c r="MRG370" s="393"/>
      <c r="MRH370" s="394"/>
      <c r="MRI370" s="593"/>
      <c r="MRJ370" s="594"/>
      <c r="MRK370" s="671"/>
      <c r="MRL370" s="330"/>
      <c r="MRM370" s="377"/>
      <c r="MRN370" s="391"/>
      <c r="MRO370" s="672"/>
      <c r="MRP370" s="393"/>
      <c r="MRQ370" s="394"/>
      <c r="MRR370" s="593"/>
      <c r="MRS370" s="594"/>
      <c r="MRT370" s="671"/>
      <c r="MRU370" s="330"/>
      <c r="MRV370" s="377"/>
      <c r="MRW370" s="391"/>
      <c r="MRX370" s="672"/>
      <c r="MRY370" s="393"/>
      <c r="MRZ370" s="394"/>
      <c r="MSA370" s="593"/>
      <c r="MSB370" s="594"/>
      <c r="MSC370" s="671"/>
      <c r="MSD370" s="330"/>
      <c r="MSE370" s="377"/>
      <c r="MSF370" s="391"/>
      <c r="MSG370" s="672"/>
      <c r="MSH370" s="393"/>
      <c r="MSI370" s="394"/>
      <c r="MSJ370" s="593"/>
      <c r="MSK370" s="594"/>
      <c r="MSL370" s="671"/>
      <c r="MSM370" s="330"/>
      <c r="MSN370" s="377"/>
      <c r="MSO370" s="391"/>
      <c r="MSP370" s="672"/>
      <c r="MSQ370" s="393"/>
      <c r="MSR370" s="394"/>
      <c r="MSS370" s="593"/>
      <c r="MST370" s="594"/>
      <c r="MSU370" s="671"/>
      <c r="MSV370" s="330"/>
      <c r="MSW370" s="377"/>
      <c r="MSX370" s="391"/>
      <c r="MSY370" s="672"/>
      <c r="MSZ370" s="393"/>
      <c r="MTA370" s="394"/>
      <c r="MTB370" s="593"/>
      <c r="MTC370" s="594"/>
      <c r="MTD370" s="671"/>
      <c r="MTE370" s="330"/>
      <c r="MTF370" s="377"/>
      <c r="MTG370" s="391"/>
      <c r="MTH370" s="672"/>
      <c r="MTI370" s="393"/>
      <c r="MTJ370" s="394"/>
      <c r="MTK370" s="593"/>
      <c r="MTL370" s="594"/>
      <c r="MTM370" s="671"/>
      <c r="MTN370" s="330"/>
      <c r="MTO370" s="377"/>
      <c r="MTP370" s="391"/>
      <c r="MTQ370" s="672"/>
      <c r="MTR370" s="393"/>
      <c r="MTS370" s="394"/>
      <c r="MTT370" s="593"/>
      <c r="MTU370" s="594"/>
      <c r="MTV370" s="671"/>
      <c r="MTW370" s="330"/>
      <c r="MTX370" s="377"/>
      <c r="MTY370" s="391"/>
      <c r="MTZ370" s="672"/>
      <c r="MUA370" s="393"/>
      <c r="MUB370" s="394"/>
      <c r="MUC370" s="593"/>
      <c r="MUD370" s="594"/>
      <c r="MUE370" s="671"/>
      <c r="MUF370" s="330"/>
      <c r="MUG370" s="377"/>
      <c r="MUH370" s="391"/>
      <c r="MUI370" s="672"/>
      <c r="MUJ370" s="393"/>
      <c r="MUK370" s="394"/>
      <c r="MUL370" s="593"/>
      <c r="MUM370" s="594"/>
      <c r="MUN370" s="671"/>
      <c r="MUO370" s="330"/>
      <c r="MUP370" s="377"/>
      <c r="MUQ370" s="391"/>
      <c r="MUR370" s="672"/>
      <c r="MUS370" s="393"/>
      <c r="MUT370" s="394"/>
      <c r="MUU370" s="593"/>
      <c r="MUV370" s="594"/>
      <c r="MUW370" s="671"/>
      <c r="MUX370" s="330"/>
      <c r="MUY370" s="377"/>
      <c r="MUZ370" s="391"/>
      <c r="MVA370" s="672"/>
      <c r="MVB370" s="393"/>
      <c r="MVC370" s="394"/>
      <c r="MVD370" s="593"/>
      <c r="MVE370" s="594"/>
      <c r="MVF370" s="671"/>
      <c r="MVG370" s="330"/>
      <c r="MVH370" s="377"/>
      <c r="MVI370" s="391"/>
      <c r="MVJ370" s="672"/>
      <c r="MVK370" s="393"/>
      <c r="MVL370" s="394"/>
      <c r="MVM370" s="593"/>
      <c r="MVN370" s="594"/>
      <c r="MVO370" s="671"/>
      <c r="MVP370" s="330"/>
      <c r="MVQ370" s="377"/>
      <c r="MVR370" s="391"/>
      <c r="MVS370" s="672"/>
      <c r="MVT370" s="393"/>
      <c r="MVU370" s="394"/>
      <c r="MVV370" s="593"/>
      <c r="MVW370" s="594"/>
      <c r="MVX370" s="671"/>
      <c r="MVY370" s="330"/>
      <c r="MVZ370" s="377"/>
      <c r="MWA370" s="391"/>
      <c r="MWB370" s="672"/>
      <c r="MWC370" s="393"/>
      <c r="MWD370" s="394"/>
      <c r="MWE370" s="593"/>
      <c r="MWF370" s="594"/>
      <c r="MWG370" s="671"/>
      <c r="MWH370" s="330"/>
      <c r="MWI370" s="377"/>
      <c r="MWJ370" s="391"/>
      <c r="MWK370" s="672"/>
      <c r="MWL370" s="393"/>
      <c r="MWM370" s="394"/>
      <c r="MWN370" s="593"/>
      <c r="MWO370" s="594"/>
      <c r="MWP370" s="671"/>
      <c r="MWQ370" s="330"/>
      <c r="MWR370" s="377"/>
      <c r="MWS370" s="391"/>
      <c r="MWT370" s="672"/>
      <c r="MWU370" s="393"/>
      <c r="MWV370" s="394"/>
      <c r="MWW370" s="593"/>
      <c r="MWX370" s="594"/>
      <c r="MWY370" s="671"/>
      <c r="MWZ370" s="330"/>
      <c r="MXA370" s="377"/>
      <c r="MXB370" s="391"/>
      <c r="MXC370" s="672"/>
      <c r="MXD370" s="393"/>
      <c r="MXE370" s="394"/>
      <c r="MXF370" s="593"/>
      <c r="MXG370" s="594"/>
      <c r="MXH370" s="671"/>
      <c r="MXI370" s="330"/>
      <c r="MXJ370" s="377"/>
      <c r="MXK370" s="391"/>
      <c r="MXL370" s="672"/>
      <c r="MXM370" s="393"/>
      <c r="MXN370" s="394"/>
      <c r="MXO370" s="593"/>
      <c r="MXP370" s="594"/>
      <c r="MXQ370" s="671"/>
      <c r="MXR370" s="330"/>
      <c r="MXS370" s="377"/>
      <c r="MXT370" s="391"/>
      <c r="MXU370" s="672"/>
      <c r="MXV370" s="393"/>
      <c r="MXW370" s="394"/>
      <c r="MXX370" s="593"/>
      <c r="MXY370" s="594"/>
      <c r="MXZ370" s="671"/>
      <c r="MYA370" s="330"/>
      <c r="MYB370" s="377"/>
      <c r="MYC370" s="391"/>
      <c r="MYD370" s="672"/>
      <c r="MYE370" s="393"/>
      <c r="MYF370" s="394"/>
      <c r="MYG370" s="593"/>
      <c r="MYH370" s="594"/>
      <c r="MYI370" s="671"/>
      <c r="MYJ370" s="330"/>
      <c r="MYK370" s="377"/>
      <c r="MYL370" s="391"/>
      <c r="MYM370" s="672"/>
      <c r="MYN370" s="393"/>
      <c r="MYO370" s="394"/>
      <c r="MYP370" s="593"/>
      <c r="MYQ370" s="594"/>
      <c r="MYR370" s="671"/>
      <c r="MYS370" s="330"/>
      <c r="MYT370" s="377"/>
      <c r="MYU370" s="391"/>
      <c r="MYV370" s="672"/>
      <c r="MYW370" s="393"/>
      <c r="MYX370" s="394"/>
      <c r="MYY370" s="593"/>
      <c r="MYZ370" s="594"/>
      <c r="MZA370" s="671"/>
      <c r="MZB370" s="330"/>
      <c r="MZC370" s="377"/>
      <c r="MZD370" s="391"/>
      <c r="MZE370" s="672"/>
      <c r="MZF370" s="393"/>
      <c r="MZG370" s="394"/>
      <c r="MZH370" s="593"/>
      <c r="MZI370" s="594"/>
      <c r="MZJ370" s="671"/>
      <c r="MZK370" s="330"/>
      <c r="MZL370" s="377"/>
      <c r="MZM370" s="391"/>
      <c r="MZN370" s="672"/>
      <c r="MZO370" s="393"/>
      <c r="MZP370" s="394"/>
      <c r="MZQ370" s="593"/>
      <c r="MZR370" s="594"/>
      <c r="MZS370" s="671"/>
      <c r="MZT370" s="330"/>
      <c r="MZU370" s="377"/>
      <c r="MZV370" s="391"/>
      <c r="MZW370" s="672"/>
      <c r="MZX370" s="393"/>
      <c r="MZY370" s="394"/>
      <c r="MZZ370" s="593"/>
      <c r="NAA370" s="594"/>
      <c r="NAB370" s="671"/>
      <c r="NAC370" s="330"/>
      <c r="NAD370" s="377"/>
      <c r="NAE370" s="391"/>
      <c r="NAF370" s="672"/>
      <c r="NAG370" s="393"/>
      <c r="NAH370" s="394"/>
      <c r="NAI370" s="593"/>
      <c r="NAJ370" s="594"/>
      <c r="NAK370" s="671"/>
      <c r="NAL370" s="330"/>
      <c r="NAM370" s="377"/>
      <c r="NAN370" s="391"/>
      <c r="NAO370" s="672"/>
      <c r="NAP370" s="393"/>
      <c r="NAQ370" s="394"/>
      <c r="NAR370" s="593"/>
      <c r="NAS370" s="594"/>
      <c r="NAT370" s="671"/>
      <c r="NAU370" s="330"/>
      <c r="NAV370" s="377"/>
      <c r="NAW370" s="391"/>
      <c r="NAX370" s="672"/>
      <c r="NAY370" s="393"/>
      <c r="NAZ370" s="394"/>
      <c r="NBA370" s="593"/>
      <c r="NBB370" s="594"/>
      <c r="NBC370" s="671"/>
      <c r="NBD370" s="330"/>
      <c r="NBE370" s="377"/>
      <c r="NBF370" s="391"/>
      <c r="NBG370" s="672"/>
      <c r="NBH370" s="393"/>
      <c r="NBI370" s="394"/>
      <c r="NBJ370" s="593"/>
      <c r="NBK370" s="594"/>
      <c r="NBL370" s="671"/>
      <c r="NBM370" s="330"/>
      <c r="NBN370" s="377"/>
      <c r="NBO370" s="391"/>
      <c r="NBP370" s="672"/>
      <c r="NBQ370" s="393"/>
      <c r="NBR370" s="394"/>
      <c r="NBS370" s="593"/>
      <c r="NBT370" s="594"/>
      <c r="NBU370" s="671"/>
      <c r="NBV370" s="330"/>
      <c r="NBW370" s="377"/>
      <c r="NBX370" s="391"/>
      <c r="NBY370" s="672"/>
      <c r="NBZ370" s="393"/>
      <c r="NCA370" s="394"/>
      <c r="NCB370" s="593"/>
      <c r="NCC370" s="594"/>
      <c r="NCD370" s="671"/>
      <c r="NCE370" s="330"/>
      <c r="NCF370" s="377"/>
      <c r="NCG370" s="391"/>
      <c r="NCH370" s="672"/>
      <c r="NCI370" s="393"/>
      <c r="NCJ370" s="394"/>
      <c r="NCK370" s="593"/>
      <c r="NCL370" s="594"/>
      <c r="NCM370" s="671"/>
      <c r="NCN370" s="330"/>
      <c r="NCO370" s="377"/>
      <c r="NCP370" s="391"/>
      <c r="NCQ370" s="672"/>
      <c r="NCR370" s="393"/>
      <c r="NCS370" s="394"/>
      <c r="NCT370" s="593"/>
      <c r="NCU370" s="594"/>
      <c r="NCV370" s="671"/>
      <c r="NCW370" s="330"/>
      <c r="NCX370" s="377"/>
      <c r="NCY370" s="391"/>
      <c r="NCZ370" s="672"/>
      <c r="NDA370" s="393"/>
      <c r="NDB370" s="394"/>
      <c r="NDC370" s="593"/>
      <c r="NDD370" s="594"/>
      <c r="NDE370" s="671"/>
      <c r="NDF370" s="330"/>
      <c r="NDG370" s="377"/>
      <c r="NDH370" s="391"/>
      <c r="NDI370" s="672"/>
      <c r="NDJ370" s="393"/>
      <c r="NDK370" s="394"/>
      <c r="NDL370" s="593"/>
      <c r="NDM370" s="594"/>
      <c r="NDN370" s="671"/>
      <c r="NDO370" s="330"/>
      <c r="NDP370" s="377"/>
      <c r="NDQ370" s="391"/>
      <c r="NDR370" s="672"/>
      <c r="NDS370" s="393"/>
      <c r="NDT370" s="394"/>
      <c r="NDU370" s="593"/>
      <c r="NDV370" s="594"/>
      <c r="NDW370" s="671"/>
      <c r="NDX370" s="330"/>
      <c r="NDY370" s="377"/>
      <c r="NDZ370" s="391"/>
      <c r="NEA370" s="672"/>
      <c r="NEB370" s="393"/>
      <c r="NEC370" s="394"/>
      <c r="NED370" s="593"/>
      <c r="NEE370" s="594"/>
      <c r="NEF370" s="671"/>
      <c r="NEG370" s="330"/>
      <c r="NEH370" s="377"/>
      <c r="NEI370" s="391"/>
      <c r="NEJ370" s="672"/>
      <c r="NEK370" s="393"/>
      <c r="NEL370" s="394"/>
      <c r="NEM370" s="593"/>
      <c r="NEN370" s="594"/>
      <c r="NEO370" s="671"/>
      <c r="NEP370" s="330"/>
      <c r="NEQ370" s="377"/>
      <c r="NER370" s="391"/>
      <c r="NES370" s="672"/>
      <c r="NET370" s="393"/>
      <c r="NEU370" s="394"/>
      <c r="NEV370" s="593"/>
      <c r="NEW370" s="594"/>
      <c r="NEX370" s="671"/>
      <c r="NEY370" s="330"/>
      <c r="NEZ370" s="377"/>
      <c r="NFA370" s="391"/>
      <c r="NFB370" s="672"/>
      <c r="NFC370" s="393"/>
      <c r="NFD370" s="394"/>
      <c r="NFE370" s="593"/>
      <c r="NFF370" s="594"/>
      <c r="NFG370" s="671"/>
      <c r="NFH370" s="330"/>
      <c r="NFI370" s="377"/>
      <c r="NFJ370" s="391"/>
      <c r="NFK370" s="672"/>
      <c r="NFL370" s="393"/>
      <c r="NFM370" s="394"/>
      <c r="NFN370" s="593"/>
      <c r="NFO370" s="594"/>
      <c r="NFP370" s="671"/>
      <c r="NFQ370" s="330"/>
      <c r="NFR370" s="377"/>
      <c r="NFS370" s="391"/>
      <c r="NFT370" s="672"/>
      <c r="NFU370" s="393"/>
      <c r="NFV370" s="394"/>
      <c r="NFW370" s="593"/>
      <c r="NFX370" s="594"/>
      <c r="NFY370" s="671"/>
      <c r="NFZ370" s="330"/>
      <c r="NGA370" s="377"/>
      <c r="NGB370" s="391"/>
      <c r="NGC370" s="672"/>
      <c r="NGD370" s="393"/>
      <c r="NGE370" s="394"/>
      <c r="NGF370" s="593"/>
      <c r="NGG370" s="594"/>
      <c r="NGH370" s="671"/>
      <c r="NGI370" s="330"/>
      <c r="NGJ370" s="377"/>
      <c r="NGK370" s="391"/>
      <c r="NGL370" s="672"/>
      <c r="NGM370" s="393"/>
      <c r="NGN370" s="394"/>
      <c r="NGO370" s="593"/>
      <c r="NGP370" s="594"/>
      <c r="NGQ370" s="671"/>
      <c r="NGR370" s="330"/>
      <c r="NGS370" s="377"/>
      <c r="NGT370" s="391"/>
      <c r="NGU370" s="672"/>
      <c r="NGV370" s="393"/>
      <c r="NGW370" s="394"/>
      <c r="NGX370" s="593"/>
      <c r="NGY370" s="594"/>
      <c r="NGZ370" s="671"/>
      <c r="NHA370" s="330"/>
      <c r="NHB370" s="377"/>
      <c r="NHC370" s="391"/>
      <c r="NHD370" s="672"/>
      <c r="NHE370" s="393"/>
      <c r="NHF370" s="394"/>
      <c r="NHG370" s="593"/>
      <c r="NHH370" s="594"/>
      <c r="NHI370" s="671"/>
      <c r="NHJ370" s="330"/>
      <c r="NHK370" s="377"/>
      <c r="NHL370" s="391"/>
      <c r="NHM370" s="672"/>
      <c r="NHN370" s="393"/>
      <c r="NHO370" s="394"/>
      <c r="NHP370" s="593"/>
      <c r="NHQ370" s="594"/>
      <c r="NHR370" s="671"/>
      <c r="NHS370" s="330"/>
      <c r="NHT370" s="377"/>
      <c r="NHU370" s="391"/>
      <c r="NHV370" s="672"/>
      <c r="NHW370" s="393"/>
      <c r="NHX370" s="394"/>
      <c r="NHY370" s="593"/>
      <c r="NHZ370" s="594"/>
      <c r="NIA370" s="671"/>
      <c r="NIB370" s="330"/>
      <c r="NIC370" s="377"/>
      <c r="NID370" s="391"/>
      <c r="NIE370" s="672"/>
      <c r="NIF370" s="393"/>
      <c r="NIG370" s="394"/>
      <c r="NIH370" s="593"/>
      <c r="NII370" s="594"/>
      <c r="NIJ370" s="671"/>
      <c r="NIK370" s="330"/>
      <c r="NIL370" s="377"/>
      <c r="NIM370" s="391"/>
      <c r="NIN370" s="672"/>
      <c r="NIO370" s="393"/>
      <c r="NIP370" s="394"/>
      <c r="NIQ370" s="593"/>
      <c r="NIR370" s="594"/>
      <c r="NIS370" s="671"/>
      <c r="NIT370" s="330"/>
      <c r="NIU370" s="377"/>
      <c r="NIV370" s="391"/>
      <c r="NIW370" s="672"/>
      <c r="NIX370" s="393"/>
      <c r="NIY370" s="394"/>
      <c r="NIZ370" s="593"/>
      <c r="NJA370" s="594"/>
      <c r="NJB370" s="671"/>
      <c r="NJC370" s="330"/>
      <c r="NJD370" s="377"/>
      <c r="NJE370" s="391"/>
      <c r="NJF370" s="672"/>
      <c r="NJG370" s="393"/>
      <c r="NJH370" s="394"/>
      <c r="NJI370" s="593"/>
      <c r="NJJ370" s="594"/>
      <c r="NJK370" s="671"/>
      <c r="NJL370" s="330"/>
      <c r="NJM370" s="377"/>
      <c r="NJN370" s="391"/>
      <c r="NJO370" s="672"/>
      <c r="NJP370" s="393"/>
      <c r="NJQ370" s="394"/>
      <c r="NJR370" s="593"/>
      <c r="NJS370" s="594"/>
      <c r="NJT370" s="671"/>
      <c r="NJU370" s="330"/>
      <c r="NJV370" s="377"/>
      <c r="NJW370" s="391"/>
      <c r="NJX370" s="672"/>
      <c r="NJY370" s="393"/>
      <c r="NJZ370" s="394"/>
      <c r="NKA370" s="593"/>
      <c r="NKB370" s="594"/>
      <c r="NKC370" s="671"/>
      <c r="NKD370" s="330"/>
      <c r="NKE370" s="377"/>
      <c r="NKF370" s="391"/>
      <c r="NKG370" s="672"/>
      <c r="NKH370" s="393"/>
      <c r="NKI370" s="394"/>
      <c r="NKJ370" s="593"/>
      <c r="NKK370" s="594"/>
      <c r="NKL370" s="671"/>
      <c r="NKM370" s="330"/>
      <c r="NKN370" s="377"/>
      <c r="NKO370" s="391"/>
      <c r="NKP370" s="672"/>
      <c r="NKQ370" s="393"/>
      <c r="NKR370" s="394"/>
      <c r="NKS370" s="593"/>
      <c r="NKT370" s="594"/>
      <c r="NKU370" s="671"/>
      <c r="NKV370" s="330"/>
      <c r="NKW370" s="377"/>
      <c r="NKX370" s="391"/>
      <c r="NKY370" s="672"/>
      <c r="NKZ370" s="393"/>
      <c r="NLA370" s="394"/>
      <c r="NLB370" s="593"/>
      <c r="NLC370" s="594"/>
      <c r="NLD370" s="671"/>
      <c r="NLE370" s="330"/>
      <c r="NLF370" s="377"/>
      <c r="NLG370" s="391"/>
      <c r="NLH370" s="672"/>
      <c r="NLI370" s="393"/>
      <c r="NLJ370" s="394"/>
      <c r="NLK370" s="593"/>
      <c r="NLL370" s="594"/>
      <c r="NLM370" s="671"/>
      <c r="NLN370" s="330"/>
      <c r="NLO370" s="377"/>
      <c r="NLP370" s="391"/>
      <c r="NLQ370" s="672"/>
      <c r="NLR370" s="393"/>
      <c r="NLS370" s="394"/>
      <c r="NLT370" s="593"/>
      <c r="NLU370" s="594"/>
      <c r="NLV370" s="671"/>
      <c r="NLW370" s="330"/>
      <c r="NLX370" s="377"/>
      <c r="NLY370" s="391"/>
      <c r="NLZ370" s="672"/>
      <c r="NMA370" s="393"/>
      <c r="NMB370" s="394"/>
      <c r="NMC370" s="593"/>
      <c r="NMD370" s="594"/>
      <c r="NME370" s="671"/>
      <c r="NMF370" s="330"/>
      <c r="NMG370" s="377"/>
      <c r="NMH370" s="391"/>
      <c r="NMI370" s="672"/>
      <c r="NMJ370" s="393"/>
      <c r="NMK370" s="394"/>
      <c r="NML370" s="593"/>
      <c r="NMM370" s="594"/>
      <c r="NMN370" s="671"/>
      <c r="NMO370" s="330"/>
      <c r="NMP370" s="377"/>
      <c r="NMQ370" s="391"/>
      <c r="NMR370" s="672"/>
      <c r="NMS370" s="393"/>
      <c r="NMT370" s="394"/>
      <c r="NMU370" s="593"/>
      <c r="NMV370" s="594"/>
      <c r="NMW370" s="671"/>
      <c r="NMX370" s="330"/>
      <c r="NMY370" s="377"/>
      <c r="NMZ370" s="391"/>
      <c r="NNA370" s="672"/>
      <c r="NNB370" s="393"/>
      <c r="NNC370" s="394"/>
      <c r="NND370" s="593"/>
      <c r="NNE370" s="594"/>
      <c r="NNF370" s="671"/>
      <c r="NNG370" s="330"/>
      <c r="NNH370" s="377"/>
      <c r="NNI370" s="391"/>
      <c r="NNJ370" s="672"/>
      <c r="NNK370" s="393"/>
      <c r="NNL370" s="394"/>
      <c r="NNM370" s="593"/>
      <c r="NNN370" s="594"/>
      <c r="NNO370" s="671"/>
      <c r="NNP370" s="330"/>
      <c r="NNQ370" s="377"/>
      <c r="NNR370" s="391"/>
      <c r="NNS370" s="672"/>
      <c r="NNT370" s="393"/>
      <c r="NNU370" s="394"/>
      <c r="NNV370" s="593"/>
      <c r="NNW370" s="594"/>
      <c r="NNX370" s="671"/>
      <c r="NNY370" s="330"/>
      <c r="NNZ370" s="377"/>
      <c r="NOA370" s="391"/>
      <c r="NOB370" s="672"/>
      <c r="NOC370" s="393"/>
      <c r="NOD370" s="394"/>
      <c r="NOE370" s="593"/>
      <c r="NOF370" s="594"/>
      <c r="NOG370" s="671"/>
      <c r="NOH370" s="330"/>
      <c r="NOI370" s="377"/>
      <c r="NOJ370" s="391"/>
      <c r="NOK370" s="672"/>
      <c r="NOL370" s="393"/>
      <c r="NOM370" s="394"/>
      <c r="NON370" s="593"/>
      <c r="NOO370" s="594"/>
      <c r="NOP370" s="671"/>
      <c r="NOQ370" s="330"/>
      <c r="NOR370" s="377"/>
      <c r="NOS370" s="391"/>
      <c r="NOT370" s="672"/>
      <c r="NOU370" s="393"/>
      <c r="NOV370" s="394"/>
      <c r="NOW370" s="593"/>
      <c r="NOX370" s="594"/>
      <c r="NOY370" s="671"/>
      <c r="NOZ370" s="330"/>
      <c r="NPA370" s="377"/>
      <c r="NPB370" s="391"/>
      <c r="NPC370" s="672"/>
      <c r="NPD370" s="393"/>
      <c r="NPE370" s="394"/>
      <c r="NPF370" s="593"/>
      <c r="NPG370" s="594"/>
      <c r="NPH370" s="671"/>
      <c r="NPI370" s="330"/>
      <c r="NPJ370" s="377"/>
      <c r="NPK370" s="391"/>
      <c r="NPL370" s="672"/>
      <c r="NPM370" s="393"/>
      <c r="NPN370" s="394"/>
      <c r="NPO370" s="593"/>
      <c r="NPP370" s="594"/>
      <c r="NPQ370" s="671"/>
      <c r="NPR370" s="330"/>
      <c r="NPS370" s="377"/>
      <c r="NPT370" s="391"/>
      <c r="NPU370" s="672"/>
      <c r="NPV370" s="393"/>
      <c r="NPW370" s="394"/>
      <c r="NPX370" s="593"/>
      <c r="NPY370" s="594"/>
      <c r="NPZ370" s="671"/>
      <c r="NQA370" s="330"/>
      <c r="NQB370" s="377"/>
      <c r="NQC370" s="391"/>
      <c r="NQD370" s="672"/>
      <c r="NQE370" s="393"/>
      <c r="NQF370" s="394"/>
      <c r="NQG370" s="593"/>
      <c r="NQH370" s="594"/>
      <c r="NQI370" s="671"/>
      <c r="NQJ370" s="330"/>
      <c r="NQK370" s="377"/>
      <c r="NQL370" s="391"/>
      <c r="NQM370" s="672"/>
      <c r="NQN370" s="393"/>
      <c r="NQO370" s="394"/>
      <c r="NQP370" s="593"/>
      <c r="NQQ370" s="594"/>
      <c r="NQR370" s="671"/>
      <c r="NQS370" s="330"/>
      <c r="NQT370" s="377"/>
      <c r="NQU370" s="391"/>
      <c r="NQV370" s="672"/>
      <c r="NQW370" s="393"/>
      <c r="NQX370" s="394"/>
      <c r="NQY370" s="593"/>
      <c r="NQZ370" s="594"/>
      <c r="NRA370" s="671"/>
      <c r="NRB370" s="330"/>
      <c r="NRC370" s="377"/>
      <c r="NRD370" s="391"/>
      <c r="NRE370" s="672"/>
      <c r="NRF370" s="393"/>
      <c r="NRG370" s="394"/>
      <c r="NRH370" s="593"/>
      <c r="NRI370" s="594"/>
      <c r="NRJ370" s="671"/>
      <c r="NRK370" s="330"/>
      <c r="NRL370" s="377"/>
      <c r="NRM370" s="391"/>
      <c r="NRN370" s="672"/>
      <c r="NRO370" s="393"/>
      <c r="NRP370" s="394"/>
      <c r="NRQ370" s="593"/>
      <c r="NRR370" s="594"/>
      <c r="NRS370" s="671"/>
      <c r="NRT370" s="330"/>
      <c r="NRU370" s="377"/>
      <c r="NRV370" s="391"/>
      <c r="NRW370" s="672"/>
      <c r="NRX370" s="393"/>
      <c r="NRY370" s="394"/>
      <c r="NRZ370" s="593"/>
      <c r="NSA370" s="594"/>
      <c r="NSB370" s="671"/>
      <c r="NSC370" s="330"/>
      <c r="NSD370" s="377"/>
      <c r="NSE370" s="391"/>
      <c r="NSF370" s="672"/>
      <c r="NSG370" s="393"/>
      <c r="NSH370" s="394"/>
      <c r="NSI370" s="593"/>
      <c r="NSJ370" s="594"/>
      <c r="NSK370" s="671"/>
      <c r="NSL370" s="330"/>
      <c r="NSM370" s="377"/>
      <c r="NSN370" s="391"/>
      <c r="NSO370" s="672"/>
      <c r="NSP370" s="393"/>
      <c r="NSQ370" s="394"/>
      <c r="NSR370" s="593"/>
      <c r="NSS370" s="594"/>
      <c r="NST370" s="671"/>
      <c r="NSU370" s="330"/>
      <c r="NSV370" s="377"/>
      <c r="NSW370" s="391"/>
      <c r="NSX370" s="672"/>
      <c r="NSY370" s="393"/>
      <c r="NSZ370" s="394"/>
      <c r="NTA370" s="593"/>
      <c r="NTB370" s="594"/>
      <c r="NTC370" s="671"/>
      <c r="NTD370" s="330"/>
      <c r="NTE370" s="377"/>
      <c r="NTF370" s="391"/>
      <c r="NTG370" s="672"/>
      <c r="NTH370" s="393"/>
      <c r="NTI370" s="394"/>
      <c r="NTJ370" s="593"/>
      <c r="NTK370" s="594"/>
      <c r="NTL370" s="671"/>
      <c r="NTM370" s="330"/>
      <c r="NTN370" s="377"/>
      <c r="NTO370" s="391"/>
      <c r="NTP370" s="672"/>
      <c r="NTQ370" s="393"/>
      <c r="NTR370" s="394"/>
      <c r="NTS370" s="593"/>
      <c r="NTT370" s="594"/>
      <c r="NTU370" s="671"/>
      <c r="NTV370" s="330"/>
      <c r="NTW370" s="377"/>
      <c r="NTX370" s="391"/>
      <c r="NTY370" s="672"/>
      <c r="NTZ370" s="393"/>
      <c r="NUA370" s="394"/>
      <c r="NUB370" s="593"/>
      <c r="NUC370" s="594"/>
      <c r="NUD370" s="671"/>
      <c r="NUE370" s="330"/>
      <c r="NUF370" s="377"/>
      <c r="NUG370" s="391"/>
      <c r="NUH370" s="672"/>
      <c r="NUI370" s="393"/>
      <c r="NUJ370" s="394"/>
      <c r="NUK370" s="593"/>
      <c r="NUL370" s="594"/>
      <c r="NUM370" s="671"/>
      <c r="NUN370" s="330"/>
      <c r="NUO370" s="377"/>
      <c r="NUP370" s="391"/>
      <c r="NUQ370" s="672"/>
      <c r="NUR370" s="393"/>
      <c r="NUS370" s="394"/>
      <c r="NUT370" s="593"/>
      <c r="NUU370" s="594"/>
      <c r="NUV370" s="671"/>
      <c r="NUW370" s="330"/>
      <c r="NUX370" s="377"/>
      <c r="NUY370" s="391"/>
      <c r="NUZ370" s="672"/>
      <c r="NVA370" s="393"/>
      <c r="NVB370" s="394"/>
      <c r="NVC370" s="593"/>
      <c r="NVD370" s="594"/>
      <c r="NVE370" s="671"/>
      <c r="NVF370" s="330"/>
      <c r="NVG370" s="377"/>
      <c r="NVH370" s="391"/>
      <c r="NVI370" s="672"/>
      <c r="NVJ370" s="393"/>
      <c r="NVK370" s="394"/>
      <c r="NVL370" s="593"/>
      <c r="NVM370" s="594"/>
      <c r="NVN370" s="671"/>
      <c r="NVO370" s="330"/>
      <c r="NVP370" s="377"/>
      <c r="NVQ370" s="391"/>
      <c r="NVR370" s="672"/>
      <c r="NVS370" s="393"/>
      <c r="NVT370" s="394"/>
      <c r="NVU370" s="593"/>
      <c r="NVV370" s="594"/>
      <c r="NVW370" s="671"/>
      <c r="NVX370" s="330"/>
      <c r="NVY370" s="377"/>
      <c r="NVZ370" s="391"/>
      <c r="NWA370" s="672"/>
      <c r="NWB370" s="393"/>
      <c r="NWC370" s="394"/>
      <c r="NWD370" s="593"/>
      <c r="NWE370" s="594"/>
      <c r="NWF370" s="671"/>
      <c r="NWG370" s="330"/>
      <c r="NWH370" s="377"/>
      <c r="NWI370" s="391"/>
      <c r="NWJ370" s="672"/>
      <c r="NWK370" s="393"/>
      <c r="NWL370" s="394"/>
      <c r="NWM370" s="593"/>
      <c r="NWN370" s="594"/>
      <c r="NWO370" s="671"/>
      <c r="NWP370" s="330"/>
      <c r="NWQ370" s="377"/>
      <c r="NWR370" s="391"/>
      <c r="NWS370" s="672"/>
      <c r="NWT370" s="393"/>
      <c r="NWU370" s="394"/>
      <c r="NWV370" s="593"/>
      <c r="NWW370" s="594"/>
      <c r="NWX370" s="671"/>
      <c r="NWY370" s="330"/>
      <c r="NWZ370" s="377"/>
      <c r="NXA370" s="391"/>
      <c r="NXB370" s="672"/>
      <c r="NXC370" s="393"/>
      <c r="NXD370" s="394"/>
      <c r="NXE370" s="593"/>
      <c r="NXF370" s="594"/>
      <c r="NXG370" s="671"/>
      <c r="NXH370" s="330"/>
      <c r="NXI370" s="377"/>
      <c r="NXJ370" s="391"/>
      <c r="NXK370" s="672"/>
      <c r="NXL370" s="393"/>
      <c r="NXM370" s="394"/>
      <c r="NXN370" s="593"/>
      <c r="NXO370" s="594"/>
      <c r="NXP370" s="671"/>
      <c r="NXQ370" s="330"/>
      <c r="NXR370" s="377"/>
      <c r="NXS370" s="391"/>
      <c r="NXT370" s="672"/>
      <c r="NXU370" s="393"/>
      <c r="NXV370" s="394"/>
      <c r="NXW370" s="593"/>
      <c r="NXX370" s="594"/>
      <c r="NXY370" s="671"/>
      <c r="NXZ370" s="330"/>
      <c r="NYA370" s="377"/>
      <c r="NYB370" s="391"/>
      <c r="NYC370" s="672"/>
      <c r="NYD370" s="393"/>
      <c r="NYE370" s="394"/>
      <c r="NYF370" s="593"/>
      <c r="NYG370" s="594"/>
      <c r="NYH370" s="671"/>
      <c r="NYI370" s="330"/>
      <c r="NYJ370" s="377"/>
      <c r="NYK370" s="391"/>
      <c r="NYL370" s="672"/>
      <c r="NYM370" s="393"/>
      <c r="NYN370" s="394"/>
      <c r="NYO370" s="593"/>
      <c r="NYP370" s="594"/>
      <c r="NYQ370" s="671"/>
      <c r="NYR370" s="330"/>
      <c r="NYS370" s="377"/>
      <c r="NYT370" s="391"/>
      <c r="NYU370" s="672"/>
      <c r="NYV370" s="393"/>
      <c r="NYW370" s="394"/>
      <c r="NYX370" s="593"/>
      <c r="NYY370" s="594"/>
      <c r="NYZ370" s="671"/>
      <c r="NZA370" s="330"/>
      <c r="NZB370" s="377"/>
      <c r="NZC370" s="391"/>
      <c r="NZD370" s="672"/>
      <c r="NZE370" s="393"/>
      <c r="NZF370" s="394"/>
      <c r="NZG370" s="593"/>
      <c r="NZH370" s="594"/>
      <c r="NZI370" s="671"/>
      <c r="NZJ370" s="330"/>
      <c r="NZK370" s="377"/>
      <c r="NZL370" s="391"/>
      <c r="NZM370" s="672"/>
      <c r="NZN370" s="393"/>
      <c r="NZO370" s="394"/>
      <c r="NZP370" s="593"/>
      <c r="NZQ370" s="594"/>
      <c r="NZR370" s="671"/>
      <c r="NZS370" s="330"/>
      <c r="NZT370" s="377"/>
      <c r="NZU370" s="391"/>
      <c r="NZV370" s="672"/>
      <c r="NZW370" s="393"/>
      <c r="NZX370" s="394"/>
      <c r="NZY370" s="593"/>
      <c r="NZZ370" s="594"/>
      <c r="OAA370" s="671"/>
      <c r="OAB370" s="330"/>
      <c r="OAC370" s="377"/>
      <c r="OAD370" s="391"/>
      <c r="OAE370" s="672"/>
      <c r="OAF370" s="393"/>
      <c r="OAG370" s="394"/>
      <c r="OAH370" s="593"/>
      <c r="OAI370" s="594"/>
      <c r="OAJ370" s="671"/>
      <c r="OAK370" s="330"/>
      <c r="OAL370" s="377"/>
      <c r="OAM370" s="391"/>
      <c r="OAN370" s="672"/>
      <c r="OAO370" s="393"/>
      <c r="OAP370" s="394"/>
      <c r="OAQ370" s="593"/>
      <c r="OAR370" s="594"/>
      <c r="OAS370" s="671"/>
      <c r="OAT370" s="330"/>
      <c r="OAU370" s="377"/>
      <c r="OAV370" s="391"/>
      <c r="OAW370" s="672"/>
      <c r="OAX370" s="393"/>
      <c r="OAY370" s="394"/>
      <c r="OAZ370" s="593"/>
      <c r="OBA370" s="594"/>
      <c r="OBB370" s="671"/>
      <c r="OBC370" s="330"/>
      <c r="OBD370" s="377"/>
      <c r="OBE370" s="391"/>
      <c r="OBF370" s="672"/>
      <c r="OBG370" s="393"/>
      <c r="OBH370" s="394"/>
      <c r="OBI370" s="593"/>
      <c r="OBJ370" s="594"/>
      <c r="OBK370" s="671"/>
      <c r="OBL370" s="330"/>
      <c r="OBM370" s="377"/>
      <c r="OBN370" s="391"/>
      <c r="OBO370" s="672"/>
      <c r="OBP370" s="393"/>
      <c r="OBQ370" s="394"/>
      <c r="OBR370" s="593"/>
      <c r="OBS370" s="594"/>
      <c r="OBT370" s="671"/>
      <c r="OBU370" s="330"/>
      <c r="OBV370" s="377"/>
      <c r="OBW370" s="391"/>
      <c r="OBX370" s="672"/>
      <c r="OBY370" s="393"/>
      <c r="OBZ370" s="394"/>
      <c r="OCA370" s="593"/>
      <c r="OCB370" s="594"/>
      <c r="OCC370" s="671"/>
      <c r="OCD370" s="330"/>
      <c r="OCE370" s="377"/>
      <c r="OCF370" s="391"/>
      <c r="OCG370" s="672"/>
      <c r="OCH370" s="393"/>
      <c r="OCI370" s="394"/>
      <c r="OCJ370" s="593"/>
      <c r="OCK370" s="594"/>
      <c r="OCL370" s="671"/>
      <c r="OCM370" s="330"/>
      <c r="OCN370" s="377"/>
      <c r="OCO370" s="391"/>
      <c r="OCP370" s="672"/>
      <c r="OCQ370" s="393"/>
      <c r="OCR370" s="394"/>
      <c r="OCS370" s="593"/>
      <c r="OCT370" s="594"/>
      <c r="OCU370" s="671"/>
      <c r="OCV370" s="330"/>
      <c r="OCW370" s="377"/>
      <c r="OCX370" s="391"/>
      <c r="OCY370" s="672"/>
      <c r="OCZ370" s="393"/>
      <c r="ODA370" s="394"/>
      <c r="ODB370" s="593"/>
      <c r="ODC370" s="594"/>
      <c r="ODD370" s="671"/>
      <c r="ODE370" s="330"/>
      <c r="ODF370" s="377"/>
      <c r="ODG370" s="391"/>
      <c r="ODH370" s="672"/>
      <c r="ODI370" s="393"/>
      <c r="ODJ370" s="394"/>
      <c r="ODK370" s="593"/>
      <c r="ODL370" s="594"/>
      <c r="ODM370" s="671"/>
      <c r="ODN370" s="330"/>
      <c r="ODO370" s="377"/>
      <c r="ODP370" s="391"/>
      <c r="ODQ370" s="672"/>
      <c r="ODR370" s="393"/>
      <c r="ODS370" s="394"/>
      <c r="ODT370" s="593"/>
      <c r="ODU370" s="594"/>
      <c r="ODV370" s="671"/>
      <c r="ODW370" s="330"/>
      <c r="ODX370" s="377"/>
      <c r="ODY370" s="391"/>
      <c r="ODZ370" s="672"/>
      <c r="OEA370" s="393"/>
      <c r="OEB370" s="394"/>
      <c r="OEC370" s="593"/>
      <c r="OED370" s="594"/>
      <c r="OEE370" s="671"/>
      <c r="OEF370" s="330"/>
      <c r="OEG370" s="377"/>
      <c r="OEH370" s="391"/>
      <c r="OEI370" s="672"/>
      <c r="OEJ370" s="393"/>
      <c r="OEK370" s="394"/>
      <c r="OEL370" s="593"/>
      <c r="OEM370" s="594"/>
      <c r="OEN370" s="671"/>
      <c r="OEO370" s="330"/>
      <c r="OEP370" s="377"/>
      <c r="OEQ370" s="391"/>
      <c r="OER370" s="672"/>
      <c r="OES370" s="393"/>
      <c r="OET370" s="394"/>
      <c r="OEU370" s="593"/>
      <c r="OEV370" s="594"/>
      <c r="OEW370" s="671"/>
      <c r="OEX370" s="330"/>
      <c r="OEY370" s="377"/>
      <c r="OEZ370" s="391"/>
      <c r="OFA370" s="672"/>
      <c r="OFB370" s="393"/>
      <c r="OFC370" s="394"/>
      <c r="OFD370" s="593"/>
      <c r="OFE370" s="594"/>
      <c r="OFF370" s="671"/>
      <c r="OFG370" s="330"/>
      <c r="OFH370" s="377"/>
      <c r="OFI370" s="391"/>
      <c r="OFJ370" s="672"/>
      <c r="OFK370" s="393"/>
      <c r="OFL370" s="394"/>
      <c r="OFM370" s="593"/>
      <c r="OFN370" s="594"/>
      <c r="OFO370" s="671"/>
      <c r="OFP370" s="330"/>
      <c r="OFQ370" s="377"/>
      <c r="OFR370" s="391"/>
      <c r="OFS370" s="672"/>
      <c r="OFT370" s="393"/>
      <c r="OFU370" s="394"/>
      <c r="OFV370" s="593"/>
      <c r="OFW370" s="594"/>
      <c r="OFX370" s="671"/>
      <c r="OFY370" s="330"/>
      <c r="OFZ370" s="377"/>
      <c r="OGA370" s="391"/>
      <c r="OGB370" s="672"/>
      <c r="OGC370" s="393"/>
      <c r="OGD370" s="394"/>
      <c r="OGE370" s="593"/>
      <c r="OGF370" s="594"/>
      <c r="OGG370" s="671"/>
      <c r="OGH370" s="330"/>
      <c r="OGI370" s="377"/>
      <c r="OGJ370" s="391"/>
      <c r="OGK370" s="672"/>
      <c r="OGL370" s="393"/>
      <c r="OGM370" s="394"/>
      <c r="OGN370" s="593"/>
      <c r="OGO370" s="594"/>
      <c r="OGP370" s="671"/>
      <c r="OGQ370" s="330"/>
      <c r="OGR370" s="377"/>
      <c r="OGS370" s="391"/>
      <c r="OGT370" s="672"/>
      <c r="OGU370" s="393"/>
      <c r="OGV370" s="394"/>
      <c r="OGW370" s="593"/>
      <c r="OGX370" s="594"/>
      <c r="OGY370" s="671"/>
      <c r="OGZ370" s="330"/>
      <c r="OHA370" s="377"/>
      <c r="OHB370" s="391"/>
      <c r="OHC370" s="672"/>
      <c r="OHD370" s="393"/>
      <c r="OHE370" s="394"/>
      <c r="OHF370" s="593"/>
      <c r="OHG370" s="594"/>
      <c r="OHH370" s="671"/>
      <c r="OHI370" s="330"/>
      <c r="OHJ370" s="377"/>
      <c r="OHK370" s="391"/>
      <c r="OHL370" s="672"/>
      <c r="OHM370" s="393"/>
      <c r="OHN370" s="394"/>
      <c r="OHO370" s="593"/>
      <c r="OHP370" s="594"/>
      <c r="OHQ370" s="671"/>
      <c r="OHR370" s="330"/>
      <c r="OHS370" s="377"/>
      <c r="OHT370" s="391"/>
      <c r="OHU370" s="672"/>
      <c r="OHV370" s="393"/>
      <c r="OHW370" s="394"/>
      <c r="OHX370" s="593"/>
      <c r="OHY370" s="594"/>
      <c r="OHZ370" s="671"/>
      <c r="OIA370" s="330"/>
      <c r="OIB370" s="377"/>
      <c r="OIC370" s="391"/>
      <c r="OID370" s="672"/>
      <c r="OIE370" s="393"/>
      <c r="OIF370" s="394"/>
      <c r="OIG370" s="593"/>
      <c r="OIH370" s="594"/>
      <c r="OII370" s="671"/>
      <c r="OIJ370" s="330"/>
      <c r="OIK370" s="377"/>
      <c r="OIL370" s="391"/>
      <c r="OIM370" s="672"/>
      <c r="OIN370" s="393"/>
      <c r="OIO370" s="394"/>
      <c r="OIP370" s="593"/>
      <c r="OIQ370" s="594"/>
      <c r="OIR370" s="671"/>
      <c r="OIS370" s="330"/>
      <c r="OIT370" s="377"/>
      <c r="OIU370" s="391"/>
      <c r="OIV370" s="672"/>
      <c r="OIW370" s="393"/>
      <c r="OIX370" s="394"/>
      <c r="OIY370" s="593"/>
      <c r="OIZ370" s="594"/>
      <c r="OJA370" s="671"/>
      <c r="OJB370" s="330"/>
      <c r="OJC370" s="377"/>
      <c r="OJD370" s="391"/>
      <c r="OJE370" s="672"/>
      <c r="OJF370" s="393"/>
      <c r="OJG370" s="394"/>
      <c r="OJH370" s="593"/>
      <c r="OJI370" s="594"/>
      <c r="OJJ370" s="671"/>
      <c r="OJK370" s="330"/>
      <c r="OJL370" s="377"/>
      <c r="OJM370" s="391"/>
      <c r="OJN370" s="672"/>
      <c r="OJO370" s="393"/>
      <c r="OJP370" s="394"/>
      <c r="OJQ370" s="593"/>
      <c r="OJR370" s="594"/>
      <c r="OJS370" s="671"/>
      <c r="OJT370" s="330"/>
      <c r="OJU370" s="377"/>
      <c r="OJV370" s="391"/>
      <c r="OJW370" s="672"/>
      <c r="OJX370" s="393"/>
      <c r="OJY370" s="394"/>
      <c r="OJZ370" s="593"/>
      <c r="OKA370" s="594"/>
      <c r="OKB370" s="671"/>
      <c r="OKC370" s="330"/>
      <c r="OKD370" s="377"/>
      <c r="OKE370" s="391"/>
      <c r="OKF370" s="672"/>
      <c r="OKG370" s="393"/>
      <c r="OKH370" s="394"/>
      <c r="OKI370" s="593"/>
      <c r="OKJ370" s="594"/>
      <c r="OKK370" s="671"/>
      <c r="OKL370" s="330"/>
      <c r="OKM370" s="377"/>
      <c r="OKN370" s="391"/>
      <c r="OKO370" s="672"/>
      <c r="OKP370" s="393"/>
      <c r="OKQ370" s="394"/>
      <c r="OKR370" s="593"/>
      <c r="OKS370" s="594"/>
      <c r="OKT370" s="671"/>
      <c r="OKU370" s="330"/>
      <c r="OKV370" s="377"/>
      <c r="OKW370" s="391"/>
      <c r="OKX370" s="672"/>
      <c r="OKY370" s="393"/>
      <c r="OKZ370" s="394"/>
      <c r="OLA370" s="593"/>
      <c r="OLB370" s="594"/>
      <c r="OLC370" s="671"/>
      <c r="OLD370" s="330"/>
      <c r="OLE370" s="377"/>
      <c r="OLF370" s="391"/>
      <c r="OLG370" s="672"/>
      <c r="OLH370" s="393"/>
      <c r="OLI370" s="394"/>
      <c r="OLJ370" s="593"/>
      <c r="OLK370" s="594"/>
      <c r="OLL370" s="671"/>
      <c r="OLM370" s="330"/>
      <c r="OLN370" s="377"/>
      <c r="OLO370" s="391"/>
      <c r="OLP370" s="672"/>
      <c r="OLQ370" s="393"/>
      <c r="OLR370" s="394"/>
      <c r="OLS370" s="593"/>
      <c r="OLT370" s="594"/>
      <c r="OLU370" s="671"/>
      <c r="OLV370" s="330"/>
      <c r="OLW370" s="377"/>
      <c r="OLX370" s="391"/>
      <c r="OLY370" s="672"/>
      <c r="OLZ370" s="393"/>
      <c r="OMA370" s="394"/>
      <c r="OMB370" s="593"/>
      <c r="OMC370" s="594"/>
      <c r="OMD370" s="671"/>
      <c r="OME370" s="330"/>
      <c r="OMF370" s="377"/>
      <c r="OMG370" s="391"/>
      <c r="OMH370" s="672"/>
      <c r="OMI370" s="393"/>
      <c r="OMJ370" s="394"/>
      <c r="OMK370" s="593"/>
      <c r="OML370" s="594"/>
      <c r="OMM370" s="671"/>
      <c r="OMN370" s="330"/>
      <c r="OMO370" s="377"/>
      <c r="OMP370" s="391"/>
      <c r="OMQ370" s="672"/>
      <c r="OMR370" s="393"/>
      <c r="OMS370" s="394"/>
      <c r="OMT370" s="593"/>
      <c r="OMU370" s="594"/>
      <c r="OMV370" s="671"/>
      <c r="OMW370" s="330"/>
      <c r="OMX370" s="377"/>
      <c r="OMY370" s="391"/>
      <c r="OMZ370" s="672"/>
      <c r="ONA370" s="393"/>
      <c r="ONB370" s="394"/>
      <c r="ONC370" s="593"/>
      <c r="OND370" s="594"/>
      <c r="ONE370" s="671"/>
      <c r="ONF370" s="330"/>
      <c r="ONG370" s="377"/>
      <c r="ONH370" s="391"/>
      <c r="ONI370" s="672"/>
      <c r="ONJ370" s="393"/>
      <c r="ONK370" s="394"/>
      <c r="ONL370" s="593"/>
      <c r="ONM370" s="594"/>
      <c r="ONN370" s="671"/>
      <c r="ONO370" s="330"/>
      <c r="ONP370" s="377"/>
      <c r="ONQ370" s="391"/>
      <c r="ONR370" s="672"/>
      <c r="ONS370" s="393"/>
      <c r="ONT370" s="394"/>
      <c r="ONU370" s="593"/>
      <c r="ONV370" s="594"/>
      <c r="ONW370" s="671"/>
      <c r="ONX370" s="330"/>
      <c r="ONY370" s="377"/>
      <c r="ONZ370" s="391"/>
      <c r="OOA370" s="672"/>
      <c r="OOB370" s="393"/>
      <c r="OOC370" s="394"/>
      <c r="OOD370" s="593"/>
      <c r="OOE370" s="594"/>
      <c r="OOF370" s="671"/>
      <c r="OOG370" s="330"/>
      <c r="OOH370" s="377"/>
      <c r="OOI370" s="391"/>
      <c r="OOJ370" s="672"/>
      <c r="OOK370" s="393"/>
      <c r="OOL370" s="394"/>
      <c r="OOM370" s="593"/>
      <c r="OON370" s="594"/>
      <c r="OOO370" s="671"/>
      <c r="OOP370" s="330"/>
      <c r="OOQ370" s="377"/>
      <c r="OOR370" s="391"/>
      <c r="OOS370" s="672"/>
      <c r="OOT370" s="393"/>
      <c r="OOU370" s="394"/>
      <c r="OOV370" s="593"/>
      <c r="OOW370" s="594"/>
      <c r="OOX370" s="671"/>
      <c r="OOY370" s="330"/>
      <c r="OOZ370" s="377"/>
      <c r="OPA370" s="391"/>
      <c r="OPB370" s="672"/>
      <c r="OPC370" s="393"/>
      <c r="OPD370" s="394"/>
      <c r="OPE370" s="593"/>
      <c r="OPF370" s="594"/>
      <c r="OPG370" s="671"/>
      <c r="OPH370" s="330"/>
      <c r="OPI370" s="377"/>
      <c r="OPJ370" s="391"/>
      <c r="OPK370" s="672"/>
      <c r="OPL370" s="393"/>
      <c r="OPM370" s="394"/>
      <c r="OPN370" s="593"/>
      <c r="OPO370" s="594"/>
      <c r="OPP370" s="671"/>
      <c r="OPQ370" s="330"/>
      <c r="OPR370" s="377"/>
      <c r="OPS370" s="391"/>
      <c r="OPT370" s="672"/>
      <c r="OPU370" s="393"/>
      <c r="OPV370" s="394"/>
      <c r="OPW370" s="593"/>
      <c r="OPX370" s="594"/>
      <c r="OPY370" s="671"/>
      <c r="OPZ370" s="330"/>
      <c r="OQA370" s="377"/>
      <c r="OQB370" s="391"/>
      <c r="OQC370" s="672"/>
      <c r="OQD370" s="393"/>
      <c r="OQE370" s="394"/>
      <c r="OQF370" s="593"/>
      <c r="OQG370" s="594"/>
      <c r="OQH370" s="671"/>
      <c r="OQI370" s="330"/>
      <c r="OQJ370" s="377"/>
      <c r="OQK370" s="391"/>
      <c r="OQL370" s="672"/>
      <c r="OQM370" s="393"/>
      <c r="OQN370" s="394"/>
      <c r="OQO370" s="593"/>
      <c r="OQP370" s="594"/>
      <c r="OQQ370" s="671"/>
      <c r="OQR370" s="330"/>
      <c r="OQS370" s="377"/>
      <c r="OQT370" s="391"/>
      <c r="OQU370" s="672"/>
      <c r="OQV370" s="393"/>
      <c r="OQW370" s="394"/>
      <c r="OQX370" s="593"/>
      <c r="OQY370" s="594"/>
      <c r="OQZ370" s="671"/>
      <c r="ORA370" s="330"/>
      <c r="ORB370" s="377"/>
      <c r="ORC370" s="391"/>
      <c r="ORD370" s="672"/>
      <c r="ORE370" s="393"/>
      <c r="ORF370" s="394"/>
      <c r="ORG370" s="593"/>
      <c r="ORH370" s="594"/>
      <c r="ORI370" s="671"/>
      <c r="ORJ370" s="330"/>
      <c r="ORK370" s="377"/>
      <c r="ORL370" s="391"/>
      <c r="ORM370" s="672"/>
      <c r="ORN370" s="393"/>
      <c r="ORO370" s="394"/>
      <c r="ORP370" s="593"/>
      <c r="ORQ370" s="594"/>
      <c r="ORR370" s="671"/>
      <c r="ORS370" s="330"/>
      <c r="ORT370" s="377"/>
      <c r="ORU370" s="391"/>
      <c r="ORV370" s="672"/>
      <c r="ORW370" s="393"/>
      <c r="ORX370" s="394"/>
      <c r="ORY370" s="593"/>
      <c r="ORZ370" s="594"/>
      <c r="OSA370" s="671"/>
      <c r="OSB370" s="330"/>
      <c r="OSC370" s="377"/>
      <c r="OSD370" s="391"/>
      <c r="OSE370" s="672"/>
      <c r="OSF370" s="393"/>
      <c r="OSG370" s="394"/>
      <c r="OSH370" s="593"/>
      <c r="OSI370" s="594"/>
      <c r="OSJ370" s="671"/>
      <c r="OSK370" s="330"/>
      <c r="OSL370" s="377"/>
      <c r="OSM370" s="391"/>
      <c r="OSN370" s="672"/>
      <c r="OSO370" s="393"/>
      <c r="OSP370" s="394"/>
      <c r="OSQ370" s="593"/>
      <c r="OSR370" s="594"/>
      <c r="OSS370" s="671"/>
      <c r="OST370" s="330"/>
      <c r="OSU370" s="377"/>
      <c r="OSV370" s="391"/>
      <c r="OSW370" s="672"/>
      <c r="OSX370" s="393"/>
      <c r="OSY370" s="394"/>
      <c r="OSZ370" s="593"/>
      <c r="OTA370" s="594"/>
      <c r="OTB370" s="671"/>
      <c r="OTC370" s="330"/>
      <c r="OTD370" s="377"/>
      <c r="OTE370" s="391"/>
      <c r="OTF370" s="672"/>
      <c r="OTG370" s="393"/>
      <c r="OTH370" s="394"/>
      <c r="OTI370" s="593"/>
      <c r="OTJ370" s="594"/>
      <c r="OTK370" s="671"/>
      <c r="OTL370" s="330"/>
      <c r="OTM370" s="377"/>
      <c r="OTN370" s="391"/>
      <c r="OTO370" s="672"/>
      <c r="OTP370" s="393"/>
      <c r="OTQ370" s="394"/>
      <c r="OTR370" s="593"/>
      <c r="OTS370" s="594"/>
      <c r="OTT370" s="671"/>
      <c r="OTU370" s="330"/>
      <c r="OTV370" s="377"/>
      <c r="OTW370" s="391"/>
      <c r="OTX370" s="672"/>
      <c r="OTY370" s="393"/>
      <c r="OTZ370" s="394"/>
      <c r="OUA370" s="593"/>
      <c r="OUB370" s="594"/>
      <c r="OUC370" s="671"/>
      <c r="OUD370" s="330"/>
      <c r="OUE370" s="377"/>
      <c r="OUF370" s="391"/>
      <c r="OUG370" s="672"/>
      <c r="OUH370" s="393"/>
      <c r="OUI370" s="394"/>
      <c r="OUJ370" s="593"/>
      <c r="OUK370" s="594"/>
      <c r="OUL370" s="671"/>
      <c r="OUM370" s="330"/>
      <c r="OUN370" s="377"/>
      <c r="OUO370" s="391"/>
      <c r="OUP370" s="672"/>
      <c r="OUQ370" s="393"/>
      <c r="OUR370" s="394"/>
      <c r="OUS370" s="593"/>
      <c r="OUT370" s="594"/>
      <c r="OUU370" s="671"/>
      <c r="OUV370" s="330"/>
      <c r="OUW370" s="377"/>
      <c r="OUX370" s="391"/>
      <c r="OUY370" s="672"/>
      <c r="OUZ370" s="393"/>
      <c r="OVA370" s="394"/>
      <c r="OVB370" s="593"/>
      <c r="OVC370" s="594"/>
      <c r="OVD370" s="671"/>
      <c r="OVE370" s="330"/>
      <c r="OVF370" s="377"/>
      <c r="OVG370" s="391"/>
      <c r="OVH370" s="672"/>
      <c r="OVI370" s="393"/>
      <c r="OVJ370" s="394"/>
      <c r="OVK370" s="593"/>
      <c r="OVL370" s="594"/>
      <c r="OVM370" s="671"/>
      <c r="OVN370" s="330"/>
      <c r="OVO370" s="377"/>
      <c r="OVP370" s="391"/>
      <c r="OVQ370" s="672"/>
      <c r="OVR370" s="393"/>
      <c r="OVS370" s="394"/>
      <c r="OVT370" s="593"/>
      <c r="OVU370" s="594"/>
      <c r="OVV370" s="671"/>
      <c r="OVW370" s="330"/>
      <c r="OVX370" s="377"/>
      <c r="OVY370" s="391"/>
      <c r="OVZ370" s="672"/>
      <c r="OWA370" s="393"/>
      <c r="OWB370" s="394"/>
      <c r="OWC370" s="593"/>
      <c r="OWD370" s="594"/>
      <c r="OWE370" s="671"/>
      <c r="OWF370" s="330"/>
      <c r="OWG370" s="377"/>
      <c r="OWH370" s="391"/>
      <c r="OWI370" s="672"/>
      <c r="OWJ370" s="393"/>
      <c r="OWK370" s="394"/>
      <c r="OWL370" s="593"/>
      <c r="OWM370" s="594"/>
      <c r="OWN370" s="671"/>
      <c r="OWO370" s="330"/>
      <c r="OWP370" s="377"/>
      <c r="OWQ370" s="391"/>
      <c r="OWR370" s="672"/>
      <c r="OWS370" s="393"/>
      <c r="OWT370" s="394"/>
      <c r="OWU370" s="593"/>
      <c r="OWV370" s="594"/>
      <c r="OWW370" s="671"/>
      <c r="OWX370" s="330"/>
      <c r="OWY370" s="377"/>
      <c r="OWZ370" s="391"/>
      <c r="OXA370" s="672"/>
      <c r="OXB370" s="393"/>
      <c r="OXC370" s="394"/>
      <c r="OXD370" s="593"/>
      <c r="OXE370" s="594"/>
      <c r="OXF370" s="671"/>
      <c r="OXG370" s="330"/>
      <c r="OXH370" s="377"/>
      <c r="OXI370" s="391"/>
      <c r="OXJ370" s="672"/>
      <c r="OXK370" s="393"/>
      <c r="OXL370" s="394"/>
      <c r="OXM370" s="593"/>
      <c r="OXN370" s="594"/>
      <c r="OXO370" s="671"/>
      <c r="OXP370" s="330"/>
      <c r="OXQ370" s="377"/>
      <c r="OXR370" s="391"/>
      <c r="OXS370" s="672"/>
      <c r="OXT370" s="393"/>
      <c r="OXU370" s="394"/>
      <c r="OXV370" s="593"/>
      <c r="OXW370" s="594"/>
      <c r="OXX370" s="671"/>
      <c r="OXY370" s="330"/>
      <c r="OXZ370" s="377"/>
      <c r="OYA370" s="391"/>
      <c r="OYB370" s="672"/>
      <c r="OYC370" s="393"/>
      <c r="OYD370" s="394"/>
      <c r="OYE370" s="593"/>
      <c r="OYF370" s="594"/>
      <c r="OYG370" s="671"/>
      <c r="OYH370" s="330"/>
      <c r="OYI370" s="377"/>
      <c r="OYJ370" s="391"/>
      <c r="OYK370" s="672"/>
      <c r="OYL370" s="393"/>
      <c r="OYM370" s="394"/>
      <c r="OYN370" s="593"/>
      <c r="OYO370" s="594"/>
      <c r="OYP370" s="671"/>
      <c r="OYQ370" s="330"/>
      <c r="OYR370" s="377"/>
      <c r="OYS370" s="391"/>
      <c r="OYT370" s="672"/>
      <c r="OYU370" s="393"/>
      <c r="OYV370" s="394"/>
      <c r="OYW370" s="593"/>
      <c r="OYX370" s="594"/>
      <c r="OYY370" s="671"/>
      <c r="OYZ370" s="330"/>
      <c r="OZA370" s="377"/>
      <c r="OZB370" s="391"/>
      <c r="OZC370" s="672"/>
      <c r="OZD370" s="393"/>
      <c r="OZE370" s="394"/>
      <c r="OZF370" s="593"/>
      <c r="OZG370" s="594"/>
      <c r="OZH370" s="671"/>
      <c r="OZI370" s="330"/>
      <c r="OZJ370" s="377"/>
      <c r="OZK370" s="391"/>
      <c r="OZL370" s="672"/>
      <c r="OZM370" s="393"/>
      <c r="OZN370" s="394"/>
      <c r="OZO370" s="593"/>
      <c r="OZP370" s="594"/>
      <c r="OZQ370" s="671"/>
      <c r="OZR370" s="330"/>
      <c r="OZS370" s="377"/>
      <c r="OZT370" s="391"/>
      <c r="OZU370" s="672"/>
      <c r="OZV370" s="393"/>
      <c r="OZW370" s="394"/>
      <c r="OZX370" s="593"/>
      <c r="OZY370" s="594"/>
      <c r="OZZ370" s="671"/>
      <c r="PAA370" s="330"/>
      <c r="PAB370" s="377"/>
      <c r="PAC370" s="391"/>
      <c r="PAD370" s="672"/>
      <c r="PAE370" s="393"/>
      <c r="PAF370" s="394"/>
      <c r="PAG370" s="593"/>
      <c r="PAH370" s="594"/>
      <c r="PAI370" s="671"/>
      <c r="PAJ370" s="330"/>
      <c r="PAK370" s="377"/>
      <c r="PAL370" s="391"/>
      <c r="PAM370" s="672"/>
      <c r="PAN370" s="393"/>
      <c r="PAO370" s="394"/>
      <c r="PAP370" s="593"/>
      <c r="PAQ370" s="594"/>
      <c r="PAR370" s="671"/>
      <c r="PAS370" s="330"/>
      <c r="PAT370" s="377"/>
      <c r="PAU370" s="391"/>
      <c r="PAV370" s="672"/>
      <c r="PAW370" s="393"/>
      <c r="PAX370" s="394"/>
      <c r="PAY370" s="593"/>
      <c r="PAZ370" s="594"/>
      <c r="PBA370" s="671"/>
      <c r="PBB370" s="330"/>
      <c r="PBC370" s="377"/>
      <c r="PBD370" s="391"/>
      <c r="PBE370" s="672"/>
      <c r="PBF370" s="393"/>
      <c r="PBG370" s="394"/>
      <c r="PBH370" s="593"/>
      <c r="PBI370" s="594"/>
      <c r="PBJ370" s="671"/>
      <c r="PBK370" s="330"/>
      <c r="PBL370" s="377"/>
      <c r="PBM370" s="391"/>
      <c r="PBN370" s="672"/>
      <c r="PBO370" s="393"/>
      <c r="PBP370" s="394"/>
      <c r="PBQ370" s="593"/>
      <c r="PBR370" s="594"/>
      <c r="PBS370" s="671"/>
      <c r="PBT370" s="330"/>
      <c r="PBU370" s="377"/>
      <c r="PBV370" s="391"/>
      <c r="PBW370" s="672"/>
      <c r="PBX370" s="393"/>
      <c r="PBY370" s="394"/>
      <c r="PBZ370" s="593"/>
      <c r="PCA370" s="594"/>
      <c r="PCB370" s="671"/>
      <c r="PCC370" s="330"/>
      <c r="PCD370" s="377"/>
      <c r="PCE370" s="391"/>
      <c r="PCF370" s="672"/>
      <c r="PCG370" s="393"/>
      <c r="PCH370" s="394"/>
      <c r="PCI370" s="593"/>
      <c r="PCJ370" s="594"/>
      <c r="PCK370" s="671"/>
      <c r="PCL370" s="330"/>
      <c r="PCM370" s="377"/>
      <c r="PCN370" s="391"/>
      <c r="PCO370" s="672"/>
      <c r="PCP370" s="393"/>
      <c r="PCQ370" s="394"/>
      <c r="PCR370" s="593"/>
      <c r="PCS370" s="594"/>
      <c r="PCT370" s="671"/>
      <c r="PCU370" s="330"/>
      <c r="PCV370" s="377"/>
      <c r="PCW370" s="391"/>
      <c r="PCX370" s="672"/>
      <c r="PCY370" s="393"/>
      <c r="PCZ370" s="394"/>
      <c r="PDA370" s="593"/>
      <c r="PDB370" s="594"/>
      <c r="PDC370" s="671"/>
      <c r="PDD370" s="330"/>
      <c r="PDE370" s="377"/>
      <c r="PDF370" s="391"/>
      <c r="PDG370" s="672"/>
      <c r="PDH370" s="393"/>
      <c r="PDI370" s="394"/>
      <c r="PDJ370" s="593"/>
      <c r="PDK370" s="594"/>
      <c r="PDL370" s="671"/>
      <c r="PDM370" s="330"/>
      <c r="PDN370" s="377"/>
      <c r="PDO370" s="391"/>
      <c r="PDP370" s="672"/>
      <c r="PDQ370" s="393"/>
      <c r="PDR370" s="394"/>
      <c r="PDS370" s="593"/>
      <c r="PDT370" s="594"/>
      <c r="PDU370" s="671"/>
      <c r="PDV370" s="330"/>
      <c r="PDW370" s="377"/>
      <c r="PDX370" s="391"/>
      <c r="PDY370" s="672"/>
      <c r="PDZ370" s="393"/>
      <c r="PEA370" s="394"/>
      <c r="PEB370" s="593"/>
      <c r="PEC370" s="594"/>
      <c r="PED370" s="671"/>
      <c r="PEE370" s="330"/>
      <c r="PEF370" s="377"/>
      <c r="PEG370" s="391"/>
      <c r="PEH370" s="672"/>
      <c r="PEI370" s="393"/>
      <c r="PEJ370" s="394"/>
      <c r="PEK370" s="593"/>
      <c r="PEL370" s="594"/>
      <c r="PEM370" s="671"/>
      <c r="PEN370" s="330"/>
      <c r="PEO370" s="377"/>
      <c r="PEP370" s="391"/>
      <c r="PEQ370" s="672"/>
      <c r="PER370" s="393"/>
      <c r="PES370" s="394"/>
      <c r="PET370" s="593"/>
      <c r="PEU370" s="594"/>
      <c r="PEV370" s="671"/>
      <c r="PEW370" s="330"/>
      <c r="PEX370" s="377"/>
      <c r="PEY370" s="391"/>
      <c r="PEZ370" s="672"/>
      <c r="PFA370" s="393"/>
      <c r="PFB370" s="394"/>
      <c r="PFC370" s="593"/>
      <c r="PFD370" s="594"/>
      <c r="PFE370" s="671"/>
      <c r="PFF370" s="330"/>
      <c r="PFG370" s="377"/>
      <c r="PFH370" s="391"/>
      <c r="PFI370" s="672"/>
      <c r="PFJ370" s="393"/>
      <c r="PFK370" s="394"/>
      <c r="PFL370" s="593"/>
      <c r="PFM370" s="594"/>
      <c r="PFN370" s="671"/>
      <c r="PFO370" s="330"/>
      <c r="PFP370" s="377"/>
      <c r="PFQ370" s="391"/>
      <c r="PFR370" s="672"/>
      <c r="PFS370" s="393"/>
      <c r="PFT370" s="394"/>
      <c r="PFU370" s="593"/>
      <c r="PFV370" s="594"/>
      <c r="PFW370" s="671"/>
      <c r="PFX370" s="330"/>
      <c r="PFY370" s="377"/>
      <c r="PFZ370" s="391"/>
      <c r="PGA370" s="672"/>
      <c r="PGB370" s="393"/>
      <c r="PGC370" s="394"/>
      <c r="PGD370" s="593"/>
      <c r="PGE370" s="594"/>
      <c r="PGF370" s="671"/>
      <c r="PGG370" s="330"/>
      <c r="PGH370" s="377"/>
      <c r="PGI370" s="391"/>
      <c r="PGJ370" s="672"/>
      <c r="PGK370" s="393"/>
      <c r="PGL370" s="394"/>
      <c r="PGM370" s="593"/>
      <c r="PGN370" s="594"/>
      <c r="PGO370" s="671"/>
      <c r="PGP370" s="330"/>
      <c r="PGQ370" s="377"/>
      <c r="PGR370" s="391"/>
      <c r="PGS370" s="672"/>
      <c r="PGT370" s="393"/>
      <c r="PGU370" s="394"/>
      <c r="PGV370" s="593"/>
      <c r="PGW370" s="594"/>
      <c r="PGX370" s="671"/>
      <c r="PGY370" s="330"/>
      <c r="PGZ370" s="377"/>
      <c r="PHA370" s="391"/>
      <c r="PHB370" s="672"/>
      <c r="PHC370" s="393"/>
      <c r="PHD370" s="394"/>
      <c r="PHE370" s="593"/>
      <c r="PHF370" s="594"/>
      <c r="PHG370" s="671"/>
      <c r="PHH370" s="330"/>
      <c r="PHI370" s="377"/>
      <c r="PHJ370" s="391"/>
      <c r="PHK370" s="672"/>
      <c r="PHL370" s="393"/>
      <c r="PHM370" s="394"/>
      <c r="PHN370" s="593"/>
      <c r="PHO370" s="594"/>
      <c r="PHP370" s="671"/>
      <c r="PHQ370" s="330"/>
      <c r="PHR370" s="377"/>
      <c r="PHS370" s="391"/>
      <c r="PHT370" s="672"/>
      <c r="PHU370" s="393"/>
      <c r="PHV370" s="394"/>
      <c r="PHW370" s="593"/>
      <c r="PHX370" s="594"/>
      <c r="PHY370" s="671"/>
      <c r="PHZ370" s="330"/>
      <c r="PIA370" s="377"/>
      <c r="PIB370" s="391"/>
      <c r="PIC370" s="672"/>
      <c r="PID370" s="393"/>
      <c r="PIE370" s="394"/>
      <c r="PIF370" s="593"/>
      <c r="PIG370" s="594"/>
      <c r="PIH370" s="671"/>
      <c r="PII370" s="330"/>
      <c r="PIJ370" s="377"/>
      <c r="PIK370" s="391"/>
      <c r="PIL370" s="672"/>
      <c r="PIM370" s="393"/>
      <c r="PIN370" s="394"/>
      <c r="PIO370" s="593"/>
      <c r="PIP370" s="594"/>
      <c r="PIQ370" s="671"/>
      <c r="PIR370" s="330"/>
      <c r="PIS370" s="377"/>
      <c r="PIT370" s="391"/>
      <c r="PIU370" s="672"/>
      <c r="PIV370" s="393"/>
      <c r="PIW370" s="394"/>
      <c r="PIX370" s="593"/>
      <c r="PIY370" s="594"/>
      <c r="PIZ370" s="671"/>
      <c r="PJA370" s="330"/>
      <c r="PJB370" s="377"/>
      <c r="PJC370" s="391"/>
      <c r="PJD370" s="672"/>
      <c r="PJE370" s="393"/>
      <c r="PJF370" s="394"/>
      <c r="PJG370" s="593"/>
      <c r="PJH370" s="594"/>
      <c r="PJI370" s="671"/>
      <c r="PJJ370" s="330"/>
      <c r="PJK370" s="377"/>
      <c r="PJL370" s="391"/>
      <c r="PJM370" s="672"/>
      <c r="PJN370" s="393"/>
      <c r="PJO370" s="394"/>
      <c r="PJP370" s="593"/>
      <c r="PJQ370" s="594"/>
      <c r="PJR370" s="671"/>
      <c r="PJS370" s="330"/>
      <c r="PJT370" s="377"/>
      <c r="PJU370" s="391"/>
      <c r="PJV370" s="672"/>
      <c r="PJW370" s="393"/>
      <c r="PJX370" s="394"/>
      <c r="PJY370" s="593"/>
      <c r="PJZ370" s="594"/>
      <c r="PKA370" s="671"/>
      <c r="PKB370" s="330"/>
      <c r="PKC370" s="377"/>
      <c r="PKD370" s="391"/>
      <c r="PKE370" s="672"/>
      <c r="PKF370" s="393"/>
      <c r="PKG370" s="394"/>
      <c r="PKH370" s="593"/>
      <c r="PKI370" s="594"/>
      <c r="PKJ370" s="671"/>
      <c r="PKK370" s="330"/>
      <c r="PKL370" s="377"/>
      <c r="PKM370" s="391"/>
      <c r="PKN370" s="672"/>
      <c r="PKO370" s="393"/>
      <c r="PKP370" s="394"/>
      <c r="PKQ370" s="593"/>
      <c r="PKR370" s="594"/>
      <c r="PKS370" s="671"/>
      <c r="PKT370" s="330"/>
      <c r="PKU370" s="377"/>
      <c r="PKV370" s="391"/>
      <c r="PKW370" s="672"/>
      <c r="PKX370" s="393"/>
      <c r="PKY370" s="394"/>
      <c r="PKZ370" s="593"/>
      <c r="PLA370" s="594"/>
      <c r="PLB370" s="671"/>
      <c r="PLC370" s="330"/>
      <c r="PLD370" s="377"/>
      <c r="PLE370" s="391"/>
      <c r="PLF370" s="672"/>
      <c r="PLG370" s="393"/>
      <c r="PLH370" s="394"/>
      <c r="PLI370" s="593"/>
      <c r="PLJ370" s="594"/>
      <c r="PLK370" s="671"/>
      <c r="PLL370" s="330"/>
      <c r="PLM370" s="377"/>
      <c r="PLN370" s="391"/>
      <c r="PLO370" s="672"/>
      <c r="PLP370" s="393"/>
      <c r="PLQ370" s="394"/>
      <c r="PLR370" s="593"/>
      <c r="PLS370" s="594"/>
      <c r="PLT370" s="671"/>
      <c r="PLU370" s="330"/>
      <c r="PLV370" s="377"/>
      <c r="PLW370" s="391"/>
      <c r="PLX370" s="672"/>
      <c r="PLY370" s="393"/>
      <c r="PLZ370" s="394"/>
      <c r="PMA370" s="593"/>
      <c r="PMB370" s="594"/>
      <c r="PMC370" s="671"/>
      <c r="PMD370" s="330"/>
      <c r="PME370" s="377"/>
      <c r="PMF370" s="391"/>
      <c r="PMG370" s="672"/>
      <c r="PMH370" s="393"/>
      <c r="PMI370" s="394"/>
      <c r="PMJ370" s="593"/>
      <c r="PMK370" s="594"/>
      <c r="PML370" s="671"/>
      <c r="PMM370" s="330"/>
      <c r="PMN370" s="377"/>
      <c r="PMO370" s="391"/>
      <c r="PMP370" s="672"/>
      <c r="PMQ370" s="393"/>
      <c r="PMR370" s="394"/>
      <c r="PMS370" s="593"/>
      <c r="PMT370" s="594"/>
      <c r="PMU370" s="671"/>
      <c r="PMV370" s="330"/>
      <c r="PMW370" s="377"/>
      <c r="PMX370" s="391"/>
      <c r="PMY370" s="672"/>
      <c r="PMZ370" s="393"/>
      <c r="PNA370" s="394"/>
      <c r="PNB370" s="593"/>
      <c r="PNC370" s="594"/>
      <c r="PND370" s="671"/>
      <c r="PNE370" s="330"/>
      <c r="PNF370" s="377"/>
      <c r="PNG370" s="391"/>
      <c r="PNH370" s="672"/>
      <c r="PNI370" s="393"/>
      <c r="PNJ370" s="394"/>
      <c r="PNK370" s="593"/>
      <c r="PNL370" s="594"/>
      <c r="PNM370" s="671"/>
      <c r="PNN370" s="330"/>
      <c r="PNO370" s="377"/>
      <c r="PNP370" s="391"/>
      <c r="PNQ370" s="672"/>
      <c r="PNR370" s="393"/>
      <c r="PNS370" s="394"/>
      <c r="PNT370" s="593"/>
      <c r="PNU370" s="594"/>
      <c r="PNV370" s="671"/>
      <c r="PNW370" s="330"/>
      <c r="PNX370" s="377"/>
      <c r="PNY370" s="391"/>
      <c r="PNZ370" s="672"/>
      <c r="POA370" s="393"/>
      <c r="POB370" s="394"/>
      <c r="POC370" s="593"/>
      <c r="POD370" s="594"/>
      <c r="POE370" s="671"/>
      <c r="POF370" s="330"/>
      <c r="POG370" s="377"/>
      <c r="POH370" s="391"/>
      <c r="POI370" s="672"/>
      <c r="POJ370" s="393"/>
      <c r="POK370" s="394"/>
      <c r="POL370" s="593"/>
      <c r="POM370" s="594"/>
      <c r="PON370" s="671"/>
      <c r="POO370" s="330"/>
      <c r="POP370" s="377"/>
      <c r="POQ370" s="391"/>
      <c r="POR370" s="672"/>
      <c r="POS370" s="393"/>
      <c r="POT370" s="394"/>
      <c r="POU370" s="593"/>
      <c r="POV370" s="594"/>
      <c r="POW370" s="671"/>
      <c r="POX370" s="330"/>
      <c r="POY370" s="377"/>
      <c r="POZ370" s="391"/>
      <c r="PPA370" s="672"/>
      <c r="PPB370" s="393"/>
      <c r="PPC370" s="394"/>
      <c r="PPD370" s="593"/>
      <c r="PPE370" s="594"/>
      <c r="PPF370" s="671"/>
      <c r="PPG370" s="330"/>
      <c r="PPH370" s="377"/>
      <c r="PPI370" s="391"/>
      <c r="PPJ370" s="672"/>
      <c r="PPK370" s="393"/>
      <c r="PPL370" s="394"/>
      <c r="PPM370" s="593"/>
      <c r="PPN370" s="594"/>
      <c r="PPO370" s="671"/>
      <c r="PPP370" s="330"/>
      <c r="PPQ370" s="377"/>
      <c r="PPR370" s="391"/>
      <c r="PPS370" s="672"/>
      <c r="PPT370" s="393"/>
      <c r="PPU370" s="394"/>
      <c r="PPV370" s="593"/>
      <c r="PPW370" s="594"/>
      <c r="PPX370" s="671"/>
      <c r="PPY370" s="330"/>
      <c r="PPZ370" s="377"/>
      <c r="PQA370" s="391"/>
      <c r="PQB370" s="672"/>
      <c r="PQC370" s="393"/>
      <c r="PQD370" s="394"/>
      <c r="PQE370" s="593"/>
      <c r="PQF370" s="594"/>
      <c r="PQG370" s="671"/>
      <c r="PQH370" s="330"/>
      <c r="PQI370" s="377"/>
      <c r="PQJ370" s="391"/>
      <c r="PQK370" s="672"/>
      <c r="PQL370" s="393"/>
      <c r="PQM370" s="394"/>
      <c r="PQN370" s="593"/>
      <c r="PQO370" s="594"/>
      <c r="PQP370" s="671"/>
      <c r="PQQ370" s="330"/>
      <c r="PQR370" s="377"/>
      <c r="PQS370" s="391"/>
      <c r="PQT370" s="672"/>
      <c r="PQU370" s="393"/>
      <c r="PQV370" s="394"/>
      <c r="PQW370" s="593"/>
      <c r="PQX370" s="594"/>
      <c r="PQY370" s="671"/>
      <c r="PQZ370" s="330"/>
      <c r="PRA370" s="377"/>
      <c r="PRB370" s="391"/>
      <c r="PRC370" s="672"/>
      <c r="PRD370" s="393"/>
      <c r="PRE370" s="394"/>
      <c r="PRF370" s="593"/>
      <c r="PRG370" s="594"/>
      <c r="PRH370" s="671"/>
      <c r="PRI370" s="330"/>
      <c r="PRJ370" s="377"/>
      <c r="PRK370" s="391"/>
      <c r="PRL370" s="672"/>
      <c r="PRM370" s="393"/>
      <c r="PRN370" s="394"/>
      <c r="PRO370" s="593"/>
      <c r="PRP370" s="594"/>
      <c r="PRQ370" s="671"/>
      <c r="PRR370" s="330"/>
      <c r="PRS370" s="377"/>
      <c r="PRT370" s="391"/>
      <c r="PRU370" s="672"/>
      <c r="PRV370" s="393"/>
      <c r="PRW370" s="394"/>
      <c r="PRX370" s="593"/>
      <c r="PRY370" s="594"/>
      <c r="PRZ370" s="671"/>
      <c r="PSA370" s="330"/>
      <c r="PSB370" s="377"/>
      <c r="PSC370" s="391"/>
      <c r="PSD370" s="672"/>
      <c r="PSE370" s="393"/>
      <c r="PSF370" s="394"/>
      <c r="PSG370" s="593"/>
      <c r="PSH370" s="594"/>
      <c r="PSI370" s="671"/>
      <c r="PSJ370" s="330"/>
      <c r="PSK370" s="377"/>
      <c r="PSL370" s="391"/>
      <c r="PSM370" s="672"/>
      <c r="PSN370" s="393"/>
      <c r="PSO370" s="394"/>
      <c r="PSP370" s="593"/>
      <c r="PSQ370" s="594"/>
      <c r="PSR370" s="671"/>
      <c r="PSS370" s="330"/>
      <c r="PST370" s="377"/>
      <c r="PSU370" s="391"/>
      <c r="PSV370" s="672"/>
      <c r="PSW370" s="393"/>
      <c r="PSX370" s="394"/>
      <c r="PSY370" s="593"/>
      <c r="PSZ370" s="594"/>
      <c r="PTA370" s="671"/>
      <c r="PTB370" s="330"/>
      <c r="PTC370" s="377"/>
      <c r="PTD370" s="391"/>
      <c r="PTE370" s="672"/>
      <c r="PTF370" s="393"/>
      <c r="PTG370" s="394"/>
      <c r="PTH370" s="593"/>
      <c r="PTI370" s="594"/>
      <c r="PTJ370" s="671"/>
      <c r="PTK370" s="330"/>
      <c r="PTL370" s="377"/>
      <c r="PTM370" s="391"/>
      <c r="PTN370" s="672"/>
      <c r="PTO370" s="393"/>
      <c r="PTP370" s="394"/>
      <c r="PTQ370" s="593"/>
      <c r="PTR370" s="594"/>
      <c r="PTS370" s="671"/>
      <c r="PTT370" s="330"/>
      <c r="PTU370" s="377"/>
      <c r="PTV370" s="391"/>
      <c r="PTW370" s="672"/>
      <c r="PTX370" s="393"/>
      <c r="PTY370" s="394"/>
      <c r="PTZ370" s="593"/>
      <c r="PUA370" s="594"/>
      <c r="PUB370" s="671"/>
      <c r="PUC370" s="330"/>
      <c r="PUD370" s="377"/>
      <c r="PUE370" s="391"/>
      <c r="PUF370" s="672"/>
      <c r="PUG370" s="393"/>
      <c r="PUH370" s="394"/>
      <c r="PUI370" s="593"/>
      <c r="PUJ370" s="594"/>
      <c r="PUK370" s="671"/>
      <c r="PUL370" s="330"/>
      <c r="PUM370" s="377"/>
      <c r="PUN370" s="391"/>
      <c r="PUO370" s="672"/>
      <c r="PUP370" s="393"/>
      <c r="PUQ370" s="394"/>
      <c r="PUR370" s="593"/>
      <c r="PUS370" s="594"/>
      <c r="PUT370" s="671"/>
      <c r="PUU370" s="330"/>
      <c r="PUV370" s="377"/>
      <c r="PUW370" s="391"/>
      <c r="PUX370" s="672"/>
      <c r="PUY370" s="393"/>
      <c r="PUZ370" s="394"/>
      <c r="PVA370" s="593"/>
      <c r="PVB370" s="594"/>
      <c r="PVC370" s="671"/>
      <c r="PVD370" s="330"/>
      <c r="PVE370" s="377"/>
      <c r="PVF370" s="391"/>
      <c r="PVG370" s="672"/>
      <c r="PVH370" s="393"/>
      <c r="PVI370" s="394"/>
      <c r="PVJ370" s="593"/>
      <c r="PVK370" s="594"/>
      <c r="PVL370" s="671"/>
      <c r="PVM370" s="330"/>
      <c r="PVN370" s="377"/>
      <c r="PVO370" s="391"/>
      <c r="PVP370" s="672"/>
      <c r="PVQ370" s="393"/>
      <c r="PVR370" s="394"/>
      <c r="PVS370" s="593"/>
      <c r="PVT370" s="594"/>
      <c r="PVU370" s="671"/>
      <c r="PVV370" s="330"/>
      <c r="PVW370" s="377"/>
      <c r="PVX370" s="391"/>
      <c r="PVY370" s="672"/>
      <c r="PVZ370" s="393"/>
      <c r="PWA370" s="394"/>
      <c r="PWB370" s="593"/>
      <c r="PWC370" s="594"/>
      <c r="PWD370" s="671"/>
      <c r="PWE370" s="330"/>
      <c r="PWF370" s="377"/>
      <c r="PWG370" s="391"/>
      <c r="PWH370" s="672"/>
      <c r="PWI370" s="393"/>
      <c r="PWJ370" s="394"/>
      <c r="PWK370" s="593"/>
      <c r="PWL370" s="594"/>
      <c r="PWM370" s="671"/>
      <c r="PWN370" s="330"/>
      <c r="PWO370" s="377"/>
      <c r="PWP370" s="391"/>
      <c r="PWQ370" s="672"/>
      <c r="PWR370" s="393"/>
      <c r="PWS370" s="394"/>
      <c r="PWT370" s="593"/>
      <c r="PWU370" s="594"/>
      <c r="PWV370" s="671"/>
      <c r="PWW370" s="330"/>
      <c r="PWX370" s="377"/>
      <c r="PWY370" s="391"/>
      <c r="PWZ370" s="672"/>
      <c r="PXA370" s="393"/>
      <c r="PXB370" s="394"/>
      <c r="PXC370" s="593"/>
      <c r="PXD370" s="594"/>
      <c r="PXE370" s="671"/>
      <c r="PXF370" s="330"/>
      <c r="PXG370" s="377"/>
      <c r="PXH370" s="391"/>
      <c r="PXI370" s="672"/>
      <c r="PXJ370" s="393"/>
      <c r="PXK370" s="394"/>
      <c r="PXL370" s="593"/>
      <c r="PXM370" s="594"/>
      <c r="PXN370" s="671"/>
      <c r="PXO370" s="330"/>
      <c r="PXP370" s="377"/>
      <c r="PXQ370" s="391"/>
      <c r="PXR370" s="672"/>
      <c r="PXS370" s="393"/>
      <c r="PXT370" s="394"/>
      <c r="PXU370" s="593"/>
      <c r="PXV370" s="594"/>
      <c r="PXW370" s="671"/>
      <c r="PXX370" s="330"/>
      <c r="PXY370" s="377"/>
      <c r="PXZ370" s="391"/>
      <c r="PYA370" s="672"/>
      <c r="PYB370" s="393"/>
      <c r="PYC370" s="394"/>
      <c r="PYD370" s="593"/>
      <c r="PYE370" s="594"/>
      <c r="PYF370" s="671"/>
      <c r="PYG370" s="330"/>
      <c r="PYH370" s="377"/>
      <c r="PYI370" s="391"/>
      <c r="PYJ370" s="672"/>
      <c r="PYK370" s="393"/>
      <c r="PYL370" s="394"/>
      <c r="PYM370" s="593"/>
      <c r="PYN370" s="594"/>
      <c r="PYO370" s="671"/>
      <c r="PYP370" s="330"/>
      <c r="PYQ370" s="377"/>
      <c r="PYR370" s="391"/>
      <c r="PYS370" s="672"/>
      <c r="PYT370" s="393"/>
      <c r="PYU370" s="394"/>
      <c r="PYV370" s="593"/>
      <c r="PYW370" s="594"/>
      <c r="PYX370" s="671"/>
      <c r="PYY370" s="330"/>
      <c r="PYZ370" s="377"/>
      <c r="PZA370" s="391"/>
      <c r="PZB370" s="672"/>
      <c r="PZC370" s="393"/>
      <c r="PZD370" s="394"/>
      <c r="PZE370" s="593"/>
      <c r="PZF370" s="594"/>
      <c r="PZG370" s="671"/>
      <c r="PZH370" s="330"/>
      <c r="PZI370" s="377"/>
      <c r="PZJ370" s="391"/>
      <c r="PZK370" s="672"/>
      <c r="PZL370" s="393"/>
      <c r="PZM370" s="394"/>
      <c r="PZN370" s="593"/>
      <c r="PZO370" s="594"/>
      <c r="PZP370" s="671"/>
      <c r="PZQ370" s="330"/>
      <c r="PZR370" s="377"/>
      <c r="PZS370" s="391"/>
      <c r="PZT370" s="672"/>
      <c r="PZU370" s="393"/>
      <c r="PZV370" s="394"/>
      <c r="PZW370" s="593"/>
      <c r="PZX370" s="594"/>
      <c r="PZY370" s="671"/>
      <c r="PZZ370" s="330"/>
      <c r="QAA370" s="377"/>
      <c r="QAB370" s="391"/>
      <c r="QAC370" s="672"/>
      <c r="QAD370" s="393"/>
      <c r="QAE370" s="394"/>
      <c r="QAF370" s="593"/>
      <c r="QAG370" s="594"/>
      <c r="QAH370" s="671"/>
      <c r="QAI370" s="330"/>
      <c r="QAJ370" s="377"/>
      <c r="QAK370" s="391"/>
      <c r="QAL370" s="672"/>
      <c r="QAM370" s="393"/>
      <c r="QAN370" s="394"/>
      <c r="QAO370" s="593"/>
      <c r="QAP370" s="594"/>
      <c r="QAQ370" s="671"/>
      <c r="QAR370" s="330"/>
      <c r="QAS370" s="377"/>
      <c r="QAT370" s="391"/>
      <c r="QAU370" s="672"/>
      <c r="QAV370" s="393"/>
      <c r="QAW370" s="394"/>
      <c r="QAX370" s="593"/>
      <c r="QAY370" s="594"/>
      <c r="QAZ370" s="671"/>
      <c r="QBA370" s="330"/>
      <c r="QBB370" s="377"/>
      <c r="QBC370" s="391"/>
      <c r="QBD370" s="672"/>
      <c r="QBE370" s="393"/>
      <c r="QBF370" s="394"/>
      <c r="QBG370" s="593"/>
      <c r="QBH370" s="594"/>
      <c r="QBI370" s="671"/>
      <c r="QBJ370" s="330"/>
      <c r="QBK370" s="377"/>
      <c r="QBL370" s="391"/>
      <c r="QBM370" s="672"/>
      <c r="QBN370" s="393"/>
      <c r="QBO370" s="394"/>
      <c r="QBP370" s="593"/>
      <c r="QBQ370" s="594"/>
      <c r="QBR370" s="671"/>
      <c r="QBS370" s="330"/>
      <c r="QBT370" s="377"/>
      <c r="QBU370" s="391"/>
      <c r="QBV370" s="672"/>
      <c r="QBW370" s="393"/>
      <c r="QBX370" s="394"/>
      <c r="QBY370" s="593"/>
      <c r="QBZ370" s="594"/>
      <c r="QCA370" s="671"/>
      <c r="QCB370" s="330"/>
      <c r="QCC370" s="377"/>
      <c r="QCD370" s="391"/>
      <c r="QCE370" s="672"/>
      <c r="QCF370" s="393"/>
      <c r="QCG370" s="394"/>
      <c r="QCH370" s="593"/>
      <c r="QCI370" s="594"/>
      <c r="QCJ370" s="671"/>
      <c r="QCK370" s="330"/>
      <c r="QCL370" s="377"/>
      <c r="QCM370" s="391"/>
      <c r="QCN370" s="672"/>
      <c r="QCO370" s="393"/>
      <c r="QCP370" s="394"/>
      <c r="QCQ370" s="593"/>
      <c r="QCR370" s="594"/>
      <c r="QCS370" s="671"/>
      <c r="QCT370" s="330"/>
      <c r="QCU370" s="377"/>
      <c r="QCV370" s="391"/>
      <c r="QCW370" s="672"/>
      <c r="QCX370" s="393"/>
      <c r="QCY370" s="394"/>
      <c r="QCZ370" s="593"/>
      <c r="QDA370" s="594"/>
      <c r="QDB370" s="671"/>
      <c r="QDC370" s="330"/>
      <c r="QDD370" s="377"/>
      <c r="QDE370" s="391"/>
      <c r="QDF370" s="672"/>
      <c r="QDG370" s="393"/>
      <c r="QDH370" s="394"/>
      <c r="QDI370" s="593"/>
      <c r="QDJ370" s="594"/>
      <c r="QDK370" s="671"/>
      <c r="QDL370" s="330"/>
      <c r="QDM370" s="377"/>
      <c r="QDN370" s="391"/>
      <c r="QDO370" s="672"/>
      <c r="QDP370" s="393"/>
      <c r="QDQ370" s="394"/>
      <c r="QDR370" s="593"/>
      <c r="QDS370" s="594"/>
      <c r="QDT370" s="671"/>
      <c r="QDU370" s="330"/>
      <c r="QDV370" s="377"/>
      <c r="QDW370" s="391"/>
      <c r="QDX370" s="672"/>
      <c r="QDY370" s="393"/>
      <c r="QDZ370" s="394"/>
      <c r="QEA370" s="593"/>
      <c r="QEB370" s="594"/>
      <c r="QEC370" s="671"/>
      <c r="QED370" s="330"/>
      <c r="QEE370" s="377"/>
      <c r="QEF370" s="391"/>
      <c r="QEG370" s="672"/>
      <c r="QEH370" s="393"/>
      <c r="QEI370" s="394"/>
      <c r="QEJ370" s="593"/>
      <c r="QEK370" s="594"/>
      <c r="QEL370" s="671"/>
      <c r="QEM370" s="330"/>
      <c r="QEN370" s="377"/>
      <c r="QEO370" s="391"/>
      <c r="QEP370" s="672"/>
      <c r="QEQ370" s="393"/>
      <c r="QER370" s="394"/>
      <c r="QES370" s="593"/>
      <c r="QET370" s="594"/>
      <c r="QEU370" s="671"/>
      <c r="QEV370" s="330"/>
      <c r="QEW370" s="377"/>
      <c r="QEX370" s="391"/>
      <c r="QEY370" s="672"/>
      <c r="QEZ370" s="393"/>
      <c r="QFA370" s="394"/>
      <c r="QFB370" s="593"/>
      <c r="QFC370" s="594"/>
      <c r="QFD370" s="671"/>
      <c r="QFE370" s="330"/>
      <c r="QFF370" s="377"/>
      <c r="QFG370" s="391"/>
      <c r="QFH370" s="672"/>
      <c r="QFI370" s="393"/>
      <c r="QFJ370" s="394"/>
      <c r="QFK370" s="593"/>
      <c r="QFL370" s="594"/>
      <c r="QFM370" s="671"/>
      <c r="QFN370" s="330"/>
      <c r="QFO370" s="377"/>
      <c r="QFP370" s="391"/>
      <c r="QFQ370" s="672"/>
      <c r="QFR370" s="393"/>
      <c r="QFS370" s="394"/>
      <c r="QFT370" s="593"/>
      <c r="QFU370" s="594"/>
      <c r="QFV370" s="671"/>
      <c r="QFW370" s="330"/>
      <c r="QFX370" s="377"/>
      <c r="QFY370" s="391"/>
      <c r="QFZ370" s="672"/>
      <c r="QGA370" s="393"/>
      <c r="QGB370" s="394"/>
      <c r="QGC370" s="593"/>
      <c r="QGD370" s="594"/>
      <c r="QGE370" s="671"/>
      <c r="QGF370" s="330"/>
      <c r="QGG370" s="377"/>
      <c r="QGH370" s="391"/>
      <c r="QGI370" s="672"/>
      <c r="QGJ370" s="393"/>
      <c r="QGK370" s="394"/>
      <c r="QGL370" s="593"/>
      <c r="QGM370" s="594"/>
      <c r="QGN370" s="671"/>
      <c r="QGO370" s="330"/>
      <c r="QGP370" s="377"/>
      <c r="QGQ370" s="391"/>
      <c r="QGR370" s="672"/>
      <c r="QGS370" s="393"/>
      <c r="QGT370" s="394"/>
      <c r="QGU370" s="593"/>
      <c r="QGV370" s="594"/>
      <c r="QGW370" s="671"/>
      <c r="QGX370" s="330"/>
      <c r="QGY370" s="377"/>
      <c r="QGZ370" s="391"/>
      <c r="QHA370" s="672"/>
      <c r="QHB370" s="393"/>
      <c r="QHC370" s="394"/>
      <c r="QHD370" s="593"/>
      <c r="QHE370" s="594"/>
      <c r="QHF370" s="671"/>
      <c r="QHG370" s="330"/>
      <c r="QHH370" s="377"/>
      <c r="QHI370" s="391"/>
      <c r="QHJ370" s="672"/>
      <c r="QHK370" s="393"/>
      <c r="QHL370" s="394"/>
      <c r="QHM370" s="593"/>
      <c r="QHN370" s="594"/>
      <c r="QHO370" s="671"/>
      <c r="QHP370" s="330"/>
      <c r="QHQ370" s="377"/>
      <c r="QHR370" s="391"/>
      <c r="QHS370" s="672"/>
      <c r="QHT370" s="393"/>
      <c r="QHU370" s="394"/>
      <c r="QHV370" s="593"/>
      <c r="QHW370" s="594"/>
      <c r="QHX370" s="671"/>
      <c r="QHY370" s="330"/>
      <c r="QHZ370" s="377"/>
      <c r="QIA370" s="391"/>
      <c r="QIB370" s="672"/>
      <c r="QIC370" s="393"/>
      <c r="QID370" s="394"/>
      <c r="QIE370" s="593"/>
      <c r="QIF370" s="594"/>
      <c r="QIG370" s="671"/>
      <c r="QIH370" s="330"/>
      <c r="QII370" s="377"/>
      <c r="QIJ370" s="391"/>
      <c r="QIK370" s="672"/>
      <c r="QIL370" s="393"/>
      <c r="QIM370" s="394"/>
      <c r="QIN370" s="593"/>
      <c r="QIO370" s="594"/>
      <c r="QIP370" s="671"/>
      <c r="QIQ370" s="330"/>
      <c r="QIR370" s="377"/>
      <c r="QIS370" s="391"/>
      <c r="QIT370" s="672"/>
      <c r="QIU370" s="393"/>
      <c r="QIV370" s="394"/>
      <c r="QIW370" s="593"/>
      <c r="QIX370" s="594"/>
      <c r="QIY370" s="671"/>
      <c r="QIZ370" s="330"/>
      <c r="QJA370" s="377"/>
      <c r="QJB370" s="391"/>
      <c r="QJC370" s="672"/>
      <c r="QJD370" s="393"/>
      <c r="QJE370" s="394"/>
      <c r="QJF370" s="593"/>
      <c r="QJG370" s="594"/>
      <c r="QJH370" s="671"/>
      <c r="QJI370" s="330"/>
      <c r="QJJ370" s="377"/>
      <c r="QJK370" s="391"/>
      <c r="QJL370" s="672"/>
      <c r="QJM370" s="393"/>
      <c r="QJN370" s="394"/>
      <c r="QJO370" s="593"/>
      <c r="QJP370" s="594"/>
      <c r="QJQ370" s="671"/>
      <c r="QJR370" s="330"/>
      <c r="QJS370" s="377"/>
      <c r="QJT370" s="391"/>
      <c r="QJU370" s="672"/>
      <c r="QJV370" s="393"/>
      <c r="QJW370" s="394"/>
      <c r="QJX370" s="593"/>
      <c r="QJY370" s="594"/>
      <c r="QJZ370" s="671"/>
      <c r="QKA370" s="330"/>
      <c r="QKB370" s="377"/>
      <c r="QKC370" s="391"/>
      <c r="QKD370" s="672"/>
      <c r="QKE370" s="393"/>
      <c r="QKF370" s="394"/>
      <c r="QKG370" s="593"/>
      <c r="QKH370" s="594"/>
      <c r="QKI370" s="671"/>
      <c r="QKJ370" s="330"/>
      <c r="QKK370" s="377"/>
      <c r="QKL370" s="391"/>
      <c r="QKM370" s="672"/>
      <c r="QKN370" s="393"/>
      <c r="QKO370" s="394"/>
      <c r="QKP370" s="593"/>
      <c r="QKQ370" s="594"/>
      <c r="QKR370" s="671"/>
      <c r="QKS370" s="330"/>
      <c r="QKT370" s="377"/>
      <c r="QKU370" s="391"/>
      <c r="QKV370" s="672"/>
      <c r="QKW370" s="393"/>
      <c r="QKX370" s="394"/>
      <c r="QKY370" s="593"/>
      <c r="QKZ370" s="594"/>
      <c r="QLA370" s="671"/>
      <c r="QLB370" s="330"/>
      <c r="QLC370" s="377"/>
      <c r="QLD370" s="391"/>
      <c r="QLE370" s="672"/>
      <c r="QLF370" s="393"/>
      <c r="QLG370" s="394"/>
      <c r="QLH370" s="593"/>
      <c r="QLI370" s="594"/>
      <c r="QLJ370" s="671"/>
      <c r="QLK370" s="330"/>
      <c r="QLL370" s="377"/>
      <c r="QLM370" s="391"/>
      <c r="QLN370" s="672"/>
      <c r="QLO370" s="393"/>
      <c r="QLP370" s="394"/>
      <c r="QLQ370" s="593"/>
      <c r="QLR370" s="594"/>
      <c r="QLS370" s="671"/>
      <c r="QLT370" s="330"/>
      <c r="QLU370" s="377"/>
      <c r="QLV370" s="391"/>
      <c r="QLW370" s="672"/>
      <c r="QLX370" s="393"/>
      <c r="QLY370" s="394"/>
      <c r="QLZ370" s="593"/>
      <c r="QMA370" s="594"/>
      <c r="QMB370" s="671"/>
      <c r="QMC370" s="330"/>
      <c r="QMD370" s="377"/>
      <c r="QME370" s="391"/>
      <c r="QMF370" s="672"/>
      <c r="QMG370" s="393"/>
      <c r="QMH370" s="394"/>
      <c r="QMI370" s="593"/>
      <c r="QMJ370" s="594"/>
      <c r="QMK370" s="671"/>
      <c r="QML370" s="330"/>
      <c r="QMM370" s="377"/>
      <c r="QMN370" s="391"/>
      <c r="QMO370" s="672"/>
      <c r="QMP370" s="393"/>
      <c r="QMQ370" s="394"/>
      <c r="QMR370" s="593"/>
      <c r="QMS370" s="594"/>
      <c r="QMT370" s="671"/>
      <c r="QMU370" s="330"/>
      <c r="QMV370" s="377"/>
      <c r="QMW370" s="391"/>
      <c r="QMX370" s="672"/>
      <c r="QMY370" s="393"/>
      <c r="QMZ370" s="394"/>
      <c r="QNA370" s="593"/>
      <c r="QNB370" s="594"/>
      <c r="QNC370" s="671"/>
      <c r="QND370" s="330"/>
      <c r="QNE370" s="377"/>
      <c r="QNF370" s="391"/>
      <c r="QNG370" s="672"/>
      <c r="QNH370" s="393"/>
      <c r="QNI370" s="394"/>
      <c r="QNJ370" s="593"/>
      <c r="QNK370" s="594"/>
      <c r="QNL370" s="671"/>
      <c r="QNM370" s="330"/>
      <c r="QNN370" s="377"/>
      <c r="QNO370" s="391"/>
      <c r="QNP370" s="672"/>
      <c r="QNQ370" s="393"/>
      <c r="QNR370" s="394"/>
      <c r="QNS370" s="593"/>
      <c r="QNT370" s="594"/>
      <c r="QNU370" s="671"/>
      <c r="QNV370" s="330"/>
      <c r="QNW370" s="377"/>
      <c r="QNX370" s="391"/>
      <c r="QNY370" s="672"/>
      <c r="QNZ370" s="393"/>
      <c r="QOA370" s="394"/>
      <c r="QOB370" s="593"/>
      <c r="QOC370" s="594"/>
      <c r="QOD370" s="671"/>
      <c r="QOE370" s="330"/>
      <c r="QOF370" s="377"/>
      <c r="QOG370" s="391"/>
      <c r="QOH370" s="672"/>
      <c r="QOI370" s="393"/>
      <c r="QOJ370" s="394"/>
      <c r="QOK370" s="593"/>
      <c r="QOL370" s="594"/>
      <c r="QOM370" s="671"/>
      <c r="QON370" s="330"/>
      <c r="QOO370" s="377"/>
      <c r="QOP370" s="391"/>
      <c r="QOQ370" s="672"/>
      <c r="QOR370" s="393"/>
      <c r="QOS370" s="394"/>
      <c r="QOT370" s="593"/>
      <c r="QOU370" s="594"/>
      <c r="QOV370" s="671"/>
      <c r="QOW370" s="330"/>
      <c r="QOX370" s="377"/>
      <c r="QOY370" s="391"/>
      <c r="QOZ370" s="672"/>
      <c r="QPA370" s="393"/>
      <c r="QPB370" s="394"/>
      <c r="QPC370" s="593"/>
      <c r="QPD370" s="594"/>
      <c r="QPE370" s="671"/>
      <c r="QPF370" s="330"/>
      <c r="QPG370" s="377"/>
      <c r="QPH370" s="391"/>
      <c r="QPI370" s="672"/>
      <c r="QPJ370" s="393"/>
      <c r="QPK370" s="394"/>
      <c r="QPL370" s="593"/>
      <c r="QPM370" s="594"/>
      <c r="QPN370" s="671"/>
      <c r="QPO370" s="330"/>
      <c r="QPP370" s="377"/>
      <c r="QPQ370" s="391"/>
      <c r="QPR370" s="672"/>
      <c r="QPS370" s="393"/>
      <c r="QPT370" s="394"/>
      <c r="QPU370" s="593"/>
      <c r="QPV370" s="594"/>
      <c r="QPW370" s="671"/>
      <c r="QPX370" s="330"/>
      <c r="QPY370" s="377"/>
      <c r="QPZ370" s="391"/>
      <c r="QQA370" s="672"/>
      <c r="QQB370" s="393"/>
      <c r="QQC370" s="394"/>
      <c r="QQD370" s="593"/>
      <c r="QQE370" s="594"/>
      <c r="QQF370" s="671"/>
      <c r="QQG370" s="330"/>
      <c r="QQH370" s="377"/>
      <c r="QQI370" s="391"/>
      <c r="QQJ370" s="672"/>
      <c r="QQK370" s="393"/>
      <c r="QQL370" s="394"/>
      <c r="QQM370" s="593"/>
      <c r="QQN370" s="594"/>
      <c r="QQO370" s="671"/>
      <c r="QQP370" s="330"/>
      <c r="QQQ370" s="377"/>
      <c r="QQR370" s="391"/>
      <c r="QQS370" s="672"/>
      <c r="QQT370" s="393"/>
      <c r="QQU370" s="394"/>
      <c r="QQV370" s="593"/>
      <c r="QQW370" s="594"/>
      <c r="QQX370" s="671"/>
      <c r="QQY370" s="330"/>
      <c r="QQZ370" s="377"/>
      <c r="QRA370" s="391"/>
      <c r="QRB370" s="672"/>
      <c r="QRC370" s="393"/>
      <c r="QRD370" s="394"/>
      <c r="QRE370" s="593"/>
      <c r="QRF370" s="594"/>
      <c r="QRG370" s="671"/>
      <c r="QRH370" s="330"/>
      <c r="QRI370" s="377"/>
      <c r="QRJ370" s="391"/>
      <c r="QRK370" s="672"/>
      <c r="QRL370" s="393"/>
      <c r="QRM370" s="394"/>
      <c r="QRN370" s="593"/>
      <c r="QRO370" s="594"/>
      <c r="QRP370" s="671"/>
      <c r="QRQ370" s="330"/>
      <c r="QRR370" s="377"/>
      <c r="QRS370" s="391"/>
      <c r="QRT370" s="672"/>
      <c r="QRU370" s="393"/>
      <c r="QRV370" s="394"/>
      <c r="QRW370" s="593"/>
      <c r="QRX370" s="594"/>
      <c r="QRY370" s="671"/>
      <c r="QRZ370" s="330"/>
      <c r="QSA370" s="377"/>
      <c r="QSB370" s="391"/>
      <c r="QSC370" s="672"/>
      <c r="QSD370" s="393"/>
      <c r="QSE370" s="394"/>
      <c r="QSF370" s="593"/>
      <c r="QSG370" s="594"/>
      <c r="QSH370" s="671"/>
      <c r="QSI370" s="330"/>
      <c r="QSJ370" s="377"/>
      <c r="QSK370" s="391"/>
      <c r="QSL370" s="672"/>
      <c r="QSM370" s="393"/>
      <c r="QSN370" s="394"/>
      <c r="QSO370" s="593"/>
      <c r="QSP370" s="594"/>
      <c r="QSQ370" s="671"/>
      <c r="QSR370" s="330"/>
      <c r="QSS370" s="377"/>
      <c r="QST370" s="391"/>
      <c r="QSU370" s="672"/>
      <c r="QSV370" s="393"/>
      <c r="QSW370" s="394"/>
      <c r="QSX370" s="593"/>
      <c r="QSY370" s="594"/>
      <c r="QSZ370" s="671"/>
      <c r="QTA370" s="330"/>
      <c r="QTB370" s="377"/>
      <c r="QTC370" s="391"/>
      <c r="QTD370" s="672"/>
      <c r="QTE370" s="393"/>
      <c r="QTF370" s="394"/>
      <c r="QTG370" s="593"/>
      <c r="QTH370" s="594"/>
      <c r="QTI370" s="671"/>
      <c r="QTJ370" s="330"/>
      <c r="QTK370" s="377"/>
      <c r="QTL370" s="391"/>
      <c r="QTM370" s="672"/>
      <c r="QTN370" s="393"/>
      <c r="QTO370" s="394"/>
      <c r="QTP370" s="593"/>
      <c r="QTQ370" s="594"/>
      <c r="QTR370" s="671"/>
      <c r="QTS370" s="330"/>
      <c r="QTT370" s="377"/>
      <c r="QTU370" s="391"/>
      <c r="QTV370" s="672"/>
      <c r="QTW370" s="393"/>
      <c r="QTX370" s="394"/>
      <c r="QTY370" s="593"/>
      <c r="QTZ370" s="594"/>
      <c r="QUA370" s="671"/>
      <c r="QUB370" s="330"/>
      <c r="QUC370" s="377"/>
      <c r="QUD370" s="391"/>
      <c r="QUE370" s="672"/>
      <c r="QUF370" s="393"/>
      <c r="QUG370" s="394"/>
      <c r="QUH370" s="593"/>
      <c r="QUI370" s="594"/>
      <c r="QUJ370" s="671"/>
      <c r="QUK370" s="330"/>
      <c r="QUL370" s="377"/>
      <c r="QUM370" s="391"/>
      <c r="QUN370" s="672"/>
      <c r="QUO370" s="393"/>
      <c r="QUP370" s="394"/>
      <c r="QUQ370" s="593"/>
      <c r="QUR370" s="594"/>
      <c r="QUS370" s="671"/>
      <c r="QUT370" s="330"/>
      <c r="QUU370" s="377"/>
      <c r="QUV370" s="391"/>
      <c r="QUW370" s="672"/>
      <c r="QUX370" s="393"/>
      <c r="QUY370" s="394"/>
      <c r="QUZ370" s="593"/>
      <c r="QVA370" s="594"/>
      <c r="QVB370" s="671"/>
      <c r="QVC370" s="330"/>
      <c r="QVD370" s="377"/>
      <c r="QVE370" s="391"/>
      <c r="QVF370" s="672"/>
      <c r="QVG370" s="393"/>
      <c r="QVH370" s="394"/>
      <c r="QVI370" s="593"/>
      <c r="QVJ370" s="594"/>
      <c r="QVK370" s="671"/>
      <c r="QVL370" s="330"/>
      <c r="QVM370" s="377"/>
      <c r="QVN370" s="391"/>
      <c r="QVO370" s="672"/>
      <c r="QVP370" s="393"/>
      <c r="QVQ370" s="394"/>
      <c r="QVR370" s="593"/>
      <c r="QVS370" s="594"/>
      <c r="QVT370" s="671"/>
      <c r="QVU370" s="330"/>
      <c r="QVV370" s="377"/>
      <c r="QVW370" s="391"/>
      <c r="QVX370" s="672"/>
      <c r="QVY370" s="393"/>
      <c r="QVZ370" s="394"/>
      <c r="QWA370" s="593"/>
      <c r="QWB370" s="594"/>
      <c r="QWC370" s="671"/>
      <c r="QWD370" s="330"/>
      <c r="QWE370" s="377"/>
      <c r="QWF370" s="391"/>
      <c r="QWG370" s="672"/>
      <c r="QWH370" s="393"/>
      <c r="QWI370" s="394"/>
      <c r="QWJ370" s="593"/>
      <c r="QWK370" s="594"/>
      <c r="QWL370" s="671"/>
      <c r="QWM370" s="330"/>
      <c r="QWN370" s="377"/>
      <c r="QWO370" s="391"/>
      <c r="QWP370" s="672"/>
      <c r="QWQ370" s="393"/>
      <c r="QWR370" s="394"/>
      <c r="QWS370" s="593"/>
      <c r="QWT370" s="594"/>
      <c r="QWU370" s="671"/>
      <c r="QWV370" s="330"/>
      <c r="QWW370" s="377"/>
      <c r="QWX370" s="391"/>
      <c r="QWY370" s="672"/>
      <c r="QWZ370" s="393"/>
      <c r="QXA370" s="394"/>
      <c r="QXB370" s="593"/>
      <c r="QXC370" s="594"/>
      <c r="QXD370" s="671"/>
      <c r="QXE370" s="330"/>
      <c r="QXF370" s="377"/>
      <c r="QXG370" s="391"/>
      <c r="QXH370" s="672"/>
      <c r="QXI370" s="393"/>
      <c r="QXJ370" s="394"/>
      <c r="QXK370" s="593"/>
      <c r="QXL370" s="594"/>
      <c r="QXM370" s="671"/>
      <c r="QXN370" s="330"/>
      <c r="QXO370" s="377"/>
      <c r="QXP370" s="391"/>
      <c r="QXQ370" s="672"/>
      <c r="QXR370" s="393"/>
      <c r="QXS370" s="394"/>
      <c r="QXT370" s="593"/>
      <c r="QXU370" s="594"/>
      <c r="QXV370" s="671"/>
      <c r="QXW370" s="330"/>
      <c r="QXX370" s="377"/>
      <c r="QXY370" s="391"/>
      <c r="QXZ370" s="672"/>
      <c r="QYA370" s="393"/>
      <c r="QYB370" s="394"/>
      <c r="QYC370" s="593"/>
      <c r="QYD370" s="594"/>
      <c r="QYE370" s="671"/>
      <c r="QYF370" s="330"/>
      <c r="QYG370" s="377"/>
      <c r="QYH370" s="391"/>
      <c r="QYI370" s="672"/>
      <c r="QYJ370" s="393"/>
      <c r="QYK370" s="394"/>
      <c r="QYL370" s="593"/>
      <c r="QYM370" s="594"/>
      <c r="QYN370" s="671"/>
      <c r="QYO370" s="330"/>
      <c r="QYP370" s="377"/>
      <c r="QYQ370" s="391"/>
      <c r="QYR370" s="672"/>
      <c r="QYS370" s="393"/>
      <c r="QYT370" s="394"/>
      <c r="QYU370" s="593"/>
      <c r="QYV370" s="594"/>
      <c r="QYW370" s="671"/>
      <c r="QYX370" s="330"/>
      <c r="QYY370" s="377"/>
      <c r="QYZ370" s="391"/>
      <c r="QZA370" s="672"/>
      <c r="QZB370" s="393"/>
      <c r="QZC370" s="394"/>
      <c r="QZD370" s="593"/>
      <c r="QZE370" s="594"/>
      <c r="QZF370" s="671"/>
      <c r="QZG370" s="330"/>
      <c r="QZH370" s="377"/>
      <c r="QZI370" s="391"/>
      <c r="QZJ370" s="672"/>
      <c r="QZK370" s="393"/>
      <c r="QZL370" s="394"/>
      <c r="QZM370" s="593"/>
      <c r="QZN370" s="594"/>
      <c r="QZO370" s="671"/>
      <c r="QZP370" s="330"/>
      <c r="QZQ370" s="377"/>
      <c r="QZR370" s="391"/>
      <c r="QZS370" s="672"/>
      <c r="QZT370" s="393"/>
      <c r="QZU370" s="394"/>
      <c r="QZV370" s="593"/>
      <c r="QZW370" s="594"/>
      <c r="QZX370" s="671"/>
      <c r="QZY370" s="330"/>
      <c r="QZZ370" s="377"/>
      <c r="RAA370" s="391"/>
      <c r="RAB370" s="672"/>
      <c r="RAC370" s="393"/>
      <c r="RAD370" s="394"/>
      <c r="RAE370" s="593"/>
      <c r="RAF370" s="594"/>
      <c r="RAG370" s="671"/>
      <c r="RAH370" s="330"/>
      <c r="RAI370" s="377"/>
      <c r="RAJ370" s="391"/>
      <c r="RAK370" s="672"/>
      <c r="RAL370" s="393"/>
      <c r="RAM370" s="394"/>
      <c r="RAN370" s="593"/>
      <c r="RAO370" s="594"/>
      <c r="RAP370" s="671"/>
      <c r="RAQ370" s="330"/>
      <c r="RAR370" s="377"/>
      <c r="RAS370" s="391"/>
      <c r="RAT370" s="672"/>
      <c r="RAU370" s="393"/>
      <c r="RAV370" s="394"/>
      <c r="RAW370" s="593"/>
      <c r="RAX370" s="594"/>
      <c r="RAY370" s="671"/>
      <c r="RAZ370" s="330"/>
      <c r="RBA370" s="377"/>
      <c r="RBB370" s="391"/>
      <c r="RBC370" s="672"/>
      <c r="RBD370" s="393"/>
      <c r="RBE370" s="394"/>
      <c r="RBF370" s="593"/>
      <c r="RBG370" s="594"/>
      <c r="RBH370" s="671"/>
      <c r="RBI370" s="330"/>
      <c r="RBJ370" s="377"/>
      <c r="RBK370" s="391"/>
      <c r="RBL370" s="672"/>
      <c r="RBM370" s="393"/>
      <c r="RBN370" s="394"/>
      <c r="RBO370" s="593"/>
      <c r="RBP370" s="594"/>
      <c r="RBQ370" s="671"/>
      <c r="RBR370" s="330"/>
      <c r="RBS370" s="377"/>
      <c r="RBT370" s="391"/>
      <c r="RBU370" s="672"/>
      <c r="RBV370" s="393"/>
      <c r="RBW370" s="394"/>
      <c r="RBX370" s="593"/>
      <c r="RBY370" s="594"/>
      <c r="RBZ370" s="671"/>
      <c r="RCA370" s="330"/>
      <c r="RCB370" s="377"/>
      <c r="RCC370" s="391"/>
      <c r="RCD370" s="672"/>
      <c r="RCE370" s="393"/>
      <c r="RCF370" s="394"/>
      <c r="RCG370" s="593"/>
      <c r="RCH370" s="594"/>
      <c r="RCI370" s="671"/>
      <c r="RCJ370" s="330"/>
      <c r="RCK370" s="377"/>
      <c r="RCL370" s="391"/>
      <c r="RCM370" s="672"/>
      <c r="RCN370" s="393"/>
      <c r="RCO370" s="394"/>
      <c r="RCP370" s="593"/>
      <c r="RCQ370" s="594"/>
      <c r="RCR370" s="671"/>
      <c r="RCS370" s="330"/>
      <c r="RCT370" s="377"/>
      <c r="RCU370" s="391"/>
      <c r="RCV370" s="672"/>
      <c r="RCW370" s="393"/>
      <c r="RCX370" s="394"/>
      <c r="RCY370" s="593"/>
      <c r="RCZ370" s="594"/>
      <c r="RDA370" s="671"/>
      <c r="RDB370" s="330"/>
      <c r="RDC370" s="377"/>
      <c r="RDD370" s="391"/>
      <c r="RDE370" s="672"/>
      <c r="RDF370" s="393"/>
      <c r="RDG370" s="394"/>
      <c r="RDH370" s="593"/>
      <c r="RDI370" s="594"/>
      <c r="RDJ370" s="671"/>
      <c r="RDK370" s="330"/>
      <c r="RDL370" s="377"/>
      <c r="RDM370" s="391"/>
      <c r="RDN370" s="672"/>
      <c r="RDO370" s="393"/>
      <c r="RDP370" s="394"/>
      <c r="RDQ370" s="593"/>
      <c r="RDR370" s="594"/>
      <c r="RDS370" s="671"/>
      <c r="RDT370" s="330"/>
      <c r="RDU370" s="377"/>
      <c r="RDV370" s="391"/>
      <c r="RDW370" s="672"/>
      <c r="RDX370" s="393"/>
      <c r="RDY370" s="394"/>
      <c r="RDZ370" s="593"/>
      <c r="REA370" s="594"/>
      <c r="REB370" s="671"/>
      <c r="REC370" s="330"/>
      <c r="RED370" s="377"/>
      <c r="REE370" s="391"/>
      <c r="REF370" s="672"/>
      <c r="REG370" s="393"/>
      <c r="REH370" s="394"/>
      <c r="REI370" s="593"/>
      <c r="REJ370" s="594"/>
      <c r="REK370" s="671"/>
      <c r="REL370" s="330"/>
      <c r="REM370" s="377"/>
      <c r="REN370" s="391"/>
      <c r="REO370" s="672"/>
      <c r="REP370" s="393"/>
      <c r="REQ370" s="394"/>
      <c r="RER370" s="593"/>
      <c r="RES370" s="594"/>
      <c r="RET370" s="671"/>
      <c r="REU370" s="330"/>
      <c r="REV370" s="377"/>
      <c r="REW370" s="391"/>
      <c r="REX370" s="672"/>
      <c r="REY370" s="393"/>
      <c r="REZ370" s="394"/>
      <c r="RFA370" s="593"/>
      <c r="RFB370" s="594"/>
      <c r="RFC370" s="671"/>
      <c r="RFD370" s="330"/>
      <c r="RFE370" s="377"/>
      <c r="RFF370" s="391"/>
      <c r="RFG370" s="672"/>
      <c r="RFH370" s="393"/>
      <c r="RFI370" s="394"/>
      <c r="RFJ370" s="593"/>
      <c r="RFK370" s="594"/>
      <c r="RFL370" s="671"/>
      <c r="RFM370" s="330"/>
      <c r="RFN370" s="377"/>
      <c r="RFO370" s="391"/>
      <c r="RFP370" s="672"/>
      <c r="RFQ370" s="393"/>
      <c r="RFR370" s="394"/>
      <c r="RFS370" s="593"/>
      <c r="RFT370" s="594"/>
      <c r="RFU370" s="671"/>
      <c r="RFV370" s="330"/>
      <c r="RFW370" s="377"/>
      <c r="RFX370" s="391"/>
      <c r="RFY370" s="672"/>
      <c r="RFZ370" s="393"/>
      <c r="RGA370" s="394"/>
      <c r="RGB370" s="593"/>
      <c r="RGC370" s="594"/>
      <c r="RGD370" s="671"/>
      <c r="RGE370" s="330"/>
      <c r="RGF370" s="377"/>
      <c r="RGG370" s="391"/>
      <c r="RGH370" s="672"/>
      <c r="RGI370" s="393"/>
      <c r="RGJ370" s="394"/>
      <c r="RGK370" s="593"/>
      <c r="RGL370" s="594"/>
      <c r="RGM370" s="671"/>
      <c r="RGN370" s="330"/>
      <c r="RGO370" s="377"/>
      <c r="RGP370" s="391"/>
      <c r="RGQ370" s="672"/>
      <c r="RGR370" s="393"/>
      <c r="RGS370" s="394"/>
      <c r="RGT370" s="593"/>
      <c r="RGU370" s="594"/>
      <c r="RGV370" s="671"/>
      <c r="RGW370" s="330"/>
      <c r="RGX370" s="377"/>
      <c r="RGY370" s="391"/>
      <c r="RGZ370" s="672"/>
      <c r="RHA370" s="393"/>
      <c r="RHB370" s="394"/>
      <c r="RHC370" s="593"/>
      <c r="RHD370" s="594"/>
      <c r="RHE370" s="671"/>
      <c r="RHF370" s="330"/>
      <c r="RHG370" s="377"/>
      <c r="RHH370" s="391"/>
      <c r="RHI370" s="672"/>
      <c r="RHJ370" s="393"/>
      <c r="RHK370" s="394"/>
      <c r="RHL370" s="593"/>
      <c r="RHM370" s="594"/>
      <c r="RHN370" s="671"/>
      <c r="RHO370" s="330"/>
      <c r="RHP370" s="377"/>
      <c r="RHQ370" s="391"/>
      <c r="RHR370" s="672"/>
      <c r="RHS370" s="393"/>
      <c r="RHT370" s="394"/>
      <c r="RHU370" s="593"/>
      <c r="RHV370" s="594"/>
      <c r="RHW370" s="671"/>
      <c r="RHX370" s="330"/>
      <c r="RHY370" s="377"/>
      <c r="RHZ370" s="391"/>
      <c r="RIA370" s="672"/>
      <c r="RIB370" s="393"/>
      <c r="RIC370" s="394"/>
      <c r="RID370" s="593"/>
      <c r="RIE370" s="594"/>
      <c r="RIF370" s="671"/>
      <c r="RIG370" s="330"/>
      <c r="RIH370" s="377"/>
      <c r="RII370" s="391"/>
      <c r="RIJ370" s="672"/>
      <c r="RIK370" s="393"/>
      <c r="RIL370" s="394"/>
      <c r="RIM370" s="593"/>
      <c r="RIN370" s="594"/>
      <c r="RIO370" s="671"/>
      <c r="RIP370" s="330"/>
      <c r="RIQ370" s="377"/>
      <c r="RIR370" s="391"/>
      <c r="RIS370" s="672"/>
      <c r="RIT370" s="393"/>
      <c r="RIU370" s="394"/>
      <c r="RIV370" s="593"/>
      <c r="RIW370" s="594"/>
      <c r="RIX370" s="671"/>
      <c r="RIY370" s="330"/>
      <c r="RIZ370" s="377"/>
      <c r="RJA370" s="391"/>
      <c r="RJB370" s="672"/>
      <c r="RJC370" s="393"/>
      <c r="RJD370" s="394"/>
      <c r="RJE370" s="593"/>
      <c r="RJF370" s="594"/>
      <c r="RJG370" s="671"/>
      <c r="RJH370" s="330"/>
      <c r="RJI370" s="377"/>
      <c r="RJJ370" s="391"/>
      <c r="RJK370" s="672"/>
      <c r="RJL370" s="393"/>
      <c r="RJM370" s="394"/>
      <c r="RJN370" s="593"/>
      <c r="RJO370" s="594"/>
      <c r="RJP370" s="671"/>
      <c r="RJQ370" s="330"/>
      <c r="RJR370" s="377"/>
      <c r="RJS370" s="391"/>
      <c r="RJT370" s="672"/>
      <c r="RJU370" s="393"/>
      <c r="RJV370" s="394"/>
      <c r="RJW370" s="593"/>
      <c r="RJX370" s="594"/>
      <c r="RJY370" s="671"/>
      <c r="RJZ370" s="330"/>
      <c r="RKA370" s="377"/>
      <c r="RKB370" s="391"/>
      <c r="RKC370" s="672"/>
      <c r="RKD370" s="393"/>
      <c r="RKE370" s="394"/>
      <c r="RKF370" s="593"/>
      <c r="RKG370" s="594"/>
      <c r="RKH370" s="671"/>
      <c r="RKI370" s="330"/>
      <c r="RKJ370" s="377"/>
      <c r="RKK370" s="391"/>
      <c r="RKL370" s="672"/>
      <c r="RKM370" s="393"/>
      <c r="RKN370" s="394"/>
      <c r="RKO370" s="593"/>
      <c r="RKP370" s="594"/>
      <c r="RKQ370" s="671"/>
      <c r="RKR370" s="330"/>
      <c r="RKS370" s="377"/>
      <c r="RKT370" s="391"/>
      <c r="RKU370" s="672"/>
      <c r="RKV370" s="393"/>
      <c r="RKW370" s="394"/>
      <c r="RKX370" s="593"/>
      <c r="RKY370" s="594"/>
      <c r="RKZ370" s="671"/>
      <c r="RLA370" s="330"/>
      <c r="RLB370" s="377"/>
      <c r="RLC370" s="391"/>
      <c r="RLD370" s="672"/>
      <c r="RLE370" s="393"/>
      <c r="RLF370" s="394"/>
      <c r="RLG370" s="593"/>
      <c r="RLH370" s="594"/>
      <c r="RLI370" s="671"/>
      <c r="RLJ370" s="330"/>
      <c r="RLK370" s="377"/>
      <c r="RLL370" s="391"/>
      <c r="RLM370" s="672"/>
      <c r="RLN370" s="393"/>
      <c r="RLO370" s="394"/>
      <c r="RLP370" s="593"/>
      <c r="RLQ370" s="594"/>
      <c r="RLR370" s="671"/>
      <c r="RLS370" s="330"/>
      <c r="RLT370" s="377"/>
      <c r="RLU370" s="391"/>
      <c r="RLV370" s="672"/>
      <c r="RLW370" s="393"/>
      <c r="RLX370" s="394"/>
      <c r="RLY370" s="593"/>
      <c r="RLZ370" s="594"/>
      <c r="RMA370" s="671"/>
      <c r="RMB370" s="330"/>
      <c r="RMC370" s="377"/>
      <c r="RMD370" s="391"/>
      <c r="RME370" s="672"/>
      <c r="RMF370" s="393"/>
      <c r="RMG370" s="394"/>
      <c r="RMH370" s="593"/>
      <c r="RMI370" s="594"/>
      <c r="RMJ370" s="671"/>
      <c r="RMK370" s="330"/>
      <c r="RML370" s="377"/>
      <c r="RMM370" s="391"/>
      <c r="RMN370" s="672"/>
      <c r="RMO370" s="393"/>
      <c r="RMP370" s="394"/>
      <c r="RMQ370" s="593"/>
      <c r="RMR370" s="594"/>
      <c r="RMS370" s="671"/>
      <c r="RMT370" s="330"/>
      <c r="RMU370" s="377"/>
      <c r="RMV370" s="391"/>
      <c r="RMW370" s="672"/>
      <c r="RMX370" s="393"/>
      <c r="RMY370" s="394"/>
      <c r="RMZ370" s="593"/>
      <c r="RNA370" s="594"/>
      <c r="RNB370" s="671"/>
      <c r="RNC370" s="330"/>
      <c r="RND370" s="377"/>
      <c r="RNE370" s="391"/>
      <c r="RNF370" s="672"/>
      <c r="RNG370" s="393"/>
      <c r="RNH370" s="394"/>
      <c r="RNI370" s="593"/>
      <c r="RNJ370" s="594"/>
      <c r="RNK370" s="671"/>
      <c r="RNL370" s="330"/>
      <c r="RNM370" s="377"/>
      <c r="RNN370" s="391"/>
      <c r="RNO370" s="672"/>
      <c r="RNP370" s="393"/>
      <c r="RNQ370" s="394"/>
      <c r="RNR370" s="593"/>
      <c r="RNS370" s="594"/>
      <c r="RNT370" s="671"/>
      <c r="RNU370" s="330"/>
      <c r="RNV370" s="377"/>
      <c r="RNW370" s="391"/>
      <c r="RNX370" s="672"/>
      <c r="RNY370" s="393"/>
      <c r="RNZ370" s="394"/>
      <c r="ROA370" s="593"/>
      <c r="ROB370" s="594"/>
      <c r="ROC370" s="671"/>
      <c r="ROD370" s="330"/>
      <c r="ROE370" s="377"/>
      <c r="ROF370" s="391"/>
      <c r="ROG370" s="672"/>
      <c r="ROH370" s="393"/>
      <c r="ROI370" s="394"/>
      <c r="ROJ370" s="593"/>
      <c r="ROK370" s="594"/>
      <c r="ROL370" s="671"/>
      <c r="ROM370" s="330"/>
      <c r="RON370" s="377"/>
      <c r="ROO370" s="391"/>
      <c r="ROP370" s="672"/>
      <c r="ROQ370" s="393"/>
      <c r="ROR370" s="394"/>
      <c r="ROS370" s="593"/>
      <c r="ROT370" s="594"/>
      <c r="ROU370" s="671"/>
      <c r="ROV370" s="330"/>
      <c r="ROW370" s="377"/>
      <c r="ROX370" s="391"/>
      <c r="ROY370" s="672"/>
      <c r="ROZ370" s="393"/>
      <c r="RPA370" s="394"/>
      <c r="RPB370" s="593"/>
      <c r="RPC370" s="594"/>
      <c r="RPD370" s="671"/>
      <c r="RPE370" s="330"/>
      <c r="RPF370" s="377"/>
      <c r="RPG370" s="391"/>
      <c r="RPH370" s="672"/>
      <c r="RPI370" s="393"/>
      <c r="RPJ370" s="394"/>
      <c r="RPK370" s="593"/>
      <c r="RPL370" s="594"/>
      <c r="RPM370" s="671"/>
      <c r="RPN370" s="330"/>
      <c r="RPO370" s="377"/>
      <c r="RPP370" s="391"/>
      <c r="RPQ370" s="672"/>
      <c r="RPR370" s="393"/>
      <c r="RPS370" s="394"/>
      <c r="RPT370" s="593"/>
      <c r="RPU370" s="594"/>
      <c r="RPV370" s="671"/>
      <c r="RPW370" s="330"/>
      <c r="RPX370" s="377"/>
      <c r="RPY370" s="391"/>
      <c r="RPZ370" s="672"/>
      <c r="RQA370" s="393"/>
      <c r="RQB370" s="394"/>
      <c r="RQC370" s="593"/>
      <c r="RQD370" s="594"/>
      <c r="RQE370" s="671"/>
      <c r="RQF370" s="330"/>
      <c r="RQG370" s="377"/>
      <c r="RQH370" s="391"/>
      <c r="RQI370" s="672"/>
      <c r="RQJ370" s="393"/>
      <c r="RQK370" s="394"/>
      <c r="RQL370" s="593"/>
      <c r="RQM370" s="594"/>
      <c r="RQN370" s="671"/>
      <c r="RQO370" s="330"/>
      <c r="RQP370" s="377"/>
      <c r="RQQ370" s="391"/>
      <c r="RQR370" s="672"/>
      <c r="RQS370" s="393"/>
      <c r="RQT370" s="394"/>
      <c r="RQU370" s="593"/>
      <c r="RQV370" s="594"/>
      <c r="RQW370" s="671"/>
      <c r="RQX370" s="330"/>
      <c r="RQY370" s="377"/>
      <c r="RQZ370" s="391"/>
      <c r="RRA370" s="672"/>
      <c r="RRB370" s="393"/>
      <c r="RRC370" s="394"/>
      <c r="RRD370" s="593"/>
      <c r="RRE370" s="594"/>
      <c r="RRF370" s="671"/>
      <c r="RRG370" s="330"/>
      <c r="RRH370" s="377"/>
      <c r="RRI370" s="391"/>
      <c r="RRJ370" s="672"/>
      <c r="RRK370" s="393"/>
      <c r="RRL370" s="394"/>
      <c r="RRM370" s="593"/>
      <c r="RRN370" s="594"/>
      <c r="RRO370" s="671"/>
      <c r="RRP370" s="330"/>
      <c r="RRQ370" s="377"/>
      <c r="RRR370" s="391"/>
      <c r="RRS370" s="672"/>
      <c r="RRT370" s="393"/>
      <c r="RRU370" s="394"/>
      <c r="RRV370" s="593"/>
      <c r="RRW370" s="594"/>
      <c r="RRX370" s="671"/>
      <c r="RRY370" s="330"/>
      <c r="RRZ370" s="377"/>
      <c r="RSA370" s="391"/>
      <c r="RSB370" s="672"/>
      <c r="RSC370" s="393"/>
      <c r="RSD370" s="394"/>
      <c r="RSE370" s="593"/>
      <c r="RSF370" s="594"/>
      <c r="RSG370" s="671"/>
      <c r="RSH370" s="330"/>
      <c r="RSI370" s="377"/>
      <c r="RSJ370" s="391"/>
      <c r="RSK370" s="672"/>
      <c r="RSL370" s="393"/>
      <c r="RSM370" s="394"/>
      <c r="RSN370" s="593"/>
      <c r="RSO370" s="594"/>
      <c r="RSP370" s="671"/>
      <c r="RSQ370" s="330"/>
      <c r="RSR370" s="377"/>
      <c r="RSS370" s="391"/>
      <c r="RST370" s="672"/>
      <c r="RSU370" s="393"/>
      <c r="RSV370" s="394"/>
      <c r="RSW370" s="593"/>
      <c r="RSX370" s="594"/>
      <c r="RSY370" s="671"/>
      <c r="RSZ370" s="330"/>
      <c r="RTA370" s="377"/>
      <c r="RTB370" s="391"/>
      <c r="RTC370" s="672"/>
      <c r="RTD370" s="393"/>
      <c r="RTE370" s="394"/>
      <c r="RTF370" s="593"/>
      <c r="RTG370" s="594"/>
      <c r="RTH370" s="671"/>
      <c r="RTI370" s="330"/>
      <c r="RTJ370" s="377"/>
      <c r="RTK370" s="391"/>
      <c r="RTL370" s="672"/>
      <c r="RTM370" s="393"/>
      <c r="RTN370" s="394"/>
      <c r="RTO370" s="593"/>
      <c r="RTP370" s="594"/>
      <c r="RTQ370" s="671"/>
      <c r="RTR370" s="330"/>
      <c r="RTS370" s="377"/>
      <c r="RTT370" s="391"/>
      <c r="RTU370" s="672"/>
      <c r="RTV370" s="393"/>
      <c r="RTW370" s="394"/>
      <c r="RTX370" s="593"/>
      <c r="RTY370" s="594"/>
      <c r="RTZ370" s="671"/>
      <c r="RUA370" s="330"/>
      <c r="RUB370" s="377"/>
      <c r="RUC370" s="391"/>
      <c r="RUD370" s="672"/>
      <c r="RUE370" s="393"/>
      <c r="RUF370" s="394"/>
      <c r="RUG370" s="593"/>
      <c r="RUH370" s="594"/>
      <c r="RUI370" s="671"/>
      <c r="RUJ370" s="330"/>
      <c r="RUK370" s="377"/>
      <c r="RUL370" s="391"/>
      <c r="RUM370" s="672"/>
      <c r="RUN370" s="393"/>
      <c r="RUO370" s="394"/>
      <c r="RUP370" s="593"/>
      <c r="RUQ370" s="594"/>
      <c r="RUR370" s="671"/>
      <c r="RUS370" s="330"/>
      <c r="RUT370" s="377"/>
      <c r="RUU370" s="391"/>
      <c r="RUV370" s="672"/>
      <c r="RUW370" s="393"/>
      <c r="RUX370" s="394"/>
      <c r="RUY370" s="593"/>
      <c r="RUZ370" s="594"/>
      <c r="RVA370" s="671"/>
      <c r="RVB370" s="330"/>
      <c r="RVC370" s="377"/>
      <c r="RVD370" s="391"/>
      <c r="RVE370" s="672"/>
      <c r="RVF370" s="393"/>
      <c r="RVG370" s="394"/>
      <c r="RVH370" s="593"/>
      <c r="RVI370" s="594"/>
      <c r="RVJ370" s="671"/>
      <c r="RVK370" s="330"/>
      <c r="RVL370" s="377"/>
      <c r="RVM370" s="391"/>
      <c r="RVN370" s="672"/>
      <c r="RVO370" s="393"/>
      <c r="RVP370" s="394"/>
      <c r="RVQ370" s="593"/>
      <c r="RVR370" s="594"/>
      <c r="RVS370" s="671"/>
      <c r="RVT370" s="330"/>
      <c r="RVU370" s="377"/>
      <c r="RVV370" s="391"/>
      <c r="RVW370" s="672"/>
      <c r="RVX370" s="393"/>
      <c r="RVY370" s="394"/>
      <c r="RVZ370" s="593"/>
      <c r="RWA370" s="594"/>
      <c r="RWB370" s="671"/>
      <c r="RWC370" s="330"/>
      <c r="RWD370" s="377"/>
      <c r="RWE370" s="391"/>
      <c r="RWF370" s="672"/>
      <c r="RWG370" s="393"/>
      <c r="RWH370" s="394"/>
      <c r="RWI370" s="593"/>
      <c r="RWJ370" s="594"/>
      <c r="RWK370" s="671"/>
      <c r="RWL370" s="330"/>
      <c r="RWM370" s="377"/>
      <c r="RWN370" s="391"/>
      <c r="RWO370" s="672"/>
      <c r="RWP370" s="393"/>
      <c r="RWQ370" s="394"/>
      <c r="RWR370" s="593"/>
      <c r="RWS370" s="594"/>
      <c r="RWT370" s="671"/>
      <c r="RWU370" s="330"/>
      <c r="RWV370" s="377"/>
      <c r="RWW370" s="391"/>
      <c r="RWX370" s="672"/>
      <c r="RWY370" s="393"/>
      <c r="RWZ370" s="394"/>
      <c r="RXA370" s="593"/>
      <c r="RXB370" s="594"/>
      <c r="RXC370" s="671"/>
      <c r="RXD370" s="330"/>
      <c r="RXE370" s="377"/>
      <c r="RXF370" s="391"/>
      <c r="RXG370" s="672"/>
      <c r="RXH370" s="393"/>
      <c r="RXI370" s="394"/>
      <c r="RXJ370" s="593"/>
      <c r="RXK370" s="594"/>
      <c r="RXL370" s="671"/>
      <c r="RXM370" s="330"/>
      <c r="RXN370" s="377"/>
      <c r="RXO370" s="391"/>
      <c r="RXP370" s="672"/>
      <c r="RXQ370" s="393"/>
      <c r="RXR370" s="394"/>
      <c r="RXS370" s="593"/>
      <c r="RXT370" s="594"/>
      <c r="RXU370" s="671"/>
      <c r="RXV370" s="330"/>
      <c r="RXW370" s="377"/>
      <c r="RXX370" s="391"/>
      <c r="RXY370" s="672"/>
      <c r="RXZ370" s="393"/>
      <c r="RYA370" s="394"/>
      <c r="RYB370" s="593"/>
      <c r="RYC370" s="594"/>
      <c r="RYD370" s="671"/>
      <c r="RYE370" s="330"/>
      <c r="RYF370" s="377"/>
      <c r="RYG370" s="391"/>
      <c r="RYH370" s="672"/>
      <c r="RYI370" s="393"/>
      <c r="RYJ370" s="394"/>
      <c r="RYK370" s="593"/>
      <c r="RYL370" s="594"/>
      <c r="RYM370" s="671"/>
      <c r="RYN370" s="330"/>
      <c r="RYO370" s="377"/>
      <c r="RYP370" s="391"/>
      <c r="RYQ370" s="672"/>
      <c r="RYR370" s="393"/>
      <c r="RYS370" s="394"/>
      <c r="RYT370" s="593"/>
      <c r="RYU370" s="594"/>
      <c r="RYV370" s="671"/>
      <c r="RYW370" s="330"/>
      <c r="RYX370" s="377"/>
      <c r="RYY370" s="391"/>
      <c r="RYZ370" s="672"/>
      <c r="RZA370" s="393"/>
      <c r="RZB370" s="394"/>
      <c r="RZC370" s="593"/>
      <c r="RZD370" s="594"/>
      <c r="RZE370" s="671"/>
      <c r="RZF370" s="330"/>
      <c r="RZG370" s="377"/>
      <c r="RZH370" s="391"/>
      <c r="RZI370" s="672"/>
      <c r="RZJ370" s="393"/>
      <c r="RZK370" s="394"/>
      <c r="RZL370" s="593"/>
      <c r="RZM370" s="594"/>
      <c r="RZN370" s="671"/>
      <c r="RZO370" s="330"/>
      <c r="RZP370" s="377"/>
      <c r="RZQ370" s="391"/>
      <c r="RZR370" s="672"/>
      <c r="RZS370" s="393"/>
      <c r="RZT370" s="394"/>
      <c r="RZU370" s="593"/>
      <c r="RZV370" s="594"/>
      <c r="RZW370" s="671"/>
      <c r="RZX370" s="330"/>
      <c r="RZY370" s="377"/>
      <c r="RZZ370" s="391"/>
      <c r="SAA370" s="672"/>
      <c r="SAB370" s="393"/>
      <c r="SAC370" s="394"/>
      <c r="SAD370" s="593"/>
      <c r="SAE370" s="594"/>
      <c r="SAF370" s="671"/>
      <c r="SAG370" s="330"/>
      <c r="SAH370" s="377"/>
      <c r="SAI370" s="391"/>
      <c r="SAJ370" s="672"/>
      <c r="SAK370" s="393"/>
      <c r="SAL370" s="394"/>
      <c r="SAM370" s="593"/>
      <c r="SAN370" s="594"/>
      <c r="SAO370" s="671"/>
      <c r="SAP370" s="330"/>
      <c r="SAQ370" s="377"/>
      <c r="SAR370" s="391"/>
      <c r="SAS370" s="672"/>
      <c r="SAT370" s="393"/>
      <c r="SAU370" s="394"/>
      <c r="SAV370" s="593"/>
      <c r="SAW370" s="594"/>
      <c r="SAX370" s="671"/>
      <c r="SAY370" s="330"/>
      <c r="SAZ370" s="377"/>
      <c r="SBA370" s="391"/>
      <c r="SBB370" s="672"/>
      <c r="SBC370" s="393"/>
      <c r="SBD370" s="394"/>
      <c r="SBE370" s="593"/>
      <c r="SBF370" s="594"/>
      <c r="SBG370" s="671"/>
      <c r="SBH370" s="330"/>
      <c r="SBI370" s="377"/>
      <c r="SBJ370" s="391"/>
      <c r="SBK370" s="672"/>
      <c r="SBL370" s="393"/>
      <c r="SBM370" s="394"/>
      <c r="SBN370" s="593"/>
      <c r="SBO370" s="594"/>
      <c r="SBP370" s="671"/>
      <c r="SBQ370" s="330"/>
      <c r="SBR370" s="377"/>
      <c r="SBS370" s="391"/>
      <c r="SBT370" s="672"/>
      <c r="SBU370" s="393"/>
      <c r="SBV370" s="394"/>
      <c r="SBW370" s="593"/>
      <c r="SBX370" s="594"/>
      <c r="SBY370" s="671"/>
      <c r="SBZ370" s="330"/>
      <c r="SCA370" s="377"/>
      <c r="SCB370" s="391"/>
      <c r="SCC370" s="672"/>
      <c r="SCD370" s="393"/>
      <c r="SCE370" s="394"/>
      <c r="SCF370" s="593"/>
      <c r="SCG370" s="594"/>
      <c r="SCH370" s="671"/>
      <c r="SCI370" s="330"/>
      <c r="SCJ370" s="377"/>
      <c r="SCK370" s="391"/>
      <c r="SCL370" s="672"/>
      <c r="SCM370" s="393"/>
      <c r="SCN370" s="394"/>
      <c r="SCO370" s="593"/>
      <c r="SCP370" s="594"/>
      <c r="SCQ370" s="671"/>
      <c r="SCR370" s="330"/>
      <c r="SCS370" s="377"/>
      <c r="SCT370" s="391"/>
      <c r="SCU370" s="672"/>
      <c r="SCV370" s="393"/>
      <c r="SCW370" s="394"/>
      <c r="SCX370" s="593"/>
      <c r="SCY370" s="594"/>
      <c r="SCZ370" s="671"/>
      <c r="SDA370" s="330"/>
      <c r="SDB370" s="377"/>
      <c r="SDC370" s="391"/>
      <c r="SDD370" s="672"/>
      <c r="SDE370" s="393"/>
      <c r="SDF370" s="394"/>
      <c r="SDG370" s="593"/>
      <c r="SDH370" s="594"/>
      <c r="SDI370" s="671"/>
      <c r="SDJ370" s="330"/>
      <c r="SDK370" s="377"/>
      <c r="SDL370" s="391"/>
      <c r="SDM370" s="672"/>
      <c r="SDN370" s="393"/>
      <c r="SDO370" s="394"/>
      <c r="SDP370" s="593"/>
      <c r="SDQ370" s="594"/>
      <c r="SDR370" s="671"/>
      <c r="SDS370" s="330"/>
      <c r="SDT370" s="377"/>
      <c r="SDU370" s="391"/>
      <c r="SDV370" s="672"/>
      <c r="SDW370" s="393"/>
      <c r="SDX370" s="394"/>
      <c r="SDY370" s="593"/>
      <c r="SDZ370" s="594"/>
      <c r="SEA370" s="671"/>
      <c r="SEB370" s="330"/>
      <c r="SEC370" s="377"/>
      <c r="SED370" s="391"/>
      <c r="SEE370" s="672"/>
      <c r="SEF370" s="393"/>
      <c r="SEG370" s="394"/>
      <c r="SEH370" s="593"/>
      <c r="SEI370" s="594"/>
      <c r="SEJ370" s="671"/>
      <c r="SEK370" s="330"/>
      <c r="SEL370" s="377"/>
      <c r="SEM370" s="391"/>
      <c r="SEN370" s="672"/>
      <c r="SEO370" s="393"/>
      <c r="SEP370" s="394"/>
      <c r="SEQ370" s="593"/>
      <c r="SER370" s="594"/>
      <c r="SES370" s="671"/>
      <c r="SET370" s="330"/>
      <c r="SEU370" s="377"/>
      <c r="SEV370" s="391"/>
      <c r="SEW370" s="672"/>
      <c r="SEX370" s="393"/>
      <c r="SEY370" s="394"/>
      <c r="SEZ370" s="593"/>
      <c r="SFA370" s="594"/>
      <c r="SFB370" s="671"/>
      <c r="SFC370" s="330"/>
      <c r="SFD370" s="377"/>
      <c r="SFE370" s="391"/>
      <c r="SFF370" s="672"/>
      <c r="SFG370" s="393"/>
      <c r="SFH370" s="394"/>
      <c r="SFI370" s="593"/>
      <c r="SFJ370" s="594"/>
      <c r="SFK370" s="671"/>
      <c r="SFL370" s="330"/>
      <c r="SFM370" s="377"/>
      <c r="SFN370" s="391"/>
      <c r="SFO370" s="672"/>
      <c r="SFP370" s="393"/>
      <c r="SFQ370" s="394"/>
      <c r="SFR370" s="593"/>
      <c r="SFS370" s="594"/>
      <c r="SFT370" s="671"/>
      <c r="SFU370" s="330"/>
      <c r="SFV370" s="377"/>
      <c r="SFW370" s="391"/>
      <c r="SFX370" s="672"/>
      <c r="SFY370" s="393"/>
      <c r="SFZ370" s="394"/>
      <c r="SGA370" s="593"/>
      <c r="SGB370" s="594"/>
      <c r="SGC370" s="671"/>
      <c r="SGD370" s="330"/>
      <c r="SGE370" s="377"/>
      <c r="SGF370" s="391"/>
      <c r="SGG370" s="672"/>
      <c r="SGH370" s="393"/>
      <c r="SGI370" s="394"/>
      <c r="SGJ370" s="593"/>
      <c r="SGK370" s="594"/>
      <c r="SGL370" s="671"/>
      <c r="SGM370" s="330"/>
      <c r="SGN370" s="377"/>
      <c r="SGO370" s="391"/>
      <c r="SGP370" s="672"/>
      <c r="SGQ370" s="393"/>
      <c r="SGR370" s="394"/>
      <c r="SGS370" s="593"/>
      <c r="SGT370" s="594"/>
      <c r="SGU370" s="671"/>
      <c r="SGV370" s="330"/>
      <c r="SGW370" s="377"/>
      <c r="SGX370" s="391"/>
      <c r="SGY370" s="672"/>
      <c r="SGZ370" s="393"/>
      <c r="SHA370" s="394"/>
      <c r="SHB370" s="593"/>
      <c r="SHC370" s="594"/>
      <c r="SHD370" s="671"/>
      <c r="SHE370" s="330"/>
      <c r="SHF370" s="377"/>
      <c r="SHG370" s="391"/>
      <c r="SHH370" s="672"/>
      <c r="SHI370" s="393"/>
      <c r="SHJ370" s="394"/>
      <c r="SHK370" s="593"/>
      <c r="SHL370" s="594"/>
      <c r="SHM370" s="671"/>
      <c r="SHN370" s="330"/>
      <c r="SHO370" s="377"/>
      <c r="SHP370" s="391"/>
      <c r="SHQ370" s="672"/>
      <c r="SHR370" s="393"/>
      <c r="SHS370" s="394"/>
      <c r="SHT370" s="593"/>
      <c r="SHU370" s="594"/>
      <c r="SHV370" s="671"/>
      <c r="SHW370" s="330"/>
      <c r="SHX370" s="377"/>
      <c r="SHY370" s="391"/>
      <c r="SHZ370" s="672"/>
      <c r="SIA370" s="393"/>
      <c r="SIB370" s="394"/>
      <c r="SIC370" s="593"/>
      <c r="SID370" s="594"/>
      <c r="SIE370" s="671"/>
      <c r="SIF370" s="330"/>
      <c r="SIG370" s="377"/>
      <c r="SIH370" s="391"/>
      <c r="SII370" s="672"/>
      <c r="SIJ370" s="393"/>
      <c r="SIK370" s="394"/>
      <c r="SIL370" s="593"/>
      <c r="SIM370" s="594"/>
      <c r="SIN370" s="671"/>
      <c r="SIO370" s="330"/>
      <c r="SIP370" s="377"/>
      <c r="SIQ370" s="391"/>
      <c r="SIR370" s="672"/>
      <c r="SIS370" s="393"/>
      <c r="SIT370" s="394"/>
      <c r="SIU370" s="593"/>
      <c r="SIV370" s="594"/>
      <c r="SIW370" s="671"/>
      <c r="SIX370" s="330"/>
      <c r="SIY370" s="377"/>
      <c r="SIZ370" s="391"/>
      <c r="SJA370" s="672"/>
      <c r="SJB370" s="393"/>
      <c r="SJC370" s="394"/>
      <c r="SJD370" s="593"/>
      <c r="SJE370" s="594"/>
      <c r="SJF370" s="671"/>
      <c r="SJG370" s="330"/>
      <c r="SJH370" s="377"/>
      <c r="SJI370" s="391"/>
      <c r="SJJ370" s="672"/>
      <c r="SJK370" s="393"/>
      <c r="SJL370" s="394"/>
      <c r="SJM370" s="593"/>
      <c r="SJN370" s="594"/>
      <c r="SJO370" s="671"/>
      <c r="SJP370" s="330"/>
      <c r="SJQ370" s="377"/>
      <c r="SJR370" s="391"/>
      <c r="SJS370" s="672"/>
      <c r="SJT370" s="393"/>
      <c r="SJU370" s="394"/>
      <c r="SJV370" s="593"/>
      <c r="SJW370" s="594"/>
      <c r="SJX370" s="671"/>
      <c r="SJY370" s="330"/>
      <c r="SJZ370" s="377"/>
      <c r="SKA370" s="391"/>
      <c r="SKB370" s="672"/>
      <c r="SKC370" s="393"/>
      <c r="SKD370" s="394"/>
      <c r="SKE370" s="593"/>
      <c r="SKF370" s="594"/>
      <c r="SKG370" s="671"/>
      <c r="SKH370" s="330"/>
      <c r="SKI370" s="377"/>
      <c r="SKJ370" s="391"/>
      <c r="SKK370" s="672"/>
      <c r="SKL370" s="393"/>
      <c r="SKM370" s="394"/>
      <c r="SKN370" s="593"/>
      <c r="SKO370" s="594"/>
      <c r="SKP370" s="671"/>
      <c r="SKQ370" s="330"/>
      <c r="SKR370" s="377"/>
      <c r="SKS370" s="391"/>
      <c r="SKT370" s="672"/>
      <c r="SKU370" s="393"/>
      <c r="SKV370" s="394"/>
      <c r="SKW370" s="593"/>
      <c r="SKX370" s="594"/>
      <c r="SKY370" s="671"/>
      <c r="SKZ370" s="330"/>
      <c r="SLA370" s="377"/>
      <c r="SLB370" s="391"/>
      <c r="SLC370" s="672"/>
      <c r="SLD370" s="393"/>
      <c r="SLE370" s="394"/>
      <c r="SLF370" s="593"/>
      <c r="SLG370" s="594"/>
      <c r="SLH370" s="671"/>
      <c r="SLI370" s="330"/>
      <c r="SLJ370" s="377"/>
      <c r="SLK370" s="391"/>
      <c r="SLL370" s="672"/>
      <c r="SLM370" s="393"/>
      <c r="SLN370" s="394"/>
      <c r="SLO370" s="593"/>
      <c r="SLP370" s="594"/>
      <c r="SLQ370" s="671"/>
      <c r="SLR370" s="330"/>
      <c r="SLS370" s="377"/>
      <c r="SLT370" s="391"/>
      <c r="SLU370" s="672"/>
      <c r="SLV370" s="393"/>
      <c r="SLW370" s="394"/>
      <c r="SLX370" s="593"/>
      <c r="SLY370" s="594"/>
      <c r="SLZ370" s="671"/>
      <c r="SMA370" s="330"/>
      <c r="SMB370" s="377"/>
      <c r="SMC370" s="391"/>
      <c r="SMD370" s="672"/>
      <c r="SME370" s="393"/>
      <c r="SMF370" s="394"/>
      <c r="SMG370" s="593"/>
      <c r="SMH370" s="594"/>
      <c r="SMI370" s="671"/>
      <c r="SMJ370" s="330"/>
      <c r="SMK370" s="377"/>
      <c r="SML370" s="391"/>
      <c r="SMM370" s="672"/>
      <c r="SMN370" s="393"/>
      <c r="SMO370" s="394"/>
      <c r="SMP370" s="593"/>
      <c r="SMQ370" s="594"/>
      <c r="SMR370" s="671"/>
      <c r="SMS370" s="330"/>
      <c r="SMT370" s="377"/>
      <c r="SMU370" s="391"/>
      <c r="SMV370" s="672"/>
      <c r="SMW370" s="393"/>
      <c r="SMX370" s="394"/>
      <c r="SMY370" s="593"/>
      <c r="SMZ370" s="594"/>
      <c r="SNA370" s="671"/>
      <c r="SNB370" s="330"/>
      <c r="SNC370" s="377"/>
      <c r="SND370" s="391"/>
      <c r="SNE370" s="672"/>
      <c r="SNF370" s="393"/>
      <c r="SNG370" s="394"/>
      <c r="SNH370" s="593"/>
      <c r="SNI370" s="594"/>
      <c r="SNJ370" s="671"/>
      <c r="SNK370" s="330"/>
      <c r="SNL370" s="377"/>
      <c r="SNM370" s="391"/>
      <c r="SNN370" s="672"/>
      <c r="SNO370" s="393"/>
      <c r="SNP370" s="394"/>
      <c r="SNQ370" s="593"/>
      <c r="SNR370" s="594"/>
      <c r="SNS370" s="671"/>
      <c r="SNT370" s="330"/>
      <c r="SNU370" s="377"/>
      <c r="SNV370" s="391"/>
      <c r="SNW370" s="672"/>
      <c r="SNX370" s="393"/>
      <c r="SNY370" s="394"/>
      <c r="SNZ370" s="593"/>
      <c r="SOA370" s="594"/>
      <c r="SOB370" s="671"/>
      <c r="SOC370" s="330"/>
      <c r="SOD370" s="377"/>
      <c r="SOE370" s="391"/>
      <c r="SOF370" s="672"/>
      <c r="SOG370" s="393"/>
      <c r="SOH370" s="394"/>
      <c r="SOI370" s="593"/>
      <c r="SOJ370" s="594"/>
      <c r="SOK370" s="671"/>
      <c r="SOL370" s="330"/>
      <c r="SOM370" s="377"/>
      <c r="SON370" s="391"/>
      <c r="SOO370" s="672"/>
      <c r="SOP370" s="393"/>
      <c r="SOQ370" s="394"/>
      <c r="SOR370" s="593"/>
      <c r="SOS370" s="594"/>
      <c r="SOT370" s="671"/>
      <c r="SOU370" s="330"/>
      <c r="SOV370" s="377"/>
      <c r="SOW370" s="391"/>
      <c r="SOX370" s="672"/>
      <c r="SOY370" s="393"/>
      <c r="SOZ370" s="394"/>
      <c r="SPA370" s="593"/>
      <c r="SPB370" s="594"/>
      <c r="SPC370" s="671"/>
      <c r="SPD370" s="330"/>
      <c r="SPE370" s="377"/>
      <c r="SPF370" s="391"/>
      <c r="SPG370" s="672"/>
      <c r="SPH370" s="393"/>
      <c r="SPI370" s="394"/>
      <c r="SPJ370" s="593"/>
      <c r="SPK370" s="594"/>
      <c r="SPL370" s="671"/>
      <c r="SPM370" s="330"/>
      <c r="SPN370" s="377"/>
      <c r="SPO370" s="391"/>
      <c r="SPP370" s="672"/>
      <c r="SPQ370" s="393"/>
      <c r="SPR370" s="394"/>
      <c r="SPS370" s="593"/>
      <c r="SPT370" s="594"/>
      <c r="SPU370" s="671"/>
      <c r="SPV370" s="330"/>
      <c r="SPW370" s="377"/>
      <c r="SPX370" s="391"/>
      <c r="SPY370" s="672"/>
      <c r="SPZ370" s="393"/>
      <c r="SQA370" s="394"/>
      <c r="SQB370" s="593"/>
      <c r="SQC370" s="594"/>
      <c r="SQD370" s="671"/>
      <c r="SQE370" s="330"/>
      <c r="SQF370" s="377"/>
      <c r="SQG370" s="391"/>
      <c r="SQH370" s="672"/>
      <c r="SQI370" s="393"/>
      <c r="SQJ370" s="394"/>
      <c r="SQK370" s="593"/>
      <c r="SQL370" s="594"/>
      <c r="SQM370" s="671"/>
      <c r="SQN370" s="330"/>
      <c r="SQO370" s="377"/>
      <c r="SQP370" s="391"/>
      <c r="SQQ370" s="672"/>
      <c r="SQR370" s="393"/>
      <c r="SQS370" s="394"/>
      <c r="SQT370" s="593"/>
      <c r="SQU370" s="594"/>
      <c r="SQV370" s="671"/>
      <c r="SQW370" s="330"/>
      <c r="SQX370" s="377"/>
      <c r="SQY370" s="391"/>
      <c r="SQZ370" s="672"/>
      <c r="SRA370" s="393"/>
      <c r="SRB370" s="394"/>
      <c r="SRC370" s="593"/>
      <c r="SRD370" s="594"/>
      <c r="SRE370" s="671"/>
      <c r="SRF370" s="330"/>
      <c r="SRG370" s="377"/>
      <c r="SRH370" s="391"/>
      <c r="SRI370" s="672"/>
      <c r="SRJ370" s="393"/>
      <c r="SRK370" s="394"/>
      <c r="SRL370" s="593"/>
      <c r="SRM370" s="594"/>
      <c r="SRN370" s="671"/>
      <c r="SRO370" s="330"/>
      <c r="SRP370" s="377"/>
      <c r="SRQ370" s="391"/>
      <c r="SRR370" s="672"/>
      <c r="SRS370" s="393"/>
      <c r="SRT370" s="394"/>
      <c r="SRU370" s="593"/>
      <c r="SRV370" s="594"/>
      <c r="SRW370" s="671"/>
      <c r="SRX370" s="330"/>
      <c r="SRY370" s="377"/>
      <c r="SRZ370" s="391"/>
      <c r="SSA370" s="672"/>
      <c r="SSB370" s="393"/>
      <c r="SSC370" s="394"/>
      <c r="SSD370" s="593"/>
      <c r="SSE370" s="594"/>
      <c r="SSF370" s="671"/>
      <c r="SSG370" s="330"/>
      <c r="SSH370" s="377"/>
      <c r="SSI370" s="391"/>
      <c r="SSJ370" s="672"/>
      <c r="SSK370" s="393"/>
      <c r="SSL370" s="394"/>
      <c r="SSM370" s="593"/>
      <c r="SSN370" s="594"/>
      <c r="SSO370" s="671"/>
      <c r="SSP370" s="330"/>
      <c r="SSQ370" s="377"/>
      <c r="SSR370" s="391"/>
      <c r="SSS370" s="672"/>
      <c r="SST370" s="393"/>
      <c r="SSU370" s="394"/>
      <c r="SSV370" s="593"/>
      <c r="SSW370" s="594"/>
      <c r="SSX370" s="671"/>
      <c r="SSY370" s="330"/>
      <c r="SSZ370" s="377"/>
      <c r="STA370" s="391"/>
      <c r="STB370" s="672"/>
      <c r="STC370" s="393"/>
      <c r="STD370" s="394"/>
      <c r="STE370" s="593"/>
      <c r="STF370" s="594"/>
      <c r="STG370" s="671"/>
      <c r="STH370" s="330"/>
      <c r="STI370" s="377"/>
      <c r="STJ370" s="391"/>
      <c r="STK370" s="672"/>
      <c r="STL370" s="393"/>
      <c r="STM370" s="394"/>
      <c r="STN370" s="593"/>
      <c r="STO370" s="594"/>
      <c r="STP370" s="671"/>
      <c r="STQ370" s="330"/>
      <c r="STR370" s="377"/>
      <c r="STS370" s="391"/>
      <c r="STT370" s="672"/>
      <c r="STU370" s="393"/>
      <c r="STV370" s="394"/>
      <c r="STW370" s="593"/>
      <c r="STX370" s="594"/>
      <c r="STY370" s="671"/>
      <c r="STZ370" s="330"/>
      <c r="SUA370" s="377"/>
      <c r="SUB370" s="391"/>
      <c r="SUC370" s="672"/>
      <c r="SUD370" s="393"/>
      <c r="SUE370" s="394"/>
      <c r="SUF370" s="593"/>
      <c r="SUG370" s="594"/>
      <c r="SUH370" s="671"/>
      <c r="SUI370" s="330"/>
      <c r="SUJ370" s="377"/>
      <c r="SUK370" s="391"/>
      <c r="SUL370" s="672"/>
      <c r="SUM370" s="393"/>
      <c r="SUN370" s="394"/>
      <c r="SUO370" s="593"/>
      <c r="SUP370" s="594"/>
      <c r="SUQ370" s="671"/>
      <c r="SUR370" s="330"/>
      <c r="SUS370" s="377"/>
      <c r="SUT370" s="391"/>
      <c r="SUU370" s="672"/>
      <c r="SUV370" s="393"/>
      <c r="SUW370" s="394"/>
      <c r="SUX370" s="593"/>
      <c r="SUY370" s="594"/>
      <c r="SUZ370" s="671"/>
      <c r="SVA370" s="330"/>
      <c r="SVB370" s="377"/>
      <c r="SVC370" s="391"/>
      <c r="SVD370" s="672"/>
      <c r="SVE370" s="393"/>
      <c r="SVF370" s="394"/>
      <c r="SVG370" s="593"/>
      <c r="SVH370" s="594"/>
      <c r="SVI370" s="671"/>
      <c r="SVJ370" s="330"/>
      <c r="SVK370" s="377"/>
      <c r="SVL370" s="391"/>
      <c r="SVM370" s="672"/>
      <c r="SVN370" s="393"/>
      <c r="SVO370" s="394"/>
      <c r="SVP370" s="593"/>
      <c r="SVQ370" s="594"/>
      <c r="SVR370" s="671"/>
      <c r="SVS370" s="330"/>
      <c r="SVT370" s="377"/>
      <c r="SVU370" s="391"/>
      <c r="SVV370" s="672"/>
      <c r="SVW370" s="393"/>
      <c r="SVX370" s="394"/>
      <c r="SVY370" s="593"/>
      <c r="SVZ370" s="594"/>
      <c r="SWA370" s="671"/>
      <c r="SWB370" s="330"/>
      <c r="SWC370" s="377"/>
      <c r="SWD370" s="391"/>
      <c r="SWE370" s="672"/>
      <c r="SWF370" s="393"/>
      <c r="SWG370" s="394"/>
      <c r="SWH370" s="593"/>
      <c r="SWI370" s="594"/>
      <c r="SWJ370" s="671"/>
      <c r="SWK370" s="330"/>
      <c r="SWL370" s="377"/>
      <c r="SWM370" s="391"/>
      <c r="SWN370" s="672"/>
      <c r="SWO370" s="393"/>
      <c r="SWP370" s="394"/>
      <c r="SWQ370" s="593"/>
      <c r="SWR370" s="594"/>
      <c r="SWS370" s="671"/>
      <c r="SWT370" s="330"/>
      <c r="SWU370" s="377"/>
      <c r="SWV370" s="391"/>
      <c r="SWW370" s="672"/>
      <c r="SWX370" s="393"/>
      <c r="SWY370" s="394"/>
      <c r="SWZ370" s="593"/>
      <c r="SXA370" s="594"/>
      <c r="SXB370" s="671"/>
      <c r="SXC370" s="330"/>
      <c r="SXD370" s="377"/>
      <c r="SXE370" s="391"/>
      <c r="SXF370" s="672"/>
      <c r="SXG370" s="393"/>
      <c r="SXH370" s="394"/>
      <c r="SXI370" s="593"/>
      <c r="SXJ370" s="594"/>
      <c r="SXK370" s="671"/>
      <c r="SXL370" s="330"/>
      <c r="SXM370" s="377"/>
      <c r="SXN370" s="391"/>
      <c r="SXO370" s="672"/>
      <c r="SXP370" s="393"/>
      <c r="SXQ370" s="394"/>
      <c r="SXR370" s="593"/>
      <c r="SXS370" s="594"/>
      <c r="SXT370" s="671"/>
      <c r="SXU370" s="330"/>
      <c r="SXV370" s="377"/>
      <c r="SXW370" s="391"/>
      <c r="SXX370" s="672"/>
      <c r="SXY370" s="393"/>
      <c r="SXZ370" s="394"/>
      <c r="SYA370" s="593"/>
      <c r="SYB370" s="594"/>
      <c r="SYC370" s="671"/>
      <c r="SYD370" s="330"/>
      <c r="SYE370" s="377"/>
      <c r="SYF370" s="391"/>
      <c r="SYG370" s="672"/>
      <c r="SYH370" s="393"/>
      <c r="SYI370" s="394"/>
      <c r="SYJ370" s="593"/>
      <c r="SYK370" s="594"/>
      <c r="SYL370" s="671"/>
      <c r="SYM370" s="330"/>
      <c r="SYN370" s="377"/>
      <c r="SYO370" s="391"/>
      <c r="SYP370" s="672"/>
      <c r="SYQ370" s="393"/>
      <c r="SYR370" s="394"/>
      <c r="SYS370" s="593"/>
      <c r="SYT370" s="594"/>
      <c r="SYU370" s="671"/>
      <c r="SYV370" s="330"/>
      <c r="SYW370" s="377"/>
      <c r="SYX370" s="391"/>
      <c r="SYY370" s="672"/>
      <c r="SYZ370" s="393"/>
      <c r="SZA370" s="394"/>
      <c r="SZB370" s="593"/>
      <c r="SZC370" s="594"/>
      <c r="SZD370" s="671"/>
      <c r="SZE370" s="330"/>
      <c r="SZF370" s="377"/>
      <c r="SZG370" s="391"/>
      <c r="SZH370" s="672"/>
      <c r="SZI370" s="393"/>
      <c r="SZJ370" s="394"/>
      <c r="SZK370" s="593"/>
      <c r="SZL370" s="594"/>
      <c r="SZM370" s="671"/>
      <c r="SZN370" s="330"/>
      <c r="SZO370" s="377"/>
      <c r="SZP370" s="391"/>
      <c r="SZQ370" s="672"/>
      <c r="SZR370" s="393"/>
      <c r="SZS370" s="394"/>
      <c r="SZT370" s="593"/>
      <c r="SZU370" s="594"/>
      <c r="SZV370" s="671"/>
      <c r="SZW370" s="330"/>
      <c r="SZX370" s="377"/>
      <c r="SZY370" s="391"/>
      <c r="SZZ370" s="672"/>
      <c r="TAA370" s="393"/>
      <c r="TAB370" s="394"/>
      <c r="TAC370" s="593"/>
      <c r="TAD370" s="594"/>
      <c r="TAE370" s="671"/>
      <c r="TAF370" s="330"/>
      <c r="TAG370" s="377"/>
      <c r="TAH370" s="391"/>
      <c r="TAI370" s="672"/>
      <c r="TAJ370" s="393"/>
      <c r="TAK370" s="394"/>
      <c r="TAL370" s="593"/>
      <c r="TAM370" s="594"/>
      <c r="TAN370" s="671"/>
      <c r="TAO370" s="330"/>
      <c r="TAP370" s="377"/>
      <c r="TAQ370" s="391"/>
      <c r="TAR370" s="672"/>
      <c r="TAS370" s="393"/>
      <c r="TAT370" s="394"/>
      <c r="TAU370" s="593"/>
      <c r="TAV370" s="594"/>
      <c r="TAW370" s="671"/>
      <c r="TAX370" s="330"/>
      <c r="TAY370" s="377"/>
      <c r="TAZ370" s="391"/>
      <c r="TBA370" s="672"/>
      <c r="TBB370" s="393"/>
      <c r="TBC370" s="394"/>
      <c r="TBD370" s="593"/>
      <c r="TBE370" s="594"/>
      <c r="TBF370" s="671"/>
      <c r="TBG370" s="330"/>
      <c r="TBH370" s="377"/>
      <c r="TBI370" s="391"/>
      <c r="TBJ370" s="672"/>
      <c r="TBK370" s="393"/>
      <c r="TBL370" s="394"/>
      <c r="TBM370" s="593"/>
      <c r="TBN370" s="594"/>
      <c r="TBO370" s="671"/>
      <c r="TBP370" s="330"/>
      <c r="TBQ370" s="377"/>
      <c r="TBR370" s="391"/>
      <c r="TBS370" s="672"/>
      <c r="TBT370" s="393"/>
      <c r="TBU370" s="394"/>
      <c r="TBV370" s="593"/>
      <c r="TBW370" s="594"/>
      <c r="TBX370" s="671"/>
      <c r="TBY370" s="330"/>
      <c r="TBZ370" s="377"/>
      <c r="TCA370" s="391"/>
      <c r="TCB370" s="672"/>
      <c r="TCC370" s="393"/>
      <c r="TCD370" s="394"/>
      <c r="TCE370" s="593"/>
      <c r="TCF370" s="594"/>
      <c r="TCG370" s="671"/>
      <c r="TCH370" s="330"/>
      <c r="TCI370" s="377"/>
      <c r="TCJ370" s="391"/>
      <c r="TCK370" s="672"/>
      <c r="TCL370" s="393"/>
      <c r="TCM370" s="394"/>
      <c r="TCN370" s="593"/>
      <c r="TCO370" s="594"/>
      <c r="TCP370" s="671"/>
      <c r="TCQ370" s="330"/>
      <c r="TCR370" s="377"/>
      <c r="TCS370" s="391"/>
      <c r="TCT370" s="672"/>
      <c r="TCU370" s="393"/>
      <c r="TCV370" s="394"/>
      <c r="TCW370" s="593"/>
      <c r="TCX370" s="594"/>
      <c r="TCY370" s="671"/>
      <c r="TCZ370" s="330"/>
      <c r="TDA370" s="377"/>
      <c r="TDB370" s="391"/>
      <c r="TDC370" s="672"/>
      <c r="TDD370" s="393"/>
      <c r="TDE370" s="394"/>
      <c r="TDF370" s="593"/>
      <c r="TDG370" s="594"/>
      <c r="TDH370" s="671"/>
      <c r="TDI370" s="330"/>
      <c r="TDJ370" s="377"/>
      <c r="TDK370" s="391"/>
      <c r="TDL370" s="672"/>
      <c r="TDM370" s="393"/>
      <c r="TDN370" s="394"/>
      <c r="TDO370" s="593"/>
      <c r="TDP370" s="594"/>
      <c r="TDQ370" s="671"/>
      <c r="TDR370" s="330"/>
      <c r="TDS370" s="377"/>
      <c r="TDT370" s="391"/>
      <c r="TDU370" s="672"/>
      <c r="TDV370" s="393"/>
      <c r="TDW370" s="394"/>
      <c r="TDX370" s="593"/>
      <c r="TDY370" s="594"/>
      <c r="TDZ370" s="671"/>
      <c r="TEA370" s="330"/>
      <c r="TEB370" s="377"/>
      <c r="TEC370" s="391"/>
      <c r="TED370" s="672"/>
      <c r="TEE370" s="393"/>
      <c r="TEF370" s="394"/>
      <c r="TEG370" s="593"/>
      <c r="TEH370" s="594"/>
      <c r="TEI370" s="671"/>
      <c r="TEJ370" s="330"/>
      <c r="TEK370" s="377"/>
      <c r="TEL370" s="391"/>
      <c r="TEM370" s="672"/>
      <c r="TEN370" s="393"/>
      <c r="TEO370" s="394"/>
      <c r="TEP370" s="593"/>
      <c r="TEQ370" s="594"/>
      <c r="TER370" s="671"/>
      <c r="TES370" s="330"/>
      <c r="TET370" s="377"/>
      <c r="TEU370" s="391"/>
      <c r="TEV370" s="672"/>
      <c r="TEW370" s="393"/>
      <c r="TEX370" s="394"/>
      <c r="TEY370" s="593"/>
      <c r="TEZ370" s="594"/>
      <c r="TFA370" s="671"/>
      <c r="TFB370" s="330"/>
      <c r="TFC370" s="377"/>
      <c r="TFD370" s="391"/>
      <c r="TFE370" s="672"/>
      <c r="TFF370" s="393"/>
      <c r="TFG370" s="394"/>
      <c r="TFH370" s="593"/>
      <c r="TFI370" s="594"/>
      <c r="TFJ370" s="671"/>
      <c r="TFK370" s="330"/>
      <c r="TFL370" s="377"/>
      <c r="TFM370" s="391"/>
      <c r="TFN370" s="672"/>
      <c r="TFO370" s="393"/>
      <c r="TFP370" s="394"/>
      <c r="TFQ370" s="593"/>
      <c r="TFR370" s="594"/>
      <c r="TFS370" s="671"/>
      <c r="TFT370" s="330"/>
      <c r="TFU370" s="377"/>
      <c r="TFV370" s="391"/>
      <c r="TFW370" s="672"/>
      <c r="TFX370" s="393"/>
      <c r="TFY370" s="394"/>
      <c r="TFZ370" s="593"/>
      <c r="TGA370" s="594"/>
      <c r="TGB370" s="671"/>
      <c r="TGC370" s="330"/>
      <c r="TGD370" s="377"/>
      <c r="TGE370" s="391"/>
      <c r="TGF370" s="672"/>
      <c r="TGG370" s="393"/>
      <c r="TGH370" s="394"/>
      <c r="TGI370" s="593"/>
      <c r="TGJ370" s="594"/>
      <c r="TGK370" s="671"/>
      <c r="TGL370" s="330"/>
      <c r="TGM370" s="377"/>
      <c r="TGN370" s="391"/>
      <c r="TGO370" s="672"/>
      <c r="TGP370" s="393"/>
      <c r="TGQ370" s="394"/>
      <c r="TGR370" s="593"/>
      <c r="TGS370" s="594"/>
      <c r="TGT370" s="671"/>
      <c r="TGU370" s="330"/>
      <c r="TGV370" s="377"/>
      <c r="TGW370" s="391"/>
      <c r="TGX370" s="672"/>
      <c r="TGY370" s="393"/>
      <c r="TGZ370" s="394"/>
      <c r="THA370" s="593"/>
      <c r="THB370" s="594"/>
      <c r="THC370" s="671"/>
      <c r="THD370" s="330"/>
      <c r="THE370" s="377"/>
      <c r="THF370" s="391"/>
      <c r="THG370" s="672"/>
      <c r="THH370" s="393"/>
      <c r="THI370" s="394"/>
      <c r="THJ370" s="593"/>
      <c r="THK370" s="594"/>
      <c r="THL370" s="671"/>
      <c r="THM370" s="330"/>
      <c r="THN370" s="377"/>
      <c r="THO370" s="391"/>
      <c r="THP370" s="672"/>
      <c r="THQ370" s="393"/>
      <c r="THR370" s="394"/>
      <c r="THS370" s="593"/>
      <c r="THT370" s="594"/>
      <c r="THU370" s="671"/>
      <c r="THV370" s="330"/>
      <c r="THW370" s="377"/>
      <c r="THX370" s="391"/>
      <c r="THY370" s="672"/>
      <c r="THZ370" s="393"/>
      <c r="TIA370" s="394"/>
      <c r="TIB370" s="593"/>
      <c r="TIC370" s="594"/>
      <c r="TID370" s="671"/>
      <c r="TIE370" s="330"/>
      <c r="TIF370" s="377"/>
      <c r="TIG370" s="391"/>
      <c r="TIH370" s="672"/>
      <c r="TII370" s="393"/>
      <c r="TIJ370" s="394"/>
      <c r="TIK370" s="593"/>
      <c r="TIL370" s="594"/>
      <c r="TIM370" s="671"/>
      <c r="TIN370" s="330"/>
      <c r="TIO370" s="377"/>
      <c r="TIP370" s="391"/>
      <c r="TIQ370" s="672"/>
      <c r="TIR370" s="393"/>
      <c r="TIS370" s="394"/>
      <c r="TIT370" s="593"/>
      <c r="TIU370" s="594"/>
      <c r="TIV370" s="671"/>
      <c r="TIW370" s="330"/>
      <c r="TIX370" s="377"/>
      <c r="TIY370" s="391"/>
      <c r="TIZ370" s="672"/>
      <c r="TJA370" s="393"/>
      <c r="TJB370" s="394"/>
      <c r="TJC370" s="593"/>
      <c r="TJD370" s="594"/>
      <c r="TJE370" s="671"/>
      <c r="TJF370" s="330"/>
      <c r="TJG370" s="377"/>
      <c r="TJH370" s="391"/>
      <c r="TJI370" s="672"/>
      <c r="TJJ370" s="393"/>
      <c r="TJK370" s="394"/>
      <c r="TJL370" s="593"/>
      <c r="TJM370" s="594"/>
      <c r="TJN370" s="671"/>
      <c r="TJO370" s="330"/>
      <c r="TJP370" s="377"/>
      <c r="TJQ370" s="391"/>
      <c r="TJR370" s="672"/>
      <c r="TJS370" s="393"/>
      <c r="TJT370" s="394"/>
      <c r="TJU370" s="593"/>
      <c r="TJV370" s="594"/>
      <c r="TJW370" s="671"/>
      <c r="TJX370" s="330"/>
      <c r="TJY370" s="377"/>
      <c r="TJZ370" s="391"/>
      <c r="TKA370" s="672"/>
      <c r="TKB370" s="393"/>
      <c r="TKC370" s="394"/>
      <c r="TKD370" s="593"/>
      <c r="TKE370" s="594"/>
      <c r="TKF370" s="671"/>
      <c r="TKG370" s="330"/>
      <c r="TKH370" s="377"/>
      <c r="TKI370" s="391"/>
      <c r="TKJ370" s="672"/>
      <c r="TKK370" s="393"/>
      <c r="TKL370" s="394"/>
      <c r="TKM370" s="593"/>
      <c r="TKN370" s="594"/>
      <c r="TKO370" s="671"/>
      <c r="TKP370" s="330"/>
      <c r="TKQ370" s="377"/>
      <c r="TKR370" s="391"/>
      <c r="TKS370" s="672"/>
      <c r="TKT370" s="393"/>
      <c r="TKU370" s="394"/>
      <c r="TKV370" s="593"/>
      <c r="TKW370" s="594"/>
      <c r="TKX370" s="671"/>
      <c r="TKY370" s="330"/>
      <c r="TKZ370" s="377"/>
      <c r="TLA370" s="391"/>
      <c r="TLB370" s="672"/>
      <c r="TLC370" s="393"/>
      <c r="TLD370" s="394"/>
      <c r="TLE370" s="593"/>
      <c r="TLF370" s="594"/>
      <c r="TLG370" s="671"/>
      <c r="TLH370" s="330"/>
      <c r="TLI370" s="377"/>
      <c r="TLJ370" s="391"/>
      <c r="TLK370" s="672"/>
      <c r="TLL370" s="393"/>
      <c r="TLM370" s="394"/>
      <c r="TLN370" s="593"/>
      <c r="TLO370" s="594"/>
      <c r="TLP370" s="671"/>
      <c r="TLQ370" s="330"/>
      <c r="TLR370" s="377"/>
      <c r="TLS370" s="391"/>
      <c r="TLT370" s="672"/>
      <c r="TLU370" s="393"/>
      <c r="TLV370" s="394"/>
      <c r="TLW370" s="593"/>
      <c r="TLX370" s="594"/>
      <c r="TLY370" s="671"/>
      <c r="TLZ370" s="330"/>
      <c r="TMA370" s="377"/>
      <c r="TMB370" s="391"/>
      <c r="TMC370" s="672"/>
      <c r="TMD370" s="393"/>
      <c r="TME370" s="394"/>
      <c r="TMF370" s="593"/>
      <c r="TMG370" s="594"/>
      <c r="TMH370" s="671"/>
      <c r="TMI370" s="330"/>
      <c r="TMJ370" s="377"/>
      <c r="TMK370" s="391"/>
      <c r="TML370" s="672"/>
      <c r="TMM370" s="393"/>
      <c r="TMN370" s="394"/>
      <c r="TMO370" s="593"/>
      <c r="TMP370" s="594"/>
      <c r="TMQ370" s="671"/>
      <c r="TMR370" s="330"/>
      <c r="TMS370" s="377"/>
      <c r="TMT370" s="391"/>
      <c r="TMU370" s="672"/>
      <c r="TMV370" s="393"/>
      <c r="TMW370" s="394"/>
      <c r="TMX370" s="593"/>
      <c r="TMY370" s="594"/>
      <c r="TMZ370" s="671"/>
      <c r="TNA370" s="330"/>
      <c r="TNB370" s="377"/>
      <c r="TNC370" s="391"/>
      <c r="TND370" s="672"/>
      <c r="TNE370" s="393"/>
      <c r="TNF370" s="394"/>
      <c r="TNG370" s="593"/>
      <c r="TNH370" s="594"/>
      <c r="TNI370" s="671"/>
      <c r="TNJ370" s="330"/>
      <c r="TNK370" s="377"/>
      <c r="TNL370" s="391"/>
      <c r="TNM370" s="672"/>
      <c r="TNN370" s="393"/>
      <c r="TNO370" s="394"/>
      <c r="TNP370" s="593"/>
      <c r="TNQ370" s="594"/>
      <c r="TNR370" s="671"/>
      <c r="TNS370" s="330"/>
      <c r="TNT370" s="377"/>
      <c r="TNU370" s="391"/>
      <c r="TNV370" s="672"/>
      <c r="TNW370" s="393"/>
      <c r="TNX370" s="394"/>
      <c r="TNY370" s="593"/>
      <c r="TNZ370" s="594"/>
      <c r="TOA370" s="671"/>
      <c r="TOB370" s="330"/>
      <c r="TOC370" s="377"/>
      <c r="TOD370" s="391"/>
      <c r="TOE370" s="672"/>
      <c r="TOF370" s="393"/>
      <c r="TOG370" s="394"/>
      <c r="TOH370" s="593"/>
      <c r="TOI370" s="594"/>
      <c r="TOJ370" s="671"/>
      <c r="TOK370" s="330"/>
      <c r="TOL370" s="377"/>
      <c r="TOM370" s="391"/>
      <c r="TON370" s="672"/>
      <c r="TOO370" s="393"/>
      <c r="TOP370" s="394"/>
      <c r="TOQ370" s="593"/>
      <c r="TOR370" s="594"/>
      <c r="TOS370" s="671"/>
      <c r="TOT370" s="330"/>
      <c r="TOU370" s="377"/>
      <c r="TOV370" s="391"/>
      <c r="TOW370" s="672"/>
      <c r="TOX370" s="393"/>
      <c r="TOY370" s="394"/>
      <c r="TOZ370" s="593"/>
      <c r="TPA370" s="594"/>
      <c r="TPB370" s="671"/>
      <c r="TPC370" s="330"/>
      <c r="TPD370" s="377"/>
      <c r="TPE370" s="391"/>
      <c r="TPF370" s="672"/>
      <c r="TPG370" s="393"/>
      <c r="TPH370" s="394"/>
      <c r="TPI370" s="593"/>
      <c r="TPJ370" s="594"/>
      <c r="TPK370" s="671"/>
      <c r="TPL370" s="330"/>
      <c r="TPM370" s="377"/>
      <c r="TPN370" s="391"/>
      <c r="TPO370" s="672"/>
      <c r="TPP370" s="393"/>
      <c r="TPQ370" s="394"/>
      <c r="TPR370" s="593"/>
      <c r="TPS370" s="594"/>
      <c r="TPT370" s="671"/>
      <c r="TPU370" s="330"/>
      <c r="TPV370" s="377"/>
      <c r="TPW370" s="391"/>
      <c r="TPX370" s="672"/>
      <c r="TPY370" s="393"/>
      <c r="TPZ370" s="394"/>
      <c r="TQA370" s="593"/>
      <c r="TQB370" s="594"/>
      <c r="TQC370" s="671"/>
      <c r="TQD370" s="330"/>
      <c r="TQE370" s="377"/>
      <c r="TQF370" s="391"/>
      <c r="TQG370" s="672"/>
      <c r="TQH370" s="393"/>
      <c r="TQI370" s="394"/>
      <c r="TQJ370" s="593"/>
      <c r="TQK370" s="594"/>
      <c r="TQL370" s="671"/>
      <c r="TQM370" s="330"/>
      <c r="TQN370" s="377"/>
      <c r="TQO370" s="391"/>
      <c r="TQP370" s="672"/>
      <c r="TQQ370" s="393"/>
      <c r="TQR370" s="394"/>
      <c r="TQS370" s="593"/>
      <c r="TQT370" s="594"/>
      <c r="TQU370" s="671"/>
      <c r="TQV370" s="330"/>
      <c r="TQW370" s="377"/>
      <c r="TQX370" s="391"/>
      <c r="TQY370" s="672"/>
      <c r="TQZ370" s="393"/>
      <c r="TRA370" s="394"/>
      <c r="TRB370" s="593"/>
      <c r="TRC370" s="594"/>
      <c r="TRD370" s="671"/>
      <c r="TRE370" s="330"/>
      <c r="TRF370" s="377"/>
      <c r="TRG370" s="391"/>
      <c r="TRH370" s="672"/>
      <c r="TRI370" s="393"/>
      <c r="TRJ370" s="394"/>
      <c r="TRK370" s="593"/>
      <c r="TRL370" s="594"/>
      <c r="TRM370" s="671"/>
      <c r="TRN370" s="330"/>
      <c r="TRO370" s="377"/>
      <c r="TRP370" s="391"/>
      <c r="TRQ370" s="672"/>
      <c r="TRR370" s="393"/>
      <c r="TRS370" s="394"/>
      <c r="TRT370" s="593"/>
      <c r="TRU370" s="594"/>
      <c r="TRV370" s="671"/>
      <c r="TRW370" s="330"/>
      <c r="TRX370" s="377"/>
      <c r="TRY370" s="391"/>
      <c r="TRZ370" s="672"/>
      <c r="TSA370" s="393"/>
      <c r="TSB370" s="394"/>
      <c r="TSC370" s="593"/>
      <c r="TSD370" s="594"/>
      <c r="TSE370" s="671"/>
      <c r="TSF370" s="330"/>
      <c r="TSG370" s="377"/>
      <c r="TSH370" s="391"/>
      <c r="TSI370" s="672"/>
      <c r="TSJ370" s="393"/>
      <c r="TSK370" s="394"/>
      <c r="TSL370" s="593"/>
      <c r="TSM370" s="594"/>
      <c r="TSN370" s="671"/>
      <c r="TSO370" s="330"/>
      <c r="TSP370" s="377"/>
      <c r="TSQ370" s="391"/>
      <c r="TSR370" s="672"/>
      <c r="TSS370" s="393"/>
      <c r="TST370" s="394"/>
      <c r="TSU370" s="593"/>
      <c r="TSV370" s="594"/>
      <c r="TSW370" s="671"/>
      <c r="TSX370" s="330"/>
      <c r="TSY370" s="377"/>
      <c r="TSZ370" s="391"/>
      <c r="TTA370" s="672"/>
      <c r="TTB370" s="393"/>
      <c r="TTC370" s="394"/>
      <c r="TTD370" s="593"/>
      <c r="TTE370" s="594"/>
      <c r="TTF370" s="671"/>
      <c r="TTG370" s="330"/>
      <c r="TTH370" s="377"/>
      <c r="TTI370" s="391"/>
      <c r="TTJ370" s="672"/>
      <c r="TTK370" s="393"/>
      <c r="TTL370" s="394"/>
      <c r="TTM370" s="593"/>
      <c r="TTN370" s="594"/>
      <c r="TTO370" s="671"/>
      <c r="TTP370" s="330"/>
      <c r="TTQ370" s="377"/>
      <c r="TTR370" s="391"/>
      <c r="TTS370" s="672"/>
      <c r="TTT370" s="393"/>
      <c r="TTU370" s="394"/>
      <c r="TTV370" s="593"/>
      <c r="TTW370" s="594"/>
      <c r="TTX370" s="671"/>
      <c r="TTY370" s="330"/>
      <c r="TTZ370" s="377"/>
      <c r="TUA370" s="391"/>
      <c r="TUB370" s="672"/>
      <c r="TUC370" s="393"/>
      <c r="TUD370" s="394"/>
      <c r="TUE370" s="593"/>
      <c r="TUF370" s="594"/>
      <c r="TUG370" s="671"/>
      <c r="TUH370" s="330"/>
      <c r="TUI370" s="377"/>
      <c r="TUJ370" s="391"/>
      <c r="TUK370" s="672"/>
      <c r="TUL370" s="393"/>
      <c r="TUM370" s="394"/>
      <c r="TUN370" s="593"/>
      <c r="TUO370" s="594"/>
      <c r="TUP370" s="671"/>
      <c r="TUQ370" s="330"/>
      <c r="TUR370" s="377"/>
      <c r="TUS370" s="391"/>
      <c r="TUT370" s="672"/>
      <c r="TUU370" s="393"/>
      <c r="TUV370" s="394"/>
      <c r="TUW370" s="593"/>
      <c r="TUX370" s="594"/>
      <c r="TUY370" s="671"/>
      <c r="TUZ370" s="330"/>
      <c r="TVA370" s="377"/>
      <c r="TVB370" s="391"/>
      <c r="TVC370" s="672"/>
      <c r="TVD370" s="393"/>
      <c r="TVE370" s="394"/>
      <c r="TVF370" s="593"/>
      <c r="TVG370" s="594"/>
      <c r="TVH370" s="671"/>
      <c r="TVI370" s="330"/>
      <c r="TVJ370" s="377"/>
      <c r="TVK370" s="391"/>
      <c r="TVL370" s="672"/>
      <c r="TVM370" s="393"/>
      <c r="TVN370" s="394"/>
      <c r="TVO370" s="593"/>
      <c r="TVP370" s="594"/>
      <c r="TVQ370" s="671"/>
      <c r="TVR370" s="330"/>
      <c r="TVS370" s="377"/>
      <c r="TVT370" s="391"/>
      <c r="TVU370" s="672"/>
      <c r="TVV370" s="393"/>
      <c r="TVW370" s="394"/>
      <c r="TVX370" s="593"/>
      <c r="TVY370" s="594"/>
      <c r="TVZ370" s="671"/>
      <c r="TWA370" s="330"/>
      <c r="TWB370" s="377"/>
      <c r="TWC370" s="391"/>
      <c r="TWD370" s="672"/>
      <c r="TWE370" s="393"/>
      <c r="TWF370" s="394"/>
      <c r="TWG370" s="593"/>
      <c r="TWH370" s="594"/>
      <c r="TWI370" s="671"/>
      <c r="TWJ370" s="330"/>
      <c r="TWK370" s="377"/>
      <c r="TWL370" s="391"/>
      <c r="TWM370" s="672"/>
      <c r="TWN370" s="393"/>
      <c r="TWO370" s="394"/>
      <c r="TWP370" s="593"/>
      <c r="TWQ370" s="594"/>
      <c r="TWR370" s="671"/>
      <c r="TWS370" s="330"/>
      <c r="TWT370" s="377"/>
      <c r="TWU370" s="391"/>
      <c r="TWV370" s="672"/>
      <c r="TWW370" s="393"/>
      <c r="TWX370" s="394"/>
      <c r="TWY370" s="593"/>
      <c r="TWZ370" s="594"/>
      <c r="TXA370" s="671"/>
      <c r="TXB370" s="330"/>
      <c r="TXC370" s="377"/>
      <c r="TXD370" s="391"/>
      <c r="TXE370" s="672"/>
      <c r="TXF370" s="393"/>
      <c r="TXG370" s="394"/>
      <c r="TXH370" s="593"/>
      <c r="TXI370" s="594"/>
      <c r="TXJ370" s="671"/>
      <c r="TXK370" s="330"/>
      <c r="TXL370" s="377"/>
      <c r="TXM370" s="391"/>
      <c r="TXN370" s="672"/>
      <c r="TXO370" s="393"/>
      <c r="TXP370" s="394"/>
      <c r="TXQ370" s="593"/>
      <c r="TXR370" s="594"/>
      <c r="TXS370" s="671"/>
      <c r="TXT370" s="330"/>
      <c r="TXU370" s="377"/>
      <c r="TXV370" s="391"/>
      <c r="TXW370" s="672"/>
      <c r="TXX370" s="393"/>
      <c r="TXY370" s="394"/>
      <c r="TXZ370" s="593"/>
      <c r="TYA370" s="594"/>
      <c r="TYB370" s="671"/>
      <c r="TYC370" s="330"/>
      <c r="TYD370" s="377"/>
      <c r="TYE370" s="391"/>
      <c r="TYF370" s="672"/>
      <c r="TYG370" s="393"/>
      <c r="TYH370" s="394"/>
      <c r="TYI370" s="593"/>
      <c r="TYJ370" s="594"/>
      <c r="TYK370" s="671"/>
      <c r="TYL370" s="330"/>
      <c r="TYM370" s="377"/>
      <c r="TYN370" s="391"/>
      <c r="TYO370" s="672"/>
      <c r="TYP370" s="393"/>
      <c r="TYQ370" s="394"/>
      <c r="TYR370" s="593"/>
      <c r="TYS370" s="594"/>
      <c r="TYT370" s="671"/>
      <c r="TYU370" s="330"/>
      <c r="TYV370" s="377"/>
      <c r="TYW370" s="391"/>
      <c r="TYX370" s="672"/>
      <c r="TYY370" s="393"/>
      <c r="TYZ370" s="394"/>
      <c r="TZA370" s="593"/>
      <c r="TZB370" s="594"/>
      <c r="TZC370" s="671"/>
      <c r="TZD370" s="330"/>
      <c r="TZE370" s="377"/>
      <c r="TZF370" s="391"/>
      <c r="TZG370" s="672"/>
      <c r="TZH370" s="393"/>
      <c r="TZI370" s="394"/>
      <c r="TZJ370" s="593"/>
      <c r="TZK370" s="594"/>
      <c r="TZL370" s="671"/>
      <c r="TZM370" s="330"/>
      <c r="TZN370" s="377"/>
      <c r="TZO370" s="391"/>
      <c r="TZP370" s="672"/>
      <c r="TZQ370" s="393"/>
      <c r="TZR370" s="394"/>
      <c r="TZS370" s="593"/>
      <c r="TZT370" s="594"/>
      <c r="TZU370" s="671"/>
      <c r="TZV370" s="330"/>
      <c r="TZW370" s="377"/>
      <c r="TZX370" s="391"/>
      <c r="TZY370" s="672"/>
      <c r="TZZ370" s="393"/>
      <c r="UAA370" s="394"/>
      <c r="UAB370" s="593"/>
      <c r="UAC370" s="594"/>
      <c r="UAD370" s="671"/>
      <c r="UAE370" s="330"/>
      <c r="UAF370" s="377"/>
      <c r="UAG370" s="391"/>
      <c r="UAH370" s="672"/>
      <c r="UAI370" s="393"/>
      <c r="UAJ370" s="394"/>
      <c r="UAK370" s="593"/>
      <c r="UAL370" s="594"/>
      <c r="UAM370" s="671"/>
      <c r="UAN370" s="330"/>
      <c r="UAO370" s="377"/>
      <c r="UAP370" s="391"/>
      <c r="UAQ370" s="672"/>
      <c r="UAR370" s="393"/>
      <c r="UAS370" s="394"/>
      <c r="UAT370" s="593"/>
      <c r="UAU370" s="594"/>
      <c r="UAV370" s="671"/>
      <c r="UAW370" s="330"/>
      <c r="UAX370" s="377"/>
      <c r="UAY370" s="391"/>
      <c r="UAZ370" s="672"/>
      <c r="UBA370" s="393"/>
      <c r="UBB370" s="394"/>
      <c r="UBC370" s="593"/>
      <c r="UBD370" s="594"/>
      <c r="UBE370" s="671"/>
      <c r="UBF370" s="330"/>
      <c r="UBG370" s="377"/>
      <c r="UBH370" s="391"/>
      <c r="UBI370" s="672"/>
      <c r="UBJ370" s="393"/>
      <c r="UBK370" s="394"/>
      <c r="UBL370" s="593"/>
      <c r="UBM370" s="594"/>
      <c r="UBN370" s="671"/>
      <c r="UBO370" s="330"/>
      <c r="UBP370" s="377"/>
      <c r="UBQ370" s="391"/>
      <c r="UBR370" s="672"/>
      <c r="UBS370" s="393"/>
      <c r="UBT370" s="394"/>
      <c r="UBU370" s="593"/>
      <c r="UBV370" s="594"/>
      <c r="UBW370" s="671"/>
      <c r="UBX370" s="330"/>
      <c r="UBY370" s="377"/>
      <c r="UBZ370" s="391"/>
      <c r="UCA370" s="672"/>
      <c r="UCB370" s="393"/>
      <c r="UCC370" s="394"/>
      <c r="UCD370" s="593"/>
      <c r="UCE370" s="594"/>
      <c r="UCF370" s="671"/>
      <c r="UCG370" s="330"/>
      <c r="UCH370" s="377"/>
      <c r="UCI370" s="391"/>
      <c r="UCJ370" s="672"/>
      <c r="UCK370" s="393"/>
      <c r="UCL370" s="394"/>
      <c r="UCM370" s="593"/>
      <c r="UCN370" s="594"/>
      <c r="UCO370" s="671"/>
      <c r="UCP370" s="330"/>
      <c r="UCQ370" s="377"/>
      <c r="UCR370" s="391"/>
      <c r="UCS370" s="672"/>
      <c r="UCT370" s="393"/>
      <c r="UCU370" s="394"/>
      <c r="UCV370" s="593"/>
      <c r="UCW370" s="594"/>
      <c r="UCX370" s="671"/>
      <c r="UCY370" s="330"/>
      <c r="UCZ370" s="377"/>
      <c r="UDA370" s="391"/>
      <c r="UDB370" s="672"/>
      <c r="UDC370" s="393"/>
      <c r="UDD370" s="394"/>
      <c r="UDE370" s="593"/>
      <c r="UDF370" s="594"/>
      <c r="UDG370" s="671"/>
      <c r="UDH370" s="330"/>
      <c r="UDI370" s="377"/>
      <c r="UDJ370" s="391"/>
      <c r="UDK370" s="672"/>
      <c r="UDL370" s="393"/>
      <c r="UDM370" s="394"/>
      <c r="UDN370" s="593"/>
      <c r="UDO370" s="594"/>
      <c r="UDP370" s="671"/>
      <c r="UDQ370" s="330"/>
      <c r="UDR370" s="377"/>
      <c r="UDS370" s="391"/>
      <c r="UDT370" s="672"/>
      <c r="UDU370" s="393"/>
      <c r="UDV370" s="394"/>
      <c r="UDW370" s="593"/>
      <c r="UDX370" s="594"/>
      <c r="UDY370" s="671"/>
      <c r="UDZ370" s="330"/>
      <c r="UEA370" s="377"/>
      <c r="UEB370" s="391"/>
      <c r="UEC370" s="672"/>
      <c r="UED370" s="393"/>
      <c r="UEE370" s="394"/>
      <c r="UEF370" s="593"/>
      <c r="UEG370" s="594"/>
      <c r="UEH370" s="671"/>
      <c r="UEI370" s="330"/>
      <c r="UEJ370" s="377"/>
      <c r="UEK370" s="391"/>
      <c r="UEL370" s="672"/>
      <c r="UEM370" s="393"/>
      <c r="UEN370" s="394"/>
      <c r="UEO370" s="593"/>
      <c r="UEP370" s="594"/>
      <c r="UEQ370" s="671"/>
      <c r="UER370" s="330"/>
      <c r="UES370" s="377"/>
      <c r="UET370" s="391"/>
      <c r="UEU370" s="672"/>
      <c r="UEV370" s="393"/>
      <c r="UEW370" s="394"/>
      <c r="UEX370" s="593"/>
      <c r="UEY370" s="594"/>
      <c r="UEZ370" s="671"/>
      <c r="UFA370" s="330"/>
      <c r="UFB370" s="377"/>
      <c r="UFC370" s="391"/>
      <c r="UFD370" s="672"/>
      <c r="UFE370" s="393"/>
      <c r="UFF370" s="394"/>
      <c r="UFG370" s="593"/>
      <c r="UFH370" s="594"/>
      <c r="UFI370" s="671"/>
      <c r="UFJ370" s="330"/>
      <c r="UFK370" s="377"/>
      <c r="UFL370" s="391"/>
      <c r="UFM370" s="672"/>
      <c r="UFN370" s="393"/>
      <c r="UFO370" s="394"/>
      <c r="UFP370" s="593"/>
      <c r="UFQ370" s="594"/>
      <c r="UFR370" s="671"/>
      <c r="UFS370" s="330"/>
      <c r="UFT370" s="377"/>
      <c r="UFU370" s="391"/>
      <c r="UFV370" s="672"/>
      <c r="UFW370" s="393"/>
      <c r="UFX370" s="394"/>
      <c r="UFY370" s="593"/>
      <c r="UFZ370" s="594"/>
      <c r="UGA370" s="671"/>
      <c r="UGB370" s="330"/>
      <c r="UGC370" s="377"/>
      <c r="UGD370" s="391"/>
      <c r="UGE370" s="672"/>
      <c r="UGF370" s="393"/>
      <c r="UGG370" s="394"/>
      <c r="UGH370" s="593"/>
      <c r="UGI370" s="594"/>
      <c r="UGJ370" s="671"/>
      <c r="UGK370" s="330"/>
      <c r="UGL370" s="377"/>
      <c r="UGM370" s="391"/>
      <c r="UGN370" s="672"/>
      <c r="UGO370" s="393"/>
      <c r="UGP370" s="394"/>
      <c r="UGQ370" s="593"/>
      <c r="UGR370" s="594"/>
      <c r="UGS370" s="671"/>
      <c r="UGT370" s="330"/>
      <c r="UGU370" s="377"/>
      <c r="UGV370" s="391"/>
      <c r="UGW370" s="672"/>
      <c r="UGX370" s="393"/>
      <c r="UGY370" s="394"/>
      <c r="UGZ370" s="593"/>
      <c r="UHA370" s="594"/>
      <c r="UHB370" s="671"/>
      <c r="UHC370" s="330"/>
      <c r="UHD370" s="377"/>
      <c r="UHE370" s="391"/>
      <c r="UHF370" s="672"/>
      <c r="UHG370" s="393"/>
      <c r="UHH370" s="394"/>
      <c r="UHI370" s="593"/>
      <c r="UHJ370" s="594"/>
      <c r="UHK370" s="671"/>
      <c r="UHL370" s="330"/>
      <c r="UHM370" s="377"/>
      <c r="UHN370" s="391"/>
      <c r="UHO370" s="672"/>
      <c r="UHP370" s="393"/>
      <c r="UHQ370" s="394"/>
      <c r="UHR370" s="593"/>
      <c r="UHS370" s="594"/>
      <c r="UHT370" s="671"/>
      <c r="UHU370" s="330"/>
      <c r="UHV370" s="377"/>
      <c r="UHW370" s="391"/>
      <c r="UHX370" s="672"/>
      <c r="UHY370" s="393"/>
      <c r="UHZ370" s="394"/>
      <c r="UIA370" s="593"/>
      <c r="UIB370" s="594"/>
      <c r="UIC370" s="671"/>
      <c r="UID370" s="330"/>
      <c r="UIE370" s="377"/>
      <c r="UIF370" s="391"/>
      <c r="UIG370" s="672"/>
      <c r="UIH370" s="393"/>
      <c r="UII370" s="394"/>
      <c r="UIJ370" s="593"/>
      <c r="UIK370" s="594"/>
      <c r="UIL370" s="671"/>
      <c r="UIM370" s="330"/>
      <c r="UIN370" s="377"/>
      <c r="UIO370" s="391"/>
      <c r="UIP370" s="672"/>
      <c r="UIQ370" s="393"/>
      <c r="UIR370" s="394"/>
      <c r="UIS370" s="593"/>
      <c r="UIT370" s="594"/>
      <c r="UIU370" s="671"/>
      <c r="UIV370" s="330"/>
      <c r="UIW370" s="377"/>
      <c r="UIX370" s="391"/>
      <c r="UIY370" s="672"/>
      <c r="UIZ370" s="393"/>
      <c r="UJA370" s="394"/>
      <c r="UJB370" s="593"/>
      <c r="UJC370" s="594"/>
      <c r="UJD370" s="671"/>
      <c r="UJE370" s="330"/>
      <c r="UJF370" s="377"/>
      <c r="UJG370" s="391"/>
      <c r="UJH370" s="672"/>
      <c r="UJI370" s="393"/>
      <c r="UJJ370" s="394"/>
      <c r="UJK370" s="593"/>
      <c r="UJL370" s="594"/>
      <c r="UJM370" s="671"/>
      <c r="UJN370" s="330"/>
      <c r="UJO370" s="377"/>
      <c r="UJP370" s="391"/>
      <c r="UJQ370" s="672"/>
      <c r="UJR370" s="393"/>
      <c r="UJS370" s="394"/>
      <c r="UJT370" s="593"/>
      <c r="UJU370" s="594"/>
      <c r="UJV370" s="671"/>
      <c r="UJW370" s="330"/>
      <c r="UJX370" s="377"/>
      <c r="UJY370" s="391"/>
      <c r="UJZ370" s="672"/>
      <c r="UKA370" s="393"/>
      <c r="UKB370" s="394"/>
      <c r="UKC370" s="593"/>
      <c r="UKD370" s="594"/>
      <c r="UKE370" s="671"/>
      <c r="UKF370" s="330"/>
      <c r="UKG370" s="377"/>
      <c r="UKH370" s="391"/>
      <c r="UKI370" s="672"/>
      <c r="UKJ370" s="393"/>
      <c r="UKK370" s="394"/>
      <c r="UKL370" s="593"/>
      <c r="UKM370" s="594"/>
      <c r="UKN370" s="671"/>
      <c r="UKO370" s="330"/>
      <c r="UKP370" s="377"/>
      <c r="UKQ370" s="391"/>
      <c r="UKR370" s="672"/>
      <c r="UKS370" s="393"/>
      <c r="UKT370" s="394"/>
      <c r="UKU370" s="593"/>
      <c r="UKV370" s="594"/>
      <c r="UKW370" s="671"/>
      <c r="UKX370" s="330"/>
      <c r="UKY370" s="377"/>
      <c r="UKZ370" s="391"/>
      <c r="ULA370" s="672"/>
      <c r="ULB370" s="393"/>
      <c r="ULC370" s="394"/>
      <c r="ULD370" s="593"/>
      <c r="ULE370" s="594"/>
      <c r="ULF370" s="671"/>
      <c r="ULG370" s="330"/>
      <c r="ULH370" s="377"/>
      <c r="ULI370" s="391"/>
      <c r="ULJ370" s="672"/>
      <c r="ULK370" s="393"/>
      <c r="ULL370" s="394"/>
      <c r="ULM370" s="593"/>
      <c r="ULN370" s="594"/>
      <c r="ULO370" s="671"/>
      <c r="ULP370" s="330"/>
      <c r="ULQ370" s="377"/>
      <c r="ULR370" s="391"/>
      <c r="ULS370" s="672"/>
      <c r="ULT370" s="393"/>
      <c r="ULU370" s="394"/>
      <c r="ULV370" s="593"/>
      <c r="ULW370" s="594"/>
      <c r="ULX370" s="671"/>
      <c r="ULY370" s="330"/>
      <c r="ULZ370" s="377"/>
      <c r="UMA370" s="391"/>
      <c r="UMB370" s="672"/>
      <c r="UMC370" s="393"/>
      <c r="UMD370" s="394"/>
      <c r="UME370" s="593"/>
      <c r="UMF370" s="594"/>
      <c r="UMG370" s="671"/>
      <c r="UMH370" s="330"/>
      <c r="UMI370" s="377"/>
      <c r="UMJ370" s="391"/>
      <c r="UMK370" s="672"/>
      <c r="UML370" s="393"/>
      <c r="UMM370" s="394"/>
      <c r="UMN370" s="593"/>
      <c r="UMO370" s="594"/>
      <c r="UMP370" s="671"/>
      <c r="UMQ370" s="330"/>
      <c r="UMR370" s="377"/>
      <c r="UMS370" s="391"/>
      <c r="UMT370" s="672"/>
      <c r="UMU370" s="393"/>
      <c r="UMV370" s="394"/>
      <c r="UMW370" s="593"/>
      <c r="UMX370" s="594"/>
      <c r="UMY370" s="671"/>
      <c r="UMZ370" s="330"/>
      <c r="UNA370" s="377"/>
      <c r="UNB370" s="391"/>
      <c r="UNC370" s="672"/>
      <c r="UND370" s="393"/>
      <c r="UNE370" s="394"/>
      <c r="UNF370" s="593"/>
      <c r="UNG370" s="594"/>
      <c r="UNH370" s="671"/>
      <c r="UNI370" s="330"/>
      <c r="UNJ370" s="377"/>
      <c r="UNK370" s="391"/>
      <c r="UNL370" s="672"/>
      <c r="UNM370" s="393"/>
      <c r="UNN370" s="394"/>
      <c r="UNO370" s="593"/>
      <c r="UNP370" s="594"/>
      <c r="UNQ370" s="671"/>
      <c r="UNR370" s="330"/>
      <c r="UNS370" s="377"/>
      <c r="UNT370" s="391"/>
      <c r="UNU370" s="672"/>
      <c r="UNV370" s="393"/>
      <c r="UNW370" s="394"/>
      <c r="UNX370" s="593"/>
      <c r="UNY370" s="594"/>
      <c r="UNZ370" s="671"/>
      <c r="UOA370" s="330"/>
      <c r="UOB370" s="377"/>
      <c r="UOC370" s="391"/>
      <c r="UOD370" s="672"/>
      <c r="UOE370" s="393"/>
      <c r="UOF370" s="394"/>
      <c r="UOG370" s="593"/>
      <c r="UOH370" s="594"/>
      <c r="UOI370" s="671"/>
      <c r="UOJ370" s="330"/>
      <c r="UOK370" s="377"/>
      <c r="UOL370" s="391"/>
      <c r="UOM370" s="672"/>
      <c r="UON370" s="393"/>
      <c r="UOO370" s="394"/>
      <c r="UOP370" s="593"/>
      <c r="UOQ370" s="594"/>
      <c r="UOR370" s="671"/>
      <c r="UOS370" s="330"/>
      <c r="UOT370" s="377"/>
      <c r="UOU370" s="391"/>
      <c r="UOV370" s="672"/>
      <c r="UOW370" s="393"/>
      <c r="UOX370" s="394"/>
      <c r="UOY370" s="593"/>
      <c r="UOZ370" s="594"/>
      <c r="UPA370" s="671"/>
      <c r="UPB370" s="330"/>
      <c r="UPC370" s="377"/>
      <c r="UPD370" s="391"/>
      <c r="UPE370" s="672"/>
      <c r="UPF370" s="393"/>
      <c r="UPG370" s="394"/>
      <c r="UPH370" s="593"/>
      <c r="UPI370" s="594"/>
      <c r="UPJ370" s="671"/>
      <c r="UPK370" s="330"/>
      <c r="UPL370" s="377"/>
      <c r="UPM370" s="391"/>
      <c r="UPN370" s="672"/>
      <c r="UPO370" s="393"/>
      <c r="UPP370" s="394"/>
      <c r="UPQ370" s="593"/>
      <c r="UPR370" s="594"/>
      <c r="UPS370" s="671"/>
      <c r="UPT370" s="330"/>
      <c r="UPU370" s="377"/>
      <c r="UPV370" s="391"/>
      <c r="UPW370" s="672"/>
      <c r="UPX370" s="393"/>
      <c r="UPY370" s="394"/>
      <c r="UPZ370" s="593"/>
      <c r="UQA370" s="594"/>
      <c r="UQB370" s="671"/>
      <c r="UQC370" s="330"/>
      <c r="UQD370" s="377"/>
      <c r="UQE370" s="391"/>
      <c r="UQF370" s="672"/>
      <c r="UQG370" s="393"/>
      <c r="UQH370" s="394"/>
      <c r="UQI370" s="593"/>
      <c r="UQJ370" s="594"/>
      <c r="UQK370" s="671"/>
      <c r="UQL370" s="330"/>
      <c r="UQM370" s="377"/>
      <c r="UQN370" s="391"/>
      <c r="UQO370" s="672"/>
      <c r="UQP370" s="393"/>
      <c r="UQQ370" s="394"/>
      <c r="UQR370" s="593"/>
      <c r="UQS370" s="594"/>
      <c r="UQT370" s="671"/>
      <c r="UQU370" s="330"/>
      <c r="UQV370" s="377"/>
      <c r="UQW370" s="391"/>
      <c r="UQX370" s="672"/>
      <c r="UQY370" s="393"/>
      <c r="UQZ370" s="394"/>
      <c r="URA370" s="593"/>
      <c r="URB370" s="594"/>
      <c r="URC370" s="671"/>
      <c r="URD370" s="330"/>
      <c r="URE370" s="377"/>
      <c r="URF370" s="391"/>
      <c r="URG370" s="672"/>
      <c r="URH370" s="393"/>
      <c r="URI370" s="394"/>
      <c r="URJ370" s="593"/>
      <c r="URK370" s="594"/>
      <c r="URL370" s="671"/>
      <c r="URM370" s="330"/>
      <c r="URN370" s="377"/>
      <c r="URO370" s="391"/>
      <c r="URP370" s="672"/>
      <c r="URQ370" s="393"/>
      <c r="URR370" s="394"/>
      <c r="URS370" s="593"/>
      <c r="URT370" s="594"/>
      <c r="URU370" s="671"/>
      <c r="URV370" s="330"/>
      <c r="URW370" s="377"/>
      <c r="URX370" s="391"/>
      <c r="URY370" s="672"/>
      <c r="URZ370" s="393"/>
      <c r="USA370" s="394"/>
      <c r="USB370" s="593"/>
      <c r="USC370" s="594"/>
      <c r="USD370" s="671"/>
      <c r="USE370" s="330"/>
      <c r="USF370" s="377"/>
      <c r="USG370" s="391"/>
      <c r="USH370" s="672"/>
      <c r="USI370" s="393"/>
      <c r="USJ370" s="394"/>
      <c r="USK370" s="593"/>
      <c r="USL370" s="594"/>
      <c r="USM370" s="671"/>
      <c r="USN370" s="330"/>
      <c r="USO370" s="377"/>
      <c r="USP370" s="391"/>
      <c r="USQ370" s="672"/>
      <c r="USR370" s="393"/>
      <c r="USS370" s="394"/>
      <c r="UST370" s="593"/>
      <c r="USU370" s="594"/>
      <c r="USV370" s="671"/>
      <c r="USW370" s="330"/>
      <c r="USX370" s="377"/>
      <c r="USY370" s="391"/>
      <c r="USZ370" s="672"/>
      <c r="UTA370" s="393"/>
      <c r="UTB370" s="394"/>
      <c r="UTC370" s="593"/>
      <c r="UTD370" s="594"/>
      <c r="UTE370" s="671"/>
      <c r="UTF370" s="330"/>
      <c r="UTG370" s="377"/>
      <c r="UTH370" s="391"/>
      <c r="UTI370" s="672"/>
      <c r="UTJ370" s="393"/>
      <c r="UTK370" s="394"/>
      <c r="UTL370" s="593"/>
      <c r="UTM370" s="594"/>
      <c r="UTN370" s="671"/>
      <c r="UTO370" s="330"/>
      <c r="UTP370" s="377"/>
      <c r="UTQ370" s="391"/>
      <c r="UTR370" s="672"/>
      <c r="UTS370" s="393"/>
      <c r="UTT370" s="394"/>
      <c r="UTU370" s="593"/>
      <c r="UTV370" s="594"/>
      <c r="UTW370" s="671"/>
      <c r="UTX370" s="330"/>
      <c r="UTY370" s="377"/>
      <c r="UTZ370" s="391"/>
      <c r="UUA370" s="672"/>
      <c r="UUB370" s="393"/>
      <c r="UUC370" s="394"/>
      <c r="UUD370" s="593"/>
      <c r="UUE370" s="594"/>
      <c r="UUF370" s="671"/>
      <c r="UUG370" s="330"/>
      <c r="UUH370" s="377"/>
      <c r="UUI370" s="391"/>
      <c r="UUJ370" s="672"/>
      <c r="UUK370" s="393"/>
      <c r="UUL370" s="394"/>
      <c r="UUM370" s="593"/>
      <c r="UUN370" s="594"/>
      <c r="UUO370" s="671"/>
      <c r="UUP370" s="330"/>
      <c r="UUQ370" s="377"/>
      <c r="UUR370" s="391"/>
      <c r="UUS370" s="672"/>
      <c r="UUT370" s="393"/>
      <c r="UUU370" s="394"/>
      <c r="UUV370" s="593"/>
      <c r="UUW370" s="594"/>
      <c r="UUX370" s="671"/>
      <c r="UUY370" s="330"/>
      <c r="UUZ370" s="377"/>
      <c r="UVA370" s="391"/>
      <c r="UVB370" s="672"/>
      <c r="UVC370" s="393"/>
      <c r="UVD370" s="394"/>
      <c r="UVE370" s="593"/>
      <c r="UVF370" s="594"/>
      <c r="UVG370" s="671"/>
      <c r="UVH370" s="330"/>
      <c r="UVI370" s="377"/>
      <c r="UVJ370" s="391"/>
      <c r="UVK370" s="672"/>
      <c r="UVL370" s="393"/>
      <c r="UVM370" s="394"/>
      <c r="UVN370" s="593"/>
      <c r="UVO370" s="594"/>
      <c r="UVP370" s="671"/>
      <c r="UVQ370" s="330"/>
      <c r="UVR370" s="377"/>
      <c r="UVS370" s="391"/>
      <c r="UVT370" s="672"/>
      <c r="UVU370" s="393"/>
      <c r="UVV370" s="394"/>
      <c r="UVW370" s="593"/>
      <c r="UVX370" s="594"/>
      <c r="UVY370" s="671"/>
      <c r="UVZ370" s="330"/>
      <c r="UWA370" s="377"/>
      <c r="UWB370" s="391"/>
      <c r="UWC370" s="672"/>
      <c r="UWD370" s="393"/>
      <c r="UWE370" s="394"/>
      <c r="UWF370" s="593"/>
      <c r="UWG370" s="594"/>
      <c r="UWH370" s="671"/>
      <c r="UWI370" s="330"/>
      <c r="UWJ370" s="377"/>
      <c r="UWK370" s="391"/>
      <c r="UWL370" s="672"/>
      <c r="UWM370" s="393"/>
      <c r="UWN370" s="394"/>
      <c r="UWO370" s="593"/>
      <c r="UWP370" s="594"/>
      <c r="UWQ370" s="671"/>
      <c r="UWR370" s="330"/>
      <c r="UWS370" s="377"/>
      <c r="UWT370" s="391"/>
      <c r="UWU370" s="672"/>
      <c r="UWV370" s="393"/>
      <c r="UWW370" s="394"/>
      <c r="UWX370" s="593"/>
      <c r="UWY370" s="594"/>
      <c r="UWZ370" s="671"/>
      <c r="UXA370" s="330"/>
      <c r="UXB370" s="377"/>
      <c r="UXC370" s="391"/>
      <c r="UXD370" s="672"/>
      <c r="UXE370" s="393"/>
      <c r="UXF370" s="394"/>
      <c r="UXG370" s="593"/>
      <c r="UXH370" s="594"/>
      <c r="UXI370" s="671"/>
      <c r="UXJ370" s="330"/>
      <c r="UXK370" s="377"/>
      <c r="UXL370" s="391"/>
      <c r="UXM370" s="672"/>
      <c r="UXN370" s="393"/>
      <c r="UXO370" s="394"/>
      <c r="UXP370" s="593"/>
      <c r="UXQ370" s="594"/>
      <c r="UXR370" s="671"/>
      <c r="UXS370" s="330"/>
      <c r="UXT370" s="377"/>
      <c r="UXU370" s="391"/>
      <c r="UXV370" s="672"/>
      <c r="UXW370" s="393"/>
      <c r="UXX370" s="394"/>
      <c r="UXY370" s="593"/>
      <c r="UXZ370" s="594"/>
      <c r="UYA370" s="671"/>
      <c r="UYB370" s="330"/>
      <c r="UYC370" s="377"/>
      <c r="UYD370" s="391"/>
      <c r="UYE370" s="672"/>
      <c r="UYF370" s="393"/>
      <c r="UYG370" s="394"/>
      <c r="UYH370" s="593"/>
      <c r="UYI370" s="594"/>
      <c r="UYJ370" s="671"/>
      <c r="UYK370" s="330"/>
      <c r="UYL370" s="377"/>
      <c r="UYM370" s="391"/>
      <c r="UYN370" s="672"/>
      <c r="UYO370" s="393"/>
      <c r="UYP370" s="394"/>
      <c r="UYQ370" s="593"/>
      <c r="UYR370" s="594"/>
      <c r="UYS370" s="671"/>
      <c r="UYT370" s="330"/>
      <c r="UYU370" s="377"/>
      <c r="UYV370" s="391"/>
      <c r="UYW370" s="672"/>
      <c r="UYX370" s="393"/>
      <c r="UYY370" s="394"/>
      <c r="UYZ370" s="593"/>
      <c r="UZA370" s="594"/>
      <c r="UZB370" s="671"/>
      <c r="UZC370" s="330"/>
      <c r="UZD370" s="377"/>
      <c r="UZE370" s="391"/>
      <c r="UZF370" s="672"/>
      <c r="UZG370" s="393"/>
      <c r="UZH370" s="394"/>
      <c r="UZI370" s="593"/>
      <c r="UZJ370" s="594"/>
      <c r="UZK370" s="671"/>
      <c r="UZL370" s="330"/>
      <c r="UZM370" s="377"/>
      <c r="UZN370" s="391"/>
      <c r="UZO370" s="672"/>
      <c r="UZP370" s="393"/>
      <c r="UZQ370" s="394"/>
      <c r="UZR370" s="593"/>
      <c r="UZS370" s="594"/>
      <c r="UZT370" s="671"/>
      <c r="UZU370" s="330"/>
      <c r="UZV370" s="377"/>
      <c r="UZW370" s="391"/>
      <c r="UZX370" s="672"/>
      <c r="UZY370" s="393"/>
      <c r="UZZ370" s="394"/>
      <c r="VAA370" s="593"/>
      <c r="VAB370" s="594"/>
      <c r="VAC370" s="671"/>
      <c r="VAD370" s="330"/>
      <c r="VAE370" s="377"/>
      <c r="VAF370" s="391"/>
      <c r="VAG370" s="672"/>
      <c r="VAH370" s="393"/>
      <c r="VAI370" s="394"/>
      <c r="VAJ370" s="593"/>
      <c r="VAK370" s="594"/>
      <c r="VAL370" s="671"/>
      <c r="VAM370" s="330"/>
      <c r="VAN370" s="377"/>
      <c r="VAO370" s="391"/>
      <c r="VAP370" s="672"/>
      <c r="VAQ370" s="393"/>
      <c r="VAR370" s="394"/>
      <c r="VAS370" s="593"/>
      <c r="VAT370" s="594"/>
      <c r="VAU370" s="671"/>
      <c r="VAV370" s="330"/>
      <c r="VAW370" s="377"/>
      <c r="VAX370" s="391"/>
      <c r="VAY370" s="672"/>
      <c r="VAZ370" s="393"/>
      <c r="VBA370" s="394"/>
      <c r="VBB370" s="593"/>
      <c r="VBC370" s="594"/>
      <c r="VBD370" s="671"/>
      <c r="VBE370" s="330"/>
      <c r="VBF370" s="377"/>
      <c r="VBG370" s="391"/>
      <c r="VBH370" s="672"/>
      <c r="VBI370" s="393"/>
      <c r="VBJ370" s="394"/>
      <c r="VBK370" s="593"/>
      <c r="VBL370" s="594"/>
      <c r="VBM370" s="671"/>
      <c r="VBN370" s="330"/>
      <c r="VBO370" s="377"/>
      <c r="VBP370" s="391"/>
      <c r="VBQ370" s="672"/>
      <c r="VBR370" s="393"/>
      <c r="VBS370" s="394"/>
      <c r="VBT370" s="593"/>
      <c r="VBU370" s="594"/>
      <c r="VBV370" s="671"/>
      <c r="VBW370" s="330"/>
      <c r="VBX370" s="377"/>
      <c r="VBY370" s="391"/>
      <c r="VBZ370" s="672"/>
      <c r="VCA370" s="393"/>
      <c r="VCB370" s="394"/>
      <c r="VCC370" s="593"/>
      <c r="VCD370" s="594"/>
      <c r="VCE370" s="671"/>
      <c r="VCF370" s="330"/>
      <c r="VCG370" s="377"/>
      <c r="VCH370" s="391"/>
      <c r="VCI370" s="672"/>
      <c r="VCJ370" s="393"/>
      <c r="VCK370" s="394"/>
      <c r="VCL370" s="593"/>
      <c r="VCM370" s="594"/>
      <c r="VCN370" s="671"/>
      <c r="VCO370" s="330"/>
      <c r="VCP370" s="377"/>
      <c r="VCQ370" s="391"/>
      <c r="VCR370" s="672"/>
      <c r="VCS370" s="393"/>
      <c r="VCT370" s="394"/>
      <c r="VCU370" s="593"/>
      <c r="VCV370" s="594"/>
      <c r="VCW370" s="671"/>
      <c r="VCX370" s="330"/>
      <c r="VCY370" s="377"/>
      <c r="VCZ370" s="391"/>
      <c r="VDA370" s="672"/>
      <c r="VDB370" s="393"/>
      <c r="VDC370" s="394"/>
      <c r="VDD370" s="593"/>
      <c r="VDE370" s="594"/>
      <c r="VDF370" s="671"/>
      <c r="VDG370" s="330"/>
      <c r="VDH370" s="377"/>
      <c r="VDI370" s="391"/>
      <c r="VDJ370" s="672"/>
      <c r="VDK370" s="393"/>
      <c r="VDL370" s="394"/>
      <c r="VDM370" s="593"/>
      <c r="VDN370" s="594"/>
      <c r="VDO370" s="671"/>
      <c r="VDP370" s="330"/>
      <c r="VDQ370" s="377"/>
      <c r="VDR370" s="391"/>
      <c r="VDS370" s="672"/>
      <c r="VDT370" s="393"/>
      <c r="VDU370" s="394"/>
      <c r="VDV370" s="593"/>
      <c r="VDW370" s="594"/>
      <c r="VDX370" s="671"/>
      <c r="VDY370" s="330"/>
      <c r="VDZ370" s="377"/>
      <c r="VEA370" s="391"/>
      <c r="VEB370" s="672"/>
      <c r="VEC370" s="393"/>
      <c r="VED370" s="394"/>
      <c r="VEE370" s="593"/>
      <c r="VEF370" s="594"/>
      <c r="VEG370" s="671"/>
      <c r="VEH370" s="330"/>
      <c r="VEI370" s="377"/>
      <c r="VEJ370" s="391"/>
      <c r="VEK370" s="672"/>
      <c r="VEL370" s="393"/>
      <c r="VEM370" s="394"/>
      <c r="VEN370" s="593"/>
      <c r="VEO370" s="594"/>
      <c r="VEP370" s="671"/>
      <c r="VEQ370" s="330"/>
      <c r="VER370" s="377"/>
      <c r="VES370" s="391"/>
      <c r="VET370" s="672"/>
      <c r="VEU370" s="393"/>
      <c r="VEV370" s="394"/>
      <c r="VEW370" s="593"/>
      <c r="VEX370" s="594"/>
      <c r="VEY370" s="671"/>
      <c r="VEZ370" s="330"/>
      <c r="VFA370" s="377"/>
      <c r="VFB370" s="391"/>
      <c r="VFC370" s="672"/>
      <c r="VFD370" s="393"/>
      <c r="VFE370" s="394"/>
      <c r="VFF370" s="593"/>
      <c r="VFG370" s="594"/>
      <c r="VFH370" s="671"/>
      <c r="VFI370" s="330"/>
      <c r="VFJ370" s="377"/>
      <c r="VFK370" s="391"/>
      <c r="VFL370" s="672"/>
      <c r="VFM370" s="393"/>
      <c r="VFN370" s="394"/>
      <c r="VFO370" s="593"/>
      <c r="VFP370" s="594"/>
      <c r="VFQ370" s="671"/>
      <c r="VFR370" s="330"/>
      <c r="VFS370" s="377"/>
      <c r="VFT370" s="391"/>
      <c r="VFU370" s="672"/>
      <c r="VFV370" s="393"/>
      <c r="VFW370" s="394"/>
      <c r="VFX370" s="593"/>
      <c r="VFY370" s="594"/>
      <c r="VFZ370" s="671"/>
      <c r="VGA370" s="330"/>
      <c r="VGB370" s="377"/>
      <c r="VGC370" s="391"/>
      <c r="VGD370" s="672"/>
      <c r="VGE370" s="393"/>
      <c r="VGF370" s="394"/>
      <c r="VGG370" s="593"/>
      <c r="VGH370" s="594"/>
      <c r="VGI370" s="671"/>
      <c r="VGJ370" s="330"/>
      <c r="VGK370" s="377"/>
      <c r="VGL370" s="391"/>
      <c r="VGM370" s="672"/>
      <c r="VGN370" s="393"/>
      <c r="VGO370" s="394"/>
      <c r="VGP370" s="593"/>
      <c r="VGQ370" s="594"/>
      <c r="VGR370" s="671"/>
      <c r="VGS370" s="330"/>
      <c r="VGT370" s="377"/>
      <c r="VGU370" s="391"/>
      <c r="VGV370" s="672"/>
      <c r="VGW370" s="393"/>
      <c r="VGX370" s="394"/>
      <c r="VGY370" s="593"/>
      <c r="VGZ370" s="594"/>
      <c r="VHA370" s="671"/>
      <c r="VHB370" s="330"/>
      <c r="VHC370" s="377"/>
      <c r="VHD370" s="391"/>
      <c r="VHE370" s="672"/>
      <c r="VHF370" s="393"/>
      <c r="VHG370" s="394"/>
      <c r="VHH370" s="593"/>
      <c r="VHI370" s="594"/>
      <c r="VHJ370" s="671"/>
      <c r="VHK370" s="330"/>
      <c r="VHL370" s="377"/>
      <c r="VHM370" s="391"/>
      <c r="VHN370" s="672"/>
      <c r="VHO370" s="393"/>
      <c r="VHP370" s="394"/>
      <c r="VHQ370" s="593"/>
      <c r="VHR370" s="594"/>
      <c r="VHS370" s="671"/>
      <c r="VHT370" s="330"/>
      <c r="VHU370" s="377"/>
      <c r="VHV370" s="391"/>
      <c r="VHW370" s="672"/>
      <c r="VHX370" s="393"/>
      <c r="VHY370" s="394"/>
      <c r="VHZ370" s="593"/>
      <c r="VIA370" s="594"/>
      <c r="VIB370" s="671"/>
      <c r="VIC370" s="330"/>
      <c r="VID370" s="377"/>
      <c r="VIE370" s="391"/>
      <c r="VIF370" s="672"/>
      <c r="VIG370" s="393"/>
      <c r="VIH370" s="394"/>
      <c r="VII370" s="593"/>
      <c r="VIJ370" s="594"/>
      <c r="VIK370" s="671"/>
      <c r="VIL370" s="330"/>
      <c r="VIM370" s="377"/>
      <c r="VIN370" s="391"/>
      <c r="VIO370" s="672"/>
      <c r="VIP370" s="393"/>
      <c r="VIQ370" s="394"/>
      <c r="VIR370" s="593"/>
      <c r="VIS370" s="594"/>
      <c r="VIT370" s="671"/>
      <c r="VIU370" s="330"/>
      <c r="VIV370" s="377"/>
      <c r="VIW370" s="391"/>
      <c r="VIX370" s="672"/>
      <c r="VIY370" s="393"/>
      <c r="VIZ370" s="394"/>
      <c r="VJA370" s="593"/>
      <c r="VJB370" s="594"/>
      <c r="VJC370" s="671"/>
      <c r="VJD370" s="330"/>
      <c r="VJE370" s="377"/>
      <c r="VJF370" s="391"/>
      <c r="VJG370" s="672"/>
      <c r="VJH370" s="393"/>
      <c r="VJI370" s="394"/>
      <c r="VJJ370" s="593"/>
      <c r="VJK370" s="594"/>
      <c r="VJL370" s="671"/>
      <c r="VJM370" s="330"/>
      <c r="VJN370" s="377"/>
      <c r="VJO370" s="391"/>
      <c r="VJP370" s="672"/>
      <c r="VJQ370" s="393"/>
      <c r="VJR370" s="394"/>
      <c r="VJS370" s="593"/>
      <c r="VJT370" s="594"/>
      <c r="VJU370" s="671"/>
      <c r="VJV370" s="330"/>
      <c r="VJW370" s="377"/>
      <c r="VJX370" s="391"/>
      <c r="VJY370" s="672"/>
      <c r="VJZ370" s="393"/>
      <c r="VKA370" s="394"/>
      <c r="VKB370" s="593"/>
      <c r="VKC370" s="594"/>
      <c r="VKD370" s="671"/>
      <c r="VKE370" s="330"/>
      <c r="VKF370" s="377"/>
      <c r="VKG370" s="391"/>
      <c r="VKH370" s="672"/>
      <c r="VKI370" s="393"/>
      <c r="VKJ370" s="394"/>
      <c r="VKK370" s="593"/>
      <c r="VKL370" s="594"/>
      <c r="VKM370" s="671"/>
      <c r="VKN370" s="330"/>
      <c r="VKO370" s="377"/>
      <c r="VKP370" s="391"/>
      <c r="VKQ370" s="672"/>
      <c r="VKR370" s="393"/>
      <c r="VKS370" s="394"/>
      <c r="VKT370" s="593"/>
      <c r="VKU370" s="594"/>
      <c r="VKV370" s="671"/>
      <c r="VKW370" s="330"/>
      <c r="VKX370" s="377"/>
      <c r="VKY370" s="391"/>
      <c r="VKZ370" s="672"/>
      <c r="VLA370" s="393"/>
      <c r="VLB370" s="394"/>
      <c r="VLC370" s="593"/>
      <c r="VLD370" s="594"/>
      <c r="VLE370" s="671"/>
      <c r="VLF370" s="330"/>
      <c r="VLG370" s="377"/>
      <c r="VLH370" s="391"/>
      <c r="VLI370" s="672"/>
      <c r="VLJ370" s="393"/>
      <c r="VLK370" s="394"/>
      <c r="VLL370" s="593"/>
      <c r="VLM370" s="594"/>
      <c r="VLN370" s="671"/>
      <c r="VLO370" s="330"/>
      <c r="VLP370" s="377"/>
      <c r="VLQ370" s="391"/>
      <c r="VLR370" s="672"/>
      <c r="VLS370" s="393"/>
      <c r="VLT370" s="394"/>
      <c r="VLU370" s="593"/>
      <c r="VLV370" s="594"/>
      <c r="VLW370" s="671"/>
      <c r="VLX370" s="330"/>
      <c r="VLY370" s="377"/>
      <c r="VLZ370" s="391"/>
      <c r="VMA370" s="672"/>
      <c r="VMB370" s="393"/>
      <c r="VMC370" s="394"/>
      <c r="VMD370" s="593"/>
      <c r="VME370" s="594"/>
      <c r="VMF370" s="671"/>
      <c r="VMG370" s="330"/>
      <c r="VMH370" s="377"/>
      <c r="VMI370" s="391"/>
      <c r="VMJ370" s="672"/>
      <c r="VMK370" s="393"/>
      <c r="VML370" s="394"/>
      <c r="VMM370" s="593"/>
      <c r="VMN370" s="594"/>
      <c r="VMO370" s="671"/>
      <c r="VMP370" s="330"/>
      <c r="VMQ370" s="377"/>
      <c r="VMR370" s="391"/>
      <c r="VMS370" s="672"/>
      <c r="VMT370" s="393"/>
      <c r="VMU370" s="394"/>
      <c r="VMV370" s="593"/>
      <c r="VMW370" s="594"/>
      <c r="VMX370" s="671"/>
      <c r="VMY370" s="330"/>
      <c r="VMZ370" s="377"/>
      <c r="VNA370" s="391"/>
      <c r="VNB370" s="672"/>
      <c r="VNC370" s="393"/>
      <c r="VND370" s="394"/>
      <c r="VNE370" s="593"/>
      <c r="VNF370" s="594"/>
      <c r="VNG370" s="671"/>
      <c r="VNH370" s="330"/>
      <c r="VNI370" s="377"/>
      <c r="VNJ370" s="391"/>
      <c r="VNK370" s="672"/>
      <c r="VNL370" s="393"/>
      <c r="VNM370" s="394"/>
      <c r="VNN370" s="593"/>
      <c r="VNO370" s="594"/>
      <c r="VNP370" s="671"/>
      <c r="VNQ370" s="330"/>
      <c r="VNR370" s="377"/>
      <c r="VNS370" s="391"/>
      <c r="VNT370" s="672"/>
      <c r="VNU370" s="393"/>
      <c r="VNV370" s="394"/>
      <c r="VNW370" s="593"/>
      <c r="VNX370" s="594"/>
      <c r="VNY370" s="671"/>
      <c r="VNZ370" s="330"/>
      <c r="VOA370" s="377"/>
      <c r="VOB370" s="391"/>
      <c r="VOC370" s="672"/>
      <c r="VOD370" s="393"/>
      <c r="VOE370" s="394"/>
      <c r="VOF370" s="593"/>
      <c r="VOG370" s="594"/>
      <c r="VOH370" s="671"/>
      <c r="VOI370" s="330"/>
      <c r="VOJ370" s="377"/>
      <c r="VOK370" s="391"/>
      <c r="VOL370" s="672"/>
      <c r="VOM370" s="393"/>
      <c r="VON370" s="394"/>
      <c r="VOO370" s="593"/>
      <c r="VOP370" s="594"/>
      <c r="VOQ370" s="671"/>
      <c r="VOR370" s="330"/>
      <c r="VOS370" s="377"/>
      <c r="VOT370" s="391"/>
      <c r="VOU370" s="672"/>
      <c r="VOV370" s="393"/>
      <c r="VOW370" s="394"/>
      <c r="VOX370" s="593"/>
      <c r="VOY370" s="594"/>
      <c r="VOZ370" s="671"/>
      <c r="VPA370" s="330"/>
      <c r="VPB370" s="377"/>
      <c r="VPC370" s="391"/>
      <c r="VPD370" s="672"/>
      <c r="VPE370" s="393"/>
      <c r="VPF370" s="394"/>
      <c r="VPG370" s="593"/>
      <c r="VPH370" s="594"/>
      <c r="VPI370" s="671"/>
      <c r="VPJ370" s="330"/>
      <c r="VPK370" s="377"/>
      <c r="VPL370" s="391"/>
      <c r="VPM370" s="672"/>
      <c r="VPN370" s="393"/>
      <c r="VPO370" s="394"/>
      <c r="VPP370" s="593"/>
      <c r="VPQ370" s="594"/>
      <c r="VPR370" s="671"/>
      <c r="VPS370" s="330"/>
      <c r="VPT370" s="377"/>
      <c r="VPU370" s="391"/>
      <c r="VPV370" s="672"/>
      <c r="VPW370" s="393"/>
      <c r="VPX370" s="394"/>
      <c r="VPY370" s="593"/>
      <c r="VPZ370" s="594"/>
      <c r="VQA370" s="671"/>
      <c r="VQB370" s="330"/>
      <c r="VQC370" s="377"/>
      <c r="VQD370" s="391"/>
      <c r="VQE370" s="672"/>
      <c r="VQF370" s="393"/>
      <c r="VQG370" s="394"/>
      <c r="VQH370" s="593"/>
      <c r="VQI370" s="594"/>
      <c r="VQJ370" s="671"/>
      <c r="VQK370" s="330"/>
      <c r="VQL370" s="377"/>
      <c r="VQM370" s="391"/>
      <c r="VQN370" s="672"/>
      <c r="VQO370" s="393"/>
      <c r="VQP370" s="394"/>
      <c r="VQQ370" s="593"/>
      <c r="VQR370" s="594"/>
      <c r="VQS370" s="671"/>
      <c r="VQT370" s="330"/>
      <c r="VQU370" s="377"/>
      <c r="VQV370" s="391"/>
      <c r="VQW370" s="672"/>
      <c r="VQX370" s="393"/>
      <c r="VQY370" s="394"/>
      <c r="VQZ370" s="593"/>
      <c r="VRA370" s="594"/>
      <c r="VRB370" s="671"/>
      <c r="VRC370" s="330"/>
      <c r="VRD370" s="377"/>
      <c r="VRE370" s="391"/>
      <c r="VRF370" s="672"/>
      <c r="VRG370" s="393"/>
      <c r="VRH370" s="394"/>
      <c r="VRI370" s="593"/>
      <c r="VRJ370" s="594"/>
      <c r="VRK370" s="671"/>
      <c r="VRL370" s="330"/>
      <c r="VRM370" s="377"/>
      <c r="VRN370" s="391"/>
      <c r="VRO370" s="672"/>
      <c r="VRP370" s="393"/>
      <c r="VRQ370" s="394"/>
      <c r="VRR370" s="593"/>
      <c r="VRS370" s="594"/>
      <c r="VRT370" s="671"/>
      <c r="VRU370" s="330"/>
      <c r="VRV370" s="377"/>
      <c r="VRW370" s="391"/>
      <c r="VRX370" s="672"/>
      <c r="VRY370" s="393"/>
      <c r="VRZ370" s="394"/>
      <c r="VSA370" s="593"/>
      <c r="VSB370" s="594"/>
      <c r="VSC370" s="671"/>
      <c r="VSD370" s="330"/>
      <c r="VSE370" s="377"/>
      <c r="VSF370" s="391"/>
      <c r="VSG370" s="672"/>
      <c r="VSH370" s="393"/>
      <c r="VSI370" s="394"/>
      <c r="VSJ370" s="593"/>
      <c r="VSK370" s="594"/>
      <c r="VSL370" s="671"/>
      <c r="VSM370" s="330"/>
      <c r="VSN370" s="377"/>
      <c r="VSO370" s="391"/>
      <c r="VSP370" s="672"/>
      <c r="VSQ370" s="393"/>
      <c r="VSR370" s="394"/>
      <c r="VSS370" s="593"/>
      <c r="VST370" s="594"/>
      <c r="VSU370" s="671"/>
      <c r="VSV370" s="330"/>
      <c r="VSW370" s="377"/>
      <c r="VSX370" s="391"/>
      <c r="VSY370" s="672"/>
      <c r="VSZ370" s="393"/>
      <c r="VTA370" s="394"/>
      <c r="VTB370" s="593"/>
      <c r="VTC370" s="594"/>
      <c r="VTD370" s="671"/>
      <c r="VTE370" s="330"/>
      <c r="VTF370" s="377"/>
      <c r="VTG370" s="391"/>
      <c r="VTH370" s="672"/>
      <c r="VTI370" s="393"/>
      <c r="VTJ370" s="394"/>
      <c r="VTK370" s="593"/>
      <c r="VTL370" s="594"/>
      <c r="VTM370" s="671"/>
      <c r="VTN370" s="330"/>
      <c r="VTO370" s="377"/>
      <c r="VTP370" s="391"/>
      <c r="VTQ370" s="672"/>
      <c r="VTR370" s="393"/>
      <c r="VTS370" s="394"/>
      <c r="VTT370" s="593"/>
      <c r="VTU370" s="594"/>
      <c r="VTV370" s="671"/>
      <c r="VTW370" s="330"/>
      <c r="VTX370" s="377"/>
      <c r="VTY370" s="391"/>
      <c r="VTZ370" s="672"/>
      <c r="VUA370" s="393"/>
      <c r="VUB370" s="394"/>
      <c r="VUC370" s="593"/>
      <c r="VUD370" s="594"/>
      <c r="VUE370" s="671"/>
      <c r="VUF370" s="330"/>
      <c r="VUG370" s="377"/>
      <c r="VUH370" s="391"/>
      <c r="VUI370" s="672"/>
      <c r="VUJ370" s="393"/>
      <c r="VUK370" s="394"/>
      <c r="VUL370" s="593"/>
      <c r="VUM370" s="594"/>
      <c r="VUN370" s="671"/>
      <c r="VUO370" s="330"/>
      <c r="VUP370" s="377"/>
      <c r="VUQ370" s="391"/>
      <c r="VUR370" s="672"/>
      <c r="VUS370" s="393"/>
      <c r="VUT370" s="394"/>
      <c r="VUU370" s="593"/>
      <c r="VUV370" s="594"/>
      <c r="VUW370" s="671"/>
      <c r="VUX370" s="330"/>
      <c r="VUY370" s="377"/>
      <c r="VUZ370" s="391"/>
      <c r="VVA370" s="672"/>
      <c r="VVB370" s="393"/>
      <c r="VVC370" s="394"/>
      <c r="VVD370" s="593"/>
      <c r="VVE370" s="594"/>
      <c r="VVF370" s="671"/>
      <c r="VVG370" s="330"/>
      <c r="VVH370" s="377"/>
      <c r="VVI370" s="391"/>
      <c r="VVJ370" s="672"/>
      <c r="VVK370" s="393"/>
      <c r="VVL370" s="394"/>
      <c r="VVM370" s="593"/>
      <c r="VVN370" s="594"/>
      <c r="VVO370" s="671"/>
      <c r="VVP370" s="330"/>
      <c r="VVQ370" s="377"/>
      <c r="VVR370" s="391"/>
      <c r="VVS370" s="672"/>
      <c r="VVT370" s="393"/>
      <c r="VVU370" s="394"/>
      <c r="VVV370" s="593"/>
      <c r="VVW370" s="594"/>
      <c r="VVX370" s="671"/>
      <c r="VVY370" s="330"/>
      <c r="VVZ370" s="377"/>
      <c r="VWA370" s="391"/>
      <c r="VWB370" s="672"/>
      <c r="VWC370" s="393"/>
      <c r="VWD370" s="394"/>
      <c r="VWE370" s="593"/>
      <c r="VWF370" s="594"/>
      <c r="VWG370" s="671"/>
      <c r="VWH370" s="330"/>
      <c r="VWI370" s="377"/>
      <c r="VWJ370" s="391"/>
      <c r="VWK370" s="672"/>
      <c r="VWL370" s="393"/>
      <c r="VWM370" s="394"/>
      <c r="VWN370" s="593"/>
      <c r="VWO370" s="594"/>
      <c r="VWP370" s="671"/>
      <c r="VWQ370" s="330"/>
      <c r="VWR370" s="377"/>
      <c r="VWS370" s="391"/>
      <c r="VWT370" s="672"/>
      <c r="VWU370" s="393"/>
      <c r="VWV370" s="394"/>
      <c r="VWW370" s="593"/>
      <c r="VWX370" s="594"/>
      <c r="VWY370" s="671"/>
      <c r="VWZ370" s="330"/>
      <c r="VXA370" s="377"/>
      <c r="VXB370" s="391"/>
      <c r="VXC370" s="672"/>
      <c r="VXD370" s="393"/>
      <c r="VXE370" s="394"/>
      <c r="VXF370" s="593"/>
      <c r="VXG370" s="594"/>
      <c r="VXH370" s="671"/>
      <c r="VXI370" s="330"/>
      <c r="VXJ370" s="377"/>
      <c r="VXK370" s="391"/>
      <c r="VXL370" s="672"/>
      <c r="VXM370" s="393"/>
      <c r="VXN370" s="394"/>
      <c r="VXO370" s="593"/>
      <c r="VXP370" s="594"/>
      <c r="VXQ370" s="671"/>
      <c r="VXR370" s="330"/>
      <c r="VXS370" s="377"/>
      <c r="VXT370" s="391"/>
      <c r="VXU370" s="672"/>
      <c r="VXV370" s="393"/>
      <c r="VXW370" s="394"/>
      <c r="VXX370" s="593"/>
      <c r="VXY370" s="594"/>
      <c r="VXZ370" s="671"/>
      <c r="VYA370" s="330"/>
      <c r="VYB370" s="377"/>
      <c r="VYC370" s="391"/>
      <c r="VYD370" s="672"/>
      <c r="VYE370" s="393"/>
      <c r="VYF370" s="394"/>
      <c r="VYG370" s="593"/>
      <c r="VYH370" s="594"/>
      <c r="VYI370" s="671"/>
      <c r="VYJ370" s="330"/>
      <c r="VYK370" s="377"/>
      <c r="VYL370" s="391"/>
      <c r="VYM370" s="672"/>
      <c r="VYN370" s="393"/>
      <c r="VYO370" s="394"/>
      <c r="VYP370" s="593"/>
      <c r="VYQ370" s="594"/>
      <c r="VYR370" s="671"/>
      <c r="VYS370" s="330"/>
      <c r="VYT370" s="377"/>
      <c r="VYU370" s="391"/>
      <c r="VYV370" s="672"/>
      <c r="VYW370" s="393"/>
      <c r="VYX370" s="394"/>
      <c r="VYY370" s="593"/>
      <c r="VYZ370" s="594"/>
      <c r="VZA370" s="671"/>
      <c r="VZB370" s="330"/>
      <c r="VZC370" s="377"/>
      <c r="VZD370" s="391"/>
      <c r="VZE370" s="672"/>
      <c r="VZF370" s="393"/>
      <c r="VZG370" s="394"/>
      <c r="VZH370" s="593"/>
      <c r="VZI370" s="594"/>
      <c r="VZJ370" s="671"/>
      <c r="VZK370" s="330"/>
      <c r="VZL370" s="377"/>
      <c r="VZM370" s="391"/>
      <c r="VZN370" s="672"/>
      <c r="VZO370" s="393"/>
      <c r="VZP370" s="394"/>
      <c r="VZQ370" s="593"/>
      <c r="VZR370" s="594"/>
      <c r="VZS370" s="671"/>
      <c r="VZT370" s="330"/>
      <c r="VZU370" s="377"/>
      <c r="VZV370" s="391"/>
      <c r="VZW370" s="672"/>
      <c r="VZX370" s="393"/>
      <c r="VZY370" s="394"/>
      <c r="VZZ370" s="593"/>
      <c r="WAA370" s="594"/>
      <c r="WAB370" s="671"/>
      <c r="WAC370" s="330"/>
      <c r="WAD370" s="377"/>
      <c r="WAE370" s="391"/>
      <c r="WAF370" s="672"/>
      <c r="WAG370" s="393"/>
      <c r="WAH370" s="394"/>
      <c r="WAI370" s="593"/>
      <c r="WAJ370" s="594"/>
      <c r="WAK370" s="671"/>
      <c r="WAL370" s="330"/>
      <c r="WAM370" s="377"/>
      <c r="WAN370" s="391"/>
      <c r="WAO370" s="672"/>
      <c r="WAP370" s="393"/>
      <c r="WAQ370" s="394"/>
      <c r="WAR370" s="593"/>
      <c r="WAS370" s="594"/>
      <c r="WAT370" s="671"/>
      <c r="WAU370" s="330"/>
      <c r="WAV370" s="377"/>
      <c r="WAW370" s="391"/>
      <c r="WAX370" s="672"/>
      <c r="WAY370" s="393"/>
      <c r="WAZ370" s="394"/>
      <c r="WBA370" s="593"/>
      <c r="WBB370" s="594"/>
      <c r="WBC370" s="671"/>
      <c r="WBD370" s="330"/>
      <c r="WBE370" s="377"/>
      <c r="WBF370" s="391"/>
      <c r="WBG370" s="672"/>
      <c r="WBH370" s="393"/>
      <c r="WBI370" s="394"/>
      <c r="WBJ370" s="593"/>
      <c r="WBK370" s="594"/>
      <c r="WBL370" s="671"/>
      <c r="WBM370" s="330"/>
      <c r="WBN370" s="377"/>
      <c r="WBO370" s="391"/>
      <c r="WBP370" s="672"/>
      <c r="WBQ370" s="393"/>
      <c r="WBR370" s="394"/>
      <c r="WBS370" s="593"/>
      <c r="WBT370" s="594"/>
      <c r="WBU370" s="671"/>
      <c r="WBV370" s="330"/>
      <c r="WBW370" s="377"/>
      <c r="WBX370" s="391"/>
      <c r="WBY370" s="672"/>
      <c r="WBZ370" s="393"/>
      <c r="WCA370" s="394"/>
      <c r="WCB370" s="593"/>
      <c r="WCC370" s="594"/>
      <c r="WCD370" s="671"/>
      <c r="WCE370" s="330"/>
      <c r="WCF370" s="377"/>
      <c r="WCG370" s="391"/>
      <c r="WCH370" s="672"/>
      <c r="WCI370" s="393"/>
      <c r="WCJ370" s="394"/>
      <c r="WCK370" s="593"/>
      <c r="WCL370" s="594"/>
      <c r="WCM370" s="671"/>
      <c r="WCN370" s="330"/>
      <c r="WCO370" s="377"/>
      <c r="WCP370" s="391"/>
      <c r="WCQ370" s="672"/>
      <c r="WCR370" s="393"/>
      <c r="WCS370" s="394"/>
      <c r="WCT370" s="593"/>
      <c r="WCU370" s="594"/>
      <c r="WCV370" s="671"/>
      <c r="WCW370" s="330"/>
      <c r="WCX370" s="377"/>
      <c r="WCY370" s="391"/>
      <c r="WCZ370" s="672"/>
      <c r="WDA370" s="393"/>
      <c r="WDB370" s="394"/>
      <c r="WDC370" s="593"/>
      <c r="WDD370" s="594"/>
      <c r="WDE370" s="671"/>
      <c r="WDF370" s="330"/>
      <c r="WDG370" s="377"/>
      <c r="WDH370" s="391"/>
      <c r="WDI370" s="672"/>
      <c r="WDJ370" s="393"/>
      <c r="WDK370" s="394"/>
      <c r="WDL370" s="593"/>
      <c r="WDM370" s="594"/>
      <c r="WDN370" s="671"/>
      <c r="WDO370" s="330"/>
      <c r="WDP370" s="377"/>
      <c r="WDQ370" s="391"/>
      <c r="WDR370" s="672"/>
      <c r="WDS370" s="393"/>
      <c r="WDT370" s="394"/>
      <c r="WDU370" s="593"/>
      <c r="WDV370" s="594"/>
      <c r="WDW370" s="671"/>
      <c r="WDX370" s="330"/>
      <c r="WDY370" s="377"/>
      <c r="WDZ370" s="391"/>
      <c r="WEA370" s="672"/>
      <c r="WEB370" s="393"/>
      <c r="WEC370" s="394"/>
      <c r="WED370" s="593"/>
      <c r="WEE370" s="594"/>
      <c r="WEF370" s="671"/>
      <c r="WEG370" s="330"/>
      <c r="WEH370" s="377"/>
      <c r="WEI370" s="391"/>
      <c r="WEJ370" s="672"/>
      <c r="WEK370" s="393"/>
      <c r="WEL370" s="394"/>
      <c r="WEM370" s="593"/>
      <c r="WEN370" s="594"/>
      <c r="WEO370" s="671"/>
      <c r="WEP370" s="330"/>
      <c r="WEQ370" s="377"/>
      <c r="WER370" s="391"/>
      <c r="WES370" s="672"/>
      <c r="WET370" s="393"/>
      <c r="WEU370" s="394"/>
      <c r="WEV370" s="593"/>
      <c r="WEW370" s="594"/>
      <c r="WEX370" s="671"/>
      <c r="WEY370" s="330"/>
      <c r="WEZ370" s="377"/>
      <c r="WFA370" s="391"/>
      <c r="WFB370" s="672"/>
      <c r="WFC370" s="393"/>
      <c r="WFD370" s="394"/>
      <c r="WFE370" s="593"/>
      <c r="WFF370" s="594"/>
      <c r="WFG370" s="671"/>
      <c r="WFH370" s="330"/>
      <c r="WFI370" s="377"/>
      <c r="WFJ370" s="391"/>
      <c r="WFK370" s="672"/>
      <c r="WFL370" s="393"/>
      <c r="WFM370" s="394"/>
      <c r="WFN370" s="593"/>
      <c r="WFO370" s="594"/>
      <c r="WFP370" s="671"/>
      <c r="WFQ370" s="330"/>
      <c r="WFR370" s="377"/>
      <c r="WFS370" s="391"/>
      <c r="WFT370" s="672"/>
      <c r="WFU370" s="393"/>
      <c r="WFV370" s="394"/>
      <c r="WFW370" s="593"/>
      <c r="WFX370" s="594"/>
      <c r="WFY370" s="671"/>
      <c r="WFZ370" s="330"/>
      <c r="WGA370" s="377"/>
      <c r="WGB370" s="391"/>
      <c r="WGC370" s="672"/>
      <c r="WGD370" s="393"/>
      <c r="WGE370" s="394"/>
      <c r="WGF370" s="593"/>
      <c r="WGG370" s="594"/>
      <c r="WGH370" s="671"/>
      <c r="WGI370" s="330"/>
      <c r="WGJ370" s="377"/>
      <c r="WGK370" s="391"/>
      <c r="WGL370" s="672"/>
      <c r="WGM370" s="393"/>
      <c r="WGN370" s="394"/>
      <c r="WGO370" s="593"/>
      <c r="WGP370" s="594"/>
      <c r="WGQ370" s="671"/>
      <c r="WGR370" s="330"/>
      <c r="WGS370" s="377"/>
      <c r="WGT370" s="391"/>
      <c r="WGU370" s="672"/>
      <c r="WGV370" s="393"/>
      <c r="WGW370" s="394"/>
      <c r="WGX370" s="593"/>
      <c r="WGY370" s="594"/>
      <c r="WGZ370" s="671"/>
      <c r="WHA370" s="330"/>
      <c r="WHB370" s="377"/>
      <c r="WHC370" s="391"/>
      <c r="WHD370" s="672"/>
      <c r="WHE370" s="393"/>
      <c r="WHF370" s="394"/>
      <c r="WHG370" s="593"/>
      <c r="WHH370" s="594"/>
      <c r="WHI370" s="671"/>
      <c r="WHJ370" s="330"/>
      <c r="WHK370" s="377"/>
      <c r="WHL370" s="391"/>
      <c r="WHM370" s="672"/>
      <c r="WHN370" s="393"/>
      <c r="WHO370" s="394"/>
      <c r="WHP370" s="593"/>
      <c r="WHQ370" s="594"/>
      <c r="WHR370" s="671"/>
      <c r="WHS370" s="330"/>
      <c r="WHT370" s="377"/>
      <c r="WHU370" s="391"/>
      <c r="WHV370" s="672"/>
      <c r="WHW370" s="393"/>
      <c r="WHX370" s="394"/>
      <c r="WHY370" s="593"/>
      <c r="WHZ370" s="594"/>
      <c r="WIA370" s="671"/>
      <c r="WIB370" s="330"/>
      <c r="WIC370" s="377"/>
      <c r="WID370" s="391"/>
      <c r="WIE370" s="672"/>
      <c r="WIF370" s="393"/>
      <c r="WIG370" s="394"/>
      <c r="WIH370" s="593"/>
      <c r="WII370" s="594"/>
      <c r="WIJ370" s="671"/>
      <c r="WIK370" s="330"/>
      <c r="WIL370" s="377"/>
      <c r="WIM370" s="391"/>
      <c r="WIN370" s="672"/>
      <c r="WIO370" s="393"/>
      <c r="WIP370" s="394"/>
      <c r="WIQ370" s="593"/>
      <c r="WIR370" s="594"/>
      <c r="WIS370" s="671"/>
      <c r="WIT370" s="330"/>
      <c r="WIU370" s="377"/>
      <c r="WIV370" s="391"/>
      <c r="WIW370" s="672"/>
      <c r="WIX370" s="393"/>
      <c r="WIY370" s="394"/>
      <c r="WIZ370" s="593"/>
      <c r="WJA370" s="594"/>
      <c r="WJB370" s="671"/>
      <c r="WJC370" s="330"/>
      <c r="WJD370" s="377"/>
      <c r="WJE370" s="391"/>
      <c r="WJF370" s="672"/>
      <c r="WJG370" s="393"/>
      <c r="WJH370" s="394"/>
      <c r="WJI370" s="593"/>
      <c r="WJJ370" s="594"/>
      <c r="WJK370" s="671"/>
      <c r="WJL370" s="330"/>
      <c r="WJM370" s="377"/>
      <c r="WJN370" s="391"/>
      <c r="WJO370" s="672"/>
      <c r="WJP370" s="393"/>
      <c r="WJQ370" s="394"/>
      <c r="WJR370" s="593"/>
      <c r="WJS370" s="594"/>
      <c r="WJT370" s="671"/>
      <c r="WJU370" s="330"/>
      <c r="WJV370" s="377"/>
      <c r="WJW370" s="391"/>
      <c r="WJX370" s="672"/>
      <c r="WJY370" s="393"/>
      <c r="WJZ370" s="394"/>
      <c r="WKA370" s="593"/>
      <c r="WKB370" s="594"/>
      <c r="WKC370" s="671"/>
      <c r="WKD370" s="330"/>
      <c r="WKE370" s="377"/>
      <c r="WKF370" s="391"/>
      <c r="WKG370" s="672"/>
      <c r="WKH370" s="393"/>
      <c r="WKI370" s="394"/>
      <c r="WKJ370" s="593"/>
      <c r="WKK370" s="594"/>
      <c r="WKL370" s="671"/>
      <c r="WKM370" s="330"/>
      <c r="WKN370" s="377"/>
      <c r="WKO370" s="391"/>
      <c r="WKP370" s="672"/>
      <c r="WKQ370" s="393"/>
      <c r="WKR370" s="394"/>
      <c r="WKS370" s="593"/>
      <c r="WKT370" s="594"/>
      <c r="WKU370" s="671"/>
      <c r="WKV370" s="330"/>
      <c r="WKW370" s="377"/>
      <c r="WKX370" s="391"/>
      <c r="WKY370" s="672"/>
      <c r="WKZ370" s="393"/>
      <c r="WLA370" s="394"/>
      <c r="WLB370" s="593"/>
      <c r="WLC370" s="594"/>
      <c r="WLD370" s="671"/>
      <c r="WLE370" s="330"/>
      <c r="WLF370" s="377"/>
      <c r="WLG370" s="391"/>
      <c r="WLH370" s="672"/>
      <c r="WLI370" s="393"/>
      <c r="WLJ370" s="394"/>
      <c r="WLK370" s="593"/>
      <c r="WLL370" s="594"/>
      <c r="WLM370" s="671"/>
      <c r="WLN370" s="330"/>
      <c r="WLO370" s="377"/>
      <c r="WLP370" s="391"/>
      <c r="WLQ370" s="672"/>
      <c r="WLR370" s="393"/>
      <c r="WLS370" s="394"/>
      <c r="WLT370" s="593"/>
      <c r="WLU370" s="594"/>
      <c r="WLV370" s="671"/>
      <c r="WLW370" s="330"/>
      <c r="WLX370" s="377"/>
      <c r="WLY370" s="391"/>
      <c r="WLZ370" s="672"/>
      <c r="WMA370" s="393"/>
      <c r="WMB370" s="394"/>
      <c r="WMC370" s="593"/>
      <c r="WMD370" s="594"/>
      <c r="WME370" s="671"/>
      <c r="WMF370" s="330"/>
      <c r="WMG370" s="377"/>
      <c r="WMH370" s="391"/>
      <c r="WMI370" s="672"/>
      <c r="WMJ370" s="393"/>
      <c r="WMK370" s="394"/>
      <c r="WML370" s="593"/>
      <c r="WMM370" s="594"/>
      <c r="WMN370" s="671"/>
      <c r="WMO370" s="330"/>
      <c r="WMP370" s="377"/>
      <c r="WMQ370" s="391"/>
      <c r="WMR370" s="672"/>
      <c r="WMS370" s="393"/>
      <c r="WMT370" s="394"/>
      <c r="WMU370" s="593"/>
      <c r="WMV370" s="594"/>
      <c r="WMW370" s="671"/>
      <c r="WMX370" s="330"/>
      <c r="WMY370" s="377"/>
      <c r="WMZ370" s="391"/>
      <c r="WNA370" s="672"/>
      <c r="WNB370" s="393"/>
      <c r="WNC370" s="394"/>
      <c r="WND370" s="593"/>
      <c r="WNE370" s="594"/>
      <c r="WNF370" s="671"/>
      <c r="WNG370" s="330"/>
      <c r="WNH370" s="377"/>
      <c r="WNI370" s="391"/>
      <c r="WNJ370" s="672"/>
      <c r="WNK370" s="393"/>
      <c r="WNL370" s="394"/>
      <c r="WNM370" s="593"/>
      <c r="WNN370" s="594"/>
      <c r="WNO370" s="671"/>
      <c r="WNP370" s="330"/>
      <c r="WNQ370" s="377"/>
      <c r="WNR370" s="391"/>
      <c r="WNS370" s="672"/>
      <c r="WNT370" s="393"/>
      <c r="WNU370" s="394"/>
      <c r="WNV370" s="593"/>
      <c r="WNW370" s="594"/>
      <c r="WNX370" s="671"/>
      <c r="WNY370" s="330"/>
      <c r="WNZ370" s="377"/>
      <c r="WOA370" s="391"/>
      <c r="WOB370" s="672"/>
      <c r="WOC370" s="393"/>
      <c r="WOD370" s="394"/>
      <c r="WOE370" s="593"/>
      <c r="WOF370" s="594"/>
      <c r="WOG370" s="671"/>
      <c r="WOH370" s="330"/>
      <c r="WOI370" s="377"/>
      <c r="WOJ370" s="391"/>
      <c r="WOK370" s="672"/>
      <c r="WOL370" s="393"/>
      <c r="WOM370" s="394"/>
      <c r="WON370" s="593"/>
      <c r="WOO370" s="594"/>
      <c r="WOP370" s="671"/>
      <c r="WOQ370" s="330"/>
      <c r="WOR370" s="377"/>
      <c r="WOS370" s="391"/>
      <c r="WOT370" s="672"/>
      <c r="WOU370" s="393"/>
      <c r="WOV370" s="394"/>
      <c r="WOW370" s="593"/>
      <c r="WOX370" s="594"/>
      <c r="WOY370" s="671"/>
      <c r="WOZ370" s="330"/>
      <c r="WPA370" s="377"/>
      <c r="WPB370" s="391"/>
      <c r="WPC370" s="672"/>
      <c r="WPD370" s="393"/>
      <c r="WPE370" s="394"/>
      <c r="WPF370" s="593"/>
      <c r="WPG370" s="594"/>
      <c r="WPH370" s="671"/>
      <c r="WPI370" s="330"/>
      <c r="WPJ370" s="377"/>
      <c r="WPK370" s="391"/>
      <c r="WPL370" s="672"/>
      <c r="WPM370" s="393"/>
      <c r="WPN370" s="394"/>
      <c r="WPO370" s="593"/>
      <c r="WPP370" s="594"/>
      <c r="WPQ370" s="671"/>
      <c r="WPR370" s="330"/>
      <c r="WPS370" s="377"/>
      <c r="WPT370" s="391"/>
      <c r="WPU370" s="672"/>
      <c r="WPV370" s="393"/>
      <c r="WPW370" s="394"/>
      <c r="WPX370" s="593"/>
      <c r="WPY370" s="594"/>
      <c r="WPZ370" s="671"/>
      <c r="WQA370" s="330"/>
      <c r="WQB370" s="377"/>
      <c r="WQC370" s="391"/>
      <c r="WQD370" s="672"/>
      <c r="WQE370" s="393"/>
      <c r="WQF370" s="394"/>
      <c r="WQG370" s="593"/>
      <c r="WQH370" s="594"/>
      <c r="WQI370" s="671"/>
      <c r="WQJ370" s="330"/>
      <c r="WQK370" s="377"/>
      <c r="WQL370" s="391"/>
      <c r="WQM370" s="672"/>
      <c r="WQN370" s="393"/>
      <c r="WQO370" s="394"/>
      <c r="WQP370" s="593"/>
      <c r="WQQ370" s="594"/>
      <c r="WQR370" s="671"/>
      <c r="WQS370" s="330"/>
      <c r="WQT370" s="377"/>
      <c r="WQU370" s="391"/>
      <c r="WQV370" s="672"/>
      <c r="WQW370" s="393"/>
      <c r="WQX370" s="394"/>
      <c r="WQY370" s="593"/>
      <c r="WQZ370" s="594"/>
      <c r="WRA370" s="671"/>
      <c r="WRB370" s="330"/>
      <c r="WRC370" s="377"/>
      <c r="WRD370" s="391"/>
      <c r="WRE370" s="672"/>
      <c r="WRF370" s="393"/>
      <c r="WRG370" s="394"/>
      <c r="WRH370" s="593"/>
      <c r="WRI370" s="594"/>
      <c r="WRJ370" s="671"/>
      <c r="WRK370" s="330"/>
      <c r="WRL370" s="377"/>
      <c r="WRM370" s="391"/>
      <c r="WRN370" s="672"/>
      <c r="WRO370" s="393"/>
      <c r="WRP370" s="394"/>
      <c r="WRQ370" s="593"/>
      <c r="WRR370" s="594"/>
      <c r="WRS370" s="671"/>
      <c r="WRT370" s="330"/>
      <c r="WRU370" s="377"/>
      <c r="WRV370" s="391"/>
      <c r="WRW370" s="672"/>
      <c r="WRX370" s="393"/>
      <c r="WRY370" s="394"/>
      <c r="WRZ370" s="593"/>
      <c r="WSA370" s="594"/>
      <c r="WSB370" s="671"/>
      <c r="WSC370" s="330"/>
      <c r="WSD370" s="377"/>
      <c r="WSE370" s="391"/>
      <c r="WSF370" s="672"/>
      <c r="WSG370" s="393"/>
      <c r="WSH370" s="394"/>
      <c r="WSI370" s="593"/>
      <c r="WSJ370" s="594"/>
      <c r="WSK370" s="671"/>
      <c r="WSL370" s="330"/>
      <c r="WSM370" s="377"/>
      <c r="WSN370" s="391"/>
      <c r="WSO370" s="672"/>
      <c r="WSP370" s="393"/>
      <c r="WSQ370" s="394"/>
      <c r="WSR370" s="593"/>
      <c r="WSS370" s="594"/>
      <c r="WST370" s="671"/>
      <c r="WSU370" s="330"/>
      <c r="WSV370" s="377"/>
      <c r="WSW370" s="391"/>
      <c r="WSX370" s="672"/>
      <c r="WSY370" s="393"/>
      <c r="WSZ370" s="394"/>
      <c r="WTA370" s="593"/>
      <c r="WTB370" s="594"/>
      <c r="WTC370" s="671"/>
      <c r="WTD370" s="330"/>
      <c r="WTE370" s="377"/>
      <c r="WTF370" s="391"/>
      <c r="WTG370" s="672"/>
      <c r="WTH370" s="393"/>
      <c r="WTI370" s="394"/>
      <c r="WTJ370" s="593"/>
      <c r="WTK370" s="594"/>
      <c r="WTL370" s="671"/>
      <c r="WTM370" s="330"/>
      <c r="WTN370" s="377"/>
      <c r="WTO370" s="391"/>
      <c r="WTP370" s="672"/>
      <c r="WTQ370" s="393"/>
      <c r="WTR370" s="394"/>
      <c r="WTS370" s="593"/>
      <c r="WTT370" s="594"/>
      <c r="WTU370" s="671"/>
      <c r="WTV370" s="330"/>
      <c r="WTW370" s="377"/>
      <c r="WTX370" s="391"/>
      <c r="WTY370" s="672"/>
      <c r="WTZ370" s="393"/>
      <c r="WUA370" s="394"/>
      <c r="WUB370" s="593"/>
      <c r="WUC370" s="594"/>
      <c r="WUD370" s="671"/>
      <c r="WUE370" s="330"/>
      <c r="WUF370" s="377"/>
      <c r="WUG370" s="391"/>
      <c r="WUH370" s="672"/>
      <c r="WUI370" s="393"/>
      <c r="WUJ370" s="394"/>
      <c r="WUK370" s="593"/>
      <c r="WUL370" s="594"/>
      <c r="WUM370" s="671"/>
      <c r="WUN370" s="330"/>
      <c r="WUO370" s="377"/>
      <c r="WUP370" s="391"/>
      <c r="WUQ370" s="672"/>
      <c r="WUR370" s="393"/>
      <c r="WUS370" s="394"/>
      <c r="WUT370" s="593"/>
      <c r="WUU370" s="594"/>
      <c r="WUV370" s="671"/>
      <c r="WUW370" s="330"/>
      <c r="WUX370" s="377"/>
      <c r="WUY370" s="391"/>
      <c r="WUZ370" s="672"/>
      <c r="WVA370" s="393"/>
      <c r="WVB370" s="394"/>
      <c r="WVC370" s="593"/>
      <c r="WVD370" s="594"/>
      <c r="WVE370" s="671"/>
      <c r="WVF370" s="330"/>
      <c r="WVG370" s="377"/>
      <c r="WVH370" s="391"/>
      <c r="WVI370" s="672"/>
      <c r="WVJ370" s="393"/>
      <c r="WVK370" s="394"/>
      <c r="WVL370" s="593"/>
      <c r="WVM370" s="594"/>
      <c r="WVN370" s="671"/>
      <c r="WVO370" s="330"/>
      <c r="WVP370" s="377"/>
      <c r="WVQ370" s="391"/>
      <c r="WVR370" s="672"/>
      <c r="WVS370" s="393"/>
      <c r="WVT370" s="394"/>
      <c r="WVU370" s="593"/>
      <c r="WVV370" s="594"/>
      <c r="WVW370" s="671"/>
      <c r="WVX370" s="330"/>
      <c r="WVY370" s="377"/>
      <c r="WVZ370" s="391"/>
      <c r="WWA370" s="672"/>
      <c r="WWB370" s="393"/>
      <c r="WWC370" s="394"/>
      <c r="WWD370" s="593"/>
      <c r="WWE370" s="594"/>
      <c r="WWF370" s="671"/>
      <c r="WWG370" s="330"/>
      <c r="WWH370" s="377"/>
      <c r="WWI370" s="391"/>
      <c r="WWJ370" s="672"/>
      <c r="WWK370" s="393"/>
      <c r="WWL370" s="394"/>
      <c r="WWM370" s="593"/>
      <c r="WWN370" s="594"/>
      <c r="WWO370" s="671"/>
      <c r="WWP370" s="330"/>
      <c r="WWQ370" s="377"/>
      <c r="WWR370" s="391"/>
      <c r="WWS370" s="672"/>
      <c r="WWT370" s="393"/>
      <c r="WWU370" s="394"/>
      <c r="WWV370" s="593"/>
      <c r="WWW370" s="594"/>
      <c r="WWX370" s="671"/>
      <c r="WWY370" s="330"/>
      <c r="WWZ370" s="377"/>
      <c r="WXA370" s="391"/>
      <c r="WXB370" s="672"/>
      <c r="WXC370" s="393"/>
      <c r="WXD370" s="394"/>
      <c r="WXE370" s="593"/>
      <c r="WXF370" s="594"/>
      <c r="WXG370" s="671"/>
      <c r="WXH370" s="330"/>
      <c r="WXI370" s="377"/>
      <c r="WXJ370" s="391"/>
      <c r="WXK370" s="672"/>
      <c r="WXL370" s="393"/>
      <c r="WXM370" s="394"/>
      <c r="WXN370" s="593"/>
      <c r="WXO370" s="594"/>
      <c r="WXP370" s="671"/>
      <c r="WXQ370" s="330"/>
      <c r="WXR370" s="377"/>
      <c r="WXS370" s="391"/>
      <c r="WXT370" s="672"/>
      <c r="WXU370" s="393"/>
      <c r="WXV370" s="394"/>
      <c r="WXW370" s="593"/>
      <c r="WXX370" s="594"/>
      <c r="WXY370" s="671"/>
      <c r="WXZ370" s="330"/>
      <c r="WYA370" s="377"/>
      <c r="WYB370" s="391"/>
      <c r="WYC370" s="672"/>
      <c r="WYD370" s="393"/>
      <c r="WYE370" s="394"/>
      <c r="WYF370" s="593"/>
      <c r="WYG370" s="594"/>
      <c r="WYH370" s="671"/>
      <c r="WYI370" s="330"/>
      <c r="WYJ370" s="377"/>
      <c r="WYK370" s="391"/>
      <c r="WYL370" s="672"/>
      <c r="WYM370" s="393"/>
      <c r="WYN370" s="394"/>
      <c r="WYO370" s="593"/>
      <c r="WYP370" s="594"/>
      <c r="WYQ370" s="671"/>
      <c r="WYR370" s="330"/>
      <c r="WYS370" s="377"/>
      <c r="WYT370" s="391"/>
      <c r="WYU370" s="672"/>
      <c r="WYV370" s="393"/>
      <c r="WYW370" s="394"/>
      <c r="WYX370" s="593"/>
      <c r="WYY370" s="594"/>
      <c r="WYZ370" s="671"/>
      <c r="WZA370" s="330"/>
      <c r="WZB370" s="377"/>
      <c r="WZC370" s="391"/>
      <c r="WZD370" s="672"/>
      <c r="WZE370" s="393"/>
      <c r="WZF370" s="394"/>
      <c r="WZG370" s="593"/>
      <c r="WZH370" s="594"/>
      <c r="WZI370" s="671"/>
      <c r="WZJ370" s="330"/>
      <c r="WZK370" s="377"/>
      <c r="WZL370" s="391"/>
      <c r="WZM370" s="672"/>
      <c r="WZN370" s="393"/>
      <c r="WZO370" s="394"/>
      <c r="WZP370" s="593"/>
      <c r="WZQ370" s="594"/>
      <c r="WZR370" s="671"/>
      <c r="WZS370" s="330"/>
      <c r="WZT370" s="377"/>
      <c r="WZU370" s="391"/>
      <c r="WZV370" s="672"/>
      <c r="WZW370" s="393"/>
      <c r="WZX370" s="394"/>
      <c r="WZY370" s="593"/>
      <c r="WZZ370" s="594"/>
      <c r="XAA370" s="671"/>
      <c r="XAB370" s="330"/>
      <c r="XAC370" s="377"/>
      <c r="XAD370" s="391"/>
      <c r="XAE370" s="672"/>
      <c r="XAF370" s="393"/>
      <c r="XAG370" s="394"/>
      <c r="XAH370" s="593"/>
      <c r="XAI370" s="594"/>
      <c r="XAJ370" s="671"/>
      <c r="XAK370" s="330"/>
      <c r="XAL370" s="377"/>
      <c r="XAM370" s="391"/>
      <c r="XAN370" s="672"/>
      <c r="XAO370" s="393"/>
      <c r="XAP370" s="394"/>
      <c r="XAQ370" s="593"/>
      <c r="XAR370" s="594"/>
      <c r="XAS370" s="671"/>
      <c r="XAT370" s="330"/>
      <c r="XAU370" s="377"/>
      <c r="XAV370" s="391"/>
      <c r="XAW370" s="672"/>
      <c r="XAX370" s="393"/>
      <c r="XAY370" s="394"/>
      <c r="XAZ370" s="593"/>
      <c r="XBA370" s="594"/>
      <c r="XBB370" s="671"/>
      <c r="XBC370" s="330"/>
      <c r="XBD370" s="377"/>
      <c r="XBE370" s="391"/>
      <c r="XBF370" s="672"/>
      <c r="XBG370" s="393"/>
      <c r="XBH370" s="394"/>
      <c r="XBI370" s="593"/>
      <c r="XBJ370" s="594"/>
      <c r="XBK370" s="671"/>
      <c r="XBL370" s="330"/>
      <c r="XBM370" s="377"/>
      <c r="XBN370" s="391"/>
      <c r="XBO370" s="672"/>
      <c r="XBP370" s="393"/>
      <c r="XBQ370" s="394"/>
      <c r="XBR370" s="593"/>
      <c r="XBS370" s="594"/>
      <c r="XBT370" s="671"/>
      <c r="XBU370" s="330"/>
      <c r="XBV370" s="377"/>
      <c r="XBW370" s="391"/>
      <c r="XBX370" s="672"/>
      <c r="XBY370" s="393"/>
      <c r="XBZ370" s="394"/>
      <c r="XCA370" s="593"/>
      <c r="XCB370" s="594"/>
      <c r="XCC370" s="671"/>
      <c r="XCD370" s="330"/>
      <c r="XCE370" s="377"/>
      <c r="XCF370" s="391"/>
      <c r="XCG370" s="672"/>
      <c r="XCH370" s="393"/>
      <c r="XCI370" s="394"/>
      <c r="XCJ370" s="593"/>
      <c r="XCK370" s="594"/>
      <c r="XCL370" s="671"/>
      <c r="XCM370" s="330"/>
      <c r="XCN370" s="377"/>
      <c r="XCO370" s="391"/>
      <c r="XCP370" s="672"/>
      <c r="XCQ370" s="393"/>
      <c r="XCR370" s="394"/>
      <c r="XCS370" s="593"/>
      <c r="XCT370" s="594"/>
      <c r="XCU370" s="671"/>
      <c r="XCV370" s="330"/>
      <c r="XCW370" s="377"/>
      <c r="XCX370" s="391"/>
      <c r="XCY370" s="672"/>
      <c r="XCZ370" s="393"/>
      <c r="XDA370" s="394"/>
      <c r="XDB370" s="593"/>
      <c r="XDC370" s="594"/>
      <c r="XDD370" s="671"/>
      <c r="XDE370" s="330"/>
      <c r="XDF370" s="377"/>
      <c r="XDG370" s="391"/>
      <c r="XDH370" s="672"/>
      <c r="XDI370" s="393"/>
      <c r="XDJ370" s="394"/>
      <c r="XDK370" s="593"/>
      <c r="XDL370" s="594"/>
      <c r="XDM370" s="671"/>
      <c r="XDN370" s="330"/>
      <c r="XDO370" s="377"/>
      <c r="XDP370" s="391"/>
      <c r="XDQ370" s="672"/>
      <c r="XDR370" s="393"/>
      <c r="XDS370" s="394"/>
      <c r="XDT370" s="593"/>
      <c r="XDU370" s="594"/>
      <c r="XDV370" s="671"/>
      <c r="XDW370" s="330"/>
      <c r="XDX370" s="377"/>
      <c r="XDY370" s="391"/>
      <c r="XDZ370" s="672"/>
      <c r="XEA370" s="393"/>
      <c r="XEB370" s="394"/>
      <c r="XEC370" s="593"/>
      <c r="XED370" s="594"/>
      <c r="XEE370" s="671"/>
      <c r="XEF370" s="330"/>
      <c r="XEG370" s="377"/>
      <c r="XEH370" s="391"/>
      <c r="XEI370" s="672"/>
      <c r="XEJ370" s="393"/>
      <c r="XEK370" s="394"/>
      <c r="XEL370" s="593"/>
      <c r="XEM370" s="594"/>
      <c r="XEN370" s="671"/>
      <c r="XEO370" s="330"/>
      <c r="XEP370" s="377"/>
      <c r="XEQ370" s="391"/>
      <c r="XER370" s="672"/>
      <c r="XES370" s="393"/>
      <c r="XET370" s="394"/>
      <c r="XEU370" s="593"/>
      <c r="XEV370" s="594"/>
      <c r="XEW370" s="671"/>
      <c r="XEX370" s="330"/>
      <c r="XEY370" s="377"/>
      <c r="XEZ370" s="391"/>
      <c r="XFA370" s="672"/>
      <c r="XFB370" s="393"/>
      <c r="XFC370" s="394"/>
    </row>
    <row r="371" spans="1:16383" ht="16" hidden="1" outlineLevel="2" thickBot="1" x14ac:dyDescent="0.4">
      <c r="A371" s="342" t="s">
        <v>60</v>
      </c>
      <c r="B371" s="350"/>
      <c r="C371" s="351"/>
      <c r="D371" s="352">
        <f>76.54</f>
        <v>76.540000000000006</v>
      </c>
      <c r="E371" s="332"/>
      <c r="G371" s="93">
        <f>0.423*C365</f>
        <v>75.716999999999999</v>
      </c>
      <c r="J371" s="632"/>
      <c r="K371" s="595"/>
      <c r="L371" s="633"/>
      <c r="M371" s="634"/>
      <c r="N371" s="668"/>
      <c r="O371" s="599"/>
      <c r="P371" s="95"/>
      <c r="Q371" s="595"/>
      <c r="R371" s="95"/>
      <c r="S371" s="632"/>
      <c r="T371" s="595"/>
      <c r="U371" s="633"/>
      <c r="V371" s="634"/>
      <c r="W371" s="668"/>
      <c r="X371" s="599"/>
      <c r="Y371" s="95"/>
      <c r="Z371" s="595"/>
      <c r="AA371" s="632"/>
      <c r="AB371" s="595"/>
      <c r="AC371" s="633"/>
      <c r="AD371" s="634"/>
      <c r="AE371" s="668"/>
      <c r="AF371" s="599"/>
      <c r="AG371" s="95"/>
      <c r="AH371" s="595"/>
      <c r="AI371" s="95"/>
      <c r="AJ371" s="632"/>
      <c r="AK371" s="595"/>
      <c r="AL371" s="633"/>
      <c r="AM371" s="634"/>
      <c r="AN371" s="668"/>
      <c r="AO371" s="599"/>
      <c r="AP371" s="95"/>
      <c r="AQ371" s="595"/>
      <c r="AR371" s="95"/>
      <c r="AS371" s="632"/>
      <c r="AT371" s="595"/>
      <c r="AU371" s="633"/>
      <c r="AV371" s="634"/>
      <c r="AW371" s="668"/>
      <c r="AX371" s="599"/>
      <c r="AY371" s="95"/>
      <c r="AZ371" s="595"/>
      <c r="BA371" s="95"/>
      <c r="BB371" s="632"/>
      <c r="BC371" s="595"/>
      <c r="BD371" s="633"/>
      <c r="BE371" s="634"/>
      <c r="BF371" s="668"/>
      <c r="BG371" s="599"/>
      <c r="BH371" s="95"/>
      <c r="BI371" s="595"/>
      <c r="BJ371" s="95"/>
      <c r="BK371" s="632"/>
      <c r="BL371" s="595"/>
      <c r="BM371" s="633"/>
      <c r="BN371" s="634"/>
      <c r="BO371" s="668"/>
      <c r="BP371" s="599"/>
      <c r="BQ371" s="95"/>
      <c r="BR371" s="595"/>
      <c r="BS371" s="95"/>
      <c r="BT371" s="632"/>
      <c r="BU371" s="595"/>
      <c r="BV371" s="633"/>
      <c r="BW371" s="634"/>
      <c r="BX371" s="668"/>
      <c r="BY371" s="599"/>
      <c r="BZ371" s="95"/>
      <c r="CA371" s="595"/>
      <c r="CB371" s="95"/>
      <c r="CC371" s="632"/>
      <c r="CD371" s="595"/>
      <c r="CE371" s="633"/>
      <c r="CF371" s="634"/>
      <c r="CG371" s="668"/>
      <c r="CH371" s="599"/>
      <c r="CI371" s="95"/>
      <c r="CJ371" s="595"/>
      <c r="CK371" s="95"/>
      <c r="CL371" s="632"/>
      <c r="CM371" s="595"/>
      <c r="CN371" s="633"/>
      <c r="CO371" s="634"/>
      <c r="CP371" s="668"/>
      <c r="CQ371" s="599"/>
      <c r="CR371" s="95"/>
      <c r="CS371" s="595"/>
      <c r="CT371" s="95"/>
      <c r="CU371" s="632"/>
      <c r="CV371" s="595"/>
      <c r="CW371" s="633"/>
      <c r="CX371" s="634"/>
      <c r="CY371" s="668"/>
      <c r="CZ371" s="599"/>
      <c r="DA371" s="95"/>
      <c r="DB371" s="595"/>
      <c r="DC371" s="95"/>
      <c r="DD371" s="632"/>
      <c r="DE371" s="595"/>
      <c r="DF371" s="633"/>
      <c r="DG371" s="634"/>
      <c r="DH371" s="668"/>
      <c r="DI371" s="599"/>
      <c r="DJ371" s="95"/>
      <c r="DK371" s="595"/>
      <c r="DL371" s="95"/>
      <c r="DM371" s="632"/>
      <c r="DN371" s="595"/>
      <c r="DO371" s="633"/>
      <c r="DP371" s="634"/>
      <c r="DQ371" s="668"/>
      <c r="DR371" s="599"/>
      <c r="DS371" s="95"/>
      <c r="DT371" s="595"/>
      <c r="DU371" s="95"/>
      <c r="DV371" s="632"/>
      <c r="DW371" s="595"/>
      <c r="DX371" s="633"/>
      <c r="DY371" s="634"/>
      <c r="DZ371" s="668"/>
      <c r="EA371" s="599"/>
      <c r="EB371" s="95"/>
      <c r="EC371" s="595"/>
      <c r="ED371" s="95"/>
      <c r="EE371" s="632"/>
      <c r="EF371" s="595"/>
      <c r="EG371" s="633"/>
      <c r="EH371" s="634"/>
      <c r="EI371" s="668"/>
      <c r="EJ371" s="599"/>
      <c r="EK371" s="95"/>
      <c r="EL371" s="595"/>
      <c r="EM371" s="95"/>
      <c r="EN371" s="632"/>
      <c r="EO371" s="595"/>
      <c r="EP371" s="633"/>
      <c r="EQ371" s="634"/>
      <c r="ER371" s="668"/>
      <c r="ES371" s="599"/>
      <c r="ET371" s="95"/>
      <c r="EU371" s="595"/>
      <c r="EV371" s="95"/>
      <c r="EW371" s="632"/>
      <c r="EX371" s="595"/>
      <c r="EY371" s="633"/>
      <c r="EZ371" s="634"/>
      <c r="FA371" s="668"/>
      <c r="FB371" s="599"/>
      <c r="FC371" s="95"/>
      <c r="FD371" s="595"/>
      <c r="FE371" s="95"/>
      <c r="FF371" s="632"/>
      <c r="FG371" s="595"/>
      <c r="FH371" s="633"/>
      <c r="FI371" s="634"/>
      <c r="FJ371" s="668"/>
      <c r="FK371" s="599"/>
      <c r="FL371" s="95"/>
      <c r="FM371" s="595"/>
      <c r="FN371" s="95"/>
      <c r="FO371" s="632"/>
      <c r="FP371" s="595"/>
      <c r="FQ371" s="633"/>
      <c r="FR371" s="634"/>
      <c r="FS371" s="669"/>
      <c r="FT371" s="117"/>
      <c r="FV371" s="118"/>
      <c r="FX371" s="261"/>
      <c r="FY371" s="118"/>
      <c r="FZ371" s="219"/>
      <c r="GA371" s="247"/>
      <c r="GB371" s="669"/>
      <c r="GC371" s="117"/>
      <c r="GE371" s="118"/>
      <c r="GG371" s="261"/>
      <c r="GH371" s="118"/>
      <c r="GI371" s="219"/>
      <c r="GJ371" s="247"/>
      <c r="GK371" s="669"/>
      <c r="GL371" s="117"/>
      <c r="GN371" s="118"/>
      <c r="GP371" s="261"/>
      <c r="GQ371" s="118"/>
      <c r="GR371" s="219"/>
      <c r="GS371" s="247"/>
      <c r="GT371" s="669"/>
      <c r="GU371" s="117"/>
      <c r="GW371" s="118"/>
      <c r="GY371" s="261"/>
      <c r="GZ371" s="118"/>
      <c r="HA371" s="219"/>
      <c r="HB371" s="247"/>
      <c r="HC371" s="669"/>
      <c r="HD371" s="117"/>
      <c r="HF371" s="118"/>
      <c r="HH371" s="261"/>
      <c r="HI371" s="118"/>
      <c r="HJ371" s="219"/>
      <c r="HK371" s="247"/>
      <c r="HL371" s="669"/>
      <c r="HM371" s="117"/>
      <c r="HO371" s="118"/>
      <c r="HQ371" s="261"/>
      <c r="HR371" s="118"/>
      <c r="HS371" s="219"/>
      <c r="HT371" s="247"/>
      <c r="HU371" s="669"/>
      <c r="HV371" s="117"/>
      <c r="HX371" s="118"/>
      <c r="HZ371" s="261"/>
      <c r="IA371" s="118"/>
      <c r="IB371" s="219"/>
      <c r="IC371" s="247"/>
      <c r="ID371" s="669"/>
      <c r="IE371" s="117"/>
      <c r="IG371" s="118"/>
      <c r="II371" s="261"/>
      <c r="IJ371" s="118"/>
      <c r="IK371" s="219"/>
      <c r="IL371" s="247"/>
      <c r="IM371" s="669"/>
      <c r="IN371" s="117"/>
      <c r="IP371" s="118"/>
      <c r="IR371" s="261"/>
      <c r="IS371" s="118"/>
      <c r="IT371" s="219"/>
      <c r="IU371" s="247"/>
      <c r="IV371" s="669"/>
      <c r="IW371" s="117"/>
      <c r="IY371" s="118"/>
      <c r="JA371" s="261"/>
      <c r="JB371" s="118"/>
      <c r="JC371" s="219"/>
      <c r="JD371" s="247"/>
      <c r="JE371" s="669"/>
      <c r="JF371" s="117"/>
      <c r="JH371" s="118"/>
      <c r="JJ371" s="261"/>
      <c r="JK371" s="118"/>
      <c r="JL371" s="219"/>
      <c r="JM371" s="247"/>
      <c r="JN371" s="669"/>
      <c r="JO371" s="117"/>
      <c r="JQ371" s="118"/>
      <c r="JS371" s="261"/>
      <c r="JT371" s="118"/>
      <c r="JU371" s="219"/>
      <c r="JV371" s="247"/>
      <c r="JW371" s="669"/>
      <c r="JX371" s="117"/>
      <c r="JZ371" s="118"/>
      <c r="KB371" s="261"/>
      <c r="KC371" s="118"/>
      <c r="KD371" s="219"/>
      <c r="KE371" s="247"/>
      <c r="KF371" s="669"/>
      <c r="KG371" s="117"/>
      <c r="KI371" s="118"/>
      <c r="KK371" s="261"/>
      <c r="KL371" s="118"/>
      <c r="KM371" s="219"/>
      <c r="KN371" s="247"/>
      <c r="KO371" s="669"/>
      <c r="KP371" s="117"/>
      <c r="KR371" s="118"/>
      <c r="KT371" s="261"/>
      <c r="KU371" s="118"/>
      <c r="KV371" s="219"/>
      <c r="KW371" s="247"/>
      <c r="KX371" s="669"/>
      <c r="KY371" s="117"/>
      <c r="LA371" s="118"/>
      <c r="LC371" s="261"/>
      <c r="LD371" s="118"/>
      <c r="LE371" s="219"/>
      <c r="LF371" s="247"/>
      <c r="LG371" s="669"/>
      <c r="LH371" s="117"/>
      <c r="LJ371" s="118"/>
      <c r="LL371" s="261"/>
      <c r="LM371" s="118"/>
      <c r="LN371" s="219"/>
      <c r="LO371" s="247"/>
      <c r="LP371" s="669"/>
      <c r="LQ371" s="117"/>
      <c r="LS371" s="118"/>
      <c r="LU371" s="261"/>
      <c r="LV371" s="118"/>
      <c r="LW371" s="219"/>
      <c r="LX371" s="247"/>
      <c r="LY371" s="669"/>
      <c r="LZ371" s="117"/>
      <c r="MB371" s="118"/>
      <c r="MD371" s="261"/>
      <c r="ME371" s="118"/>
      <c r="MF371" s="219"/>
      <c r="MG371" s="247"/>
      <c r="MH371" s="669"/>
      <c r="MI371" s="117"/>
      <c r="MK371" s="118"/>
      <c r="MM371" s="261"/>
      <c r="MN371" s="118"/>
      <c r="MO371" s="219"/>
      <c r="MP371" s="247"/>
      <c r="MQ371" s="669"/>
      <c r="MR371" s="117"/>
      <c r="MT371" s="118"/>
      <c r="MV371" s="261"/>
      <c r="MW371" s="118"/>
      <c r="MX371" s="219"/>
      <c r="MY371" s="247"/>
      <c r="MZ371" s="669"/>
      <c r="NA371" s="117"/>
      <c r="NC371" s="118"/>
      <c r="NE371" s="261"/>
      <c r="NF371" s="118"/>
      <c r="NG371" s="219"/>
      <c r="NH371" s="247"/>
      <c r="NI371" s="669"/>
      <c r="NJ371" s="117"/>
      <c r="NL371" s="118"/>
      <c r="NN371" s="261"/>
      <c r="NO371" s="118"/>
      <c r="NP371" s="219"/>
      <c r="NQ371" s="247"/>
      <c r="NR371" s="669"/>
      <c r="NS371" s="117"/>
      <c r="NU371" s="118"/>
      <c r="NW371" s="261"/>
      <c r="NX371" s="118"/>
      <c r="NY371" s="219"/>
      <c r="NZ371" s="247"/>
      <c r="OA371" s="669"/>
      <c r="OB371" s="117"/>
      <c r="OD371" s="118"/>
      <c r="OF371" s="261"/>
      <c r="OG371" s="118"/>
      <c r="OH371" s="219"/>
      <c r="OI371" s="247"/>
      <c r="OJ371" s="669"/>
      <c r="OK371" s="117"/>
      <c r="OM371" s="118"/>
      <c r="OO371" s="261"/>
      <c r="OP371" s="118"/>
      <c r="OQ371" s="219"/>
      <c r="OR371" s="247"/>
      <c r="OS371" s="669"/>
      <c r="OT371" s="117"/>
      <c r="OV371" s="118"/>
      <c r="OX371" s="261"/>
      <c r="OY371" s="118"/>
      <c r="OZ371" s="219"/>
      <c r="PA371" s="247"/>
      <c r="PB371" s="669"/>
      <c r="PC371" s="117"/>
      <c r="PE371" s="118"/>
      <c r="PG371" s="261"/>
      <c r="PH371" s="118"/>
      <c r="PI371" s="219"/>
      <c r="PJ371" s="247"/>
      <c r="PK371" s="669"/>
      <c r="PL371" s="117"/>
      <c r="PN371" s="118"/>
      <c r="PP371" s="261"/>
      <c r="PQ371" s="118"/>
      <c r="PR371" s="219"/>
      <c r="PS371" s="247"/>
      <c r="PT371" s="669"/>
      <c r="PU371" s="117"/>
      <c r="PW371" s="118"/>
      <c r="PY371" s="261"/>
      <c r="PZ371" s="118"/>
      <c r="QA371" s="219"/>
      <c r="QB371" s="247"/>
      <c r="QC371" s="669"/>
      <c r="QD371" s="117"/>
      <c r="QF371" s="118"/>
      <c r="QH371" s="261"/>
      <c r="QI371" s="118"/>
      <c r="QJ371" s="219"/>
      <c r="QK371" s="247"/>
      <c r="QL371" s="669"/>
      <c r="QM371" s="117"/>
      <c r="QO371" s="118"/>
      <c r="QQ371" s="261"/>
      <c r="QR371" s="118"/>
      <c r="QS371" s="219"/>
      <c r="QT371" s="247"/>
      <c r="QU371" s="669"/>
      <c r="QV371" s="117"/>
      <c r="QX371" s="118"/>
      <c r="QZ371" s="261"/>
      <c r="RA371" s="118"/>
      <c r="RB371" s="219"/>
      <c r="RC371" s="247"/>
      <c r="RD371" s="669"/>
      <c r="RE371" s="117"/>
      <c r="RG371" s="118"/>
      <c r="RI371" s="261"/>
      <c r="RJ371" s="118"/>
      <c r="RK371" s="219"/>
      <c r="RL371" s="247"/>
      <c r="RM371" s="669"/>
      <c r="RN371" s="117"/>
      <c r="RP371" s="118"/>
      <c r="RR371" s="261"/>
      <c r="RS371" s="118"/>
      <c r="RT371" s="219"/>
      <c r="RU371" s="247"/>
      <c r="RV371" s="669"/>
      <c r="RW371" s="117"/>
      <c r="RY371" s="118"/>
      <c r="SA371" s="261"/>
      <c r="SB371" s="118"/>
      <c r="SC371" s="219"/>
      <c r="SD371" s="247"/>
      <c r="SE371" s="669"/>
      <c r="SF371" s="117"/>
      <c r="SH371" s="118"/>
      <c r="SJ371" s="261"/>
      <c r="SK371" s="118"/>
      <c r="SL371" s="219"/>
      <c r="SM371" s="247"/>
      <c r="SN371" s="669"/>
      <c r="SO371" s="117"/>
      <c r="SQ371" s="118"/>
      <c r="SS371" s="261"/>
      <c r="ST371" s="118"/>
      <c r="SU371" s="219"/>
      <c r="SV371" s="247"/>
      <c r="SW371" s="669"/>
      <c r="SX371" s="117"/>
      <c r="SZ371" s="118"/>
      <c r="TB371" s="261"/>
      <c r="TC371" s="118"/>
      <c r="TD371" s="219"/>
      <c r="TE371" s="247"/>
      <c r="TF371" s="669"/>
      <c r="TG371" s="117"/>
      <c r="TI371" s="118"/>
      <c r="TK371" s="261"/>
      <c r="TL371" s="118"/>
      <c r="TM371" s="219"/>
      <c r="TN371" s="247"/>
      <c r="TO371" s="669"/>
      <c r="TP371" s="117"/>
      <c r="TR371" s="118"/>
      <c r="TT371" s="261"/>
      <c r="TU371" s="118"/>
      <c r="TV371" s="219"/>
      <c r="TW371" s="247"/>
      <c r="TX371" s="669"/>
      <c r="TY371" s="117"/>
      <c r="UA371" s="118"/>
      <c r="UC371" s="261"/>
      <c r="UD371" s="118"/>
      <c r="UE371" s="219"/>
      <c r="UF371" s="247"/>
      <c r="UG371" s="669"/>
      <c r="UH371" s="117"/>
      <c r="UJ371" s="118"/>
      <c r="UL371" s="261"/>
      <c r="UM371" s="118"/>
      <c r="UN371" s="219"/>
      <c r="UO371" s="247"/>
      <c r="UP371" s="669"/>
      <c r="UQ371" s="117"/>
      <c r="US371" s="118"/>
      <c r="UU371" s="261"/>
      <c r="UV371" s="118"/>
      <c r="UW371" s="219"/>
      <c r="UX371" s="247"/>
      <c r="UY371" s="669"/>
      <c r="UZ371" s="117"/>
      <c r="VB371" s="118"/>
      <c r="VD371" s="261"/>
      <c r="VE371" s="118"/>
      <c r="VF371" s="219"/>
      <c r="VG371" s="247"/>
      <c r="VH371" s="669"/>
      <c r="VI371" s="117"/>
      <c r="VK371" s="118"/>
      <c r="VM371" s="261"/>
      <c r="VN371" s="118"/>
      <c r="VO371" s="219"/>
      <c r="VP371" s="247"/>
      <c r="VQ371" s="669"/>
      <c r="VR371" s="117"/>
      <c r="VT371" s="118"/>
      <c r="VV371" s="261"/>
      <c r="VW371" s="118"/>
      <c r="VX371" s="219"/>
      <c r="VY371" s="247"/>
      <c r="VZ371" s="669"/>
      <c r="WA371" s="117"/>
      <c r="WC371" s="118"/>
      <c r="WE371" s="261"/>
      <c r="WF371" s="118"/>
      <c r="WG371" s="219"/>
      <c r="WH371" s="247"/>
      <c r="WI371" s="669"/>
      <c r="WJ371" s="117"/>
      <c r="WL371" s="118"/>
      <c r="WN371" s="261"/>
      <c r="WO371" s="118"/>
      <c r="WP371" s="219"/>
      <c r="WQ371" s="247"/>
      <c r="WR371" s="669"/>
      <c r="WS371" s="117"/>
      <c r="WU371" s="118"/>
      <c r="WW371" s="261"/>
      <c r="WX371" s="118"/>
      <c r="WY371" s="219"/>
      <c r="WZ371" s="247"/>
      <c r="XA371" s="669"/>
      <c r="XB371" s="117"/>
      <c r="XD371" s="118"/>
      <c r="XF371" s="261"/>
      <c r="XG371" s="118"/>
      <c r="XH371" s="219"/>
      <c r="XI371" s="247"/>
      <c r="XJ371" s="669"/>
      <c r="XK371" s="117"/>
      <c r="XM371" s="118"/>
      <c r="XO371" s="261"/>
      <c r="XP371" s="118"/>
      <c r="XQ371" s="219"/>
      <c r="XR371" s="247"/>
      <c r="XS371" s="669"/>
      <c r="XT371" s="117"/>
      <c r="XV371" s="118"/>
      <c r="XX371" s="261"/>
      <c r="XY371" s="118"/>
      <c r="XZ371" s="219"/>
      <c r="YA371" s="247"/>
      <c r="YB371" s="669"/>
      <c r="YC371" s="117"/>
      <c r="YE371" s="118"/>
      <c r="YG371" s="261"/>
      <c r="YH371" s="118"/>
      <c r="YI371" s="219"/>
      <c r="YJ371" s="247"/>
      <c r="YK371" s="669"/>
      <c r="YL371" s="117"/>
      <c r="YN371" s="118"/>
      <c r="YP371" s="261"/>
      <c r="YQ371" s="118"/>
      <c r="YR371" s="219"/>
      <c r="YS371" s="247"/>
      <c r="YT371" s="669"/>
      <c r="YU371" s="117"/>
      <c r="YW371" s="118"/>
      <c r="YY371" s="261"/>
      <c r="YZ371" s="118"/>
      <c r="ZA371" s="219"/>
      <c r="ZB371" s="247"/>
      <c r="ZC371" s="669"/>
      <c r="ZD371" s="117"/>
      <c r="ZF371" s="118"/>
      <c r="ZH371" s="261"/>
      <c r="ZI371" s="118"/>
      <c r="ZJ371" s="219"/>
      <c r="ZK371" s="247"/>
      <c r="ZL371" s="669"/>
      <c r="ZM371" s="117"/>
      <c r="ZO371" s="118"/>
      <c r="ZQ371" s="261"/>
      <c r="ZR371" s="118"/>
      <c r="ZS371" s="219"/>
      <c r="ZT371" s="247"/>
      <c r="ZU371" s="669"/>
      <c r="ZV371" s="117"/>
      <c r="ZX371" s="118"/>
      <c r="ZZ371" s="261"/>
      <c r="AAA371" s="118"/>
      <c r="AAB371" s="219"/>
      <c r="AAC371" s="247"/>
      <c r="AAD371" s="669"/>
      <c r="AAE371" s="117"/>
      <c r="AAG371" s="118"/>
      <c r="AAI371" s="261"/>
      <c r="AAJ371" s="118"/>
      <c r="AAK371" s="219"/>
      <c r="AAL371" s="247"/>
      <c r="AAM371" s="669"/>
      <c r="AAN371" s="117"/>
      <c r="AAP371" s="118"/>
      <c r="AAR371" s="261"/>
      <c r="AAS371" s="118"/>
      <c r="AAT371" s="219"/>
      <c r="AAU371" s="247"/>
      <c r="AAV371" s="669"/>
      <c r="AAW371" s="117"/>
      <c r="AAY371" s="118"/>
      <c r="ABA371" s="261"/>
      <c r="ABB371" s="118"/>
      <c r="ABC371" s="219"/>
      <c r="ABD371" s="247"/>
      <c r="ABE371" s="669"/>
      <c r="ABF371" s="117"/>
      <c r="ABH371" s="118"/>
      <c r="ABJ371" s="261"/>
      <c r="ABK371" s="118"/>
      <c r="ABL371" s="219"/>
      <c r="ABM371" s="247"/>
      <c r="ABN371" s="669"/>
      <c r="ABO371" s="117"/>
      <c r="ABQ371" s="118"/>
      <c r="ABS371" s="261"/>
      <c r="ABT371" s="118"/>
      <c r="ABU371" s="219"/>
      <c r="ABV371" s="247"/>
      <c r="ABW371" s="669"/>
      <c r="ABX371" s="117"/>
      <c r="ABZ371" s="118"/>
      <c r="ACB371" s="261"/>
      <c r="ACC371" s="118"/>
      <c r="ACD371" s="219"/>
      <c r="ACE371" s="247"/>
      <c r="ACF371" s="669"/>
      <c r="ACG371" s="117"/>
      <c r="ACI371" s="118"/>
      <c r="ACK371" s="261"/>
      <c r="ACL371" s="118"/>
      <c r="ACM371" s="219"/>
      <c r="ACN371" s="247"/>
      <c r="ACO371" s="669"/>
      <c r="ACP371" s="117"/>
      <c r="ACR371" s="118"/>
      <c r="ACT371" s="261"/>
      <c r="ACU371" s="118"/>
      <c r="ACV371" s="219"/>
      <c r="ACW371" s="247"/>
      <c r="ACX371" s="669"/>
      <c r="ACY371" s="117"/>
      <c r="ADA371" s="118"/>
      <c r="ADC371" s="261"/>
      <c r="ADD371" s="118"/>
      <c r="ADE371" s="219"/>
      <c r="ADF371" s="247"/>
      <c r="ADG371" s="669"/>
      <c r="ADH371" s="117"/>
      <c r="ADJ371" s="118"/>
      <c r="ADL371" s="261"/>
      <c r="ADM371" s="118"/>
      <c r="ADN371" s="219"/>
      <c r="ADO371" s="247"/>
      <c r="ADP371" s="669"/>
      <c r="ADQ371" s="117"/>
      <c r="ADS371" s="118"/>
      <c r="ADU371" s="261"/>
      <c r="ADV371" s="118"/>
      <c r="ADW371" s="219"/>
      <c r="ADX371" s="247"/>
      <c r="ADY371" s="669"/>
      <c r="ADZ371" s="117"/>
      <c r="AEB371" s="118"/>
      <c r="AED371" s="261"/>
      <c r="AEE371" s="118"/>
      <c r="AEF371" s="219"/>
      <c r="AEG371" s="247"/>
      <c r="AEH371" s="669"/>
      <c r="AEI371" s="117"/>
      <c r="AEK371" s="118"/>
      <c r="AEM371" s="261"/>
      <c r="AEN371" s="118"/>
      <c r="AEO371" s="219"/>
      <c r="AEP371" s="247"/>
      <c r="AEQ371" s="669"/>
      <c r="AER371" s="117"/>
      <c r="AET371" s="118"/>
      <c r="AEV371" s="261"/>
      <c r="AEW371" s="118"/>
      <c r="AEX371" s="219"/>
      <c r="AEY371" s="247"/>
      <c r="AEZ371" s="669"/>
      <c r="AFA371" s="117"/>
      <c r="AFC371" s="118"/>
      <c r="AFE371" s="261"/>
      <c r="AFF371" s="118"/>
      <c r="AFG371" s="219"/>
      <c r="AFH371" s="247"/>
      <c r="AFI371" s="669"/>
      <c r="AFJ371" s="117"/>
      <c r="AFL371" s="118"/>
      <c r="AFN371" s="261"/>
      <c r="AFO371" s="118"/>
      <c r="AFP371" s="219"/>
      <c r="AFQ371" s="247"/>
      <c r="AFR371" s="669"/>
      <c r="AFS371" s="117"/>
      <c r="AFU371" s="118"/>
      <c r="AFW371" s="261"/>
      <c r="AFX371" s="118"/>
      <c r="AFY371" s="219"/>
      <c r="AFZ371" s="247"/>
      <c r="AGA371" s="669"/>
      <c r="AGB371" s="117"/>
      <c r="AGD371" s="118"/>
      <c r="AGF371" s="261"/>
      <c r="AGG371" s="118"/>
      <c r="AGH371" s="219"/>
      <c r="AGI371" s="247"/>
      <c r="AGJ371" s="669"/>
      <c r="AGK371" s="117"/>
      <c r="AGM371" s="118"/>
      <c r="AGO371" s="261"/>
      <c r="AGP371" s="118"/>
      <c r="AGQ371" s="219"/>
      <c r="AGR371" s="247"/>
      <c r="AGS371" s="669"/>
      <c r="AGT371" s="117"/>
      <c r="AGV371" s="118"/>
      <c r="AGX371" s="261"/>
      <c r="AGY371" s="118"/>
      <c r="AGZ371" s="219"/>
      <c r="AHA371" s="247"/>
      <c r="AHB371" s="669"/>
      <c r="AHC371" s="117"/>
      <c r="AHE371" s="118"/>
      <c r="AHG371" s="261"/>
      <c r="AHH371" s="118"/>
      <c r="AHI371" s="219"/>
      <c r="AHJ371" s="247"/>
      <c r="AHK371" s="669"/>
      <c r="AHL371" s="117"/>
      <c r="AHN371" s="118"/>
      <c r="AHP371" s="261"/>
      <c r="AHQ371" s="118"/>
      <c r="AHR371" s="219"/>
      <c r="AHS371" s="247"/>
      <c r="AHT371" s="669"/>
      <c r="AHU371" s="117"/>
      <c r="AHW371" s="118"/>
      <c r="AHY371" s="261"/>
      <c r="AHZ371" s="118"/>
      <c r="AIA371" s="219"/>
      <c r="AIB371" s="247"/>
      <c r="AIC371" s="669"/>
      <c r="AID371" s="117"/>
      <c r="AIF371" s="118"/>
      <c r="AIH371" s="261"/>
      <c r="AII371" s="118"/>
      <c r="AIJ371" s="219"/>
      <c r="AIK371" s="247"/>
      <c r="AIL371" s="669"/>
      <c r="AIM371" s="117"/>
      <c r="AIO371" s="118"/>
      <c r="AIQ371" s="261"/>
      <c r="AIR371" s="118"/>
      <c r="AIS371" s="219"/>
      <c r="AIT371" s="247"/>
      <c r="AIU371" s="669"/>
      <c r="AIV371" s="117"/>
      <c r="AIX371" s="118"/>
      <c r="AIZ371" s="261"/>
      <c r="AJA371" s="118"/>
      <c r="AJB371" s="219"/>
      <c r="AJC371" s="247"/>
      <c r="AJD371" s="669"/>
      <c r="AJE371" s="117"/>
      <c r="AJG371" s="118"/>
      <c r="AJI371" s="261"/>
      <c r="AJJ371" s="118"/>
      <c r="AJK371" s="219"/>
      <c r="AJL371" s="247"/>
      <c r="AJM371" s="669"/>
      <c r="AJN371" s="117"/>
      <c r="AJP371" s="118"/>
      <c r="AJR371" s="261"/>
      <c r="AJS371" s="118"/>
      <c r="AJT371" s="219"/>
      <c r="AJU371" s="247"/>
      <c r="AJV371" s="669"/>
      <c r="AJW371" s="117"/>
      <c r="AJY371" s="118"/>
      <c r="AKA371" s="261"/>
      <c r="AKB371" s="118"/>
      <c r="AKC371" s="219"/>
      <c r="AKD371" s="247"/>
      <c r="AKE371" s="669"/>
      <c r="AKF371" s="117"/>
      <c r="AKH371" s="118"/>
      <c r="AKJ371" s="261"/>
      <c r="AKK371" s="118"/>
      <c r="AKL371" s="219"/>
      <c r="AKM371" s="247"/>
      <c r="AKN371" s="669"/>
      <c r="AKO371" s="117"/>
      <c r="AKQ371" s="118"/>
      <c r="AKS371" s="261"/>
      <c r="AKT371" s="118"/>
      <c r="AKU371" s="219"/>
      <c r="AKV371" s="247"/>
      <c r="AKW371" s="669"/>
      <c r="AKX371" s="117"/>
      <c r="AKZ371" s="118"/>
      <c r="ALB371" s="261"/>
      <c r="ALC371" s="118"/>
      <c r="ALD371" s="219"/>
      <c r="ALE371" s="247"/>
      <c r="ALF371" s="669"/>
      <c r="ALG371" s="117"/>
      <c r="ALI371" s="118"/>
      <c r="ALK371" s="261"/>
      <c r="ALL371" s="118"/>
      <c r="ALM371" s="219"/>
      <c r="ALN371" s="247"/>
      <c r="ALO371" s="669"/>
      <c r="ALP371" s="117"/>
      <c r="ALR371" s="118"/>
      <c r="ALT371" s="261"/>
      <c r="ALU371" s="118"/>
      <c r="ALV371" s="219"/>
      <c r="ALW371" s="247"/>
      <c r="ALX371" s="669"/>
      <c r="ALY371" s="117"/>
      <c r="AMA371" s="118"/>
      <c r="AMC371" s="261"/>
      <c r="AMD371" s="118"/>
      <c r="AME371" s="219"/>
      <c r="AMF371" s="247"/>
      <c r="AMG371" s="669"/>
      <c r="AMH371" s="117"/>
      <c r="AMJ371" s="118"/>
      <c r="AML371" s="261"/>
      <c r="AMM371" s="118"/>
      <c r="AMN371" s="219"/>
      <c r="AMO371" s="247"/>
      <c r="AMP371" s="669"/>
      <c r="AMQ371" s="117"/>
      <c r="AMS371" s="118"/>
      <c r="AMU371" s="261"/>
      <c r="AMV371" s="118"/>
      <c r="AMW371" s="219"/>
      <c r="AMX371" s="247"/>
      <c r="AMY371" s="669"/>
      <c r="AMZ371" s="117"/>
      <c r="ANB371" s="118"/>
      <c r="AND371" s="261"/>
      <c r="ANE371" s="118"/>
      <c r="ANF371" s="219"/>
      <c r="ANG371" s="247"/>
      <c r="ANH371" s="669"/>
      <c r="ANI371" s="117"/>
      <c r="ANK371" s="118"/>
      <c r="ANM371" s="261"/>
      <c r="ANN371" s="118"/>
      <c r="ANO371" s="219"/>
      <c r="ANP371" s="247"/>
      <c r="ANQ371" s="669"/>
      <c r="ANR371" s="117"/>
      <c r="ANT371" s="118"/>
      <c r="ANV371" s="261"/>
      <c r="ANW371" s="118"/>
      <c r="ANX371" s="219"/>
      <c r="ANY371" s="247"/>
      <c r="ANZ371" s="669"/>
      <c r="AOA371" s="117"/>
      <c r="AOC371" s="118"/>
      <c r="AOE371" s="261"/>
      <c r="AOF371" s="118"/>
      <c r="AOG371" s="219"/>
      <c r="AOH371" s="247"/>
      <c r="AOI371" s="669"/>
      <c r="AOJ371" s="117"/>
      <c r="AOL371" s="118"/>
      <c r="AON371" s="261"/>
      <c r="AOO371" s="118"/>
      <c r="AOP371" s="219"/>
      <c r="AOQ371" s="247"/>
      <c r="AOR371" s="669"/>
      <c r="AOS371" s="117"/>
      <c r="AOU371" s="118"/>
      <c r="AOW371" s="261"/>
      <c r="AOX371" s="118"/>
      <c r="AOY371" s="219"/>
      <c r="AOZ371" s="247"/>
      <c r="APA371" s="669"/>
      <c r="APB371" s="117"/>
      <c r="APD371" s="118"/>
      <c r="APF371" s="261"/>
      <c r="APG371" s="118"/>
      <c r="APH371" s="219"/>
      <c r="API371" s="247"/>
      <c r="APJ371" s="669"/>
      <c r="APK371" s="117"/>
      <c r="APM371" s="118"/>
      <c r="APO371" s="261"/>
      <c r="APP371" s="118"/>
      <c r="APQ371" s="219"/>
      <c r="APR371" s="247"/>
      <c r="APS371" s="669"/>
      <c r="APT371" s="117"/>
      <c r="APV371" s="118"/>
      <c r="APX371" s="261"/>
      <c r="APY371" s="118"/>
      <c r="APZ371" s="219"/>
      <c r="AQA371" s="247"/>
      <c r="AQB371" s="669"/>
      <c r="AQC371" s="117"/>
      <c r="AQE371" s="118"/>
      <c r="AQG371" s="261"/>
      <c r="AQH371" s="118"/>
      <c r="AQI371" s="219"/>
      <c r="AQJ371" s="247"/>
      <c r="AQK371" s="669"/>
      <c r="AQL371" s="117"/>
      <c r="AQN371" s="118"/>
      <c r="AQP371" s="261"/>
      <c r="AQQ371" s="118"/>
      <c r="AQR371" s="219"/>
      <c r="AQS371" s="247"/>
      <c r="AQT371" s="669"/>
      <c r="AQU371" s="117"/>
      <c r="AQW371" s="118"/>
      <c r="AQY371" s="261"/>
      <c r="AQZ371" s="118"/>
      <c r="ARA371" s="219"/>
      <c r="ARB371" s="247"/>
      <c r="ARC371" s="669"/>
      <c r="ARD371" s="117"/>
      <c r="ARF371" s="118"/>
      <c r="ARH371" s="261"/>
      <c r="ARI371" s="118"/>
      <c r="ARJ371" s="219"/>
      <c r="ARK371" s="247"/>
      <c r="ARL371" s="669"/>
      <c r="ARM371" s="117"/>
      <c r="ARO371" s="118"/>
      <c r="ARQ371" s="261"/>
      <c r="ARR371" s="118"/>
      <c r="ARS371" s="219"/>
      <c r="ART371" s="247"/>
      <c r="ARU371" s="669"/>
      <c r="ARV371" s="117"/>
      <c r="ARX371" s="118"/>
      <c r="ARZ371" s="261"/>
      <c r="ASA371" s="118"/>
      <c r="ASB371" s="219"/>
      <c r="ASC371" s="247"/>
      <c r="ASD371" s="669"/>
      <c r="ASE371" s="117"/>
      <c r="ASG371" s="118"/>
      <c r="ASI371" s="261"/>
      <c r="ASJ371" s="118"/>
      <c r="ASK371" s="219"/>
      <c r="ASL371" s="247"/>
      <c r="ASM371" s="669"/>
      <c r="ASN371" s="117"/>
      <c r="ASP371" s="118"/>
      <c r="ASR371" s="261"/>
      <c r="ASS371" s="118"/>
      <c r="AST371" s="219"/>
      <c r="ASU371" s="247"/>
      <c r="ASV371" s="669"/>
      <c r="ASW371" s="117"/>
      <c r="ASY371" s="118"/>
      <c r="ATA371" s="261"/>
      <c r="ATB371" s="118"/>
      <c r="ATC371" s="219"/>
      <c r="ATD371" s="247"/>
      <c r="ATE371" s="669"/>
      <c r="ATF371" s="117"/>
      <c r="ATH371" s="118"/>
      <c r="ATJ371" s="261"/>
      <c r="ATK371" s="118"/>
      <c r="ATL371" s="219"/>
      <c r="ATM371" s="247"/>
      <c r="ATN371" s="669"/>
      <c r="ATO371" s="117"/>
      <c r="ATQ371" s="118"/>
      <c r="ATS371" s="261"/>
      <c r="ATT371" s="118"/>
      <c r="ATU371" s="219"/>
      <c r="ATV371" s="247"/>
      <c r="ATW371" s="669"/>
      <c r="ATX371" s="117"/>
      <c r="ATZ371" s="118"/>
      <c r="AUB371" s="261"/>
      <c r="AUC371" s="118"/>
      <c r="AUD371" s="219"/>
      <c r="AUE371" s="247"/>
      <c r="AUF371" s="669"/>
      <c r="AUG371" s="117"/>
      <c r="AUI371" s="118"/>
      <c r="AUK371" s="261"/>
      <c r="AUL371" s="118"/>
      <c r="AUM371" s="219"/>
      <c r="AUN371" s="247"/>
      <c r="AUO371" s="669"/>
      <c r="AUP371" s="117"/>
      <c r="AUR371" s="118"/>
      <c r="AUT371" s="261"/>
      <c r="AUU371" s="118"/>
      <c r="AUV371" s="219"/>
      <c r="AUW371" s="247"/>
      <c r="AUX371" s="669"/>
      <c r="AUY371" s="117"/>
      <c r="AVA371" s="118"/>
      <c r="AVC371" s="261"/>
      <c r="AVD371" s="118"/>
      <c r="AVE371" s="219"/>
      <c r="AVF371" s="247"/>
      <c r="AVG371" s="669"/>
      <c r="AVH371" s="117"/>
      <c r="AVJ371" s="118"/>
      <c r="AVL371" s="261"/>
      <c r="AVM371" s="118"/>
      <c r="AVN371" s="219"/>
      <c r="AVO371" s="247"/>
      <c r="AVP371" s="669"/>
      <c r="AVQ371" s="117"/>
      <c r="AVS371" s="118"/>
      <c r="AVU371" s="261"/>
      <c r="AVV371" s="118"/>
      <c r="AVW371" s="219"/>
      <c r="AVX371" s="247"/>
      <c r="AVY371" s="669"/>
      <c r="AVZ371" s="117"/>
      <c r="AWB371" s="118"/>
      <c r="AWD371" s="261"/>
      <c r="AWE371" s="118"/>
      <c r="AWF371" s="219"/>
      <c r="AWG371" s="247"/>
      <c r="AWH371" s="669"/>
      <c r="AWI371" s="117"/>
      <c r="AWK371" s="118"/>
      <c r="AWM371" s="261"/>
      <c r="AWN371" s="118"/>
      <c r="AWO371" s="219"/>
      <c r="AWP371" s="247"/>
      <c r="AWQ371" s="669"/>
      <c r="AWR371" s="117"/>
      <c r="AWT371" s="118"/>
      <c r="AWV371" s="261"/>
      <c r="AWW371" s="118"/>
      <c r="AWX371" s="219"/>
      <c r="AWY371" s="247"/>
      <c r="AWZ371" s="669"/>
      <c r="AXA371" s="117"/>
      <c r="AXC371" s="118"/>
      <c r="AXE371" s="261"/>
      <c r="AXF371" s="118"/>
      <c r="AXG371" s="219"/>
      <c r="AXH371" s="247"/>
      <c r="AXI371" s="669"/>
      <c r="AXJ371" s="117"/>
      <c r="AXL371" s="118"/>
      <c r="AXN371" s="261"/>
      <c r="AXO371" s="118"/>
      <c r="AXP371" s="219"/>
      <c r="AXQ371" s="247"/>
      <c r="AXR371" s="669"/>
      <c r="AXS371" s="117"/>
      <c r="AXU371" s="118"/>
      <c r="AXW371" s="261"/>
      <c r="AXX371" s="118"/>
      <c r="AXY371" s="219"/>
      <c r="AXZ371" s="247"/>
      <c r="AYA371" s="669"/>
      <c r="AYB371" s="117"/>
      <c r="AYD371" s="118"/>
      <c r="AYF371" s="261"/>
      <c r="AYG371" s="118"/>
      <c r="AYH371" s="219"/>
      <c r="AYI371" s="247"/>
      <c r="AYJ371" s="669"/>
      <c r="AYK371" s="117"/>
      <c r="AYM371" s="118"/>
      <c r="AYO371" s="261"/>
      <c r="AYP371" s="118"/>
      <c r="AYQ371" s="219"/>
      <c r="AYR371" s="247"/>
      <c r="AYS371" s="669"/>
      <c r="AYT371" s="117"/>
      <c r="AYV371" s="118"/>
      <c r="AYX371" s="261"/>
      <c r="AYY371" s="118"/>
      <c r="AYZ371" s="219"/>
      <c r="AZA371" s="247"/>
      <c r="AZB371" s="669"/>
      <c r="AZC371" s="117"/>
      <c r="AZE371" s="118"/>
      <c r="AZG371" s="261"/>
      <c r="AZH371" s="118"/>
      <c r="AZI371" s="219"/>
      <c r="AZJ371" s="247"/>
      <c r="AZK371" s="669"/>
      <c r="AZL371" s="117"/>
      <c r="AZN371" s="118"/>
      <c r="AZP371" s="261"/>
      <c r="AZQ371" s="118"/>
      <c r="AZR371" s="219"/>
      <c r="AZS371" s="247"/>
      <c r="AZT371" s="669"/>
      <c r="AZU371" s="117"/>
      <c r="AZW371" s="118"/>
      <c r="AZY371" s="261"/>
      <c r="AZZ371" s="118"/>
      <c r="BAA371" s="219"/>
      <c r="BAB371" s="247"/>
      <c r="BAC371" s="669"/>
      <c r="BAD371" s="117"/>
      <c r="BAF371" s="118"/>
      <c r="BAH371" s="261"/>
      <c r="BAI371" s="118"/>
      <c r="BAJ371" s="219"/>
      <c r="BAK371" s="247"/>
      <c r="BAL371" s="669"/>
      <c r="BAM371" s="117"/>
      <c r="BAO371" s="118"/>
      <c r="BAQ371" s="261"/>
      <c r="BAR371" s="118"/>
      <c r="BAS371" s="219"/>
      <c r="BAT371" s="247"/>
      <c r="BAU371" s="669"/>
      <c r="BAV371" s="117"/>
      <c r="BAX371" s="118"/>
      <c r="BAZ371" s="261"/>
      <c r="BBA371" s="118"/>
      <c r="BBB371" s="219"/>
      <c r="BBC371" s="247"/>
      <c r="BBD371" s="669"/>
      <c r="BBE371" s="117"/>
      <c r="BBG371" s="118"/>
      <c r="BBI371" s="261"/>
      <c r="BBJ371" s="118"/>
      <c r="BBK371" s="219"/>
      <c r="BBL371" s="247"/>
      <c r="BBM371" s="669"/>
      <c r="BBN371" s="117"/>
      <c r="BBP371" s="118"/>
      <c r="BBR371" s="261"/>
      <c r="BBS371" s="118"/>
      <c r="BBT371" s="219"/>
      <c r="BBU371" s="247"/>
      <c r="BBV371" s="669"/>
      <c r="BBW371" s="117"/>
      <c r="BBY371" s="118"/>
      <c r="BCA371" s="261"/>
      <c r="BCB371" s="118"/>
      <c r="BCC371" s="219"/>
      <c r="BCD371" s="247"/>
      <c r="BCE371" s="669"/>
      <c r="BCF371" s="117"/>
      <c r="BCH371" s="118"/>
      <c r="BCJ371" s="261"/>
      <c r="BCK371" s="118"/>
      <c r="BCL371" s="219"/>
      <c r="BCM371" s="247"/>
      <c r="BCN371" s="669"/>
      <c r="BCO371" s="117"/>
      <c r="BCQ371" s="118"/>
      <c r="BCS371" s="261"/>
      <c r="BCT371" s="118"/>
      <c r="BCU371" s="219"/>
      <c r="BCV371" s="247"/>
      <c r="BCW371" s="669"/>
      <c r="BCX371" s="117"/>
      <c r="BCZ371" s="118"/>
      <c r="BDB371" s="261"/>
      <c r="BDC371" s="118"/>
      <c r="BDD371" s="219"/>
      <c r="BDE371" s="247"/>
      <c r="BDF371" s="669"/>
      <c r="BDG371" s="117"/>
      <c r="BDI371" s="118"/>
      <c r="BDK371" s="261"/>
      <c r="BDL371" s="118"/>
      <c r="BDM371" s="219"/>
      <c r="BDN371" s="247"/>
      <c r="BDO371" s="669"/>
      <c r="BDP371" s="117"/>
      <c r="BDR371" s="118"/>
      <c r="BDT371" s="261"/>
      <c r="BDU371" s="118"/>
      <c r="BDV371" s="219"/>
      <c r="BDW371" s="247"/>
      <c r="BDX371" s="669"/>
      <c r="BDY371" s="117"/>
      <c r="BEA371" s="118"/>
      <c r="BEC371" s="261"/>
      <c r="BED371" s="118"/>
      <c r="BEE371" s="219"/>
      <c r="BEF371" s="247"/>
      <c r="BEG371" s="669"/>
      <c r="BEH371" s="117"/>
      <c r="BEJ371" s="118"/>
      <c r="BEL371" s="261"/>
      <c r="BEM371" s="118"/>
      <c r="BEN371" s="219"/>
      <c r="BEO371" s="247"/>
      <c r="BEP371" s="669"/>
      <c r="BEQ371" s="117"/>
      <c r="BES371" s="118"/>
      <c r="BEU371" s="261"/>
      <c r="BEV371" s="118"/>
      <c r="BEW371" s="219"/>
      <c r="BEX371" s="247"/>
      <c r="BEY371" s="669"/>
      <c r="BEZ371" s="117"/>
      <c r="BFB371" s="118"/>
      <c r="BFD371" s="261"/>
      <c r="BFE371" s="118"/>
      <c r="BFF371" s="219"/>
      <c r="BFG371" s="247"/>
      <c r="BFH371" s="669"/>
      <c r="BFI371" s="117"/>
      <c r="BFK371" s="118"/>
      <c r="BFM371" s="261"/>
      <c r="BFN371" s="118"/>
      <c r="BFO371" s="219"/>
      <c r="BFP371" s="247"/>
      <c r="BFQ371" s="669"/>
      <c r="BFR371" s="117"/>
      <c r="BFT371" s="118"/>
      <c r="BFV371" s="261"/>
      <c r="BFW371" s="118"/>
      <c r="BFX371" s="219"/>
      <c r="BFY371" s="247"/>
      <c r="BFZ371" s="669"/>
      <c r="BGA371" s="117"/>
      <c r="BGC371" s="118"/>
      <c r="BGE371" s="261"/>
      <c r="BGF371" s="118"/>
      <c r="BGG371" s="219"/>
      <c r="BGH371" s="247"/>
      <c r="BGI371" s="669"/>
      <c r="BGJ371" s="117"/>
      <c r="BGL371" s="118"/>
      <c r="BGN371" s="261"/>
      <c r="BGO371" s="118"/>
      <c r="BGP371" s="219"/>
      <c r="BGQ371" s="247"/>
      <c r="BGR371" s="669"/>
      <c r="BGS371" s="117"/>
      <c r="BGU371" s="118"/>
      <c r="BGW371" s="261"/>
      <c r="BGX371" s="118"/>
      <c r="BGY371" s="219"/>
      <c r="BGZ371" s="247"/>
      <c r="BHA371" s="669"/>
      <c r="BHB371" s="117"/>
      <c r="BHD371" s="118"/>
      <c r="BHF371" s="261"/>
      <c r="BHG371" s="118"/>
      <c r="BHH371" s="219"/>
      <c r="BHI371" s="247"/>
      <c r="BHJ371" s="669"/>
      <c r="BHK371" s="117"/>
      <c r="BHM371" s="118"/>
      <c r="BHO371" s="261"/>
      <c r="BHP371" s="118"/>
      <c r="BHQ371" s="219"/>
      <c r="BHR371" s="247"/>
      <c r="BHS371" s="669"/>
      <c r="BHT371" s="117"/>
      <c r="BHV371" s="118"/>
      <c r="BHX371" s="261"/>
      <c r="BHY371" s="118"/>
      <c r="BHZ371" s="219"/>
      <c r="BIA371" s="247"/>
      <c r="BIB371" s="669"/>
      <c r="BIC371" s="117"/>
      <c r="BIE371" s="118"/>
      <c r="BIG371" s="261"/>
      <c r="BIH371" s="118"/>
      <c r="BII371" s="219"/>
      <c r="BIJ371" s="247"/>
      <c r="BIK371" s="669"/>
      <c r="BIL371" s="117"/>
      <c r="BIN371" s="118"/>
      <c r="BIP371" s="261"/>
      <c r="BIQ371" s="118"/>
      <c r="BIR371" s="219"/>
      <c r="BIS371" s="247"/>
      <c r="BIT371" s="669"/>
      <c r="BIU371" s="117"/>
      <c r="BIW371" s="118"/>
      <c r="BIY371" s="261"/>
      <c r="BIZ371" s="118"/>
      <c r="BJA371" s="219"/>
      <c r="BJB371" s="247"/>
      <c r="BJC371" s="669"/>
      <c r="BJD371" s="117"/>
      <c r="BJF371" s="118"/>
      <c r="BJH371" s="261"/>
      <c r="BJI371" s="118"/>
      <c r="BJJ371" s="219"/>
      <c r="BJK371" s="247"/>
      <c r="BJL371" s="669"/>
      <c r="BJM371" s="117"/>
      <c r="BJO371" s="118"/>
      <c r="BJQ371" s="261"/>
      <c r="BJR371" s="118"/>
      <c r="BJS371" s="219"/>
      <c r="BJT371" s="247"/>
      <c r="BJU371" s="669"/>
      <c r="BJV371" s="117"/>
      <c r="BJX371" s="118"/>
      <c r="BJZ371" s="261"/>
      <c r="BKA371" s="118"/>
      <c r="BKB371" s="219"/>
      <c r="BKC371" s="247"/>
      <c r="BKD371" s="669"/>
      <c r="BKE371" s="117"/>
      <c r="BKG371" s="118"/>
      <c r="BKI371" s="261"/>
      <c r="BKJ371" s="118"/>
      <c r="BKK371" s="219"/>
      <c r="BKL371" s="247"/>
      <c r="BKM371" s="669"/>
      <c r="BKN371" s="117"/>
      <c r="BKP371" s="118"/>
      <c r="BKR371" s="261"/>
      <c r="BKS371" s="118"/>
      <c r="BKT371" s="219"/>
      <c r="BKU371" s="247"/>
      <c r="BKV371" s="669"/>
      <c r="BKW371" s="117"/>
      <c r="BKY371" s="118"/>
      <c r="BLA371" s="261"/>
      <c r="BLB371" s="118"/>
      <c r="BLC371" s="219"/>
      <c r="BLD371" s="247"/>
      <c r="BLE371" s="669"/>
      <c r="BLF371" s="117"/>
      <c r="BLH371" s="118"/>
      <c r="BLJ371" s="261"/>
      <c r="BLK371" s="118"/>
      <c r="BLL371" s="219"/>
      <c r="BLM371" s="247"/>
      <c r="BLN371" s="669"/>
      <c r="BLO371" s="117"/>
      <c r="BLQ371" s="118"/>
      <c r="BLS371" s="261"/>
      <c r="BLT371" s="118"/>
      <c r="BLU371" s="219"/>
      <c r="BLV371" s="247"/>
      <c r="BLW371" s="669"/>
      <c r="BLX371" s="117"/>
      <c r="BLZ371" s="118"/>
      <c r="BMB371" s="261"/>
      <c r="BMC371" s="118"/>
      <c r="BMD371" s="219"/>
      <c r="BME371" s="247"/>
      <c r="BMF371" s="669"/>
      <c r="BMG371" s="117"/>
      <c r="BMI371" s="118"/>
      <c r="BMK371" s="261"/>
      <c r="BML371" s="118"/>
      <c r="BMM371" s="219"/>
      <c r="BMN371" s="247"/>
      <c r="BMO371" s="669"/>
      <c r="BMP371" s="117"/>
      <c r="BMR371" s="118"/>
      <c r="BMT371" s="261"/>
      <c r="BMU371" s="118"/>
      <c r="BMV371" s="219"/>
      <c r="BMW371" s="247"/>
      <c r="BMX371" s="669"/>
      <c r="BMY371" s="117"/>
      <c r="BNA371" s="118"/>
      <c r="BNC371" s="261"/>
      <c r="BND371" s="118"/>
      <c r="BNE371" s="219"/>
      <c r="BNF371" s="247"/>
      <c r="BNG371" s="669"/>
      <c r="BNH371" s="117"/>
      <c r="BNJ371" s="118"/>
      <c r="BNL371" s="261"/>
      <c r="BNM371" s="118"/>
      <c r="BNN371" s="219"/>
      <c r="BNO371" s="247"/>
      <c r="BNP371" s="669"/>
      <c r="BNQ371" s="117"/>
      <c r="BNS371" s="118"/>
      <c r="BNU371" s="261"/>
      <c r="BNV371" s="118"/>
      <c r="BNW371" s="219"/>
      <c r="BNX371" s="247"/>
      <c r="BNY371" s="669"/>
      <c r="BNZ371" s="117"/>
      <c r="BOB371" s="118"/>
      <c r="BOD371" s="261"/>
      <c r="BOE371" s="118"/>
      <c r="BOF371" s="219"/>
      <c r="BOG371" s="247"/>
      <c r="BOH371" s="669"/>
      <c r="BOI371" s="117"/>
      <c r="BOK371" s="118"/>
      <c r="BOM371" s="261"/>
      <c r="BON371" s="118"/>
      <c r="BOO371" s="219"/>
      <c r="BOP371" s="247"/>
      <c r="BOQ371" s="669"/>
      <c r="BOR371" s="117"/>
      <c r="BOT371" s="118"/>
      <c r="BOV371" s="261"/>
      <c r="BOW371" s="118"/>
      <c r="BOX371" s="219"/>
      <c r="BOY371" s="247"/>
      <c r="BOZ371" s="669"/>
      <c r="BPA371" s="117"/>
      <c r="BPC371" s="118"/>
      <c r="BPE371" s="261"/>
      <c r="BPF371" s="118"/>
      <c r="BPG371" s="219"/>
      <c r="BPH371" s="247"/>
      <c r="BPI371" s="669"/>
      <c r="BPJ371" s="117"/>
      <c r="BPL371" s="118"/>
      <c r="BPN371" s="261"/>
      <c r="BPO371" s="118"/>
      <c r="BPP371" s="219"/>
      <c r="BPQ371" s="247"/>
      <c r="BPR371" s="669"/>
      <c r="BPS371" s="117"/>
      <c r="BPU371" s="118"/>
      <c r="BPW371" s="261"/>
      <c r="BPX371" s="118"/>
      <c r="BPY371" s="219"/>
      <c r="BPZ371" s="247"/>
      <c r="BQA371" s="669"/>
      <c r="BQB371" s="117"/>
      <c r="BQD371" s="118"/>
      <c r="BQF371" s="261"/>
      <c r="BQG371" s="118"/>
      <c r="BQH371" s="219"/>
      <c r="BQI371" s="247"/>
      <c r="BQJ371" s="669"/>
      <c r="BQK371" s="117"/>
      <c r="BQM371" s="118"/>
      <c r="BQO371" s="261"/>
      <c r="BQP371" s="118"/>
      <c r="BQQ371" s="219"/>
      <c r="BQR371" s="247"/>
      <c r="BQS371" s="669"/>
      <c r="BQT371" s="117"/>
      <c r="BQV371" s="118"/>
      <c r="BQX371" s="261"/>
      <c r="BQY371" s="118"/>
      <c r="BQZ371" s="219"/>
      <c r="BRA371" s="247"/>
      <c r="BRB371" s="669"/>
      <c r="BRC371" s="117"/>
      <c r="BRE371" s="118"/>
      <c r="BRG371" s="261"/>
      <c r="BRH371" s="118"/>
      <c r="BRI371" s="219"/>
      <c r="BRJ371" s="247"/>
      <c r="BRK371" s="669"/>
      <c r="BRL371" s="117"/>
      <c r="BRN371" s="118"/>
      <c r="BRP371" s="261"/>
      <c r="BRQ371" s="118"/>
      <c r="BRR371" s="219"/>
      <c r="BRS371" s="247"/>
      <c r="BRT371" s="669"/>
      <c r="BRU371" s="117"/>
      <c r="BRW371" s="118"/>
      <c r="BRY371" s="261"/>
      <c r="BRZ371" s="118"/>
      <c r="BSA371" s="219"/>
      <c r="BSB371" s="247"/>
      <c r="BSC371" s="669"/>
      <c r="BSD371" s="117"/>
      <c r="BSF371" s="118"/>
      <c r="BSH371" s="261"/>
      <c r="BSI371" s="118"/>
      <c r="BSJ371" s="219"/>
      <c r="BSK371" s="247"/>
      <c r="BSL371" s="669"/>
      <c r="BSM371" s="117"/>
      <c r="BSO371" s="118"/>
      <c r="BSQ371" s="261"/>
      <c r="BSR371" s="118"/>
      <c r="BSS371" s="219"/>
      <c r="BST371" s="247"/>
      <c r="BSU371" s="669"/>
      <c r="BSV371" s="117"/>
      <c r="BSX371" s="118"/>
      <c r="BSZ371" s="261"/>
      <c r="BTA371" s="118"/>
      <c r="BTB371" s="219"/>
      <c r="BTC371" s="247"/>
      <c r="BTD371" s="669"/>
      <c r="BTE371" s="117"/>
      <c r="BTG371" s="118"/>
      <c r="BTI371" s="261"/>
      <c r="BTJ371" s="118"/>
      <c r="BTK371" s="219"/>
      <c r="BTL371" s="247"/>
      <c r="BTM371" s="669"/>
      <c r="BTN371" s="117"/>
      <c r="BTP371" s="118"/>
      <c r="BTR371" s="261"/>
      <c r="BTS371" s="118"/>
      <c r="BTT371" s="219"/>
      <c r="BTU371" s="247"/>
      <c r="BTV371" s="669"/>
      <c r="BTW371" s="117"/>
      <c r="BTY371" s="118"/>
      <c r="BUA371" s="261"/>
      <c r="BUB371" s="118"/>
      <c r="BUC371" s="219"/>
      <c r="BUD371" s="247"/>
      <c r="BUE371" s="669"/>
      <c r="BUF371" s="117"/>
      <c r="BUH371" s="118"/>
      <c r="BUJ371" s="261"/>
      <c r="BUK371" s="118"/>
      <c r="BUL371" s="219"/>
      <c r="BUM371" s="247"/>
      <c r="BUN371" s="669"/>
      <c r="BUO371" s="117"/>
      <c r="BUQ371" s="118"/>
      <c r="BUS371" s="261"/>
      <c r="BUT371" s="118"/>
      <c r="BUU371" s="219"/>
      <c r="BUV371" s="247"/>
      <c r="BUW371" s="669"/>
      <c r="BUX371" s="117"/>
      <c r="BUZ371" s="118"/>
      <c r="BVB371" s="261"/>
      <c r="BVC371" s="118"/>
      <c r="BVD371" s="219"/>
      <c r="BVE371" s="247"/>
      <c r="BVF371" s="669"/>
      <c r="BVG371" s="117"/>
      <c r="BVI371" s="118"/>
      <c r="BVK371" s="261"/>
      <c r="BVL371" s="118"/>
      <c r="BVM371" s="219"/>
      <c r="BVN371" s="247"/>
      <c r="BVO371" s="669"/>
      <c r="BVP371" s="117"/>
      <c r="BVR371" s="118"/>
      <c r="BVT371" s="261"/>
      <c r="BVU371" s="118"/>
      <c r="BVV371" s="219"/>
      <c r="BVW371" s="247"/>
      <c r="BVX371" s="669"/>
      <c r="BVY371" s="117"/>
      <c r="BWA371" s="118"/>
      <c r="BWC371" s="261"/>
      <c r="BWD371" s="118"/>
      <c r="BWE371" s="219"/>
      <c r="BWF371" s="247"/>
      <c r="BWG371" s="669"/>
      <c r="BWH371" s="117"/>
      <c r="BWJ371" s="118"/>
      <c r="BWL371" s="261"/>
      <c r="BWM371" s="118"/>
      <c r="BWN371" s="219"/>
      <c r="BWO371" s="247"/>
      <c r="BWP371" s="669"/>
      <c r="BWQ371" s="117"/>
      <c r="BWS371" s="118"/>
      <c r="BWU371" s="261"/>
      <c r="BWV371" s="118"/>
      <c r="BWW371" s="219"/>
      <c r="BWX371" s="247"/>
      <c r="BWY371" s="669"/>
      <c r="BWZ371" s="117"/>
      <c r="BXB371" s="118"/>
      <c r="BXD371" s="261"/>
      <c r="BXE371" s="118"/>
      <c r="BXF371" s="219"/>
      <c r="BXG371" s="247"/>
      <c r="BXH371" s="669"/>
      <c r="BXI371" s="117"/>
      <c r="BXK371" s="118"/>
      <c r="BXM371" s="261"/>
      <c r="BXN371" s="118"/>
      <c r="BXO371" s="219"/>
      <c r="BXP371" s="247"/>
      <c r="BXQ371" s="669"/>
      <c r="BXR371" s="117"/>
      <c r="BXT371" s="118"/>
      <c r="BXV371" s="261"/>
      <c r="BXW371" s="118"/>
      <c r="BXX371" s="219"/>
      <c r="BXY371" s="247"/>
      <c r="BXZ371" s="669"/>
      <c r="BYA371" s="117"/>
      <c r="BYC371" s="118"/>
      <c r="BYE371" s="261"/>
      <c r="BYF371" s="118"/>
      <c r="BYG371" s="219"/>
      <c r="BYH371" s="247"/>
      <c r="BYI371" s="669"/>
      <c r="BYJ371" s="117"/>
      <c r="BYL371" s="118"/>
      <c r="BYN371" s="261"/>
      <c r="BYO371" s="118"/>
      <c r="BYP371" s="219"/>
      <c r="BYQ371" s="247"/>
      <c r="BYR371" s="669"/>
      <c r="BYS371" s="117"/>
      <c r="BYU371" s="118"/>
      <c r="BYW371" s="261"/>
      <c r="BYX371" s="118"/>
      <c r="BYY371" s="219"/>
      <c r="BYZ371" s="247"/>
      <c r="BZA371" s="669"/>
      <c r="BZB371" s="117"/>
      <c r="BZD371" s="118"/>
      <c r="BZF371" s="261"/>
      <c r="BZG371" s="118"/>
      <c r="BZH371" s="219"/>
      <c r="BZI371" s="247"/>
      <c r="BZJ371" s="669"/>
      <c r="BZK371" s="117"/>
      <c r="BZM371" s="118"/>
      <c r="BZO371" s="261"/>
      <c r="BZP371" s="118"/>
      <c r="BZQ371" s="219"/>
      <c r="BZR371" s="247"/>
      <c r="BZS371" s="669"/>
      <c r="BZT371" s="117"/>
      <c r="BZV371" s="118"/>
      <c r="BZX371" s="261"/>
      <c r="BZY371" s="118"/>
      <c r="BZZ371" s="219"/>
      <c r="CAA371" s="247"/>
      <c r="CAB371" s="669"/>
      <c r="CAC371" s="117"/>
      <c r="CAE371" s="118"/>
      <c r="CAG371" s="261"/>
      <c r="CAH371" s="118"/>
      <c r="CAI371" s="219"/>
      <c r="CAJ371" s="247"/>
      <c r="CAK371" s="669"/>
      <c r="CAL371" s="117"/>
      <c r="CAN371" s="118"/>
      <c r="CAP371" s="261"/>
      <c r="CAQ371" s="118"/>
      <c r="CAR371" s="219"/>
      <c r="CAS371" s="247"/>
      <c r="CAT371" s="669"/>
      <c r="CAU371" s="117"/>
      <c r="CAW371" s="118"/>
      <c r="CAY371" s="261"/>
      <c r="CAZ371" s="118"/>
      <c r="CBA371" s="219"/>
      <c r="CBB371" s="247"/>
      <c r="CBC371" s="669"/>
      <c r="CBD371" s="117"/>
      <c r="CBF371" s="118"/>
      <c r="CBH371" s="261"/>
      <c r="CBI371" s="118"/>
      <c r="CBJ371" s="219"/>
      <c r="CBK371" s="247"/>
      <c r="CBL371" s="669"/>
      <c r="CBM371" s="117"/>
      <c r="CBO371" s="118"/>
      <c r="CBQ371" s="261"/>
      <c r="CBR371" s="118"/>
      <c r="CBS371" s="219"/>
      <c r="CBT371" s="247"/>
      <c r="CBU371" s="669"/>
      <c r="CBV371" s="117"/>
      <c r="CBX371" s="118"/>
      <c r="CBZ371" s="261"/>
      <c r="CCA371" s="118"/>
      <c r="CCB371" s="219"/>
      <c r="CCC371" s="247"/>
      <c r="CCD371" s="669"/>
      <c r="CCE371" s="117"/>
      <c r="CCG371" s="118"/>
      <c r="CCI371" s="261"/>
      <c r="CCJ371" s="118"/>
      <c r="CCK371" s="219"/>
      <c r="CCL371" s="247"/>
      <c r="CCM371" s="669"/>
      <c r="CCN371" s="117"/>
      <c r="CCP371" s="118"/>
      <c r="CCR371" s="261"/>
      <c r="CCS371" s="118"/>
      <c r="CCT371" s="219"/>
      <c r="CCU371" s="247"/>
      <c r="CCV371" s="669"/>
      <c r="CCW371" s="117"/>
      <c r="CCY371" s="118"/>
      <c r="CDA371" s="261"/>
      <c r="CDB371" s="118"/>
      <c r="CDC371" s="219"/>
      <c r="CDD371" s="247"/>
      <c r="CDE371" s="669"/>
      <c r="CDF371" s="117"/>
      <c r="CDH371" s="118"/>
      <c r="CDJ371" s="261"/>
      <c r="CDK371" s="118"/>
      <c r="CDL371" s="219"/>
      <c r="CDM371" s="247"/>
      <c r="CDN371" s="669"/>
      <c r="CDO371" s="117"/>
      <c r="CDQ371" s="118"/>
      <c r="CDS371" s="261"/>
      <c r="CDT371" s="118"/>
      <c r="CDU371" s="219"/>
      <c r="CDV371" s="247"/>
      <c r="CDW371" s="669"/>
      <c r="CDX371" s="117"/>
      <c r="CDZ371" s="118"/>
      <c r="CEB371" s="261"/>
      <c r="CEC371" s="118"/>
      <c r="CED371" s="219"/>
      <c r="CEE371" s="247"/>
      <c r="CEF371" s="669"/>
      <c r="CEG371" s="117"/>
      <c r="CEI371" s="118"/>
      <c r="CEK371" s="261"/>
      <c r="CEL371" s="118"/>
      <c r="CEM371" s="219"/>
      <c r="CEN371" s="247"/>
      <c r="CEO371" s="669"/>
      <c r="CEP371" s="117"/>
      <c r="CER371" s="118"/>
      <c r="CET371" s="261"/>
      <c r="CEU371" s="118"/>
      <c r="CEV371" s="219"/>
      <c r="CEW371" s="247"/>
      <c r="CEX371" s="669"/>
      <c r="CEY371" s="117"/>
      <c r="CFA371" s="118"/>
      <c r="CFC371" s="261"/>
      <c r="CFD371" s="118"/>
      <c r="CFE371" s="219"/>
      <c r="CFF371" s="247"/>
      <c r="CFG371" s="669"/>
      <c r="CFH371" s="117"/>
      <c r="CFJ371" s="118"/>
      <c r="CFL371" s="261"/>
      <c r="CFM371" s="118"/>
      <c r="CFN371" s="219"/>
      <c r="CFO371" s="247"/>
      <c r="CFP371" s="669"/>
      <c r="CFQ371" s="117"/>
      <c r="CFS371" s="118"/>
      <c r="CFU371" s="261"/>
      <c r="CFV371" s="118"/>
      <c r="CFW371" s="219"/>
      <c r="CFX371" s="247"/>
      <c r="CFY371" s="669"/>
      <c r="CFZ371" s="117"/>
      <c r="CGB371" s="118"/>
      <c r="CGD371" s="261"/>
      <c r="CGE371" s="118"/>
      <c r="CGF371" s="219"/>
      <c r="CGG371" s="247"/>
      <c r="CGH371" s="669"/>
      <c r="CGI371" s="117"/>
      <c r="CGK371" s="118"/>
      <c r="CGM371" s="261"/>
      <c r="CGN371" s="118"/>
      <c r="CGO371" s="219"/>
      <c r="CGP371" s="247"/>
      <c r="CGQ371" s="669"/>
      <c r="CGR371" s="117"/>
      <c r="CGT371" s="118"/>
      <c r="CGV371" s="261"/>
      <c r="CGW371" s="118"/>
      <c r="CGX371" s="219"/>
      <c r="CGY371" s="247"/>
      <c r="CGZ371" s="669"/>
      <c r="CHA371" s="117"/>
      <c r="CHC371" s="118"/>
      <c r="CHE371" s="261"/>
      <c r="CHF371" s="118"/>
      <c r="CHG371" s="219"/>
      <c r="CHH371" s="247"/>
      <c r="CHI371" s="669"/>
      <c r="CHJ371" s="117"/>
      <c r="CHL371" s="118"/>
      <c r="CHN371" s="261"/>
      <c r="CHO371" s="118"/>
      <c r="CHP371" s="219"/>
      <c r="CHQ371" s="247"/>
      <c r="CHR371" s="669"/>
      <c r="CHS371" s="117"/>
      <c r="CHU371" s="118"/>
      <c r="CHW371" s="261"/>
      <c r="CHX371" s="118"/>
      <c r="CHY371" s="219"/>
      <c r="CHZ371" s="247"/>
      <c r="CIA371" s="669"/>
      <c r="CIB371" s="117"/>
      <c r="CID371" s="118"/>
      <c r="CIF371" s="261"/>
      <c r="CIG371" s="118"/>
      <c r="CIH371" s="219"/>
      <c r="CII371" s="247"/>
      <c r="CIJ371" s="669"/>
      <c r="CIK371" s="117"/>
      <c r="CIM371" s="118"/>
      <c r="CIO371" s="261"/>
      <c r="CIP371" s="118"/>
      <c r="CIQ371" s="219"/>
      <c r="CIR371" s="247"/>
      <c r="CIS371" s="669"/>
      <c r="CIT371" s="117"/>
      <c r="CIV371" s="118"/>
      <c r="CIX371" s="261"/>
      <c r="CIY371" s="118"/>
      <c r="CIZ371" s="219"/>
      <c r="CJA371" s="247"/>
      <c r="CJB371" s="669"/>
      <c r="CJC371" s="117"/>
      <c r="CJE371" s="118"/>
      <c r="CJG371" s="261"/>
      <c r="CJH371" s="118"/>
      <c r="CJI371" s="219"/>
      <c r="CJJ371" s="247"/>
      <c r="CJK371" s="669"/>
      <c r="CJL371" s="117"/>
      <c r="CJN371" s="118"/>
      <c r="CJP371" s="261"/>
      <c r="CJQ371" s="118"/>
      <c r="CJR371" s="219"/>
      <c r="CJS371" s="247"/>
      <c r="CJT371" s="669"/>
      <c r="CJU371" s="117"/>
      <c r="CJW371" s="118"/>
      <c r="CJY371" s="261"/>
      <c r="CJZ371" s="118"/>
      <c r="CKA371" s="219"/>
      <c r="CKB371" s="247"/>
      <c r="CKC371" s="669"/>
      <c r="CKD371" s="117"/>
      <c r="CKF371" s="118"/>
      <c r="CKH371" s="261"/>
      <c r="CKI371" s="118"/>
      <c r="CKJ371" s="219"/>
      <c r="CKK371" s="247"/>
      <c r="CKL371" s="669"/>
      <c r="CKM371" s="117"/>
      <c r="CKO371" s="118"/>
      <c r="CKQ371" s="261"/>
      <c r="CKR371" s="118"/>
      <c r="CKS371" s="219"/>
      <c r="CKT371" s="247"/>
      <c r="CKU371" s="669"/>
      <c r="CKV371" s="117"/>
      <c r="CKX371" s="118"/>
      <c r="CKZ371" s="261"/>
      <c r="CLA371" s="118"/>
      <c r="CLB371" s="219"/>
      <c r="CLC371" s="247"/>
      <c r="CLD371" s="669"/>
      <c r="CLE371" s="117"/>
      <c r="CLG371" s="118"/>
      <c r="CLI371" s="261"/>
      <c r="CLJ371" s="118"/>
      <c r="CLK371" s="219"/>
      <c r="CLL371" s="247"/>
      <c r="CLM371" s="669"/>
      <c r="CLN371" s="117"/>
      <c r="CLP371" s="118"/>
      <c r="CLR371" s="261"/>
      <c r="CLS371" s="118"/>
      <c r="CLT371" s="219"/>
      <c r="CLU371" s="247"/>
      <c r="CLV371" s="669"/>
      <c r="CLW371" s="117"/>
      <c r="CLY371" s="118"/>
      <c r="CMA371" s="261"/>
      <c r="CMB371" s="118"/>
      <c r="CMC371" s="219"/>
      <c r="CMD371" s="247"/>
      <c r="CME371" s="669"/>
      <c r="CMF371" s="117"/>
      <c r="CMH371" s="118"/>
      <c r="CMJ371" s="261"/>
      <c r="CMK371" s="118"/>
      <c r="CML371" s="219"/>
      <c r="CMM371" s="247"/>
      <c r="CMN371" s="669"/>
      <c r="CMO371" s="117"/>
      <c r="CMQ371" s="118"/>
      <c r="CMS371" s="261"/>
      <c r="CMT371" s="118"/>
      <c r="CMU371" s="219"/>
      <c r="CMV371" s="247"/>
      <c r="CMW371" s="669"/>
      <c r="CMX371" s="117"/>
      <c r="CMZ371" s="118"/>
      <c r="CNB371" s="261"/>
      <c r="CNC371" s="118"/>
      <c r="CND371" s="219"/>
      <c r="CNE371" s="247"/>
      <c r="CNF371" s="669"/>
      <c r="CNG371" s="117"/>
      <c r="CNI371" s="118"/>
      <c r="CNK371" s="261"/>
      <c r="CNL371" s="118"/>
      <c r="CNM371" s="219"/>
      <c r="CNN371" s="247"/>
      <c r="CNO371" s="669"/>
      <c r="CNP371" s="117"/>
      <c r="CNR371" s="118"/>
      <c r="CNT371" s="261"/>
      <c r="CNU371" s="118"/>
      <c r="CNV371" s="219"/>
      <c r="CNW371" s="247"/>
      <c r="CNX371" s="669"/>
      <c r="CNY371" s="117"/>
      <c r="COA371" s="118"/>
      <c r="COC371" s="261"/>
      <c r="COD371" s="118"/>
      <c r="COE371" s="219"/>
      <c r="COF371" s="247"/>
      <c r="COG371" s="669"/>
      <c r="COH371" s="117"/>
      <c r="COJ371" s="118"/>
      <c r="COL371" s="261"/>
      <c r="COM371" s="118"/>
      <c r="CON371" s="219"/>
      <c r="COO371" s="247"/>
      <c r="COP371" s="669"/>
      <c r="COQ371" s="117"/>
      <c r="COS371" s="118"/>
      <c r="COU371" s="261"/>
      <c r="COV371" s="118"/>
      <c r="COW371" s="219"/>
      <c r="COX371" s="247"/>
      <c r="COY371" s="669"/>
      <c r="COZ371" s="117"/>
      <c r="CPB371" s="118"/>
      <c r="CPD371" s="261"/>
      <c r="CPE371" s="118"/>
      <c r="CPF371" s="219"/>
      <c r="CPG371" s="247"/>
      <c r="CPH371" s="669"/>
      <c r="CPI371" s="117"/>
      <c r="CPK371" s="118"/>
      <c r="CPM371" s="261"/>
      <c r="CPN371" s="118"/>
      <c r="CPO371" s="219"/>
      <c r="CPP371" s="247"/>
      <c r="CPQ371" s="669"/>
      <c r="CPR371" s="117"/>
      <c r="CPT371" s="118"/>
      <c r="CPV371" s="261"/>
      <c r="CPW371" s="118"/>
      <c r="CPX371" s="219"/>
      <c r="CPY371" s="247"/>
      <c r="CPZ371" s="669"/>
      <c r="CQA371" s="117"/>
      <c r="CQC371" s="118"/>
      <c r="CQE371" s="261"/>
      <c r="CQF371" s="118"/>
      <c r="CQG371" s="219"/>
      <c r="CQH371" s="247"/>
      <c r="CQI371" s="669"/>
      <c r="CQJ371" s="117"/>
      <c r="CQL371" s="118"/>
      <c r="CQN371" s="261"/>
      <c r="CQO371" s="118"/>
      <c r="CQP371" s="219"/>
      <c r="CQQ371" s="247"/>
      <c r="CQR371" s="669"/>
      <c r="CQS371" s="117"/>
      <c r="CQU371" s="118"/>
      <c r="CQW371" s="261"/>
      <c r="CQX371" s="118"/>
      <c r="CQY371" s="219"/>
      <c r="CQZ371" s="247"/>
      <c r="CRA371" s="669"/>
      <c r="CRB371" s="117"/>
      <c r="CRD371" s="118"/>
      <c r="CRF371" s="261"/>
      <c r="CRG371" s="118"/>
      <c r="CRH371" s="219"/>
      <c r="CRI371" s="247"/>
      <c r="CRJ371" s="669"/>
      <c r="CRK371" s="117"/>
      <c r="CRM371" s="118"/>
      <c r="CRO371" s="261"/>
      <c r="CRP371" s="118"/>
      <c r="CRQ371" s="219"/>
      <c r="CRR371" s="247"/>
      <c r="CRS371" s="669"/>
      <c r="CRT371" s="117"/>
      <c r="CRV371" s="118"/>
      <c r="CRX371" s="261"/>
      <c r="CRY371" s="118"/>
      <c r="CRZ371" s="219"/>
      <c r="CSA371" s="247"/>
      <c r="CSB371" s="669"/>
      <c r="CSC371" s="117"/>
      <c r="CSE371" s="118"/>
      <c r="CSG371" s="261"/>
      <c r="CSH371" s="118"/>
      <c r="CSI371" s="219"/>
      <c r="CSJ371" s="247"/>
      <c r="CSK371" s="669"/>
      <c r="CSL371" s="117"/>
      <c r="CSN371" s="118"/>
      <c r="CSP371" s="261"/>
      <c r="CSQ371" s="118"/>
      <c r="CSR371" s="219"/>
      <c r="CSS371" s="247"/>
      <c r="CST371" s="669"/>
      <c r="CSU371" s="117"/>
      <c r="CSW371" s="118"/>
      <c r="CSY371" s="261"/>
      <c r="CSZ371" s="118"/>
      <c r="CTA371" s="219"/>
      <c r="CTB371" s="247"/>
      <c r="CTC371" s="669"/>
      <c r="CTD371" s="117"/>
      <c r="CTF371" s="118"/>
      <c r="CTH371" s="261"/>
      <c r="CTI371" s="118"/>
      <c r="CTJ371" s="219"/>
      <c r="CTK371" s="247"/>
      <c r="CTL371" s="669"/>
      <c r="CTM371" s="117"/>
      <c r="CTO371" s="118"/>
      <c r="CTQ371" s="261"/>
      <c r="CTR371" s="118"/>
      <c r="CTS371" s="219"/>
      <c r="CTT371" s="247"/>
      <c r="CTU371" s="669"/>
      <c r="CTV371" s="117"/>
      <c r="CTX371" s="118"/>
      <c r="CTZ371" s="261"/>
      <c r="CUA371" s="118"/>
      <c r="CUB371" s="219"/>
      <c r="CUC371" s="247"/>
      <c r="CUD371" s="669"/>
      <c r="CUE371" s="117"/>
      <c r="CUG371" s="118"/>
      <c r="CUI371" s="261"/>
      <c r="CUJ371" s="118"/>
      <c r="CUK371" s="219"/>
      <c r="CUL371" s="247"/>
      <c r="CUM371" s="669"/>
      <c r="CUN371" s="117"/>
      <c r="CUP371" s="118"/>
      <c r="CUR371" s="261"/>
      <c r="CUS371" s="118"/>
      <c r="CUT371" s="219"/>
      <c r="CUU371" s="247"/>
      <c r="CUV371" s="669"/>
      <c r="CUW371" s="117"/>
      <c r="CUY371" s="118"/>
      <c r="CVA371" s="261"/>
      <c r="CVB371" s="118"/>
      <c r="CVC371" s="219"/>
      <c r="CVD371" s="247"/>
      <c r="CVE371" s="669"/>
      <c r="CVF371" s="117"/>
      <c r="CVH371" s="118"/>
      <c r="CVJ371" s="261"/>
      <c r="CVK371" s="118"/>
      <c r="CVL371" s="219"/>
      <c r="CVM371" s="247"/>
      <c r="CVN371" s="669"/>
      <c r="CVO371" s="117"/>
      <c r="CVQ371" s="118"/>
      <c r="CVS371" s="261"/>
      <c r="CVT371" s="118"/>
      <c r="CVU371" s="219"/>
      <c r="CVV371" s="247"/>
      <c r="CVW371" s="669"/>
      <c r="CVX371" s="117"/>
      <c r="CVZ371" s="118"/>
      <c r="CWB371" s="261"/>
      <c r="CWC371" s="118"/>
      <c r="CWD371" s="219"/>
      <c r="CWE371" s="247"/>
      <c r="CWF371" s="669"/>
      <c r="CWG371" s="117"/>
      <c r="CWI371" s="118"/>
      <c r="CWK371" s="261"/>
      <c r="CWL371" s="118"/>
      <c r="CWM371" s="219"/>
      <c r="CWN371" s="247"/>
      <c r="CWO371" s="669"/>
      <c r="CWP371" s="117"/>
      <c r="CWR371" s="118"/>
      <c r="CWT371" s="261"/>
      <c r="CWU371" s="118"/>
      <c r="CWV371" s="219"/>
      <c r="CWW371" s="247"/>
      <c r="CWX371" s="669"/>
      <c r="CWY371" s="117"/>
      <c r="CXA371" s="118"/>
      <c r="CXC371" s="261"/>
      <c r="CXD371" s="118"/>
      <c r="CXE371" s="219"/>
      <c r="CXF371" s="247"/>
      <c r="CXG371" s="669"/>
      <c r="CXH371" s="117"/>
      <c r="CXJ371" s="118"/>
      <c r="CXL371" s="261"/>
      <c r="CXM371" s="118"/>
      <c r="CXN371" s="219"/>
      <c r="CXO371" s="247"/>
      <c r="CXP371" s="669"/>
      <c r="CXQ371" s="117"/>
      <c r="CXS371" s="118"/>
      <c r="CXU371" s="261"/>
      <c r="CXV371" s="118"/>
      <c r="CXW371" s="219"/>
      <c r="CXX371" s="247"/>
      <c r="CXY371" s="669"/>
      <c r="CXZ371" s="117"/>
      <c r="CYB371" s="118"/>
      <c r="CYD371" s="261"/>
      <c r="CYE371" s="118"/>
      <c r="CYF371" s="219"/>
      <c r="CYG371" s="247"/>
      <c r="CYH371" s="669"/>
      <c r="CYI371" s="117"/>
      <c r="CYK371" s="118"/>
      <c r="CYM371" s="261"/>
      <c r="CYN371" s="118"/>
      <c r="CYO371" s="219"/>
      <c r="CYP371" s="247"/>
      <c r="CYQ371" s="669"/>
      <c r="CYR371" s="117"/>
      <c r="CYT371" s="118"/>
      <c r="CYV371" s="261"/>
      <c r="CYW371" s="118"/>
      <c r="CYX371" s="219"/>
      <c r="CYY371" s="247"/>
      <c r="CYZ371" s="669"/>
      <c r="CZA371" s="117"/>
      <c r="CZC371" s="118"/>
      <c r="CZE371" s="261"/>
      <c r="CZF371" s="118"/>
      <c r="CZG371" s="219"/>
      <c r="CZH371" s="247"/>
      <c r="CZI371" s="669"/>
      <c r="CZJ371" s="117"/>
      <c r="CZL371" s="118"/>
      <c r="CZN371" s="261"/>
      <c r="CZO371" s="118"/>
      <c r="CZP371" s="219"/>
      <c r="CZQ371" s="247"/>
      <c r="CZR371" s="669"/>
      <c r="CZS371" s="117"/>
      <c r="CZU371" s="118"/>
      <c r="CZW371" s="261"/>
      <c r="CZX371" s="118"/>
      <c r="CZY371" s="219"/>
      <c r="CZZ371" s="247"/>
      <c r="DAA371" s="669"/>
      <c r="DAB371" s="117"/>
      <c r="DAD371" s="118"/>
      <c r="DAF371" s="261"/>
      <c r="DAG371" s="118"/>
      <c r="DAH371" s="219"/>
      <c r="DAI371" s="247"/>
      <c r="DAJ371" s="669"/>
      <c r="DAK371" s="117"/>
      <c r="DAM371" s="118"/>
      <c r="DAO371" s="261"/>
      <c r="DAP371" s="118"/>
      <c r="DAQ371" s="219"/>
      <c r="DAR371" s="247"/>
      <c r="DAS371" s="669"/>
      <c r="DAT371" s="117"/>
      <c r="DAV371" s="118"/>
      <c r="DAX371" s="261"/>
      <c r="DAY371" s="118"/>
      <c r="DAZ371" s="219"/>
      <c r="DBA371" s="247"/>
      <c r="DBB371" s="669"/>
      <c r="DBC371" s="117"/>
      <c r="DBE371" s="118"/>
      <c r="DBG371" s="261"/>
      <c r="DBH371" s="118"/>
      <c r="DBI371" s="219"/>
      <c r="DBJ371" s="247"/>
      <c r="DBK371" s="669"/>
      <c r="DBL371" s="117"/>
      <c r="DBN371" s="118"/>
      <c r="DBP371" s="261"/>
      <c r="DBQ371" s="118"/>
      <c r="DBR371" s="219"/>
      <c r="DBS371" s="247"/>
      <c r="DBT371" s="669"/>
      <c r="DBU371" s="117"/>
      <c r="DBW371" s="118"/>
      <c r="DBY371" s="261"/>
      <c r="DBZ371" s="118"/>
      <c r="DCA371" s="219"/>
      <c r="DCB371" s="247"/>
      <c r="DCC371" s="669"/>
      <c r="DCD371" s="117"/>
      <c r="DCF371" s="118"/>
      <c r="DCH371" s="261"/>
      <c r="DCI371" s="118"/>
      <c r="DCJ371" s="219"/>
      <c r="DCK371" s="247"/>
      <c r="DCL371" s="669"/>
      <c r="DCM371" s="117"/>
      <c r="DCO371" s="118"/>
      <c r="DCQ371" s="261"/>
      <c r="DCR371" s="118"/>
      <c r="DCS371" s="219"/>
      <c r="DCT371" s="247"/>
      <c r="DCU371" s="669"/>
      <c r="DCV371" s="117"/>
      <c r="DCX371" s="118"/>
      <c r="DCZ371" s="261"/>
      <c r="DDA371" s="118"/>
      <c r="DDB371" s="219"/>
      <c r="DDC371" s="247"/>
      <c r="DDD371" s="669"/>
      <c r="DDE371" s="117"/>
      <c r="DDG371" s="118"/>
      <c r="DDI371" s="261"/>
      <c r="DDJ371" s="118"/>
      <c r="DDK371" s="219"/>
      <c r="DDL371" s="247"/>
      <c r="DDM371" s="669"/>
      <c r="DDN371" s="117"/>
      <c r="DDP371" s="118"/>
      <c r="DDR371" s="261"/>
      <c r="DDS371" s="118"/>
      <c r="DDT371" s="219"/>
      <c r="DDU371" s="247"/>
      <c r="DDV371" s="669"/>
      <c r="DDW371" s="117"/>
      <c r="DDY371" s="118"/>
      <c r="DEA371" s="261"/>
      <c r="DEB371" s="118"/>
      <c r="DEC371" s="219"/>
      <c r="DED371" s="247"/>
      <c r="DEE371" s="669"/>
      <c r="DEF371" s="117"/>
      <c r="DEH371" s="118"/>
      <c r="DEJ371" s="261"/>
      <c r="DEK371" s="118"/>
      <c r="DEL371" s="219"/>
      <c r="DEM371" s="247"/>
      <c r="DEN371" s="669"/>
      <c r="DEO371" s="117"/>
      <c r="DEQ371" s="118"/>
      <c r="DES371" s="261"/>
      <c r="DET371" s="118"/>
      <c r="DEU371" s="219"/>
      <c r="DEV371" s="247"/>
      <c r="DEW371" s="669"/>
      <c r="DEX371" s="117"/>
      <c r="DEZ371" s="118"/>
      <c r="DFB371" s="261"/>
      <c r="DFC371" s="118"/>
      <c r="DFD371" s="219"/>
      <c r="DFE371" s="247"/>
      <c r="DFF371" s="669"/>
      <c r="DFG371" s="117"/>
      <c r="DFI371" s="118"/>
      <c r="DFK371" s="261"/>
      <c r="DFL371" s="118"/>
      <c r="DFM371" s="219"/>
      <c r="DFN371" s="247"/>
      <c r="DFO371" s="669"/>
      <c r="DFP371" s="117"/>
      <c r="DFR371" s="118"/>
      <c r="DFT371" s="261"/>
      <c r="DFU371" s="118"/>
      <c r="DFV371" s="219"/>
      <c r="DFW371" s="247"/>
      <c r="DFX371" s="669"/>
      <c r="DFY371" s="117"/>
      <c r="DGA371" s="118"/>
      <c r="DGC371" s="261"/>
      <c r="DGD371" s="118"/>
      <c r="DGE371" s="219"/>
      <c r="DGF371" s="247"/>
      <c r="DGG371" s="669"/>
      <c r="DGH371" s="117"/>
      <c r="DGJ371" s="118"/>
      <c r="DGL371" s="261"/>
      <c r="DGM371" s="118"/>
      <c r="DGN371" s="219"/>
      <c r="DGO371" s="247"/>
      <c r="DGP371" s="669"/>
      <c r="DGQ371" s="117"/>
      <c r="DGS371" s="118"/>
      <c r="DGU371" s="261"/>
      <c r="DGV371" s="118"/>
      <c r="DGW371" s="219"/>
      <c r="DGX371" s="247"/>
      <c r="DGY371" s="669"/>
      <c r="DGZ371" s="117"/>
      <c r="DHB371" s="118"/>
      <c r="DHD371" s="261"/>
      <c r="DHE371" s="118"/>
      <c r="DHF371" s="219"/>
      <c r="DHG371" s="247"/>
      <c r="DHH371" s="669"/>
      <c r="DHI371" s="117"/>
      <c r="DHK371" s="118"/>
      <c r="DHM371" s="261"/>
      <c r="DHN371" s="118"/>
      <c r="DHO371" s="219"/>
      <c r="DHP371" s="247"/>
      <c r="DHQ371" s="669"/>
      <c r="DHR371" s="117"/>
      <c r="DHT371" s="118"/>
      <c r="DHV371" s="261"/>
      <c r="DHW371" s="118"/>
      <c r="DHX371" s="219"/>
      <c r="DHY371" s="247"/>
      <c r="DHZ371" s="669"/>
      <c r="DIA371" s="117"/>
      <c r="DIC371" s="118"/>
      <c r="DIE371" s="261"/>
      <c r="DIF371" s="118"/>
      <c r="DIG371" s="219"/>
      <c r="DIH371" s="247"/>
      <c r="DII371" s="669"/>
      <c r="DIJ371" s="117"/>
      <c r="DIL371" s="118"/>
      <c r="DIN371" s="261"/>
      <c r="DIO371" s="118"/>
      <c r="DIP371" s="219"/>
      <c r="DIQ371" s="247"/>
      <c r="DIR371" s="669"/>
      <c r="DIS371" s="117"/>
      <c r="DIU371" s="118"/>
      <c r="DIW371" s="261"/>
      <c r="DIX371" s="118"/>
      <c r="DIY371" s="219"/>
      <c r="DIZ371" s="247"/>
      <c r="DJA371" s="669"/>
      <c r="DJB371" s="117"/>
      <c r="DJD371" s="118"/>
      <c r="DJF371" s="261"/>
      <c r="DJG371" s="118"/>
      <c r="DJH371" s="219"/>
      <c r="DJI371" s="247"/>
      <c r="DJJ371" s="669"/>
      <c r="DJK371" s="117"/>
      <c r="DJM371" s="118"/>
      <c r="DJO371" s="261"/>
      <c r="DJP371" s="118"/>
      <c r="DJQ371" s="219"/>
      <c r="DJR371" s="247"/>
      <c r="DJS371" s="669"/>
      <c r="DJT371" s="117"/>
      <c r="DJV371" s="118"/>
      <c r="DJX371" s="261"/>
      <c r="DJY371" s="118"/>
      <c r="DJZ371" s="219"/>
      <c r="DKA371" s="247"/>
      <c r="DKB371" s="669"/>
      <c r="DKC371" s="117"/>
      <c r="DKE371" s="118"/>
      <c r="DKG371" s="261"/>
      <c r="DKH371" s="118"/>
      <c r="DKI371" s="219"/>
      <c r="DKJ371" s="247"/>
      <c r="DKK371" s="669"/>
      <c r="DKL371" s="117"/>
      <c r="DKN371" s="118"/>
      <c r="DKP371" s="261"/>
      <c r="DKQ371" s="118"/>
      <c r="DKR371" s="219"/>
      <c r="DKS371" s="247"/>
      <c r="DKT371" s="669"/>
      <c r="DKU371" s="117"/>
      <c r="DKW371" s="118"/>
      <c r="DKY371" s="261"/>
      <c r="DKZ371" s="118"/>
      <c r="DLA371" s="219"/>
      <c r="DLB371" s="247"/>
      <c r="DLC371" s="669"/>
      <c r="DLD371" s="117"/>
      <c r="DLF371" s="118"/>
      <c r="DLH371" s="261"/>
      <c r="DLI371" s="118"/>
      <c r="DLJ371" s="219"/>
      <c r="DLK371" s="247"/>
      <c r="DLL371" s="669"/>
      <c r="DLM371" s="117"/>
      <c r="DLO371" s="118"/>
      <c r="DLQ371" s="261"/>
      <c r="DLR371" s="118"/>
      <c r="DLS371" s="219"/>
      <c r="DLT371" s="247"/>
      <c r="DLU371" s="669"/>
      <c r="DLV371" s="117"/>
      <c r="DLX371" s="118"/>
      <c r="DLZ371" s="261"/>
      <c r="DMA371" s="118"/>
      <c r="DMB371" s="219"/>
      <c r="DMC371" s="247"/>
      <c r="DMD371" s="669"/>
      <c r="DME371" s="117"/>
      <c r="DMG371" s="118"/>
      <c r="DMI371" s="261"/>
      <c r="DMJ371" s="118"/>
      <c r="DMK371" s="219"/>
      <c r="DML371" s="247"/>
      <c r="DMM371" s="669"/>
      <c r="DMN371" s="117"/>
      <c r="DMP371" s="118"/>
      <c r="DMR371" s="261"/>
      <c r="DMS371" s="118"/>
      <c r="DMT371" s="219"/>
      <c r="DMU371" s="247"/>
      <c r="DMV371" s="669"/>
      <c r="DMW371" s="117"/>
      <c r="DMY371" s="118"/>
      <c r="DNA371" s="261"/>
      <c r="DNB371" s="118"/>
      <c r="DNC371" s="219"/>
      <c r="DND371" s="247"/>
      <c r="DNE371" s="669"/>
      <c r="DNF371" s="117"/>
      <c r="DNH371" s="118"/>
      <c r="DNJ371" s="261"/>
      <c r="DNK371" s="118"/>
      <c r="DNL371" s="219"/>
      <c r="DNM371" s="247"/>
      <c r="DNN371" s="669"/>
      <c r="DNO371" s="117"/>
      <c r="DNQ371" s="118"/>
      <c r="DNS371" s="261"/>
      <c r="DNT371" s="118"/>
      <c r="DNU371" s="219"/>
      <c r="DNV371" s="247"/>
      <c r="DNW371" s="669"/>
      <c r="DNX371" s="117"/>
      <c r="DNZ371" s="118"/>
      <c r="DOB371" s="261"/>
      <c r="DOC371" s="118"/>
      <c r="DOD371" s="219"/>
      <c r="DOE371" s="247"/>
      <c r="DOF371" s="669"/>
      <c r="DOG371" s="117"/>
      <c r="DOI371" s="118"/>
      <c r="DOK371" s="261"/>
      <c r="DOL371" s="118"/>
      <c r="DOM371" s="219"/>
      <c r="DON371" s="247"/>
      <c r="DOO371" s="669"/>
      <c r="DOP371" s="117"/>
      <c r="DOR371" s="118"/>
      <c r="DOT371" s="261"/>
      <c r="DOU371" s="118"/>
      <c r="DOV371" s="219"/>
      <c r="DOW371" s="247"/>
      <c r="DOX371" s="669"/>
      <c r="DOY371" s="117"/>
      <c r="DPA371" s="118"/>
      <c r="DPC371" s="261"/>
      <c r="DPD371" s="118"/>
      <c r="DPE371" s="219"/>
      <c r="DPF371" s="247"/>
      <c r="DPG371" s="669"/>
      <c r="DPH371" s="117"/>
      <c r="DPJ371" s="118"/>
      <c r="DPL371" s="261"/>
      <c r="DPM371" s="118"/>
      <c r="DPN371" s="219"/>
      <c r="DPO371" s="247"/>
      <c r="DPP371" s="669"/>
      <c r="DPQ371" s="117"/>
      <c r="DPS371" s="118"/>
      <c r="DPU371" s="261"/>
      <c r="DPV371" s="118"/>
      <c r="DPW371" s="219"/>
      <c r="DPX371" s="247"/>
      <c r="DPY371" s="669"/>
      <c r="DPZ371" s="117"/>
      <c r="DQB371" s="118"/>
      <c r="DQD371" s="261"/>
      <c r="DQE371" s="118"/>
      <c r="DQF371" s="219"/>
      <c r="DQG371" s="247"/>
      <c r="DQH371" s="669"/>
      <c r="DQI371" s="117"/>
      <c r="DQK371" s="118"/>
      <c r="DQM371" s="261"/>
      <c r="DQN371" s="118"/>
      <c r="DQO371" s="219"/>
      <c r="DQP371" s="247"/>
      <c r="DQQ371" s="669"/>
      <c r="DQR371" s="117"/>
      <c r="DQT371" s="118"/>
      <c r="DQV371" s="261"/>
      <c r="DQW371" s="118"/>
      <c r="DQX371" s="219"/>
      <c r="DQY371" s="247"/>
      <c r="DQZ371" s="669"/>
      <c r="DRA371" s="117"/>
      <c r="DRC371" s="118"/>
      <c r="DRE371" s="261"/>
      <c r="DRF371" s="118"/>
      <c r="DRG371" s="219"/>
      <c r="DRH371" s="247"/>
      <c r="DRI371" s="669"/>
      <c r="DRJ371" s="117"/>
      <c r="DRL371" s="118"/>
      <c r="DRN371" s="261"/>
      <c r="DRO371" s="118"/>
      <c r="DRP371" s="219"/>
      <c r="DRQ371" s="247"/>
      <c r="DRR371" s="669"/>
      <c r="DRS371" s="117"/>
      <c r="DRU371" s="118"/>
      <c r="DRW371" s="261"/>
      <c r="DRX371" s="118"/>
      <c r="DRY371" s="219"/>
      <c r="DRZ371" s="247"/>
      <c r="DSA371" s="669"/>
      <c r="DSB371" s="117"/>
      <c r="DSD371" s="118"/>
      <c r="DSF371" s="261"/>
      <c r="DSG371" s="118"/>
      <c r="DSH371" s="219"/>
      <c r="DSI371" s="247"/>
      <c r="DSJ371" s="669"/>
      <c r="DSK371" s="117"/>
      <c r="DSM371" s="118"/>
      <c r="DSO371" s="261"/>
      <c r="DSP371" s="118"/>
      <c r="DSQ371" s="219"/>
      <c r="DSR371" s="247"/>
      <c r="DSS371" s="669"/>
      <c r="DST371" s="117"/>
      <c r="DSV371" s="118"/>
      <c r="DSX371" s="261"/>
      <c r="DSY371" s="118"/>
      <c r="DSZ371" s="219"/>
      <c r="DTA371" s="247"/>
      <c r="DTB371" s="669"/>
      <c r="DTC371" s="117"/>
      <c r="DTE371" s="118"/>
      <c r="DTG371" s="261"/>
      <c r="DTH371" s="118"/>
      <c r="DTI371" s="219"/>
      <c r="DTJ371" s="247"/>
      <c r="DTK371" s="669"/>
      <c r="DTL371" s="117"/>
      <c r="DTN371" s="118"/>
      <c r="DTP371" s="261"/>
      <c r="DTQ371" s="118"/>
      <c r="DTR371" s="219"/>
      <c r="DTS371" s="247"/>
      <c r="DTT371" s="669"/>
      <c r="DTU371" s="117"/>
      <c r="DTW371" s="118"/>
      <c r="DTY371" s="261"/>
      <c r="DTZ371" s="118"/>
      <c r="DUA371" s="219"/>
      <c r="DUB371" s="247"/>
      <c r="DUC371" s="669"/>
      <c r="DUD371" s="117"/>
      <c r="DUF371" s="118"/>
      <c r="DUH371" s="261"/>
      <c r="DUI371" s="118"/>
      <c r="DUJ371" s="219"/>
      <c r="DUK371" s="247"/>
      <c r="DUL371" s="669"/>
      <c r="DUM371" s="117"/>
      <c r="DUO371" s="118"/>
      <c r="DUQ371" s="261"/>
      <c r="DUR371" s="118"/>
      <c r="DUS371" s="219"/>
      <c r="DUT371" s="247"/>
      <c r="DUU371" s="669"/>
      <c r="DUV371" s="117"/>
      <c r="DUX371" s="118"/>
      <c r="DUZ371" s="261"/>
      <c r="DVA371" s="118"/>
      <c r="DVB371" s="219"/>
      <c r="DVC371" s="247"/>
      <c r="DVD371" s="669"/>
      <c r="DVE371" s="117"/>
      <c r="DVG371" s="118"/>
      <c r="DVI371" s="261"/>
      <c r="DVJ371" s="118"/>
      <c r="DVK371" s="219"/>
      <c r="DVL371" s="247"/>
      <c r="DVM371" s="669"/>
      <c r="DVN371" s="117"/>
      <c r="DVP371" s="118"/>
      <c r="DVR371" s="261"/>
      <c r="DVS371" s="118"/>
      <c r="DVT371" s="219"/>
      <c r="DVU371" s="247"/>
      <c r="DVV371" s="669"/>
      <c r="DVW371" s="117"/>
      <c r="DVY371" s="118"/>
      <c r="DWA371" s="261"/>
      <c r="DWB371" s="118"/>
      <c r="DWC371" s="219"/>
      <c r="DWD371" s="247"/>
      <c r="DWE371" s="669"/>
      <c r="DWF371" s="117"/>
      <c r="DWH371" s="118"/>
      <c r="DWJ371" s="261"/>
      <c r="DWK371" s="118"/>
      <c r="DWL371" s="219"/>
      <c r="DWM371" s="247"/>
      <c r="DWN371" s="669"/>
      <c r="DWO371" s="117"/>
      <c r="DWQ371" s="118"/>
      <c r="DWS371" s="261"/>
      <c r="DWT371" s="118"/>
      <c r="DWU371" s="219"/>
      <c r="DWV371" s="247"/>
      <c r="DWW371" s="669"/>
      <c r="DWX371" s="117"/>
      <c r="DWZ371" s="118"/>
      <c r="DXB371" s="261"/>
      <c r="DXC371" s="118"/>
      <c r="DXD371" s="219"/>
      <c r="DXE371" s="247"/>
      <c r="DXF371" s="669"/>
      <c r="DXG371" s="117"/>
      <c r="DXI371" s="118"/>
      <c r="DXK371" s="261"/>
      <c r="DXL371" s="118"/>
      <c r="DXM371" s="219"/>
      <c r="DXN371" s="247"/>
      <c r="DXO371" s="669"/>
      <c r="DXP371" s="117"/>
      <c r="DXR371" s="118"/>
      <c r="DXT371" s="261"/>
      <c r="DXU371" s="118"/>
      <c r="DXV371" s="219"/>
      <c r="DXW371" s="247"/>
      <c r="DXX371" s="669"/>
      <c r="DXY371" s="117"/>
      <c r="DYA371" s="118"/>
      <c r="DYC371" s="261"/>
      <c r="DYD371" s="118"/>
      <c r="DYE371" s="219"/>
      <c r="DYF371" s="247"/>
      <c r="DYG371" s="669"/>
      <c r="DYH371" s="117"/>
      <c r="DYJ371" s="118"/>
      <c r="DYL371" s="261"/>
      <c r="DYM371" s="118"/>
      <c r="DYN371" s="219"/>
      <c r="DYO371" s="247"/>
      <c r="DYP371" s="669"/>
      <c r="DYQ371" s="117"/>
      <c r="DYS371" s="118"/>
      <c r="DYU371" s="261"/>
      <c r="DYV371" s="118"/>
      <c r="DYW371" s="219"/>
      <c r="DYX371" s="247"/>
      <c r="DYY371" s="669"/>
      <c r="DYZ371" s="117"/>
      <c r="DZB371" s="118"/>
      <c r="DZD371" s="261"/>
      <c r="DZE371" s="118"/>
      <c r="DZF371" s="219"/>
      <c r="DZG371" s="247"/>
      <c r="DZH371" s="669"/>
      <c r="DZI371" s="117"/>
      <c r="DZK371" s="118"/>
      <c r="DZM371" s="261"/>
      <c r="DZN371" s="118"/>
      <c r="DZO371" s="219"/>
      <c r="DZP371" s="247"/>
      <c r="DZQ371" s="669"/>
      <c r="DZR371" s="117"/>
      <c r="DZT371" s="118"/>
      <c r="DZV371" s="261"/>
      <c r="DZW371" s="118"/>
      <c r="DZX371" s="219"/>
      <c r="DZY371" s="247"/>
      <c r="DZZ371" s="669"/>
      <c r="EAA371" s="117"/>
      <c r="EAC371" s="118"/>
      <c r="EAE371" s="261"/>
      <c r="EAF371" s="118"/>
      <c r="EAG371" s="219"/>
      <c r="EAH371" s="247"/>
      <c r="EAI371" s="669"/>
      <c r="EAJ371" s="117"/>
      <c r="EAL371" s="118"/>
      <c r="EAN371" s="261"/>
      <c r="EAO371" s="118"/>
      <c r="EAP371" s="219"/>
      <c r="EAQ371" s="247"/>
      <c r="EAR371" s="669"/>
      <c r="EAS371" s="117"/>
      <c r="EAU371" s="118"/>
      <c r="EAW371" s="261"/>
      <c r="EAX371" s="118"/>
      <c r="EAY371" s="219"/>
      <c r="EAZ371" s="247"/>
      <c r="EBA371" s="669"/>
      <c r="EBB371" s="117"/>
      <c r="EBD371" s="118"/>
      <c r="EBF371" s="261"/>
      <c r="EBG371" s="118"/>
      <c r="EBH371" s="219"/>
      <c r="EBI371" s="247"/>
      <c r="EBJ371" s="669"/>
      <c r="EBK371" s="117"/>
      <c r="EBM371" s="118"/>
      <c r="EBO371" s="261"/>
      <c r="EBP371" s="118"/>
      <c r="EBQ371" s="219"/>
      <c r="EBR371" s="247"/>
      <c r="EBS371" s="669"/>
      <c r="EBT371" s="117"/>
      <c r="EBV371" s="118"/>
      <c r="EBX371" s="261"/>
      <c r="EBY371" s="118"/>
      <c r="EBZ371" s="219"/>
      <c r="ECA371" s="247"/>
      <c r="ECB371" s="669"/>
      <c r="ECC371" s="117"/>
      <c r="ECE371" s="118"/>
      <c r="ECG371" s="261"/>
      <c r="ECH371" s="118"/>
      <c r="ECI371" s="219"/>
      <c r="ECJ371" s="247"/>
      <c r="ECK371" s="669"/>
      <c r="ECL371" s="117"/>
      <c r="ECN371" s="118"/>
      <c r="ECP371" s="261"/>
      <c r="ECQ371" s="118"/>
      <c r="ECR371" s="219"/>
      <c r="ECS371" s="247"/>
      <c r="ECT371" s="669"/>
      <c r="ECU371" s="117"/>
      <c r="ECW371" s="118"/>
      <c r="ECY371" s="261"/>
      <c r="ECZ371" s="118"/>
      <c r="EDA371" s="219"/>
      <c r="EDB371" s="247"/>
      <c r="EDC371" s="669"/>
      <c r="EDD371" s="117"/>
      <c r="EDF371" s="118"/>
      <c r="EDH371" s="261"/>
      <c r="EDI371" s="118"/>
      <c r="EDJ371" s="219"/>
      <c r="EDK371" s="247"/>
      <c r="EDL371" s="669"/>
      <c r="EDM371" s="117"/>
      <c r="EDO371" s="118"/>
      <c r="EDQ371" s="261"/>
      <c r="EDR371" s="118"/>
      <c r="EDS371" s="219"/>
      <c r="EDT371" s="247"/>
      <c r="EDU371" s="669"/>
      <c r="EDV371" s="117"/>
      <c r="EDX371" s="118"/>
      <c r="EDZ371" s="261"/>
      <c r="EEA371" s="118"/>
      <c r="EEB371" s="219"/>
      <c r="EEC371" s="247"/>
      <c r="EED371" s="669"/>
      <c r="EEE371" s="117"/>
      <c r="EEG371" s="118"/>
      <c r="EEI371" s="261"/>
      <c r="EEJ371" s="118"/>
      <c r="EEK371" s="219"/>
      <c r="EEL371" s="247"/>
      <c r="EEM371" s="669"/>
      <c r="EEN371" s="117"/>
      <c r="EEP371" s="118"/>
      <c r="EER371" s="261"/>
      <c r="EES371" s="118"/>
      <c r="EET371" s="219"/>
      <c r="EEU371" s="247"/>
      <c r="EEV371" s="669"/>
      <c r="EEW371" s="117"/>
      <c r="EEY371" s="118"/>
      <c r="EFA371" s="261"/>
      <c r="EFB371" s="118"/>
      <c r="EFC371" s="219"/>
      <c r="EFD371" s="247"/>
      <c r="EFE371" s="669"/>
      <c r="EFF371" s="117"/>
      <c r="EFH371" s="118"/>
      <c r="EFJ371" s="261"/>
      <c r="EFK371" s="118"/>
      <c r="EFL371" s="219"/>
      <c r="EFM371" s="247"/>
      <c r="EFN371" s="669"/>
      <c r="EFO371" s="117"/>
      <c r="EFQ371" s="118"/>
      <c r="EFS371" s="261"/>
      <c r="EFT371" s="118"/>
      <c r="EFU371" s="219"/>
      <c r="EFV371" s="247"/>
      <c r="EFW371" s="669"/>
      <c r="EFX371" s="117"/>
      <c r="EFZ371" s="118"/>
      <c r="EGB371" s="261"/>
      <c r="EGC371" s="118"/>
      <c r="EGD371" s="219"/>
      <c r="EGE371" s="247"/>
      <c r="EGF371" s="669"/>
      <c r="EGG371" s="117"/>
      <c r="EGI371" s="118"/>
      <c r="EGK371" s="261"/>
      <c r="EGL371" s="118"/>
      <c r="EGM371" s="219"/>
      <c r="EGN371" s="247"/>
      <c r="EGO371" s="669"/>
      <c r="EGP371" s="117"/>
      <c r="EGR371" s="118"/>
      <c r="EGT371" s="261"/>
      <c r="EGU371" s="118"/>
      <c r="EGV371" s="219"/>
      <c r="EGW371" s="247"/>
      <c r="EGX371" s="669"/>
      <c r="EGY371" s="117"/>
      <c r="EHA371" s="118"/>
      <c r="EHC371" s="261"/>
      <c r="EHD371" s="118"/>
      <c r="EHE371" s="219"/>
      <c r="EHF371" s="247"/>
      <c r="EHG371" s="669"/>
      <c r="EHH371" s="117"/>
      <c r="EHJ371" s="118"/>
      <c r="EHL371" s="261"/>
      <c r="EHM371" s="118"/>
      <c r="EHN371" s="219"/>
      <c r="EHO371" s="247"/>
      <c r="EHP371" s="669"/>
      <c r="EHQ371" s="117"/>
      <c r="EHS371" s="118"/>
      <c r="EHU371" s="261"/>
      <c r="EHV371" s="118"/>
      <c r="EHW371" s="219"/>
      <c r="EHX371" s="247"/>
      <c r="EHY371" s="669"/>
      <c r="EHZ371" s="117"/>
      <c r="EIB371" s="118"/>
      <c r="EID371" s="261"/>
      <c r="EIE371" s="118"/>
      <c r="EIF371" s="219"/>
      <c r="EIG371" s="247"/>
      <c r="EIH371" s="669"/>
      <c r="EII371" s="117"/>
      <c r="EIK371" s="118"/>
      <c r="EIM371" s="261"/>
      <c r="EIN371" s="118"/>
      <c r="EIO371" s="219"/>
      <c r="EIP371" s="247"/>
      <c r="EIQ371" s="669"/>
      <c r="EIR371" s="117"/>
      <c r="EIT371" s="118"/>
      <c r="EIV371" s="261"/>
      <c r="EIW371" s="118"/>
      <c r="EIX371" s="219"/>
      <c r="EIY371" s="247"/>
      <c r="EIZ371" s="669"/>
      <c r="EJA371" s="117"/>
      <c r="EJC371" s="118"/>
      <c r="EJE371" s="261"/>
      <c r="EJF371" s="118"/>
      <c r="EJG371" s="219"/>
      <c r="EJH371" s="247"/>
      <c r="EJI371" s="669"/>
      <c r="EJJ371" s="117"/>
      <c r="EJL371" s="118"/>
      <c r="EJN371" s="261"/>
      <c r="EJO371" s="118"/>
      <c r="EJP371" s="219"/>
      <c r="EJQ371" s="247"/>
      <c r="EJR371" s="669"/>
      <c r="EJS371" s="117"/>
      <c r="EJU371" s="118"/>
      <c r="EJW371" s="261"/>
      <c r="EJX371" s="118"/>
      <c r="EJY371" s="219"/>
      <c r="EJZ371" s="247"/>
      <c r="EKA371" s="669"/>
      <c r="EKB371" s="117"/>
      <c r="EKD371" s="118"/>
      <c r="EKF371" s="261"/>
      <c r="EKG371" s="118"/>
      <c r="EKH371" s="219"/>
      <c r="EKI371" s="247"/>
      <c r="EKJ371" s="669"/>
      <c r="EKK371" s="117"/>
      <c r="EKM371" s="118"/>
      <c r="EKO371" s="261"/>
      <c r="EKP371" s="118"/>
      <c r="EKQ371" s="219"/>
      <c r="EKR371" s="247"/>
      <c r="EKS371" s="669"/>
      <c r="EKT371" s="117"/>
      <c r="EKV371" s="118"/>
      <c r="EKX371" s="261"/>
      <c r="EKY371" s="118"/>
      <c r="EKZ371" s="219"/>
      <c r="ELA371" s="247"/>
      <c r="ELB371" s="669"/>
      <c r="ELC371" s="117"/>
      <c r="ELE371" s="118"/>
      <c r="ELG371" s="261"/>
      <c r="ELH371" s="118"/>
      <c r="ELI371" s="219"/>
      <c r="ELJ371" s="247"/>
      <c r="ELK371" s="669"/>
      <c r="ELL371" s="117"/>
      <c r="ELN371" s="118"/>
      <c r="ELP371" s="261"/>
      <c r="ELQ371" s="118"/>
      <c r="ELR371" s="219"/>
      <c r="ELS371" s="247"/>
      <c r="ELT371" s="669"/>
      <c r="ELU371" s="117"/>
      <c r="ELW371" s="118"/>
      <c r="ELY371" s="261"/>
      <c r="ELZ371" s="118"/>
      <c r="EMA371" s="219"/>
      <c r="EMB371" s="247"/>
      <c r="EMC371" s="669"/>
      <c r="EMD371" s="117"/>
      <c r="EMF371" s="118"/>
      <c r="EMH371" s="261"/>
      <c r="EMI371" s="118"/>
      <c r="EMJ371" s="219"/>
      <c r="EMK371" s="247"/>
      <c r="EML371" s="669"/>
      <c r="EMM371" s="117"/>
      <c r="EMO371" s="118"/>
      <c r="EMQ371" s="261"/>
      <c r="EMR371" s="118"/>
      <c r="EMS371" s="219"/>
      <c r="EMT371" s="247"/>
      <c r="EMU371" s="669"/>
      <c r="EMV371" s="117"/>
      <c r="EMX371" s="118"/>
      <c r="EMZ371" s="261"/>
      <c r="ENA371" s="118"/>
      <c r="ENB371" s="219"/>
      <c r="ENC371" s="247"/>
      <c r="END371" s="669"/>
      <c r="ENE371" s="117"/>
      <c r="ENG371" s="118"/>
      <c r="ENI371" s="261"/>
      <c r="ENJ371" s="118"/>
      <c r="ENK371" s="219"/>
      <c r="ENL371" s="247"/>
      <c r="ENM371" s="669"/>
      <c r="ENN371" s="117"/>
      <c r="ENP371" s="118"/>
      <c r="ENR371" s="261"/>
      <c r="ENS371" s="118"/>
      <c r="ENT371" s="219"/>
      <c r="ENU371" s="247"/>
      <c r="ENV371" s="669"/>
      <c r="ENW371" s="117"/>
      <c r="ENY371" s="118"/>
      <c r="EOA371" s="261"/>
      <c r="EOB371" s="118"/>
      <c r="EOC371" s="219"/>
      <c r="EOD371" s="247"/>
      <c r="EOE371" s="669"/>
      <c r="EOF371" s="117"/>
      <c r="EOH371" s="118"/>
      <c r="EOJ371" s="261"/>
      <c r="EOK371" s="118"/>
      <c r="EOL371" s="219"/>
      <c r="EOM371" s="247"/>
      <c r="EON371" s="669"/>
      <c r="EOO371" s="117"/>
      <c r="EOQ371" s="118"/>
      <c r="EOS371" s="261"/>
      <c r="EOT371" s="118"/>
      <c r="EOU371" s="219"/>
      <c r="EOV371" s="247"/>
      <c r="EOW371" s="669"/>
      <c r="EOX371" s="117"/>
      <c r="EOZ371" s="118"/>
      <c r="EPB371" s="261"/>
      <c r="EPC371" s="118"/>
      <c r="EPD371" s="219"/>
      <c r="EPE371" s="247"/>
      <c r="EPF371" s="669"/>
      <c r="EPG371" s="117"/>
      <c r="EPI371" s="118"/>
      <c r="EPK371" s="261"/>
      <c r="EPL371" s="118"/>
      <c r="EPM371" s="219"/>
      <c r="EPN371" s="247"/>
      <c r="EPO371" s="669"/>
      <c r="EPP371" s="117"/>
      <c r="EPR371" s="118"/>
      <c r="EPT371" s="261"/>
      <c r="EPU371" s="118"/>
      <c r="EPV371" s="219"/>
      <c r="EPW371" s="247"/>
      <c r="EPX371" s="669"/>
      <c r="EPY371" s="117"/>
      <c r="EQA371" s="118"/>
      <c r="EQC371" s="261"/>
      <c r="EQD371" s="118"/>
      <c r="EQE371" s="219"/>
      <c r="EQF371" s="247"/>
      <c r="EQG371" s="669"/>
      <c r="EQH371" s="117"/>
      <c r="EQJ371" s="118"/>
      <c r="EQL371" s="261"/>
      <c r="EQM371" s="118"/>
      <c r="EQN371" s="219"/>
      <c r="EQO371" s="247"/>
      <c r="EQP371" s="669"/>
      <c r="EQQ371" s="117"/>
      <c r="EQS371" s="118"/>
      <c r="EQU371" s="261"/>
      <c r="EQV371" s="118"/>
      <c r="EQW371" s="219"/>
      <c r="EQX371" s="247"/>
      <c r="EQY371" s="669"/>
      <c r="EQZ371" s="117"/>
      <c r="ERB371" s="118"/>
      <c r="ERD371" s="261"/>
      <c r="ERE371" s="118"/>
      <c r="ERF371" s="219"/>
      <c r="ERG371" s="247"/>
      <c r="ERH371" s="669"/>
      <c r="ERI371" s="117"/>
      <c r="ERK371" s="118"/>
      <c r="ERM371" s="261"/>
      <c r="ERN371" s="118"/>
      <c r="ERO371" s="219"/>
      <c r="ERP371" s="247"/>
      <c r="ERQ371" s="669"/>
      <c r="ERR371" s="117"/>
      <c r="ERT371" s="118"/>
      <c r="ERV371" s="261"/>
      <c r="ERW371" s="118"/>
      <c r="ERX371" s="219"/>
      <c r="ERY371" s="247"/>
      <c r="ERZ371" s="669"/>
      <c r="ESA371" s="117"/>
      <c r="ESC371" s="118"/>
      <c r="ESE371" s="261"/>
      <c r="ESF371" s="118"/>
      <c r="ESG371" s="219"/>
      <c r="ESH371" s="247"/>
      <c r="ESI371" s="669"/>
      <c r="ESJ371" s="117"/>
      <c r="ESL371" s="118"/>
      <c r="ESN371" s="261"/>
      <c r="ESO371" s="118"/>
      <c r="ESP371" s="219"/>
      <c r="ESQ371" s="247"/>
      <c r="ESR371" s="669"/>
      <c r="ESS371" s="117"/>
      <c r="ESU371" s="118"/>
      <c r="ESW371" s="261"/>
      <c r="ESX371" s="118"/>
      <c r="ESY371" s="219"/>
      <c r="ESZ371" s="247"/>
      <c r="ETA371" s="669"/>
      <c r="ETB371" s="117"/>
      <c r="ETD371" s="118"/>
      <c r="ETF371" s="261"/>
      <c r="ETG371" s="118"/>
      <c r="ETH371" s="219"/>
      <c r="ETI371" s="247"/>
      <c r="ETJ371" s="669"/>
      <c r="ETK371" s="117"/>
      <c r="ETM371" s="118"/>
      <c r="ETO371" s="261"/>
      <c r="ETP371" s="118"/>
      <c r="ETQ371" s="219"/>
      <c r="ETR371" s="247"/>
      <c r="ETS371" s="669"/>
      <c r="ETT371" s="117"/>
      <c r="ETV371" s="118"/>
      <c r="ETX371" s="261"/>
      <c r="ETY371" s="118"/>
      <c r="ETZ371" s="219"/>
      <c r="EUA371" s="247"/>
      <c r="EUB371" s="669"/>
      <c r="EUC371" s="117"/>
      <c r="EUE371" s="118"/>
      <c r="EUG371" s="261"/>
      <c r="EUH371" s="118"/>
      <c r="EUI371" s="219"/>
      <c r="EUJ371" s="247"/>
      <c r="EUK371" s="669"/>
      <c r="EUL371" s="117"/>
      <c r="EUN371" s="118"/>
      <c r="EUP371" s="261"/>
      <c r="EUQ371" s="118"/>
      <c r="EUR371" s="219"/>
      <c r="EUS371" s="247"/>
      <c r="EUT371" s="669"/>
      <c r="EUU371" s="117"/>
      <c r="EUW371" s="118"/>
      <c r="EUY371" s="261"/>
      <c r="EUZ371" s="118"/>
      <c r="EVA371" s="219"/>
      <c r="EVB371" s="247"/>
      <c r="EVC371" s="669"/>
      <c r="EVD371" s="117"/>
      <c r="EVF371" s="118"/>
      <c r="EVH371" s="261"/>
      <c r="EVI371" s="118"/>
      <c r="EVJ371" s="219"/>
      <c r="EVK371" s="247"/>
      <c r="EVL371" s="669"/>
      <c r="EVM371" s="117"/>
      <c r="EVO371" s="118"/>
      <c r="EVQ371" s="261"/>
      <c r="EVR371" s="118"/>
      <c r="EVS371" s="219"/>
      <c r="EVT371" s="247"/>
      <c r="EVU371" s="669"/>
      <c r="EVV371" s="117"/>
      <c r="EVX371" s="118"/>
      <c r="EVZ371" s="261"/>
      <c r="EWA371" s="118"/>
      <c r="EWB371" s="219"/>
      <c r="EWC371" s="247"/>
      <c r="EWD371" s="669"/>
      <c r="EWE371" s="117"/>
      <c r="EWG371" s="118"/>
      <c r="EWI371" s="261"/>
      <c r="EWJ371" s="118"/>
      <c r="EWK371" s="219"/>
      <c r="EWL371" s="247"/>
      <c r="EWM371" s="669"/>
      <c r="EWN371" s="117"/>
      <c r="EWP371" s="118"/>
      <c r="EWR371" s="261"/>
      <c r="EWS371" s="118"/>
      <c r="EWT371" s="219"/>
      <c r="EWU371" s="247"/>
      <c r="EWV371" s="669"/>
      <c r="EWW371" s="117"/>
      <c r="EWY371" s="118"/>
      <c r="EXA371" s="261"/>
      <c r="EXB371" s="118"/>
      <c r="EXC371" s="219"/>
      <c r="EXD371" s="247"/>
      <c r="EXE371" s="669"/>
      <c r="EXF371" s="117"/>
      <c r="EXH371" s="118"/>
      <c r="EXJ371" s="261"/>
      <c r="EXK371" s="118"/>
      <c r="EXL371" s="219"/>
      <c r="EXM371" s="247"/>
      <c r="EXN371" s="669"/>
      <c r="EXO371" s="117"/>
      <c r="EXQ371" s="118"/>
      <c r="EXS371" s="261"/>
      <c r="EXT371" s="118"/>
      <c r="EXU371" s="219"/>
      <c r="EXV371" s="247"/>
      <c r="EXW371" s="669"/>
      <c r="EXX371" s="117"/>
      <c r="EXZ371" s="118"/>
      <c r="EYB371" s="261"/>
      <c r="EYC371" s="118"/>
      <c r="EYD371" s="219"/>
      <c r="EYE371" s="247"/>
      <c r="EYF371" s="669"/>
      <c r="EYG371" s="117"/>
      <c r="EYI371" s="118"/>
      <c r="EYK371" s="261"/>
      <c r="EYL371" s="118"/>
      <c r="EYM371" s="219"/>
      <c r="EYN371" s="247"/>
      <c r="EYO371" s="669"/>
      <c r="EYP371" s="117"/>
      <c r="EYR371" s="118"/>
      <c r="EYT371" s="261"/>
      <c r="EYU371" s="118"/>
      <c r="EYV371" s="219"/>
      <c r="EYW371" s="247"/>
      <c r="EYX371" s="669"/>
      <c r="EYY371" s="117"/>
      <c r="EZA371" s="118"/>
      <c r="EZC371" s="261"/>
      <c r="EZD371" s="118"/>
      <c r="EZE371" s="219"/>
      <c r="EZF371" s="247"/>
      <c r="EZG371" s="669"/>
      <c r="EZH371" s="117"/>
      <c r="EZJ371" s="118"/>
      <c r="EZL371" s="261"/>
      <c r="EZM371" s="118"/>
      <c r="EZN371" s="219"/>
      <c r="EZO371" s="247"/>
      <c r="EZP371" s="669"/>
      <c r="EZQ371" s="117"/>
      <c r="EZS371" s="118"/>
      <c r="EZU371" s="261"/>
      <c r="EZV371" s="118"/>
      <c r="EZW371" s="219"/>
      <c r="EZX371" s="247"/>
      <c r="EZY371" s="669"/>
      <c r="EZZ371" s="117"/>
      <c r="FAB371" s="118"/>
      <c r="FAD371" s="261"/>
      <c r="FAE371" s="118"/>
      <c r="FAF371" s="219"/>
      <c r="FAG371" s="247"/>
      <c r="FAH371" s="669"/>
      <c r="FAI371" s="117"/>
      <c r="FAK371" s="118"/>
      <c r="FAM371" s="261"/>
      <c r="FAN371" s="118"/>
      <c r="FAO371" s="219"/>
      <c r="FAP371" s="247"/>
      <c r="FAQ371" s="669"/>
      <c r="FAR371" s="117"/>
      <c r="FAT371" s="118"/>
      <c r="FAV371" s="261"/>
      <c r="FAW371" s="118"/>
      <c r="FAX371" s="219"/>
      <c r="FAY371" s="247"/>
      <c r="FAZ371" s="669"/>
      <c r="FBA371" s="117"/>
      <c r="FBC371" s="118"/>
      <c r="FBE371" s="261"/>
      <c r="FBF371" s="118"/>
      <c r="FBG371" s="219"/>
      <c r="FBH371" s="247"/>
      <c r="FBI371" s="669"/>
      <c r="FBJ371" s="117"/>
      <c r="FBL371" s="118"/>
      <c r="FBN371" s="261"/>
      <c r="FBO371" s="118"/>
      <c r="FBP371" s="219"/>
      <c r="FBQ371" s="247"/>
      <c r="FBR371" s="669"/>
      <c r="FBS371" s="117"/>
      <c r="FBU371" s="118"/>
      <c r="FBW371" s="261"/>
      <c r="FBX371" s="118"/>
      <c r="FBY371" s="219"/>
      <c r="FBZ371" s="247"/>
      <c r="FCA371" s="669"/>
      <c r="FCB371" s="117"/>
      <c r="FCD371" s="118"/>
      <c r="FCF371" s="261"/>
      <c r="FCG371" s="118"/>
      <c r="FCH371" s="219"/>
      <c r="FCI371" s="247"/>
      <c r="FCJ371" s="669"/>
      <c r="FCK371" s="117"/>
      <c r="FCM371" s="118"/>
      <c r="FCO371" s="261"/>
      <c r="FCP371" s="118"/>
      <c r="FCQ371" s="219"/>
      <c r="FCR371" s="247"/>
      <c r="FCS371" s="669"/>
      <c r="FCT371" s="117"/>
      <c r="FCV371" s="118"/>
      <c r="FCX371" s="261"/>
      <c r="FCY371" s="118"/>
      <c r="FCZ371" s="219"/>
      <c r="FDA371" s="247"/>
      <c r="FDB371" s="669"/>
      <c r="FDC371" s="117"/>
      <c r="FDE371" s="118"/>
      <c r="FDG371" s="261"/>
      <c r="FDH371" s="118"/>
      <c r="FDI371" s="219"/>
      <c r="FDJ371" s="247"/>
      <c r="FDK371" s="669"/>
      <c r="FDL371" s="117"/>
      <c r="FDN371" s="118"/>
      <c r="FDP371" s="261"/>
      <c r="FDQ371" s="118"/>
      <c r="FDR371" s="219"/>
      <c r="FDS371" s="247"/>
      <c r="FDT371" s="669"/>
      <c r="FDU371" s="117"/>
      <c r="FDW371" s="118"/>
      <c r="FDY371" s="261"/>
      <c r="FDZ371" s="118"/>
      <c r="FEA371" s="219"/>
      <c r="FEB371" s="247"/>
      <c r="FEC371" s="669"/>
      <c r="FED371" s="117"/>
      <c r="FEF371" s="118"/>
      <c r="FEH371" s="261"/>
      <c r="FEI371" s="118"/>
      <c r="FEJ371" s="219"/>
      <c r="FEK371" s="247"/>
      <c r="FEL371" s="669"/>
      <c r="FEM371" s="117"/>
      <c r="FEO371" s="118"/>
      <c r="FEQ371" s="261"/>
      <c r="FER371" s="118"/>
      <c r="FES371" s="219"/>
      <c r="FET371" s="247"/>
      <c r="FEU371" s="669"/>
      <c r="FEV371" s="117"/>
      <c r="FEX371" s="118"/>
      <c r="FEZ371" s="261"/>
      <c r="FFA371" s="118"/>
      <c r="FFB371" s="219"/>
      <c r="FFC371" s="247"/>
      <c r="FFD371" s="669"/>
      <c r="FFE371" s="117"/>
      <c r="FFG371" s="118"/>
      <c r="FFI371" s="261"/>
      <c r="FFJ371" s="118"/>
      <c r="FFK371" s="219"/>
      <c r="FFL371" s="247"/>
      <c r="FFM371" s="669"/>
      <c r="FFN371" s="117"/>
      <c r="FFP371" s="118"/>
      <c r="FFR371" s="261"/>
      <c r="FFS371" s="118"/>
      <c r="FFT371" s="219"/>
      <c r="FFU371" s="247"/>
      <c r="FFV371" s="669"/>
      <c r="FFW371" s="117"/>
      <c r="FFY371" s="118"/>
      <c r="FGA371" s="261"/>
      <c r="FGB371" s="118"/>
      <c r="FGC371" s="219"/>
      <c r="FGD371" s="247"/>
      <c r="FGE371" s="669"/>
      <c r="FGF371" s="117"/>
      <c r="FGH371" s="118"/>
      <c r="FGJ371" s="261"/>
      <c r="FGK371" s="118"/>
      <c r="FGL371" s="219"/>
      <c r="FGM371" s="247"/>
      <c r="FGN371" s="669"/>
      <c r="FGO371" s="117"/>
      <c r="FGQ371" s="118"/>
      <c r="FGS371" s="261"/>
      <c r="FGT371" s="118"/>
      <c r="FGU371" s="219"/>
      <c r="FGV371" s="247"/>
      <c r="FGW371" s="669"/>
      <c r="FGX371" s="117"/>
      <c r="FGZ371" s="118"/>
      <c r="FHB371" s="261"/>
      <c r="FHC371" s="118"/>
      <c r="FHD371" s="219"/>
      <c r="FHE371" s="247"/>
      <c r="FHF371" s="669"/>
      <c r="FHG371" s="117"/>
      <c r="FHI371" s="118"/>
      <c r="FHK371" s="261"/>
      <c r="FHL371" s="118"/>
      <c r="FHM371" s="219"/>
      <c r="FHN371" s="247"/>
      <c r="FHO371" s="669"/>
      <c r="FHP371" s="117"/>
      <c r="FHR371" s="118"/>
      <c r="FHT371" s="261"/>
      <c r="FHU371" s="118"/>
      <c r="FHV371" s="219"/>
      <c r="FHW371" s="247"/>
      <c r="FHX371" s="669"/>
      <c r="FHY371" s="117"/>
      <c r="FIA371" s="118"/>
      <c r="FIC371" s="261"/>
      <c r="FID371" s="118"/>
      <c r="FIE371" s="219"/>
      <c r="FIF371" s="247"/>
      <c r="FIG371" s="669"/>
      <c r="FIH371" s="117"/>
      <c r="FIJ371" s="118"/>
      <c r="FIL371" s="261"/>
      <c r="FIM371" s="118"/>
      <c r="FIN371" s="219"/>
      <c r="FIO371" s="247"/>
      <c r="FIP371" s="669"/>
      <c r="FIQ371" s="117"/>
      <c r="FIS371" s="118"/>
      <c r="FIU371" s="261"/>
      <c r="FIV371" s="118"/>
      <c r="FIW371" s="219"/>
      <c r="FIX371" s="247"/>
      <c r="FIY371" s="669"/>
      <c r="FIZ371" s="117"/>
      <c r="FJB371" s="118"/>
      <c r="FJD371" s="261"/>
      <c r="FJE371" s="118"/>
      <c r="FJF371" s="219"/>
      <c r="FJG371" s="247"/>
      <c r="FJH371" s="669"/>
      <c r="FJI371" s="117"/>
      <c r="FJK371" s="118"/>
      <c r="FJM371" s="261"/>
      <c r="FJN371" s="118"/>
      <c r="FJO371" s="219"/>
      <c r="FJP371" s="247"/>
      <c r="FJQ371" s="669"/>
      <c r="FJR371" s="117"/>
      <c r="FJT371" s="118"/>
      <c r="FJV371" s="261"/>
      <c r="FJW371" s="118"/>
      <c r="FJX371" s="219"/>
      <c r="FJY371" s="247"/>
      <c r="FJZ371" s="669"/>
      <c r="FKA371" s="117"/>
      <c r="FKC371" s="118"/>
      <c r="FKE371" s="261"/>
      <c r="FKF371" s="118"/>
      <c r="FKG371" s="219"/>
      <c r="FKH371" s="247"/>
      <c r="FKI371" s="669"/>
      <c r="FKJ371" s="117"/>
      <c r="FKL371" s="118"/>
      <c r="FKN371" s="261"/>
      <c r="FKO371" s="118"/>
      <c r="FKP371" s="219"/>
      <c r="FKQ371" s="247"/>
      <c r="FKR371" s="669"/>
      <c r="FKS371" s="117"/>
      <c r="FKU371" s="118"/>
      <c r="FKW371" s="261"/>
      <c r="FKX371" s="118"/>
      <c r="FKY371" s="219"/>
      <c r="FKZ371" s="247"/>
      <c r="FLA371" s="669"/>
      <c r="FLB371" s="117"/>
      <c r="FLD371" s="118"/>
      <c r="FLF371" s="261"/>
      <c r="FLG371" s="118"/>
      <c r="FLH371" s="219"/>
      <c r="FLI371" s="247"/>
      <c r="FLJ371" s="669"/>
      <c r="FLK371" s="117"/>
      <c r="FLM371" s="118"/>
      <c r="FLO371" s="261"/>
      <c r="FLP371" s="118"/>
      <c r="FLQ371" s="219"/>
      <c r="FLR371" s="247"/>
      <c r="FLS371" s="669"/>
      <c r="FLT371" s="117"/>
      <c r="FLV371" s="118"/>
      <c r="FLX371" s="261"/>
      <c r="FLY371" s="118"/>
      <c r="FLZ371" s="219"/>
      <c r="FMA371" s="247"/>
      <c r="FMB371" s="669"/>
      <c r="FMC371" s="117"/>
      <c r="FME371" s="118"/>
      <c r="FMG371" s="261"/>
      <c r="FMH371" s="118"/>
      <c r="FMI371" s="219"/>
      <c r="FMJ371" s="247"/>
      <c r="FMK371" s="669"/>
      <c r="FML371" s="117"/>
      <c r="FMN371" s="118"/>
      <c r="FMP371" s="261"/>
      <c r="FMQ371" s="118"/>
      <c r="FMR371" s="219"/>
      <c r="FMS371" s="247"/>
      <c r="FMT371" s="669"/>
      <c r="FMU371" s="117"/>
      <c r="FMW371" s="118"/>
      <c r="FMY371" s="261"/>
      <c r="FMZ371" s="118"/>
      <c r="FNA371" s="219"/>
      <c r="FNB371" s="247"/>
      <c r="FNC371" s="669"/>
      <c r="FND371" s="117"/>
      <c r="FNF371" s="118"/>
      <c r="FNH371" s="261"/>
      <c r="FNI371" s="118"/>
      <c r="FNJ371" s="219"/>
      <c r="FNK371" s="247"/>
      <c r="FNL371" s="669"/>
      <c r="FNM371" s="117"/>
      <c r="FNO371" s="118"/>
      <c r="FNQ371" s="261"/>
      <c r="FNR371" s="118"/>
      <c r="FNS371" s="219"/>
      <c r="FNT371" s="247"/>
      <c r="FNU371" s="669"/>
      <c r="FNV371" s="117"/>
      <c r="FNX371" s="118"/>
      <c r="FNZ371" s="261"/>
      <c r="FOA371" s="118"/>
      <c r="FOB371" s="219"/>
      <c r="FOC371" s="247"/>
      <c r="FOD371" s="669"/>
      <c r="FOE371" s="117"/>
      <c r="FOG371" s="118"/>
      <c r="FOI371" s="261"/>
      <c r="FOJ371" s="118"/>
      <c r="FOK371" s="219"/>
      <c r="FOL371" s="247"/>
      <c r="FOM371" s="669"/>
      <c r="FON371" s="117"/>
      <c r="FOP371" s="118"/>
      <c r="FOR371" s="261"/>
      <c r="FOS371" s="118"/>
      <c r="FOT371" s="219"/>
      <c r="FOU371" s="247"/>
      <c r="FOV371" s="669"/>
      <c r="FOW371" s="117"/>
      <c r="FOY371" s="118"/>
      <c r="FPA371" s="261"/>
      <c r="FPB371" s="118"/>
      <c r="FPC371" s="219"/>
      <c r="FPD371" s="247"/>
      <c r="FPE371" s="669"/>
      <c r="FPF371" s="117"/>
      <c r="FPH371" s="118"/>
      <c r="FPJ371" s="261"/>
      <c r="FPK371" s="118"/>
      <c r="FPL371" s="219"/>
      <c r="FPM371" s="247"/>
      <c r="FPN371" s="669"/>
      <c r="FPO371" s="117"/>
      <c r="FPQ371" s="118"/>
      <c r="FPS371" s="261"/>
      <c r="FPT371" s="118"/>
      <c r="FPU371" s="219"/>
      <c r="FPV371" s="247"/>
      <c r="FPW371" s="669"/>
      <c r="FPX371" s="117"/>
      <c r="FPZ371" s="118"/>
      <c r="FQB371" s="261"/>
      <c r="FQC371" s="118"/>
      <c r="FQD371" s="219"/>
      <c r="FQE371" s="247"/>
      <c r="FQF371" s="669"/>
      <c r="FQG371" s="117"/>
      <c r="FQI371" s="118"/>
      <c r="FQK371" s="261"/>
      <c r="FQL371" s="118"/>
      <c r="FQM371" s="219"/>
      <c r="FQN371" s="247"/>
      <c r="FQO371" s="669"/>
      <c r="FQP371" s="117"/>
      <c r="FQR371" s="118"/>
      <c r="FQT371" s="261"/>
      <c r="FQU371" s="118"/>
      <c r="FQV371" s="219"/>
      <c r="FQW371" s="247"/>
      <c r="FQX371" s="669"/>
      <c r="FQY371" s="117"/>
      <c r="FRA371" s="118"/>
      <c r="FRC371" s="261"/>
      <c r="FRD371" s="118"/>
      <c r="FRE371" s="219"/>
      <c r="FRF371" s="247"/>
      <c r="FRG371" s="669"/>
      <c r="FRH371" s="117"/>
      <c r="FRJ371" s="118"/>
      <c r="FRL371" s="261"/>
      <c r="FRM371" s="118"/>
      <c r="FRN371" s="219"/>
      <c r="FRO371" s="247"/>
      <c r="FRP371" s="669"/>
      <c r="FRQ371" s="117"/>
      <c r="FRS371" s="118"/>
      <c r="FRU371" s="261"/>
      <c r="FRV371" s="118"/>
      <c r="FRW371" s="219"/>
      <c r="FRX371" s="247"/>
      <c r="FRY371" s="669"/>
      <c r="FRZ371" s="117"/>
      <c r="FSB371" s="118"/>
      <c r="FSD371" s="261"/>
      <c r="FSE371" s="118"/>
      <c r="FSF371" s="219"/>
      <c r="FSG371" s="247"/>
      <c r="FSH371" s="669"/>
      <c r="FSI371" s="117"/>
      <c r="FSK371" s="118"/>
      <c r="FSM371" s="261"/>
      <c r="FSN371" s="118"/>
      <c r="FSO371" s="219"/>
      <c r="FSP371" s="247"/>
      <c r="FSQ371" s="669"/>
      <c r="FSR371" s="117"/>
      <c r="FST371" s="118"/>
      <c r="FSV371" s="261"/>
      <c r="FSW371" s="118"/>
      <c r="FSX371" s="219"/>
      <c r="FSY371" s="247"/>
      <c r="FSZ371" s="669"/>
      <c r="FTA371" s="117"/>
      <c r="FTC371" s="118"/>
      <c r="FTE371" s="261"/>
      <c r="FTF371" s="118"/>
      <c r="FTG371" s="219"/>
      <c r="FTH371" s="247"/>
      <c r="FTI371" s="669"/>
      <c r="FTJ371" s="117"/>
      <c r="FTL371" s="118"/>
      <c r="FTN371" s="261"/>
      <c r="FTO371" s="118"/>
      <c r="FTP371" s="219"/>
      <c r="FTQ371" s="247"/>
      <c r="FTR371" s="669"/>
      <c r="FTS371" s="117"/>
      <c r="FTU371" s="118"/>
      <c r="FTW371" s="261"/>
      <c r="FTX371" s="118"/>
      <c r="FTY371" s="219"/>
      <c r="FTZ371" s="247"/>
      <c r="FUA371" s="669"/>
      <c r="FUB371" s="117"/>
      <c r="FUD371" s="118"/>
      <c r="FUF371" s="261"/>
      <c r="FUG371" s="118"/>
      <c r="FUH371" s="219"/>
      <c r="FUI371" s="247"/>
      <c r="FUJ371" s="669"/>
      <c r="FUK371" s="117"/>
      <c r="FUM371" s="118"/>
      <c r="FUO371" s="261"/>
      <c r="FUP371" s="118"/>
      <c r="FUQ371" s="219"/>
      <c r="FUR371" s="247"/>
      <c r="FUS371" s="669"/>
      <c r="FUT371" s="117"/>
      <c r="FUV371" s="118"/>
      <c r="FUX371" s="261"/>
      <c r="FUY371" s="118"/>
      <c r="FUZ371" s="219"/>
      <c r="FVA371" s="247"/>
      <c r="FVB371" s="669"/>
      <c r="FVC371" s="117"/>
      <c r="FVE371" s="118"/>
      <c r="FVG371" s="261"/>
      <c r="FVH371" s="673"/>
      <c r="FVI371" s="351"/>
      <c r="FVJ371" s="352"/>
      <c r="FVK371" s="332"/>
      <c r="FVL371" s="117"/>
      <c r="FVN371" s="118"/>
      <c r="FVP371" s="342"/>
      <c r="FVQ371" s="674"/>
      <c r="FVR371" s="351"/>
      <c r="FVS371" s="352"/>
      <c r="FVT371" s="332"/>
      <c r="FVU371" s="117"/>
      <c r="FVW371" s="118"/>
      <c r="FVY371" s="342"/>
      <c r="FVZ371" s="674"/>
      <c r="FWA371" s="351"/>
      <c r="FWB371" s="352"/>
      <c r="FWC371" s="332"/>
      <c r="FWD371" s="117"/>
      <c r="FWF371" s="118"/>
      <c r="FWH371" s="342"/>
      <c r="FWI371" s="674"/>
      <c r="FWJ371" s="351"/>
      <c r="FWK371" s="352"/>
      <c r="FWL371" s="332"/>
      <c r="FWM371" s="117"/>
      <c r="FWO371" s="118"/>
      <c r="FWQ371" s="342"/>
      <c r="FWR371" s="674"/>
      <c r="FWS371" s="351"/>
      <c r="FWT371" s="352"/>
      <c r="FWU371" s="332"/>
      <c r="FWV371" s="117"/>
      <c r="FWX371" s="118"/>
      <c r="FWZ371" s="342"/>
      <c r="FXA371" s="674"/>
      <c r="FXB371" s="351"/>
      <c r="FXC371" s="352"/>
      <c r="FXD371" s="332"/>
      <c r="FXE371" s="117"/>
      <c r="FXG371" s="118"/>
      <c r="FXI371" s="342"/>
      <c r="FXJ371" s="674"/>
      <c r="FXK371" s="351"/>
      <c r="FXL371" s="352"/>
      <c r="FXM371" s="332"/>
      <c r="FXN371" s="117"/>
      <c r="FXP371" s="118"/>
      <c r="FXR371" s="342"/>
      <c r="FXS371" s="674"/>
      <c r="FXT371" s="351"/>
      <c r="FXU371" s="352"/>
      <c r="FXV371" s="332"/>
      <c r="FXW371" s="117"/>
      <c r="FXY371" s="118"/>
      <c r="FYA371" s="342"/>
      <c r="FYB371" s="674"/>
      <c r="FYC371" s="351"/>
      <c r="FYD371" s="352"/>
      <c r="FYE371" s="332"/>
      <c r="FYF371" s="117"/>
      <c r="FYH371" s="118"/>
      <c r="FYJ371" s="342"/>
      <c r="FYK371" s="674"/>
      <c r="FYL371" s="351"/>
      <c r="FYM371" s="352"/>
      <c r="FYN371" s="332"/>
      <c r="FYO371" s="117"/>
      <c r="FYQ371" s="118"/>
      <c r="FYS371" s="342"/>
      <c r="FYT371" s="674"/>
      <c r="FYU371" s="351"/>
      <c r="FYV371" s="352"/>
      <c r="FYW371" s="332"/>
      <c r="FYX371" s="117"/>
      <c r="FYZ371" s="118"/>
      <c r="FZB371" s="342"/>
      <c r="FZC371" s="674"/>
      <c r="FZD371" s="351"/>
      <c r="FZE371" s="352"/>
      <c r="FZF371" s="332"/>
      <c r="FZG371" s="117"/>
      <c r="FZI371" s="118"/>
      <c r="FZK371" s="342"/>
      <c r="FZL371" s="674"/>
      <c r="FZM371" s="351"/>
      <c r="FZN371" s="352"/>
      <c r="FZO371" s="332"/>
      <c r="FZP371" s="117"/>
      <c r="FZR371" s="118"/>
      <c r="FZT371" s="342"/>
      <c r="FZU371" s="674"/>
      <c r="FZV371" s="351"/>
      <c r="FZW371" s="352"/>
      <c r="FZX371" s="332"/>
      <c r="FZY371" s="117"/>
      <c r="GAA371" s="118"/>
      <c r="GAC371" s="342"/>
      <c r="GAD371" s="674"/>
      <c r="GAE371" s="351"/>
      <c r="GAF371" s="352"/>
      <c r="GAG371" s="332"/>
      <c r="GAH371" s="117"/>
      <c r="GAJ371" s="118"/>
      <c r="GAL371" s="342"/>
      <c r="GAM371" s="674"/>
      <c r="GAN371" s="351"/>
      <c r="GAO371" s="352"/>
      <c r="GAP371" s="332"/>
      <c r="GAQ371" s="117"/>
      <c r="GAS371" s="118"/>
      <c r="GAU371" s="342"/>
      <c r="GAV371" s="674"/>
      <c r="GAW371" s="351"/>
      <c r="GAX371" s="352"/>
      <c r="GAY371" s="332"/>
      <c r="GAZ371" s="117"/>
      <c r="GBB371" s="118"/>
      <c r="GBD371" s="342"/>
      <c r="GBE371" s="674"/>
      <c r="GBF371" s="351"/>
      <c r="GBG371" s="352"/>
      <c r="GBH371" s="332"/>
      <c r="GBI371" s="117"/>
      <c r="GBK371" s="118"/>
      <c r="GBM371" s="342"/>
      <c r="GBN371" s="674"/>
      <c r="GBO371" s="351"/>
      <c r="GBP371" s="352"/>
      <c r="GBQ371" s="332"/>
      <c r="GBR371" s="117"/>
      <c r="GBT371" s="118"/>
      <c r="GBV371" s="342"/>
      <c r="GBW371" s="674"/>
      <c r="GBX371" s="351"/>
      <c r="GBY371" s="352"/>
      <c r="GBZ371" s="332"/>
      <c r="GCA371" s="117"/>
      <c r="GCC371" s="118"/>
      <c r="GCE371" s="342"/>
      <c r="GCF371" s="674"/>
      <c r="GCG371" s="351"/>
      <c r="GCH371" s="352"/>
      <c r="GCI371" s="332"/>
      <c r="GCJ371" s="117"/>
      <c r="GCL371" s="118"/>
      <c r="GCN371" s="342"/>
      <c r="GCO371" s="674"/>
      <c r="GCP371" s="351"/>
      <c r="GCQ371" s="352"/>
      <c r="GCR371" s="332"/>
      <c r="GCS371" s="117"/>
      <c r="GCU371" s="118"/>
      <c r="GCW371" s="342"/>
      <c r="GCX371" s="674"/>
      <c r="GCY371" s="351"/>
      <c r="GCZ371" s="352"/>
      <c r="GDA371" s="332"/>
      <c r="GDB371" s="117"/>
      <c r="GDD371" s="118"/>
      <c r="GDF371" s="342"/>
      <c r="GDG371" s="674"/>
      <c r="GDH371" s="351"/>
      <c r="GDI371" s="352"/>
      <c r="GDJ371" s="332"/>
      <c r="GDK371" s="117"/>
      <c r="GDM371" s="118"/>
      <c r="GDO371" s="342"/>
      <c r="GDP371" s="674"/>
      <c r="GDQ371" s="351"/>
      <c r="GDR371" s="352"/>
      <c r="GDS371" s="332"/>
      <c r="GDT371" s="117"/>
      <c r="GDV371" s="118"/>
      <c r="GDX371" s="342"/>
      <c r="GDY371" s="674"/>
      <c r="GDZ371" s="351"/>
      <c r="GEA371" s="352"/>
      <c r="GEB371" s="332"/>
      <c r="GEC371" s="117"/>
      <c r="GEE371" s="118"/>
      <c r="GEG371" s="342"/>
      <c r="GEH371" s="674"/>
      <c r="GEI371" s="351"/>
      <c r="GEJ371" s="352"/>
      <c r="GEK371" s="332"/>
      <c r="GEL371" s="117"/>
      <c r="GEN371" s="118"/>
      <c r="GEP371" s="342"/>
      <c r="GEQ371" s="674"/>
      <c r="GER371" s="351"/>
      <c r="GES371" s="352"/>
      <c r="GET371" s="332"/>
      <c r="GEU371" s="117"/>
      <c r="GEW371" s="118"/>
      <c r="GEY371" s="342"/>
      <c r="GEZ371" s="674"/>
      <c r="GFA371" s="351"/>
      <c r="GFB371" s="352"/>
      <c r="GFC371" s="332"/>
      <c r="GFD371" s="117"/>
      <c r="GFF371" s="118"/>
      <c r="GFH371" s="342"/>
      <c r="GFI371" s="674"/>
      <c r="GFJ371" s="351"/>
      <c r="GFK371" s="352"/>
      <c r="GFL371" s="332"/>
      <c r="GFM371" s="117"/>
      <c r="GFO371" s="118"/>
      <c r="GFQ371" s="342"/>
      <c r="GFR371" s="674"/>
      <c r="GFS371" s="351"/>
      <c r="GFT371" s="352"/>
      <c r="GFU371" s="332"/>
      <c r="GFV371" s="117"/>
      <c r="GFX371" s="118"/>
      <c r="GFZ371" s="342"/>
      <c r="GGA371" s="674"/>
      <c r="GGB371" s="351"/>
      <c r="GGC371" s="352"/>
      <c r="GGD371" s="332"/>
      <c r="GGE371" s="117"/>
      <c r="GGG371" s="118"/>
      <c r="GGI371" s="342"/>
      <c r="GGJ371" s="674"/>
      <c r="GGK371" s="351"/>
      <c r="GGL371" s="352"/>
      <c r="GGM371" s="332"/>
      <c r="GGN371" s="117"/>
      <c r="GGP371" s="118"/>
      <c r="GGR371" s="342"/>
      <c r="GGS371" s="674"/>
      <c r="GGT371" s="351"/>
      <c r="GGU371" s="352"/>
      <c r="GGV371" s="332"/>
      <c r="GGW371" s="117"/>
      <c r="GGY371" s="118"/>
      <c r="GHA371" s="342"/>
      <c r="GHB371" s="674"/>
      <c r="GHC371" s="351"/>
      <c r="GHD371" s="352"/>
      <c r="GHE371" s="332"/>
      <c r="GHF371" s="117"/>
      <c r="GHH371" s="118"/>
      <c r="GHJ371" s="342"/>
      <c r="GHK371" s="674"/>
      <c r="GHL371" s="351"/>
      <c r="GHM371" s="352"/>
      <c r="GHN371" s="332"/>
      <c r="GHO371" s="117"/>
      <c r="GHQ371" s="118"/>
      <c r="GHS371" s="342"/>
      <c r="GHT371" s="674"/>
      <c r="GHU371" s="351"/>
      <c r="GHV371" s="352"/>
      <c r="GHW371" s="332"/>
      <c r="GHX371" s="117"/>
      <c r="GHZ371" s="118"/>
      <c r="GIB371" s="342"/>
      <c r="GIC371" s="674"/>
      <c r="GID371" s="351"/>
      <c r="GIE371" s="352"/>
      <c r="GIF371" s="332"/>
      <c r="GIG371" s="117"/>
      <c r="GII371" s="118"/>
      <c r="GIK371" s="342"/>
      <c r="GIL371" s="674"/>
      <c r="GIM371" s="351"/>
      <c r="GIN371" s="352"/>
      <c r="GIO371" s="332"/>
      <c r="GIP371" s="117"/>
      <c r="GIR371" s="118"/>
      <c r="GIT371" s="342"/>
      <c r="GIU371" s="674"/>
      <c r="GIV371" s="351"/>
      <c r="GIW371" s="352"/>
      <c r="GIX371" s="332"/>
      <c r="GIY371" s="117"/>
      <c r="GJA371" s="118"/>
      <c r="GJC371" s="342"/>
      <c r="GJD371" s="674"/>
      <c r="GJE371" s="351"/>
      <c r="GJF371" s="352"/>
      <c r="GJG371" s="332"/>
      <c r="GJH371" s="117"/>
      <c r="GJJ371" s="118"/>
      <c r="GJL371" s="342"/>
      <c r="GJM371" s="674"/>
      <c r="GJN371" s="351"/>
      <c r="GJO371" s="352"/>
      <c r="GJP371" s="332"/>
      <c r="GJQ371" s="117"/>
      <c r="GJS371" s="118"/>
      <c r="GJU371" s="342"/>
      <c r="GJV371" s="674"/>
      <c r="GJW371" s="351"/>
      <c r="GJX371" s="352"/>
      <c r="GJY371" s="332"/>
      <c r="GJZ371" s="117"/>
      <c r="GKB371" s="118"/>
      <c r="GKD371" s="342"/>
      <c r="GKE371" s="674"/>
      <c r="GKF371" s="351"/>
      <c r="GKG371" s="352"/>
      <c r="GKH371" s="332"/>
      <c r="GKI371" s="117"/>
      <c r="GKK371" s="118"/>
      <c r="GKM371" s="342"/>
      <c r="GKN371" s="674"/>
      <c r="GKO371" s="351"/>
      <c r="GKP371" s="352"/>
      <c r="GKQ371" s="332"/>
      <c r="GKR371" s="117"/>
      <c r="GKT371" s="118"/>
      <c r="GKV371" s="342"/>
      <c r="GKW371" s="674"/>
      <c r="GKX371" s="351"/>
      <c r="GKY371" s="352"/>
      <c r="GKZ371" s="332"/>
      <c r="GLA371" s="117"/>
      <c r="GLC371" s="118"/>
      <c r="GLE371" s="342"/>
      <c r="GLF371" s="674"/>
      <c r="GLG371" s="351"/>
      <c r="GLH371" s="352"/>
      <c r="GLI371" s="332"/>
      <c r="GLJ371" s="117"/>
      <c r="GLL371" s="118"/>
      <c r="GLN371" s="342"/>
      <c r="GLO371" s="674"/>
      <c r="GLP371" s="351"/>
      <c r="GLQ371" s="352"/>
      <c r="GLR371" s="332"/>
      <c r="GLS371" s="117"/>
      <c r="GLU371" s="118"/>
      <c r="GLW371" s="342"/>
      <c r="GLX371" s="674"/>
      <c r="GLY371" s="351"/>
      <c r="GLZ371" s="352"/>
      <c r="GMA371" s="332"/>
      <c r="GMB371" s="117"/>
      <c r="GMD371" s="118"/>
      <c r="GMF371" s="342"/>
      <c r="GMG371" s="674"/>
      <c r="GMH371" s="351"/>
      <c r="GMI371" s="352"/>
      <c r="GMJ371" s="332"/>
      <c r="GMK371" s="117"/>
      <c r="GMM371" s="118"/>
      <c r="GMO371" s="342"/>
      <c r="GMP371" s="674"/>
      <c r="GMQ371" s="351"/>
      <c r="GMR371" s="352"/>
      <c r="GMS371" s="332"/>
      <c r="GMT371" s="117"/>
      <c r="GMV371" s="118"/>
      <c r="GMX371" s="342"/>
      <c r="GMY371" s="674"/>
      <c r="GMZ371" s="351"/>
      <c r="GNA371" s="352"/>
      <c r="GNB371" s="332"/>
      <c r="GNC371" s="117"/>
      <c r="GNE371" s="118"/>
      <c r="GNG371" s="342"/>
      <c r="GNH371" s="674"/>
      <c r="GNI371" s="351"/>
      <c r="GNJ371" s="352"/>
      <c r="GNK371" s="332"/>
      <c r="GNL371" s="117"/>
      <c r="GNN371" s="118"/>
      <c r="GNP371" s="342"/>
      <c r="GNQ371" s="674"/>
      <c r="GNR371" s="351"/>
      <c r="GNS371" s="352"/>
      <c r="GNT371" s="332"/>
      <c r="GNU371" s="117"/>
      <c r="GNW371" s="118"/>
      <c r="GNY371" s="342"/>
      <c r="GNZ371" s="674"/>
      <c r="GOA371" s="351"/>
      <c r="GOB371" s="352"/>
      <c r="GOC371" s="332"/>
      <c r="GOD371" s="117"/>
      <c r="GOF371" s="118"/>
      <c r="GOH371" s="342"/>
      <c r="GOI371" s="674"/>
      <c r="GOJ371" s="351"/>
      <c r="GOK371" s="352"/>
      <c r="GOL371" s="332"/>
      <c r="GOM371" s="117"/>
      <c r="GOO371" s="118"/>
      <c r="GOQ371" s="342"/>
      <c r="GOR371" s="674"/>
      <c r="GOS371" s="351"/>
      <c r="GOT371" s="352"/>
      <c r="GOU371" s="332"/>
      <c r="GOV371" s="117"/>
      <c r="GOX371" s="118"/>
      <c r="GOZ371" s="342"/>
      <c r="GPA371" s="674"/>
      <c r="GPB371" s="351"/>
      <c r="GPC371" s="352"/>
      <c r="GPD371" s="332"/>
      <c r="GPE371" s="117"/>
      <c r="GPG371" s="118"/>
      <c r="GPI371" s="342"/>
      <c r="GPJ371" s="674"/>
      <c r="GPK371" s="351"/>
      <c r="GPL371" s="352"/>
      <c r="GPM371" s="332"/>
      <c r="GPN371" s="117"/>
      <c r="GPP371" s="118"/>
      <c r="GPR371" s="342"/>
      <c r="GPS371" s="674"/>
      <c r="GPT371" s="351"/>
      <c r="GPU371" s="352"/>
      <c r="GPV371" s="332"/>
      <c r="GPW371" s="117"/>
      <c r="GPY371" s="118"/>
      <c r="GQA371" s="342"/>
      <c r="GQB371" s="674"/>
      <c r="GQC371" s="351"/>
      <c r="GQD371" s="352"/>
      <c r="GQE371" s="332"/>
      <c r="GQF371" s="117"/>
      <c r="GQH371" s="118"/>
      <c r="GQJ371" s="342"/>
      <c r="GQK371" s="674"/>
      <c r="GQL371" s="351"/>
      <c r="GQM371" s="352"/>
      <c r="GQN371" s="332"/>
      <c r="GQO371" s="117"/>
      <c r="GQQ371" s="118"/>
      <c r="GQS371" s="342"/>
      <c r="GQT371" s="674"/>
      <c r="GQU371" s="351"/>
      <c r="GQV371" s="352"/>
      <c r="GQW371" s="332"/>
      <c r="GQX371" s="117"/>
      <c r="GQZ371" s="118"/>
      <c r="GRB371" s="342"/>
      <c r="GRC371" s="674"/>
      <c r="GRD371" s="351"/>
      <c r="GRE371" s="352"/>
      <c r="GRF371" s="332"/>
      <c r="GRG371" s="117"/>
      <c r="GRI371" s="118"/>
      <c r="GRK371" s="342"/>
      <c r="GRL371" s="674"/>
      <c r="GRM371" s="351"/>
      <c r="GRN371" s="352"/>
      <c r="GRO371" s="332"/>
      <c r="GRP371" s="117"/>
      <c r="GRR371" s="118"/>
      <c r="GRT371" s="342"/>
      <c r="GRU371" s="674"/>
      <c r="GRV371" s="351"/>
      <c r="GRW371" s="352"/>
      <c r="GRX371" s="332"/>
      <c r="GRY371" s="117"/>
      <c r="GSA371" s="118"/>
      <c r="GSC371" s="342"/>
      <c r="GSD371" s="674"/>
      <c r="GSE371" s="351"/>
      <c r="GSF371" s="352"/>
      <c r="GSG371" s="332"/>
      <c r="GSH371" s="117"/>
      <c r="GSJ371" s="118"/>
      <c r="GSL371" s="342"/>
      <c r="GSM371" s="674"/>
      <c r="GSN371" s="351"/>
      <c r="GSO371" s="352"/>
      <c r="GSP371" s="332"/>
      <c r="GSQ371" s="117"/>
      <c r="GSS371" s="118"/>
      <c r="GSU371" s="342"/>
      <c r="GSV371" s="674"/>
      <c r="GSW371" s="351"/>
      <c r="GSX371" s="352"/>
      <c r="GSY371" s="332"/>
      <c r="GSZ371" s="117"/>
      <c r="GTB371" s="118"/>
      <c r="GTD371" s="342"/>
      <c r="GTE371" s="674"/>
      <c r="GTF371" s="351"/>
      <c r="GTG371" s="352"/>
      <c r="GTH371" s="332"/>
      <c r="GTI371" s="117"/>
      <c r="GTK371" s="118"/>
      <c r="GTM371" s="342"/>
      <c r="GTN371" s="674"/>
      <c r="GTO371" s="351"/>
      <c r="GTP371" s="352"/>
      <c r="GTQ371" s="332"/>
      <c r="GTR371" s="117"/>
      <c r="GTT371" s="118"/>
      <c r="GTV371" s="342"/>
      <c r="GTW371" s="674"/>
      <c r="GTX371" s="351"/>
      <c r="GTY371" s="352"/>
      <c r="GTZ371" s="332"/>
      <c r="GUA371" s="117"/>
      <c r="GUC371" s="118"/>
      <c r="GUE371" s="342"/>
      <c r="GUF371" s="674"/>
      <c r="GUG371" s="351"/>
      <c r="GUH371" s="352"/>
      <c r="GUI371" s="332"/>
      <c r="GUJ371" s="117"/>
      <c r="GUL371" s="118"/>
      <c r="GUN371" s="342"/>
      <c r="GUO371" s="674"/>
      <c r="GUP371" s="351"/>
      <c r="GUQ371" s="352"/>
      <c r="GUR371" s="332"/>
      <c r="GUS371" s="117"/>
      <c r="GUU371" s="118"/>
      <c r="GUW371" s="342"/>
      <c r="GUX371" s="674"/>
      <c r="GUY371" s="351"/>
      <c r="GUZ371" s="352"/>
      <c r="GVA371" s="332"/>
      <c r="GVB371" s="117"/>
      <c r="GVD371" s="118"/>
      <c r="GVF371" s="342"/>
      <c r="GVG371" s="674"/>
      <c r="GVH371" s="351"/>
      <c r="GVI371" s="352"/>
      <c r="GVJ371" s="332"/>
      <c r="GVK371" s="117"/>
      <c r="GVM371" s="118"/>
      <c r="GVO371" s="342"/>
      <c r="GVP371" s="674"/>
      <c r="GVQ371" s="351"/>
      <c r="GVR371" s="352"/>
      <c r="GVS371" s="332"/>
      <c r="GVT371" s="117"/>
      <c r="GVV371" s="118"/>
      <c r="GVX371" s="342"/>
      <c r="GVY371" s="674"/>
      <c r="GVZ371" s="351"/>
      <c r="GWA371" s="352"/>
      <c r="GWB371" s="332"/>
      <c r="GWC371" s="117"/>
      <c r="GWE371" s="118"/>
      <c r="GWG371" s="342"/>
      <c r="GWH371" s="674"/>
      <c r="GWI371" s="351"/>
      <c r="GWJ371" s="352"/>
      <c r="GWK371" s="332"/>
      <c r="GWL371" s="117"/>
      <c r="GWN371" s="118"/>
      <c r="GWP371" s="342"/>
      <c r="GWQ371" s="674"/>
      <c r="GWR371" s="351"/>
      <c r="GWS371" s="352"/>
      <c r="GWT371" s="332"/>
      <c r="GWU371" s="117"/>
      <c r="GWW371" s="118"/>
      <c r="GWY371" s="342"/>
      <c r="GWZ371" s="674"/>
      <c r="GXA371" s="351"/>
      <c r="GXB371" s="352"/>
      <c r="GXC371" s="332"/>
      <c r="GXD371" s="117"/>
      <c r="GXF371" s="118"/>
      <c r="GXH371" s="342"/>
      <c r="GXI371" s="674"/>
      <c r="GXJ371" s="351"/>
      <c r="GXK371" s="352"/>
      <c r="GXL371" s="332"/>
      <c r="GXM371" s="117"/>
      <c r="GXO371" s="118"/>
      <c r="GXQ371" s="342"/>
      <c r="GXR371" s="674"/>
      <c r="GXS371" s="351"/>
      <c r="GXT371" s="352"/>
      <c r="GXU371" s="332"/>
      <c r="GXV371" s="117"/>
      <c r="GXX371" s="118"/>
      <c r="GXZ371" s="342"/>
      <c r="GYA371" s="674"/>
      <c r="GYB371" s="351"/>
      <c r="GYC371" s="352"/>
      <c r="GYD371" s="332"/>
      <c r="GYE371" s="117"/>
      <c r="GYG371" s="118"/>
      <c r="GYI371" s="342"/>
      <c r="GYJ371" s="674"/>
      <c r="GYK371" s="351"/>
      <c r="GYL371" s="352"/>
      <c r="GYM371" s="332"/>
      <c r="GYN371" s="117"/>
      <c r="GYP371" s="118"/>
      <c r="GYR371" s="342"/>
      <c r="GYS371" s="674"/>
      <c r="GYT371" s="351"/>
      <c r="GYU371" s="352"/>
      <c r="GYV371" s="332"/>
      <c r="GYW371" s="117"/>
      <c r="GYY371" s="118"/>
      <c r="GZA371" s="342"/>
      <c r="GZB371" s="674"/>
      <c r="GZC371" s="351"/>
      <c r="GZD371" s="352"/>
      <c r="GZE371" s="332"/>
      <c r="GZF371" s="117"/>
      <c r="GZH371" s="118"/>
      <c r="GZJ371" s="342"/>
      <c r="GZK371" s="674"/>
      <c r="GZL371" s="351"/>
      <c r="GZM371" s="352"/>
      <c r="GZN371" s="332"/>
      <c r="GZO371" s="117"/>
      <c r="GZQ371" s="118"/>
      <c r="GZS371" s="342"/>
      <c r="GZT371" s="674"/>
      <c r="GZU371" s="351"/>
      <c r="GZV371" s="352"/>
      <c r="GZW371" s="332"/>
      <c r="GZX371" s="117"/>
      <c r="GZZ371" s="118"/>
      <c r="HAB371" s="342"/>
      <c r="HAC371" s="674"/>
      <c r="HAD371" s="351"/>
      <c r="HAE371" s="352"/>
      <c r="HAF371" s="332"/>
      <c r="HAG371" s="117"/>
      <c r="HAI371" s="118"/>
      <c r="HAK371" s="342"/>
      <c r="HAL371" s="674"/>
      <c r="HAM371" s="351"/>
      <c r="HAN371" s="352"/>
      <c r="HAO371" s="332"/>
      <c r="HAP371" s="117"/>
      <c r="HAR371" s="118"/>
      <c r="HAT371" s="342"/>
      <c r="HAU371" s="674"/>
      <c r="HAV371" s="351"/>
      <c r="HAW371" s="352"/>
      <c r="HAX371" s="332"/>
      <c r="HAY371" s="117"/>
      <c r="HBA371" s="118"/>
      <c r="HBC371" s="342"/>
      <c r="HBD371" s="674"/>
      <c r="HBE371" s="351"/>
      <c r="HBF371" s="352"/>
      <c r="HBG371" s="332"/>
      <c r="HBH371" s="117"/>
      <c r="HBJ371" s="118"/>
      <c r="HBL371" s="342"/>
      <c r="HBM371" s="674"/>
      <c r="HBN371" s="351"/>
      <c r="HBO371" s="352"/>
      <c r="HBP371" s="332"/>
      <c r="HBQ371" s="117"/>
      <c r="HBS371" s="118"/>
      <c r="HBU371" s="342"/>
      <c r="HBV371" s="674"/>
      <c r="HBW371" s="351"/>
      <c r="HBX371" s="352"/>
      <c r="HBY371" s="332"/>
      <c r="HBZ371" s="117"/>
      <c r="HCB371" s="118"/>
      <c r="HCD371" s="342"/>
      <c r="HCE371" s="674"/>
      <c r="HCF371" s="351"/>
      <c r="HCG371" s="352"/>
      <c r="HCH371" s="332"/>
      <c r="HCI371" s="117"/>
      <c r="HCK371" s="118"/>
      <c r="HCM371" s="342"/>
      <c r="HCN371" s="674"/>
      <c r="HCO371" s="351"/>
      <c r="HCP371" s="352"/>
      <c r="HCQ371" s="332"/>
      <c r="HCR371" s="117"/>
      <c r="HCT371" s="118"/>
      <c r="HCV371" s="342"/>
      <c r="HCW371" s="674"/>
      <c r="HCX371" s="351"/>
      <c r="HCY371" s="352"/>
      <c r="HCZ371" s="332"/>
      <c r="HDA371" s="117"/>
      <c r="HDC371" s="118"/>
      <c r="HDE371" s="342"/>
      <c r="HDF371" s="674"/>
      <c r="HDG371" s="351"/>
      <c r="HDH371" s="352"/>
      <c r="HDI371" s="332"/>
      <c r="HDJ371" s="117"/>
      <c r="HDL371" s="118"/>
      <c r="HDN371" s="342"/>
      <c r="HDO371" s="674"/>
      <c r="HDP371" s="351"/>
      <c r="HDQ371" s="352"/>
      <c r="HDR371" s="332"/>
      <c r="HDS371" s="117"/>
      <c r="HDU371" s="118"/>
      <c r="HDW371" s="342"/>
      <c r="HDX371" s="674"/>
      <c r="HDY371" s="351"/>
      <c r="HDZ371" s="352"/>
      <c r="HEA371" s="332"/>
      <c r="HEB371" s="117"/>
      <c r="HED371" s="118"/>
      <c r="HEF371" s="342"/>
      <c r="HEG371" s="674"/>
      <c r="HEH371" s="351"/>
      <c r="HEI371" s="352"/>
      <c r="HEJ371" s="332"/>
      <c r="HEK371" s="117"/>
      <c r="HEM371" s="118"/>
      <c r="HEO371" s="342"/>
      <c r="HEP371" s="674"/>
      <c r="HEQ371" s="351"/>
      <c r="HER371" s="352"/>
      <c r="HES371" s="332"/>
      <c r="HET371" s="117"/>
      <c r="HEV371" s="118"/>
      <c r="HEX371" s="342"/>
      <c r="HEY371" s="674"/>
      <c r="HEZ371" s="351"/>
      <c r="HFA371" s="352"/>
      <c r="HFB371" s="332"/>
      <c r="HFC371" s="117"/>
      <c r="HFE371" s="118"/>
      <c r="HFG371" s="342"/>
      <c r="HFH371" s="674"/>
      <c r="HFI371" s="351"/>
      <c r="HFJ371" s="352"/>
      <c r="HFK371" s="332"/>
      <c r="HFL371" s="117"/>
      <c r="HFN371" s="118"/>
      <c r="HFP371" s="342"/>
      <c r="HFQ371" s="674"/>
      <c r="HFR371" s="351"/>
      <c r="HFS371" s="352"/>
      <c r="HFT371" s="332"/>
      <c r="HFU371" s="117"/>
      <c r="HFW371" s="118"/>
      <c r="HFY371" s="342"/>
      <c r="HFZ371" s="674"/>
      <c r="HGA371" s="351"/>
      <c r="HGB371" s="352"/>
      <c r="HGC371" s="332"/>
      <c r="HGD371" s="117"/>
      <c r="HGF371" s="118"/>
      <c r="HGH371" s="342"/>
      <c r="HGI371" s="674"/>
      <c r="HGJ371" s="351"/>
      <c r="HGK371" s="352"/>
      <c r="HGL371" s="332"/>
      <c r="HGM371" s="117"/>
      <c r="HGO371" s="118"/>
      <c r="HGQ371" s="342"/>
      <c r="HGR371" s="674"/>
      <c r="HGS371" s="351"/>
      <c r="HGT371" s="352"/>
      <c r="HGU371" s="332"/>
      <c r="HGV371" s="117"/>
      <c r="HGX371" s="118"/>
      <c r="HGZ371" s="342"/>
      <c r="HHA371" s="674"/>
      <c r="HHB371" s="351"/>
      <c r="HHC371" s="352"/>
      <c r="HHD371" s="332"/>
      <c r="HHE371" s="117"/>
      <c r="HHG371" s="118"/>
      <c r="HHI371" s="342"/>
      <c r="HHJ371" s="674"/>
      <c r="HHK371" s="351"/>
      <c r="HHL371" s="352"/>
      <c r="HHM371" s="332"/>
      <c r="HHN371" s="117"/>
      <c r="HHP371" s="118"/>
      <c r="HHR371" s="342"/>
      <c r="HHS371" s="674"/>
      <c r="HHT371" s="351"/>
      <c r="HHU371" s="352"/>
      <c r="HHV371" s="332"/>
      <c r="HHW371" s="117"/>
      <c r="HHY371" s="118"/>
      <c r="HIA371" s="342"/>
      <c r="HIB371" s="674"/>
      <c r="HIC371" s="351"/>
      <c r="HID371" s="352"/>
      <c r="HIE371" s="332"/>
      <c r="HIF371" s="117"/>
      <c r="HIH371" s="118"/>
      <c r="HIJ371" s="342"/>
      <c r="HIK371" s="674"/>
      <c r="HIL371" s="351"/>
      <c r="HIM371" s="352"/>
      <c r="HIN371" s="332"/>
      <c r="HIO371" s="117"/>
      <c r="HIQ371" s="118"/>
      <c r="HIS371" s="342"/>
      <c r="HIT371" s="674"/>
      <c r="HIU371" s="351"/>
      <c r="HIV371" s="352"/>
      <c r="HIW371" s="332"/>
      <c r="HIX371" s="117"/>
      <c r="HIZ371" s="118"/>
      <c r="HJB371" s="342"/>
      <c r="HJC371" s="674"/>
      <c r="HJD371" s="351"/>
      <c r="HJE371" s="352"/>
      <c r="HJF371" s="332"/>
      <c r="HJG371" s="117"/>
      <c r="HJI371" s="118"/>
      <c r="HJK371" s="342"/>
      <c r="HJL371" s="674"/>
      <c r="HJM371" s="351"/>
      <c r="HJN371" s="352"/>
      <c r="HJO371" s="332"/>
      <c r="HJP371" s="117"/>
      <c r="HJR371" s="118"/>
      <c r="HJT371" s="342"/>
      <c r="HJU371" s="674"/>
      <c r="HJV371" s="351"/>
      <c r="HJW371" s="352"/>
      <c r="HJX371" s="332"/>
      <c r="HJY371" s="117"/>
      <c r="HKA371" s="118"/>
      <c r="HKC371" s="342"/>
      <c r="HKD371" s="674"/>
      <c r="HKE371" s="351"/>
      <c r="HKF371" s="352"/>
      <c r="HKG371" s="332"/>
      <c r="HKH371" s="117"/>
      <c r="HKJ371" s="118"/>
      <c r="HKL371" s="342"/>
      <c r="HKM371" s="674"/>
      <c r="HKN371" s="351"/>
      <c r="HKO371" s="352"/>
      <c r="HKP371" s="332"/>
      <c r="HKQ371" s="117"/>
      <c r="HKS371" s="118"/>
      <c r="HKU371" s="342"/>
      <c r="HKV371" s="674"/>
      <c r="HKW371" s="351"/>
      <c r="HKX371" s="352"/>
      <c r="HKY371" s="332"/>
      <c r="HKZ371" s="117"/>
      <c r="HLB371" s="118"/>
      <c r="HLD371" s="342"/>
      <c r="HLE371" s="674"/>
      <c r="HLF371" s="351"/>
      <c r="HLG371" s="352"/>
      <c r="HLH371" s="332"/>
      <c r="HLI371" s="117"/>
      <c r="HLK371" s="118"/>
      <c r="HLM371" s="342"/>
      <c r="HLN371" s="674"/>
      <c r="HLO371" s="351"/>
      <c r="HLP371" s="352"/>
      <c r="HLQ371" s="332"/>
      <c r="HLR371" s="117"/>
      <c r="HLT371" s="118"/>
      <c r="HLV371" s="342"/>
      <c r="HLW371" s="674"/>
      <c r="HLX371" s="351"/>
      <c r="HLY371" s="352"/>
      <c r="HLZ371" s="332"/>
      <c r="HMA371" s="117"/>
      <c r="HMC371" s="118"/>
      <c r="HME371" s="342"/>
      <c r="HMF371" s="674"/>
      <c r="HMG371" s="351"/>
      <c r="HMH371" s="352"/>
      <c r="HMI371" s="332"/>
      <c r="HMJ371" s="117"/>
      <c r="HML371" s="118"/>
      <c r="HMN371" s="342"/>
      <c r="HMO371" s="674"/>
      <c r="HMP371" s="351"/>
      <c r="HMQ371" s="352"/>
      <c r="HMR371" s="332"/>
      <c r="HMS371" s="117"/>
      <c r="HMU371" s="118"/>
      <c r="HMW371" s="342"/>
      <c r="HMX371" s="674"/>
      <c r="HMY371" s="351"/>
      <c r="HMZ371" s="352"/>
      <c r="HNA371" s="332"/>
      <c r="HNB371" s="117"/>
      <c r="HND371" s="118"/>
      <c r="HNF371" s="342"/>
      <c r="HNG371" s="674"/>
      <c r="HNH371" s="351"/>
      <c r="HNI371" s="352"/>
      <c r="HNJ371" s="332"/>
      <c r="HNK371" s="117"/>
      <c r="HNM371" s="118"/>
      <c r="HNO371" s="342"/>
      <c r="HNP371" s="674"/>
      <c r="HNQ371" s="351"/>
      <c r="HNR371" s="352"/>
      <c r="HNS371" s="332"/>
      <c r="HNT371" s="117"/>
      <c r="HNV371" s="118"/>
      <c r="HNX371" s="342"/>
      <c r="HNY371" s="674"/>
      <c r="HNZ371" s="351"/>
      <c r="HOA371" s="352"/>
      <c r="HOB371" s="332"/>
      <c r="HOC371" s="117"/>
      <c r="HOE371" s="118"/>
      <c r="HOG371" s="342"/>
      <c r="HOH371" s="674"/>
      <c r="HOI371" s="351"/>
      <c r="HOJ371" s="352"/>
      <c r="HOK371" s="332"/>
      <c r="HOL371" s="117"/>
      <c r="HON371" s="118"/>
      <c r="HOP371" s="342"/>
      <c r="HOQ371" s="674"/>
      <c r="HOR371" s="351"/>
      <c r="HOS371" s="352"/>
      <c r="HOT371" s="332"/>
      <c r="HOU371" s="117"/>
      <c r="HOW371" s="118"/>
      <c r="HOY371" s="342"/>
      <c r="HOZ371" s="674"/>
      <c r="HPA371" s="351"/>
      <c r="HPB371" s="352"/>
      <c r="HPC371" s="332"/>
      <c r="HPD371" s="117"/>
      <c r="HPF371" s="118"/>
      <c r="HPH371" s="342"/>
      <c r="HPI371" s="674"/>
      <c r="HPJ371" s="351"/>
      <c r="HPK371" s="352"/>
      <c r="HPL371" s="332"/>
      <c r="HPM371" s="117"/>
      <c r="HPO371" s="118"/>
      <c r="HPQ371" s="342"/>
      <c r="HPR371" s="674"/>
      <c r="HPS371" s="351"/>
      <c r="HPT371" s="352"/>
      <c r="HPU371" s="332"/>
      <c r="HPV371" s="117"/>
      <c r="HPX371" s="118"/>
      <c r="HPZ371" s="342"/>
      <c r="HQA371" s="674"/>
      <c r="HQB371" s="351"/>
      <c r="HQC371" s="352"/>
      <c r="HQD371" s="332"/>
      <c r="HQE371" s="117"/>
      <c r="HQG371" s="118"/>
      <c r="HQI371" s="342"/>
      <c r="HQJ371" s="674"/>
      <c r="HQK371" s="351"/>
      <c r="HQL371" s="352"/>
      <c r="HQM371" s="332"/>
      <c r="HQN371" s="117"/>
      <c r="HQP371" s="118"/>
      <c r="HQR371" s="342"/>
      <c r="HQS371" s="674"/>
      <c r="HQT371" s="351"/>
      <c r="HQU371" s="352"/>
      <c r="HQV371" s="332"/>
      <c r="HQW371" s="117"/>
      <c r="HQY371" s="118"/>
      <c r="HRA371" s="342"/>
      <c r="HRB371" s="674"/>
      <c r="HRC371" s="351"/>
      <c r="HRD371" s="352"/>
      <c r="HRE371" s="332"/>
      <c r="HRF371" s="117"/>
      <c r="HRH371" s="118"/>
      <c r="HRJ371" s="342"/>
      <c r="HRK371" s="674"/>
      <c r="HRL371" s="351"/>
      <c r="HRM371" s="352"/>
      <c r="HRN371" s="332"/>
      <c r="HRO371" s="117"/>
      <c r="HRQ371" s="118"/>
      <c r="HRS371" s="342"/>
      <c r="HRT371" s="674"/>
      <c r="HRU371" s="351"/>
      <c r="HRV371" s="352"/>
      <c r="HRW371" s="332"/>
      <c r="HRX371" s="117"/>
      <c r="HRZ371" s="118"/>
      <c r="HSB371" s="342"/>
      <c r="HSC371" s="674"/>
      <c r="HSD371" s="351"/>
      <c r="HSE371" s="352"/>
      <c r="HSF371" s="332"/>
      <c r="HSG371" s="117"/>
      <c r="HSI371" s="118"/>
      <c r="HSK371" s="342"/>
      <c r="HSL371" s="674"/>
      <c r="HSM371" s="351"/>
      <c r="HSN371" s="352"/>
      <c r="HSO371" s="332"/>
      <c r="HSP371" s="117"/>
      <c r="HSR371" s="118"/>
      <c r="HST371" s="342"/>
      <c r="HSU371" s="674"/>
      <c r="HSV371" s="351"/>
      <c r="HSW371" s="352"/>
      <c r="HSX371" s="332"/>
      <c r="HSY371" s="117"/>
      <c r="HTA371" s="118"/>
      <c r="HTC371" s="342"/>
      <c r="HTD371" s="674"/>
      <c r="HTE371" s="351"/>
      <c r="HTF371" s="352"/>
      <c r="HTG371" s="332"/>
      <c r="HTH371" s="117"/>
      <c r="HTJ371" s="118"/>
      <c r="HTL371" s="342"/>
      <c r="HTM371" s="674"/>
      <c r="HTN371" s="351"/>
      <c r="HTO371" s="352"/>
      <c r="HTP371" s="332"/>
      <c r="HTQ371" s="117"/>
      <c r="HTS371" s="118"/>
      <c r="HTU371" s="342"/>
      <c r="HTV371" s="674"/>
      <c r="HTW371" s="351"/>
      <c r="HTX371" s="352"/>
      <c r="HTY371" s="332"/>
      <c r="HTZ371" s="117"/>
      <c r="HUB371" s="118"/>
      <c r="HUD371" s="342"/>
      <c r="HUE371" s="674"/>
      <c r="HUF371" s="351"/>
      <c r="HUG371" s="352"/>
      <c r="HUH371" s="332"/>
      <c r="HUI371" s="117"/>
      <c r="HUK371" s="118"/>
      <c r="HUM371" s="342"/>
      <c r="HUN371" s="674"/>
      <c r="HUO371" s="351"/>
      <c r="HUP371" s="352"/>
      <c r="HUQ371" s="332"/>
      <c r="HUR371" s="117"/>
      <c r="HUT371" s="118"/>
      <c r="HUV371" s="342"/>
      <c r="HUW371" s="674"/>
      <c r="HUX371" s="351"/>
      <c r="HUY371" s="352"/>
      <c r="HUZ371" s="332"/>
      <c r="HVA371" s="117"/>
      <c r="HVC371" s="118"/>
      <c r="HVE371" s="342"/>
      <c r="HVF371" s="674"/>
      <c r="HVG371" s="351"/>
      <c r="HVH371" s="352"/>
      <c r="HVI371" s="332"/>
      <c r="HVJ371" s="117"/>
      <c r="HVL371" s="118"/>
      <c r="HVN371" s="342"/>
      <c r="HVO371" s="674"/>
      <c r="HVP371" s="351"/>
      <c r="HVQ371" s="352"/>
      <c r="HVR371" s="332"/>
      <c r="HVS371" s="117"/>
      <c r="HVU371" s="118"/>
      <c r="HVW371" s="342"/>
      <c r="HVX371" s="674"/>
      <c r="HVY371" s="351"/>
      <c r="HVZ371" s="352"/>
      <c r="HWA371" s="332"/>
      <c r="HWB371" s="117"/>
      <c r="HWD371" s="118"/>
      <c r="HWF371" s="342"/>
      <c r="HWG371" s="674"/>
      <c r="HWH371" s="351"/>
      <c r="HWI371" s="352"/>
      <c r="HWJ371" s="332"/>
      <c r="HWK371" s="117"/>
      <c r="HWM371" s="118"/>
      <c r="HWO371" s="342"/>
      <c r="HWP371" s="674"/>
      <c r="HWQ371" s="351"/>
      <c r="HWR371" s="352"/>
      <c r="HWS371" s="332"/>
      <c r="HWT371" s="117"/>
      <c r="HWV371" s="118"/>
      <c r="HWX371" s="342"/>
      <c r="HWY371" s="674"/>
      <c r="HWZ371" s="351"/>
      <c r="HXA371" s="352"/>
      <c r="HXB371" s="332"/>
      <c r="HXC371" s="117"/>
      <c r="HXE371" s="118"/>
      <c r="HXG371" s="342"/>
      <c r="HXH371" s="674"/>
      <c r="HXI371" s="351"/>
      <c r="HXJ371" s="352"/>
      <c r="HXK371" s="332"/>
      <c r="HXL371" s="117"/>
      <c r="HXN371" s="118"/>
      <c r="HXP371" s="342"/>
      <c r="HXQ371" s="674"/>
      <c r="HXR371" s="351"/>
      <c r="HXS371" s="352"/>
      <c r="HXT371" s="332"/>
      <c r="HXU371" s="117"/>
      <c r="HXW371" s="118"/>
      <c r="HXY371" s="342"/>
      <c r="HXZ371" s="674"/>
      <c r="HYA371" s="351"/>
      <c r="HYB371" s="352"/>
      <c r="HYC371" s="332"/>
      <c r="HYD371" s="117"/>
      <c r="HYF371" s="118"/>
      <c r="HYH371" s="342"/>
      <c r="HYI371" s="674"/>
      <c r="HYJ371" s="351"/>
      <c r="HYK371" s="352"/>
      <c r="HYL371" s="332"/>
      <c r="HYM371" s="117"/>
      <c r="HYO371" s="118"/>
      <c r="HYQ371" s="342"/>
      <c r="HYR371" s="674"/>
      <c r="HYS371" s="351"/>
      <c r="HYT371" s="352"/>
      <c r="HYU371" s="332"/>
      <c r="HYV371" s="117"/>
      <c r="HYX371" s="118"/>
      <c r="HYZ371" s="342"/>
      <c r="HZA371" s="674"/>
      <c r="HZB371" s="351"/>
      <c r="HZC371" s="352"/>
      <c r="HZD371" s="332"/>
      <c r="HZE371" s="117"/>
      <c r="HZG371" s="118"/>
      <c r="HZI371" s="342"/>
      <c r="HZJ371" s="674"/>
      <c r="HZK371" s="351"/>
      <c r="HZL371" s="352"/>
      <c r="HZM371" s="332"/>
      <c r="HZN371" s="117"/>
      <c r="HZP371" s="118"/>
      <c r="HZR371" s="342"/>
      <c r="HZS371" s="674"/>
      <c r="HZT371" s="351"/>
      <c r="HZU371" s="352"/>
      <c r="HZV371" s="332"/>
      <c r="HZW371" s="117"/>
      <c r="HZY371" s="118"/>
      <c r="IAA371" s="342"/>
      <c r="IAB371" s="674"/>
      <c r="IAC371" s="351"/>
      <c r="IAD371" s="352"/>
      <c r="IAE371" s="332"/>
      <c r="IAF371" s="117"/>
      <c r="IAH371" s="118"/>
      <c r="IAJ371" s="342"/>
      <c r="IAK371" s="674"/>
      <c r="IAL371" s="351"/>
      <c r="IAM371" s="352"/>
      <c r="IAN371" s="332"/>
      <c r="IAO371" s="117"/>
      <c r="IAQ371" s="118"/>
      <c r="IAS371" s="342"/>
      <c r="IAT371" s="674"/>
      <c r="IAU371" s="351"/>
      <c r="IAV371" s="352"/>
      <c r="IAW371" s="332"/>
      <c r="IAX371" s="117"/>
      <c r="IAZ371" s="118"/>
      <c r="IBB371" s="342"/>
      <c r="IBC371" s="674"/>
      <c r="IBD371" s="351"/>
      <c r="IBE371" s="352"/>
      <c r="IBF371" s="332"/>
      <c r="IBG371" s="117"/>
      <c r="IBI371" s="118"/>
      <c r="IBK371" s="342"/>
      <c r="IBL371" s="674"/>
      <c r="IBM371" s="351"/>
      <c r="IBN371" s="352"/>
      <c r="IBO371" s="332"/>
      <c r="IBP371" s="117"/>
      <c r="IBR371" s="118"/>
      <c r="IBT371" s="342"/>
      <c r="IBU371" s="674"/>
      <c r="IBV371" s="351"/>
      <c r="IBW371" s="352"/>
      <c r="IBX371" s="332"/>
      <c r="IBY371" s="117"/>
      <c r="ICA371" s="118"/>
      <c r="ICC371" s="342"/>
      <c r="ICD371" s="674"/>
      <c r="ICE371" s="351"/>
      <c r="ICF371" s="352"/>
      <c r="ICG371" s="332"/>
      <c r="ICH371" s="117"/>
      <c r="ICJ371" s="118"/>
      <c r="ICL371" s="342"/>
      <c r="ICM371" s="674"/>
      <c r="ICN371" s="351"/>
      <c r="ICO371" s="352"/>
      <c r="ICP371" s="332"/>
      <c r="ICQ371" s="117"/>
      <c r="ICS371" s="118"/>
      <c r="ICU371" s="342"/>
      <c r="ICV371" s="674"/>
      <c r="ICW371" s="351"/>
      <c r="ICX371" s="352"/>
      <c r="ICY371" s="332"/>
      <c r="ICZ371" s="117"/>
      <c r="IDB371" s="118"/>
      <c r="IDD371" s="342"/>
      <c r="IDE371" s="674"/>
      <c r="IDF371" s="351"/>
      <c r="IDG371" s="352"/>
      <c r="IDH371" s="332"/>
      <c r="IDI371" s="117"/>
      <c r="IDK371" s="118"/>
      <c r="IDM371" s="342"/>
      <c r="IDN371" s="674"/>
      <c r="IDO371" s="351"/>
      <c r="IDP371" s="352"/>
      <c r="IDQ371" s="332"/>
      <c r="IDR371" s="117"/>
      <c r="IDT371" s="118"/>
      <c r="IDV371" s="342"/>
      <c r="IDW371" s="674"/>
      <c r="IDX371" s="351"/>
      <c r="IDY371" s="352"/>
      <c r="IDZ371" s="332"/>
      <c r="IEA371" s="117"/>
      <c r="IEC371" s="118"/>
      <c r="IEE371" s="342"/>
      <c r="IEF371" s="674"/>
      <c r="IEG371" s="351"/>
      <c r="IEH371" s="352"/>
      <c r="IEI371" s="332"/>
      <c r="IEJ371" s="117"/>
      <c r="IEL371" s="118"/>
      <c r="IEN371" s="342"/>
      <c r="IEO371" s="674"/>
      <c r="IEP371" s="351"/>
      <c r="IEQ371" s="352"/>
      <c r="IER371" s="332"/>
      <c r="IES371" s="117"/>
      <c r="IEU371" s="118"/>
      <c r="IEW371" s="342"/>
      <c r="IEX371" s="674"/>
      <c r="IEY371" s="351"/>
      <c r="IEZ371" s="352"/>
      <c r="IFA371" s="332"/>
      <c r="IFB371" s="117"/>
      <c r="IFD371" s="118"/>
      <c r="IFF371" s="342"/>
      <c r="IFG371" s="674"/>
      <c r="IFH371" s="351"/>
      <c r="IFI371" s="352"/>
      <c r="IFJ371" s="332"/>
      <c r="IFK371" s="117"/>
      <c r="IFM371" s="118"/>
      <c r="IFO371" s="342"/>
      <c r="IFP371" s="674"/>
      <c r="IFQ371" s="351"/>
      <c r="IFR371" s="352"/>
      <c r="IFS371" s="332"/>
      <c r="IFT371" s="117"/>
      <c r="IFV371" s="118"/>
      <c r="IFX371" s="342"/>
      <c r="IFY371" s="674"/>
      <c r="IFZ371" s="351"/>
      <c r="IGA371" s="352"/>
      <c r="IGB371" s="332"/>
      <c r="IGC371" s="117"/>
      <c r="IGE371" s="118"/>
      <c r="IGG371" s="342"/>
      <c r="IGH371" s="674"/>
      <c r="IGI371" s="351"/>
      <c r="IGJ371" s="352"/>
      <c r="IGK371" s="332"/>
      <c r="IGL371" s="117"/>
      <c r="IGN371" s="118"/>
      <c r="IGP371" s="342"/>
      <c r="IGQ371" s="674"/>
      <c r="IGR371" s="351"/>
      <c r="IGS371" s="352"/>
      <c r="IGT371" s="332"/>
      <c r="IGU371" s="117"/>
      <c r="IGW371" s="118"/>
      <c r="IGY371" s="342"/>
      <c r="IGZ371" s="674"/>
      <c r="IHA371" s="351"/>
      <c r="IHB371" s="352"/>
      <c r="IHC371" s="332"/>
      <c r="IHD371" s="117"/>
      <c r="IHF371" s="118"/>
      <c r="IHH371" s="342"/>
      <c r="IHI371" s="674"/>
      <c r="IHJ371" s="351"/>
      <c r="IHK371" s="352"/>
      <c r="IHL371" s="332"/>
      <c r="IHM371" s="117"/>
      <c r="IHO371" s="118"/>
      <c r="IHQ371" s="342"/>
      <c r="IHR371" s="674"/>
      <c r="IHS371" s="351"/>
      <c r="IHT371" s="352"/>
      <c r="IHU371" s="332"/>
      <c r="IHV371" s="117"/>
      <c r="IHX371" s="118"/>
      <c r="IHZ371" s="342"/>
      <c r="IIA371" s="674"/>
      <c r="IIB371" s="351"/>
      <c r="IIC371" s="352"/>
      <c r="IID371" s="332"/>
      <c r="IIE371" s="117"/>
      <c r="IIG371" s="118"/>
      <c r="III371" s="342"/>
      <c r="IIJ371" s="674"/>
      <c r="IIK371" s="351"/>
      <c r="IIL371" s="352"/>
      <c r="IIM371" s="332"/>
      <c r="IIN371" s="117"/>
      <c r="IIP371" s="118"/>
      <c r="IIR371" s="342"/>
      <c r="IIS371" s="674"/>
      <c r="IIT371" s="351"/>
      <c r="IIU371" s="352"/>
      <c r="IIV371" s="332"/>
      <c r="IIW371" s="117"/>
      <c r="IIY371" s="118"/>
      <c r="IJA371" s="342"/>
      <c r="IJB371" s="674"/>
      <c r="IJC371" s="351"/>
      <c r="IJD371" s="352"/>
      <c r="IJE371" s="332"/>
      <c r="IJF371" s="117"/>
      <c r="IJH371" s="118"/>
      <c r="IJJ371" s="342"/>
      <c r="IJK371" s="674"/>
      <c r="IJL371" s="351"/>
      <c r="IJM371" s="352"/>
      <c r="IJN371" s="332"/>
      <c r="IJO371" s="117"/>
      <c r="IJQ371" s="118"/>
      <c r="IJS371" s="342"/>
      <c r="IJT371" s="674"/>
      <c r="IJU371" s="351"/>
      <c r="IJV371" s="352"/>
      <c r="IJW371" s="332"/>
      <c r="IJX371" s="117"/>
      <c r="IJZ371" s="118"/>
      <c r="IKB371" s="342"/>
      <c r="IKC371" s="674"/>
      <c r="IKD371" s="351"/>
      <c r="IKE371" s="352"/>
      <c r="IKF371" s="332"/>
      <c r="IKG371" s="117"/>
      <c r="IKI371" s="118"/>
      <c r="IKK371" s="342"/>
      <c r="IKL371" s="674"/>
      <c r="IKM371" s="351"/>
      <c r="IKN371" s="352"/>
      <c r="IKO371" s="332"/>
      <c r="IKP371" s="117"/>
      <c r="IKR371" s="118"/>
      <c r="IKT371" s="342"/>
      <c r="IKU371" s="674"/>
      <c r="IKV371" s="351"/>
      <c r="IKW371" s="352"/>
      <c r="IKX371" s="332"/>
      <c r="IKY371" s="117"/>
      <c r="ILA371" s="118"/>
      <c r="ILC371" s="342"/>
      <c r="ILD371" s="674"/>
      <c r="ILE371" s="351"/>
      <c r="ILF371" s="352"/>
      <c r="ILG371" s="332"/>
      <c r="ILH371" s="117"/>
      <c r="ILJ371" s="118"/>
      <c r="ILL371" s="342"/>
      <c r="ILM371" s="674"/>
      <c r="ILN371" s="351"/>
      <c r="ILO371" s="352"/>
      <c r="ILP371" s="332"/>
      <c r="ILQ371" s="117"/>
      <c r="ILS371" s="118"/>
      <c r="ILU371" s="342"/>
      <c r="ILV371" s="674"/>
      <c r="ILW371" s="351"/>
      <c r="ILX371" s="352"/>
      <c r="ILY371" s="332"/>
      <c r="ILZ371" s="117"/>
      <c r="IMB371" s="118"/>
      <c r="IMD371" s="342"/>
      <c r="IME371" s="674"/>
      <c r="IMF371" s="351"/>
      <c r="IMG371" s="352"/>
      <c r="IMH371" s="332"/>
      <c r="IMI371" s="117"/>
      <c r="IMK371" s="118"/>
      <c r="IMM371" s="342"/>
      <c r="IMN371" s="674"/>
      <c r="IMO371" s="351"/>
      <c r="IMP371" s="352"/>
      <c r="IMQ371" s="332"/>
      <c r="IMR371" s="117"/>
      <c r="IMT371" s="118"/>
      <c r="IMV371" s="342"/>
      <c r="IMW371" s="674"/>
      <c r="IMX371" s="351"/>
      <c r="IMY371" s="352"/>
      <c r="IMZ371" s="332"/>
      <c r="INA371" s="117"/>
      <c r="INC371" s="118"/>
      <c r="INE371" s="342"/>
      <c r="INF371" s="674"/>
      <c r="ING371" s="351"/>
      <c r="INH371" s="352"/>
      <c r="INI371" s="332"/>
      <c r="INJ371" s="117"/>
      <c r="INL371" s="118"/>
      <c r="INN371" s="342"/>
      <c r="INO371" s="674"/>
      <c r="INP371" s="351"/>
      <c r="INQ371" s="352"/>
      <c r="INR371" s="332"/>
      <c r="INS371" s="117"/>
      <c r="INU371" s="118"/>
      <c r="INW371" s="342"/>
      <c r="INX371" s="674"/>
      <c r="INY371" s="351"/>
      <c r="INZ371" s="352"/>
      <c r="IOA371" s="332"/>
      <c r="IOB371" s="117"/>
      <c r="IOD371" s="118"/>
      <c r="IOF371" s="342"/>
      <c r="IOG371" s="674"/>
      <c r="IOH371" s="351"/>
      <c r="IOI371" s="352"/>
      <c r="IOJ371" s="332"/>
      <c r="IOK371" s="117"/>
      <c r="IOM371" s="118"/>
      <c r="IOO371" s="342"/>
      <c r="IOP371" s="674"/>
      <c r="IOQ371" s="351"/>
      <c r="IOR371" s="352"/>
      <c r="IOS371" s="332"/>
      <c r="IOT371" s="117"/>
      <c r="IOV371" s="118"/>
      <c r="IOX371" s="342"/>
      <c r="IOY371" s="674"/>
      <c r="IOZ371" s="351"/>
      <c r="IPA371" s="352"/>
      <c r="IPB371" s="332"/>
      <c r="IPC371" s="117"/>
      <c r="IPE371" s="118"/>
      <c r="IPG371" s="342"/>
      <c r="IPH371" s="674"/>
      <c r="IPI371" s="351"/>
      <c r="IPJ371" s="352"/>
      <c r="IPK371" s="332"/>
      <c r="IPL371" s="117"/>
      <c r="IPN371" s="118"/>
      <c r="IPP371" s="342"/>
      <c r="IPQ371" s="674"/>
      <c r="IPR371" s="351"/>
      <c r="IPS371" s="352"/>
      <c r="IPT371" s="332"/>
      <c r="IPU371" s="117"/>
      <c r="IPW371" s="118"/>
      <c r="IPY371" s="342"/>
      <c r="IPZ371" s="674"/>
      <c r="IQA371" s="351"/>
      <c r="IQB371" s="352"/>
      <c r="IQC371" s="332"/>
      <c r="IQD371" s="117"/>
      <c r="IQF371" s="118"/>
      <c r="IQH371" s="342"/>
      <c r="IQI371" s="674"/>
      <c r="IQJ371" s="351"/>
      <c r="IQK371" s="352"/>
      <c r="IQL371" s="332"/>
      <c r="IQM371" s="117"/>
      <c r="IQO371" s="118"/>
      <c r="IQQ371" s="342"/>
      <c r="IQR371" s="674"/>
      <c r="IQS371" s="351"/>
      <c r="IQT371" s="352"/>
      <c r="IQU371" s="332"/>
      <c r="IQV371" s="117"/>
      <c r="IQX371" s="118"/>
      <c r="IQZ371" s="342"/>
      <c r="IRA371" s="674"/>
      <c r="IRB371" s="351"/>
      <c r="IRC371" s="352"/>
      <c r="IRD371" s="332"/>
      <c r="IRE371" s="117"/>
      <c r="IRG371" s="118"/>
      <c r="IRI371" s="342"/>
      <c r="IRJ371" s="674"/>
      <c r="IRK371" s="351"/>
      <c r="IRL371" s="352"/>
      <c r="IRM371" s="332"/>
      <c r="IRN371" s="117"/>
      <c r="IRP371" s="118"/>
      <c r="IRR371" s="342"/>
      <c r="IRS371" s="674"/>
      <c r="IRT371" s="351"/>
      <c r="IRU371" s="352"/>
      <c r="IRV371" s="332"/>
      <c r="IRW371" s="117"/>
      <c r="IRY371" s="118"/>
      <c r="ISA371" s="342"/>
      <c r="ISB371" s="674"/>
      <c r="ISC371" s="351"/>
      <c r="ISD371" s="352"/>
      <c r="ISE371" s="332"/>
      <c r="ISF371" s="117"/>
      <c r="ISH371" s="118"/>
      <c r="ISJ371" s="342"/>
      <c r="ISK371" s="674"/>
      <c r="ISL371" s="351"/>
      <c r="ISM371" s="352"/>
      <c r="ISN371" s="332"/>
      <c r="ISO371" s="117"/>
      <c r="ISQ371" s="118"/>
      <c r="ISS371" s="342"/>
      <c r="IST371" s="674"/>
      <c r="ISU371" s="351"/>
      <c r="ISV371" s="352"/>
      <c r="ISW371" s="332"/>
      <c r="ISX371" s="117"/>
      <c r="ISZ371" s="118"/>
      <c r="ITB371" s="342"/>
      <c r="ITC371" s="674"/>
      <c r="ITD371" s="351"/>
      <c r="ITE371" s="352"/>
      <c r="ITF371" s="332"/>
      <c r="ITG371" s="117"/>
      <c r="ITI371" s="118"/>
      <c r="ITK371" s="342"/>
      <c r="ITL371" s="674"/>
      <c r="ITM371" s="351"/>
      <c r="ITN371" s="352"/>
      <c r="ITO371" s="332"/>
      <c r="ITP371" s="117"/>
      <c r="ITR371" s="118"/>
      <c r="ITT371" s="342"/>
      <c r="ITU371" s="674"/>
      <c r="ITV371" s="351"/>
      <c r="ITW371" s="352"/>
      <c r="ITX371" s="332"/>
      <c r="ITY371" s="117"/>
      <c r="IUA371" s="118"/>
      <c r="IUC371" s="342"/>
      <c r="IUD371" s="674"/>
      <c r="IUE371" s="351"/>
      <c r="IUF371" s="352"/>
      <c r="IUG371" s="332"/>
      <c r="IUH371" s="117"/>
      <c r="IUJ371" s="118"/>
      <c r="IUL371" s="342"/>
      <c r="IUM371" s="674"/>
      <c r="IUN371" s="351"/>
      <c r="IUO371" s="352"/>
      <c r="IUP371" s="332"/>
      <c r="IUQ371" s="117"/>
      <c r="IUS371" s="118"/>
      <c r="IUU371" s="342"/>
      <c r="IUV371" s="674"/>
      <c r="IUW371" s="351"/>
      <c r="IUX371" s="352"/>
      <c r="IUY371" s="332"/>
      <c r="IUZ371" s="117"/>
      <c r="IVB371" s="118"/>
      <c r="IVD371" s="342"/>
      <c r="IVE371" s="674"/>
      <c r="IVF371" s="351"/>
      <c r="IVG371" s="352"/>
      <c r="IVH371" s="332"/>
      <c r="IVI371" s="117"/>
      <c r="IVK371" s="118"/>
      <c r="IVM371" s="342"/>
      <c r="IVN371" s="674"/>
      <c r="IVO371" s="351"/>
      <c r="IVP371" s="352"/>
      <c r="IVQ371" s="332"/>
      <c r="IVR371" s="117"/>
      <c r="IVT371" s="118"/>
      <c r="IVV371" s="342"/>
      <c r="IVW371" s="674"/>
      <c r="IVX371" s="351"/>
      <c r="IVY371" s="352"/>
      <c r="IVZ371" s="332"/>
      <c r="IWA371" s="117"/>
      <c r="IWC371" s="118"/>
      <c r="IWE371" s="342"/>
      <c r="IWF371" s="674"/>
      <c r="IWG371" s="351"/>
      <c r="IWH371" s="352"/>
      <c r="IWI371" s="332"/>
      <c r="IWJ371" s="117"/>
      <c r="IWL371" s="118"/>
      <c r="IWN371" s="342"/>
      <c r="IWO371" s="674"/>
      <c r="IWP371" s="351"/>
      <c r="IWQ371" s="352"/>
      <c r="IWR371" s="332"/>
      <c r="IWS371" s="117"/>
      <c r="IWU371" s="118"/>
      <c r="IWW371" s="342"/>
      <c r="IWX371" s="674"/>
      <c r="IWY371" s="351"/>
      <c r="IWZ371" s="352"/>
      <c r="IXA371" s="332"/>
      <c r="IXB371" s="117"/>
      <c r="IXD371" s="118"/>
      <c r="IXF371" s="342"/>
      <c r="IXG371" s="674"/>
      <c r="IXH371" s="351"/>
      <c r="IXI371" s="352"/>
      <c r="IXJ371" s="332"/>
      <c r="IXK371" s="117"/>
      <c r="IXM371" s="118"/>
      <c r="IXO371" s="342"/>
      <c r="IXP371" s="674"/>
      <c r="IXQ371" s="351"/>
      <c r="IXR371" s="352"/>
      <c r="IXS371" s="332"/>
      <c r="IXT371" s="117"/>
      <c r="IXV371" s="118"/>
      <c r="IXX371" s="342"/>
      <c r="IXY371" s="674"/>
      <c r="IXZ371" s="351"/>
      <c r="IYA371" s="352"/>
      <c r="IYB371" s="332"/>
      <c r="IYC371" s="117"/>
      <c r="IYE371" s="118"/>
      <c r="IYG371" s="342"/>
      <c r="IYH371" s="674"/>
      <c r="IYI371" s="351"/>
      <c r="IYJ371" s="352"/>
      <c r="IYK371" s="332"/>
      <c r="IYL371" s="117"/>
      <c r="IYN371" s="118"/>
      <c r="IYP371" s="342"/>
      <c r="IYQ371" s="674"/>
      <c r="IYR371" s="351"/>
      <c r="IYS371" s="352"/>
      <c r="IYT371" s="332"/>
      <c r="IYU371" s="117"/>
      <c r="IYW371" s="118"/>
      <c r="IYY371" s="342"/>
      <c r="IYZ371" s="674"/>
      <c r="IZA371" s="351"/>
      <c r="IZB371" s="352"/>
      <c r="IZC371" s="332"/>
      <c r="IZD371" s="117"/>
      <c r="IZF371" s="118"/>
      <c r="IZH371" s="342"/>
      <c r="IZI371" s="674"/>
      <c r="IZJ371" s="351"/>
      <c r="IZK371" s="352"/>
      <c r="IZL371" s="332"/>
      <c r="IZM371" s="117"/>
      <c r="IZO371" s="118"/>
      <c r="IZQ371" s="342"/>
      <c r="IZR371" s="674"/>
      <c r="IZS371" s="351"/>
      <c r="IZT371" s="352"/>
      <c r="IZU371" s="332"/>
      <c r="IZV371" s="117"/>
      <c r="IZX371" s="118"/>
      <c r="IZZ371" s="342"/>
      <c r="JAA371" s="674"/>
      <c r="JAB371" s="351"/>
      <c r="JAC371" s="352"/>
      <c r="JAD371" s="332"/>
      <c r="JAE371" s="117"/>
      <c r="JAG371" s="118"/>
      <c r="JAI371" s="342"/>
      <c r="JAJ371" s="674"/>
      <c r="JAK371" s="351"/>
      <c r="JAL371" s="352"/>
      <c r="JAM371" s="332"/>
      <c r="JAN371" s="117"/>
      <c r="JAP371" s="118"/>
      <c r="JAR371" s="342"/>
      <c r="JAS371" s="674"/>
      <c r="JAT371" s="351"/>
      <c r="JAU371" s="352"/>
      <c r="JAV371" s="332"/>
      <c r="JAW371" s="117"/>
      <c r="JAY371" s="118"/>
      <c r="JBA371" s="342"/>
      <c r="JBB371" s="674"/>
      <c r="JBC371" s="351"/>
      <c r="JBD371" s="352"/>
      <c r="JBE371" s="332"/>
      <c r="JBF371" s="117"/>
      <c r="JBH371" s="118"/>
      <c r="JBJ371" s="342"/>
      <c r="JBK371" s="674"/>
      <c r="JBL371" s="351"/>
      <c r="JBM371" s="352"/>
      <c r="JBN371" s="332"/>
      <c r="JBO371" s="117"/>
      <c r="JBQ371" s="118"/>
      <c r="JBS371" s="342"/>
      <c r="JBT371" s="674"/>
      <c r="JBU371" s="351"/>
      <c r="JBV371" s="352"/>
      <c r="JBW371" s="332"/>
      <c r="JBX371" s="117"/>
      <c r="JBZ371" s="118"/>
      <c r="JCB371" s="342"/>
      <c r="JCC371" s="674"/>
      <c r="JCD371" s="351"/>
      <c r="JCE371" s="352"/>
      <c r="JCF371" s="332"/>
      <c r="JCG371" s="117"/>
      <c r="JCI371" s="118"/>
      <c r="JCK371" s="342"/>
      <c r="JCL371" s="674"/>
      <c r="JCM371" s="351"/>
      <c r="JCN371" s="352"/>
      <c r="JCO371" s="332"/>
      <c r="JCP371" s="117"/>
      <c r="JCR371" s="118"/>
      <c r="JCT371" s="342"/>
      <c r="JCU371" s="674"/>
      <c r="JCV371" s="351"/>
      <c r="JCW371" s="352"/>
      <c r="JCX371" s="332"/>
      <c r="JCY371" s="117"/>
      <c r="JDA371" s="118"/>
      <c r="JDC371" s="342"/>
      <c r="JDD371" s="674"/>
      <c r="JDE371" s="351"/>
      <c r="JDF371" s="352"/>
      <c r="JDG371" s="332"/>
      <c r="JDH371" s="117"/>
      <c r="JDJ371" s="118"/>
      <c r="JDL371" s="342"/>
      <c r="JDM371" s="674"/>
      <c r="JDN371" s="351"/>
      <c r="JDO371" s="352"/>
      <c r="JDP371" s="332"/>
      <c r="JDQ371" s="117"/>
      <c r="JDS371" s="118"/>
      <c r="JDU371" s="342"/>
      <c r="JDV371" s="674"/>
      <c r="JDW371" s="351"/>
      <c r="JDX371" s="352"/>
      <c r="JDY371" s="332"/>
      <c r="JDZ371" s="117"/>
      <c r="JEB371" s="118"/>
      <c r="JED371" s="342"/>
      <c r="JEE371" s="674"/>
      <c r="JEF371" s="351"/>
      <c r="JEG371" s="352"/>
      <c r="JEH371" s="332"/>
      <c r="JEI371" s="117"/>
      <c r="JEK371" s="118"/>
      <c r="JEM371" s="342"/>
      <c r="JEN371" s="674"/>
      <c r="JEO371" s="351"/>
      <c r="JEP371" s="352"/>
      <c r="JEQ371" s="332"/>
      <c r="JER371" s="117"/>
      <c r="JET371" s="118"/>
      <c r="JEV371" s="342"/>
      <c r="JEW371" s="674"/>
      <c r="JEX371" s="351"/>
      <c r="JEY371" s="352"/>
      <c r="JEZ371" s="332"/>
      <c r="JFA371" s="117"/>
      <c r="JFC371" s="118"/>
      <c r="JFE371" s="342"/>
      <c r="JFF371" s="674"/>
      <c r="JFG371" s="351"/>
      <c r="JFH371" s="352"/>
      <c r="JFI371" s="332"/>
      <c r="JFJ371" s="117"/>
      <c r="JFL371" s="118"/>
      <c r="JFN371" s="342"/>
      <c r="JFO371" s="674"/>
      <c r="JFP371" s="351"/>
      <c r="JFQ371" s="352"/>
      <c r="JFR371" s="332"/>
      <c r="JFS371" s="117"/>
      <c r="JFU371" s="118"/>
      <c r="JFW371" s="342"/>
      <c r="JFX371" s="674"/>
      <c r="JFY371" s="351"/>
      <c r="JFZ371" s="352"/>
      <c r="JGA371" s="332"/>
      <c r="JGB371" s="117"/>
      <c r="JGD371" s="118"/>
      <c r="JGF371" s="342"/>
      <c r="JGG371" s="674"/>
      <c r="JGH371" s="351"/>
      <c r="JGI371" s="352"/>
      <c r="JGJ371" s="332"/>
      <c r="JGK371" s="117"/>
      <c r="JGM371" s="118"/>
      <c r="JGO371" s="342"/>
      <c r="JGP371" s="674"/>
      <c r="JGQ371" s="351"/>
      <c r="JGR371" s="352"/>
      <c r="JGS371" s="332"/>
      <c r="JGT371" s="117"/>
      <c r="JGV371" s="118"/>
      <c r="JGX371" s="342"/>
      <c r="JGY371" s="674"/>
      <c r="JGZ371" s="351"/>
      <c r="JHA371" s="352"/>
      <c r="JHB371" s="332"/>
      <c r="JHC371" s="117"/>
      <c r="JHE371" s="118"/>
      <c r="JHG371" s="342"/>
      <c r="JHH371" s="674"/>
      <c r="JHI371" s="351"/>
      <c r="JHJ371" s="352"/>
      <c r="JHK371" s="332"/>
      <c r="JHL371" s="117"/>
      <c r="JHN371" s="118"/>
      <c r="JHP371" s="342"/>
      <c r="JHQ371" s="674"/>
      <c r="JHR371" s="351"/>
      <c r="JHS371" s="352"/>
      <c r="JHT371" s="332"/>
      <c r="JHU371" s="117"/>
      <c r="JHW371" s="118"/>
      <c r="JHY371" s="342"/>
      <c r="JHZ371" s="674"/>
      <c r="JIA371" s="351"/>
      <c r="JIB371" s="352"/>
      <c r="JIC371" s="332"/>
      <c r="JID371" s="117"/>
      <c r="JIF371" s="118"/>
      <c r="JIH371" s="342"/>
      <c r="JII371" s="674"/>
      <c r="JIJ371" s="351"/>
      <c r="JIK371" s="352"/>
      <c r="JIL371" s="332"/>
      <c r="JIM371" s="117"/>
      <c r="JIO371" s="118"/>
      <c r="JIQ371" s="342"/>
      <c r="JIR371" s="674"/>
      <c r="JIS371" s="351"/>
      <c r="JIT371" s="352"/>
      <c r="JIU371" s="332"/>
      <c r="JIV371" s="117"/>
      <c r="JIX371" s="118"/>
      <c r="JIZ371" s="342"/>
      <c r="JJA371" s="674"/>
      <c r="JJB371" s="351"/>
      <c r="JJC371" s="352"/>
      <c r="JJD371" s="332"/>
      <c r="JJE371" s="117"/>
      <c r="JJG371" s="118"/>
      <c r="JJI371" s="342"/>
      <c r="JJJ371" s="674"/>
      <c r="JJK371" s="351"/>
      <c r="JJL371" s="352"/>
      <c r="JJM371" s="332"/>
      <c r="JJN371" s="117"/>
      <c r="JJP371" s="118"/>
      <c r="JJR371" s="342"/>
      <c r="JJS371" s="674"/>
      <c r="JJT371" s="351"/>
      <c r="JJU371" s="352"/>
      <c r="JJV371" s="332"/>
      <c r="JJW371" s="117"/>
      <c r="JJY371" s="118"/>
      <c r="JKA371" s="342"/>
      <c r="JKB371" s="674"/>
      <c r="JKC371" s="351"/>
      <c r="JKD371" s="352"/>
      <c r="JKE371" s="332"/>
      <c r="JKF371" s="117"/>
      <c r="JKH371" s="118"/>
      <c r="JKJ371" s="342"/>
      <c r="JKK371" s="674"/>
      <c r="JKL371" s="351"/>
      <c r="JKM371" s="352"/>
      <c r="JKN371" s="332"/>
      <c r="JKO371" s="117"/>
      <c r="JKQ371" s="118"/>
      <c r="JKS371" s="342"/>
      <c r="JKT371" s="674"/>
      <c r="JKU371" s="351"/>
      <c r="JKV371" s="352"/>
      <c r="JKW371" s="332"/>
      <c r="JKX371" s="117"/>
      <c r="JKZ371" s="118"/>
      <c r="JLB371" s="342"/>
      <c r="JLC371" s="674"/>
      <c r="JLD371" s="351"/>
      <c r="JLE371" s="352"/>
      <c r="JLF371" s="332"/>
      <c r="JLG371" s="117"/>
      <c r="JLI371" s="118"/>
      <c r="JLK371" s="342"/>
      <c r="JLL371" s="674"/>
      <c r="JLM371" s="351"/>
      <c r="JLN371" s="352"/>
      <c r="JLO371" s="332"/>
      <c r="JLP371" s="117"/>
      <c r="JLR371" s="118"/>
      <c r="JLT371" s="342"/>
      <c r="JLU371" s="674"/>
      <c r="JLV371" s="351"/>
      <c r="JLW371" s="352"/>
      <c r="JLX371" s="332"/>
      <c r="JLY371" s="117"/>
      <c r="JMA371" s="118"/>
      <c r="JMC371" s="342"/>
      <c r="JMD371" s="674"/>
      <c r="JME371" s="351"/>
      <c r="JMF371" s="352"/>
      <c r="JMG371" s="332"/>
      <c r="JMH371" s="117"/>
      <c r="JMJ371" s="118"/>
      <c r="JML371" s="342"/>
      <c r="JMM371" s="674"/>
      <c r="JMN371" s="351"/>
      <c r="JMO371" s="352"/>
      <c r="JMP371" s="332"/>
      <c r="JMQ371" s="117"/>
      <c r="JMS371" s="118"/>
      <c r="JMU371" s="342"/>
      <c r="JMV371" s="674"/>
      <c r="JMW371" s="351"/>
      <c r="JMX371" s="352"/>
      <c r="JMY371" s="332"/>
      <c r="JMZ371" s="117"/>
      <c r="JNB371" s="118"/>
      <c r="JND371" s="342"/>
      <c r="JNE371" s="674"/>
      <c r="JNF371" s="351"/>
      <c r="JNG371" s="352"/>
      <c r="JNH371" s="332"/>
      <c r="JNI371" s="117"/>
      <c r="JNK371" s="118"/>
      <c r="JNM371" s="342"/>
      <c r="JNN371" s="674"/>
      <c r="JNO371" s="351"/>
      <c r="JNP371" s="352"/>
      <c r="JNQ371" s="332"/>
      <c r="JNR371" s="117"/>
      <c r="JNT371" s="118"/>
      <c r="JNV371" s="342"/>
      <c r="JNW371" s="674"/>
      <c r="JNX371" s="351"/>
      <c r="JNY371" s="352"/>
      <c r="JNZ371" s="332"/>
      <c r="JOA371" s="117"/>
      <c r="JOC371" s="118"/>
      <c r="JOE371" s="342"/>
      <c r="JOF371" s="674"/>
      <c r="JOG371" s="351"/>
      <c r="JOH371" s="352"/>
      <c r="JOI371" s="332"/>
      <c r="JOJ371" s="117"/>
      <c r="JOL371" s="118"/>
      <c r="JON371" s="342"/>
      <c r="JOO371" s="674"/>
      <c r="JOP371" s="351"/>
      <c r="JOQ371" s="352"/>
      <c r="JOR371" s="332"/>
      <c r="JOS371" s="117"/>
      <c r="JOU371" s="118"/>
      <c r="JOW371" s="342"/>
      <c r="JOX371" s="674"/>
      <c r="JOY371" s="351"/>
      <c r="JOZ371" s="352"/>
      <c r="JPA371" s="332"/>
      <c r="JPB371" s="117"/>
      <c r="JPD371" s="118"/>
      <c r="JPF371" s="342"/>
      <c r="JPG371" s="674"/>
      <c r="JPH371" s="351"/>
      <c r="JPI371" s="352"/>
      <c r="JPJ371" s="332"/>
      <c r="JPK371" s="117"/>
      <c r="JPM371" s="118"/>
      <c r="JPO371" s="342"/>
      <c r="JPP371" s="674"/>
      <c r="JPQ371" s="351"/>
      <c r="JPR371" s="352"/>
      <c r="JPS371" s="332"/>
      <c r="JPT371" s="117"/>
      <c r="JPV371" s="118"/>
      <c r="JPX371" s="342"/>
      <c r="JPY371" s="674"/>
      <c r="JPZ371" s="351"/>
      <c r="JQA371" s="352"/>
      <c r="JQB371" s="332"/>
      <c r="JQC371" s="117"/>
      <c r="JQE371" s="118"/>
      <c r="JQG371" s="342"/>
      <c r="JQH371" s="674"/>
      <c r="JQI371" s="351"/>
      <c r="JQJ371" s="352"/>
      <c r="JQK371" s="332"/>
      <c r="JQL371" s="117"/>
      <c r="JQN371" s="118"/>
      <c r="JQP371" s="342"/>
      <c r="JQQ371" s="674"/>
      <c r="JQR371" s="351"/>
      <c r="JQS371" s="352"/>
      <c r="JQT371" s="332"/>
      <c r="JQU371" s="117"/>
      <c r="JQW371" s="118"/>
      <c r="JQY371" s="342"/>
      <c r="JQZ371" s="674"/>
      <c r="JRA371" s="351"/>
      <c r="JRB371" s="352"/>
      <c r="JRC371" s="332"/>
      <c r="JRD371" s="117"/>
      <c r="JRF371" s="118"/>
      <c r="JRH371" s="342"/>
      <c r="JRI371" s="674"/>
      <c r="JRJ371" s="351"/>
      <c r="JRK371" s="352"/>
      <c r="JRL371" s="332"/>
      <c r="JRM371" s="117"/>
      <c r="JRO371" s="118"/>
      <c r="JRQ371" s="342"/>
      <c r="JRR371" s="674"/>
      <c r="JRS371" s="351"/>
      <c r="JRT371" s="352"/>
      <c r="JRU371" s="332"/>
      <c r="JRV371" s="117"/>
      <c r="JRX371" s="118"/>
      <c r="JRZ371" s="342"/>
      <c r="JSA371" s="674"/>
      <c r="JSB371" s="351"/>
      <c r="JSC371" s="352"/>
      <c r="JSD371" s="332"/>
      <c r="JSE371" s="117"/>
      <c r="JSG371" s="118"/>
      <c r="JSI371" s="342"/>
      <c r="JSJ371" s="674"/>
      <c r="JSK371" s="351"/>
      <c r="JSL371" s="352"/>
      <c r="JSM371" s="332"/>
      <c r="JSN371" s="117"/>
      <c r="JSP371" s="118"/>
      <c r="JSR371" s="342"/>
      <c r="JSS371" s="674"/>
      <c r="JST371" s="351"/>
      <c r="JSU371" s="352"/>
      <c r="JSV371" s="332"/>
      <c r="JSW371" s="117"/>
      <c r="JSY371" s="118"/>
      <c r="JTA371" s="342"/>
      <c r="JTB371" s="674"/>
      <c r="JTC371" s="351"/>
      <c r="JTD371" s="352"/>
      <c r="JTE371" s="332"/>
      <c r="JTF371" s="117"/>
      <c r="JTH371" s="118"/>
      <c r="JTJ371" s="342"/>
      <c r="JTK371" s="674"/>
      <c r="JTL371" s="351"/>
      <c r="JTM371" s="352"/>
      <c r="JTN371" s="332"/>
      <c r="JTO371" s="117"/>
      <c r="JTQ371" s="118"/>
      <c r="JTS371" s="342"/>
      <c r="JTT371" s="674"/>
      <c r="JTU371" s="351"/>
      <c r="JTV371" s="352"/>
      <c r="JTW371" s="332"/>
      <c r="JTX371" s="117"/>
      <c r="JTZ371" s="118"/>
      <c r="JUB371" s="342"/>
      <c r="JUC371" s="674"/>
      <c r="JUD371" s="351"/>
      <c r="JUE371" s="352"/>
      <c r="JUF371" s="332"/>
      <c r="JUG371" s="117"/>
      <c r="JUI371" s="118"/>
      <c r="JUK371" s="342"/>
      <c r="JUL371" s="674"/>
      <c r="JUM371" s="351"/>
      <c r="JUN371" s="352"/>
      <c r="JUO371" s="332"/>
      <c r="JUP371" s="117"/>
      <c r="JUR371" s="118"/>
      <c r="JUT371" s="342"/>
      <c r="JUU371" s="674"/>
      <c r="JUV371" s="351"/>
      <c r="JUW371" s="352"/>
      <c r="JUX371" s="332"/>
      <c r="JUY371" s="117"/>
      <c r="JVA371" s="118"/>
      <c r="JVC371" s="342"/>
      <c r="JVD371" s="674"/>
      <c r="JVE371" s="351"/>
      <c r="JVF371" s="352"/>
      <c r="JVG371" s="332"/>
      <c r="JVH371" s="117"/>
      <c r="JVJ371" s="118"/>
      <c r="JVL371" s="342"/>
      <c r="JVM371" s="674"/>
      <c r="JVN371" s="351"/>
      <c r="JVO371" s="352"/>
      <c r="JVP371" s="332"/>
      <c r="JVQ371" s="117"/>
      <c r="JVS371" s="118"/>
      <c r="JVU371" s="342"/>
      <c r="JVV371" s="674"/>
      <c r="JVW371" s="351"/>
      <c r="JVX371" s="352"/>
      <c r="JVY371" s="332"/>
      <c r="JVZ371" s="117"/>
      <c r="JWB371" s="118"/>
      <c r="JWD371" s="342"/>
      <c r="JWE371" s="674"/>
      <c r="JWF371" s="351"/>
      <c r="JWG371" s="352"/>
      <c r="JWH371" s="332"/>
      <c r="JWI371" s="117"/>
      <c r="JWK371" s="118"/>
      <c r="JWM371" s="342"/>
      <c r="JWN371" s="674"/>
      <c r="JWO371" s="351"/>
      <c r="JWP371" s="352"/>
      <c r="JWQ371" s="332"/>
      <c r="JWR371" s="117"/>
      <c r="JWT371" s="118"/>
      <c r="JWV371" s="342"/>
      <c r="JWW371" s="674"/>
      <c r="JWX371" s="351"/>
      <c r="JWY371" s="352"/>
      <c r="JWZ371" s="332"/>
      <c r="JXA371" s="117"/>
      <c r="JXC371" s="118"/>
      <c r="JXE371" s="342"/>
      <c r="JXF371" s="674"/>
      <c r="JXG371" s="351"/>
      <c r="JXH371" s="352"/>
      <c r="JXI371" s="332"/>
      <c r="JXJ371" s="117"/>
      <c r="JXL371" s="118"/>
      <c r="JXN371" s="342"/>
      <c r="JXO371" s="674"/>
      <c r="JXP371" s="351"/>
      <c r="JXQ371" s="352"/>
      <c r="JXR371" s="332"/>
      <c r="JXS371" s="117"/>
      <c r="JXU371" s="118"/>
      <c r="JXW371" s="342"/>
      <c r="JXX371" s="674"/>
      <c r="JXY371" s="351"/>
      <c r="JXZ371" s="352"/>
      <c r="JYA371" s="332"/>
      <c r="JYB371" s="117"/>
      <c r="JYD371" s="118"/>
      <c r="JYF371" s="342"/>
      <c r="JYG371" s="674"/>
      <c r="JYH371" s="351"/>
      <c r="JYI371" s="352"/>
      <c r="JYJ371" s="332"/>
      <c r="JYK371" s="117"/>
      <c r="JYM371" s="118"/>
      <c r="JYO371" s="342"/>
      <c r="JYP371" s="674"/>
      <c r="JYQ371" s="351"/>
      <c r="JYR371" s="352"/>
      <c r="JYS371" s="332"/>
      <c r="JYT371" s="117"/>
      <c r="JYV371" s="118"/>
      <c r="JYX371" s="342"/>
      <c r="JYY371" s="674"/>
      <c r="JYZ371" s="351"/>
      <c r="JZA371" s="352"/>
      <c r="JZB371" s="332"/>
      <c r="JZC371" s="117"/>
      <c r="JZE371" s="118"/>
      <c r="JZG371" s="342"/>
      <c r="JZH371" s="674"/>
      <c r="JZI371" s="351"/>
      <c r="JZJ371" s="352"/>
      <c r="JZK371" s="332"/>
      <c r="JZL371" s="117"/>
      <c r="JZN371" s="118"/>
      <c r="JZP371" s="342"/>
      <c r="JZQ371" s="674"/>
      <c r="JZR371" s="351"/>
      <c r="JZS371" s="352"/>
      <c r="JZT371" s="332"/>
      <c r="JZU371" s="117"/>
      <c r="JZW371" s="118"/>
      <c r="JZY371" s="342"/>
      <c r="JZZ371" s="674"/>
      <c r="KAA371" s="351"/>
      <c r="KAB371" s="352"/>
      <c r="KAC371" s="332"/>
      <c r="KAD371" s="117"/>
      <c r="KAF371" s="118"/>
      <c r="KAH371" s="342"/>
      <c r="KAI371" s="674"/>
      <c r="KAJ371" s="351"/>
      <c r="KAK371" s="352"/>
      <c r="KAL371" s="332"/>
      <c r="KAM371" s="117"/>
      <c r="KAO371" s="118"/>
      <c r="KAQ371" s="342"/>
      <c r="KAR371" s="674"/>
      <c r="KAS371" s="351"/>
      <c r="KAT371" s="352"/>
      <c r="KAU371" s="332"/>
      <c r="KAV371" s="117"/>
      <c r="KAX371" s="118"/>
      <c r="KAZ371" s="342"/>
      <c r="KBA371" s="674"/>
      <c r="KBB371" s="351"/>
      <c r="KBC371" s="352"/>
      <c r="KBD371" s="332"/>
      <c r="KBE371" s="117"/>
      <c r="KBG371" s="118"/>
      <c r="KBI371" s="342"/>
      <c r="KBJ371" s="674"/>
      <c r="KBK371" s="351"/>
      <c r="KBL371" s="352"/>
      <c r="KBM371" s="332"/>
      <c r="KBN371" s="117"/>
      <c r="KBP371" s="118"/>
      <c r="KBR371" s="342"/>
      <c r="KBS371" s="674"/>
      <c r="KBT371" s="351"/>
      <c r="KBU371" s="352"/>
      <c r="KBV371" s="332"/>
      <c r="KBW371" s="117"/>
      <c r="KBY371" s="118"/>
      <c r="KCA371" s="342"/>
      <c r="KCB371" s="674"/>
      <c r="KCC371" s="351"/>
      <c r="KCD371" s="352"/>
      <c r="KCE371" s="332"/>
      <c r="KCF371" s="117"/>
      <c r="KCH371" s="118"/>
      <c r="KCJ371" s="342"/>
      <c r="KCK371" s="674"/>
      <c r="KCL371" s="351"/>
      <c r="KCM371" s="352"/>
      <c r="KCN371" s="332"/>
      <c r="KCO371" s="117"/>
      <c r="KCQ371" s="118"/>
      <c r="KCS371" s="342"/>
      <c r="KCT371" s="674"/>
      <c r="KCU371" s="351"/>
      <c r="KCV371" s="352"/>
      <c r="KCW371" s="332"/>
      <c r="KCX371" s="117"/>
      <c r="KCZ371" s="118"/>
      <c r="KDB371" s="342"/>
      <c r="KDC371" s="674"/>
      <c r="KDD371" s="351"/>
      <c r="KDE371" s="352"/>
      <c r="KDF371" s="332"/>
      <c r="KDG371" s="117"/>
      <c r="KDI371" s="118"/>
      <c r="KDK371" s="342"/>
      <c r="KDL371" s="674"/>
      <c r="KDM371" s="351"/>
      <c r="KDN371" s="352"/>
      <c r="KDO371" s="332"/>
      <c r="KDP371" s="117"/>
      <c r="KDR371" s="118"/>
      <c r="KDT371" s="342"/>
      <c r="KDU371" s="674"/>
      <c r="KDV371" s="351"/>
      <c r="KDW371" s="352"/>
      <c r="KDX371" s="332"/>
      <c r="KDY371" s="117"/>
      <c r="KEA371" s="118"/>
      <c r="KEC371" s="342"/>
      <c r="KED371" s="674"/>
      <c r="KEE371" s="351"/>
      <c r="KEF371" s="352"/>
      <c r="KEG371" s="332"/>
      <c r="KEH371" s="117"/>
      <c r="KEJ371" s="118"/>
      <c r="KEL371" s="342"/>
      <c r="KEM371" s="674"/>
      <c r="KEN371" s="351"/>
      <c r="KEO371" s="352"/>
      <c r="KEP371" s="332"/>
      <c r="KEQ371" s="117"/>
      <c r="KES371" s="118"/>
      <c r="KEU371" s="342"/>
      <c r="KEV371" s="674"/>
      <c r="KEW371" s="351"/>
      <c r="KEX371" s="352"/>
      <c r="KEY371" s="332"/>
      <c r="KEZ371" s="117"/>
      <c r="KFB371" s="118"/>
      <c r="KFD371" s="342"/>
      <c r="KFE371" s="674"/>
      <c r="KFF371" s="351"/>
      <c r="KFG371" s="352"/>
      <c r="KFH371" s="332"/>
      <c r="KFI371" s="117"/>
      <c r="KFK371" s="118"/>
      <c r="KFM371" s="342"/>
      <c r="KFN371" s="674"/>
      <c r="KFO371" s="351"/>
      <c r="KFP371" s="352"/>
      <c r="KFQ371" s="332"/>
      <c r="KFR371" s="117"/>
      <c r="KFT371" s="118"/>
      <c r="KFV371" s="342"/>
      <c r="KFW371" s="674"/>
      <c r="KFX371" s="351"/>
      <c r="KFY371" s="352"/>
      <c r="KFZ371" s="332"/>
      <c r="KGA371" s="117"/>
      <c r="KGC371" s="118"/>
      <c r="KGE371" s="342"/>
      <c r="KGF371" s="674"/>
      <c r="KGG371" s="351"/>
      <c r="KGH371" s="352"/>
      <c r="KGI371" s="332"/>
      <c r="KGJ371" s="117"/>
      <c r="KGL371" s="118"/>
      <c r="KGN371" s="342"/>
      <c r="KGO371" s="674"/>
      <c r="KGP371" s="351"/>
      <c r="KGQ371" s="352"/>
      <c r="KGR371" s="332"/>
      <c r="KGS371" s="117"/>
      <c r="KGU371" s="118"/>
      <c r="KGW371" s="342"/>
      <c r="KGX371" s="674"/>
      <c r="KGY371" s="351"/>
      <c r="KGZ371" s="352"/>
      <c r="KHA371" s="332"/>
      <c r="KHB371" s="117"/>
      <c r="KHD371" s="118"/>
      <c r="KHF371" s="342"/>
      <c r="KHG371" s="674"/>
      <c r="KHH371" s="351"/>
      <c r="KHI371" s="352"/>
      <c r="KHJ371" s="332"/>
      <c r="KHK371" s="117"/>
      <c r="KHM371" s="118"/>
      <c r="KHO371" s="342"/>
      <c r="KHP371" s="674"/>
      <c r="KHQ371" s="351"/>
      <c r="KHR371" s="352"/>
      <c r="KHS371" s="332"/>
      <c r="KHT371" s="117"/>
      <c r="KHV371" s="118"/>
      <c r="KHX371" s="342"/>
      <c r="KHY371" s="674"/>
      <c r="KHZ371" s="351"/>
      <c r="KIA371" s="352"/>
      <c r="KIB371" s="332"/>
      <c r="KIC371" s="117"/>
      <c r="KIE371" s="118"/>
      <c r="KIG371" s="342"/>
      <c r="KIH371" s="674"/>
      <c r="KII371" s="351"/>
      <c r="KIJ371" s="352"/>
      <c r="KIK371" s="332"/>
      <c r="KIL371" s="117"/>
      <c r="KIN371" s="118"/>
      <c r="KIP371" s="342"/>
      <c r="KIQ371" s="674"/>
      <c r="KIR371" s="351"/>
      <c r="KIS371" s="352"/>
      <c r="KIT371" s="332"/>
      <c r="KIU371" s="117"/>
      <c r="KIW371" s="118"/>
      <c r="KIY371" s="342"/>
      <c r="KIZ371" s="674"/>
      <c r="KJA371" s="351"/>
      <c r="KJB371" s="352"/>
      <c r="KJC371" s="332"/>
      <c r="KJD371" s="117"/>
      <c r="KJF371" s="118"/>
      <c r="KJH371" s="342"/>
      <c r="KJI371" s="674"/>
      <c r="KJJ371" s="351"/>
      <c r="KJK371" s="352"/>
      <c r="KJL371" s="332"/>
      <c r="KJM371" s="117"/>
      <c r="KJO371" s="118"/>
      <c r="KJQ371" s="342"/>
      <c r="KJR371" s="674"/>
      <c r="KJS371" s="351"/>
      <c r="KJT371" s="352"/>
      <c r="KJU371" s="332"/>
      <c r="KJV371" s="117"/>
      <c r="KJX371" s="118"/>
      <c r="KJZ371" s="342"/>
      <c r="KKA371" s="674"/>
      <c r="KKB371" s="351"/>
      <c r="KKC371" s="352"/>
      <c r="KKD371" s="332"/>
      <c r="KKE371" s="117"/>
      <c r="KKG371" s="118"/>
      <c r="KKI371" s="342"/>
      <c r="KKJ371" s="674"/>
      <c r="KKK371" s="351"/>
      <c r="KKL371" s="352"/>
      <c r="KKM371" s="332"/>
      <c r="KKN371" s="117"/>
      <c r="KKP371" s="118"/>
      <c r="KKR371" s="342"/>
      <c r="KKS371" s="674"/>
      <c r="KKT371" s="351"/>
      <c r="KKU371" s="352"/>
      <c r="KKV371" s="332"/>
      <c r="KKW371" s="117"/>
      <c r="KKY371" s="118"/>
      <c r="KLA371" s="342"/>
      <c r="KLB371" s="674"/>
      <c r="KLC371" s="351"/>
      <c r="KLD371" s="352"/>
      <c r="KLE371" s="332"/>
      <c r="KLF371" s="117"/>
      <c r="KLH371" s="118"/>
      <c r="KLJ371" s="342"/>
      <c r="KLK371" s="674"/>
      <c r="KLL371" s="351"/>
      <c r="KLM371" s="352"/>
      <c r="KLN371" s="332"/>
      <c r="KLO371" s="117"/>
      <c r="KLQ371" s="118"/>
      <c r="KLS371" s="342"/>
      <c r="KLT371" s="674"/>
      <c r="KLU371" s="351"/>
      <c r="KLV371" s="352"/>
      <c r="KLW371" s="332"/>
      <c r="KLX371" s="117"/>
      <c r="KLZ371" s="118"/>
      <c r="KMB371" s="342"/>
      <c r="KMC371" s="674"/>
      <c r="KMD371" s="351"/>
      <c r="KME371" s="352"/>
      <c r="KMF371" s="332"/>
      <c r="KMG371" s="117"/>
      <c r="KMI371" s="118"/>
      <c r="KMK371" s="342"/>
      <c r="KML371" s="674"/>
      <c r="KMM371" s="351"/>
      <c r="KMN371" s="352"/>
      <c r="KMO371" s="332"/>
      <c r="KMP371" s="117"/>
      <c r="KMR371" s="118"/>
      <c r="KMT371" s="342"/>
      <c r="KMU371" s="674"/>
      <c r="KMV371" s="351"/>
      <c r="KMW371" s="352"/>
      <c r="KMX371" s="332"/>
      <c r="KMY371" s="117"/>
      <c r="KNA371" s="118"/>
      <c r="KNC371" s="342"/>
      <c r="KND371" s="674"/>
      <c r="KNE371" s="351"/>
      <c r="KNF371" s="352"/>
      <c r="KNG371" s="332"/>
      <c r="KNH371" s="117"/>
      <c r="KNJ371" s="118"/>
      <c r="KNL371" s="342"/>
      <c r="KNM371" s="674"/>
      <c r="KNN371" s="351"/>
      <c r="KNO371" s="352"/>
      <c r="KNP371" s="332"/>
      <c r="KNQ371" s="117"/>
      <c r="KNS371" s="118"/>
      <c r="KNU371" s="342"/>
      <c r="KNV371" s="674"/>
      <c r="KNW371" s="351"/>
      <c r="KNX371" s="352"/>
      <c r="KNY371" s="332"/>
      <c r="KNZ371" s="117"/>
      <c r="KOB371" s="118"/>
      <c r="KOD371" s="342"/>
      <c r="KOE371" s="674"/>
      <c r="KOF371" s="351"/>
      <c r="KOG371" s="352"/>
      <c r="KOH371" s="332"/>
      <c r="KOI371" s="117"/>
      <c r="KOK371" s="118"/>
      <c r="KOM371" s="342"/>
      <c r="KON371" s="674"/>
      <c r="KOO371" s="351"/>
      <c r="KOP371" s="352"/>
      <c r="KOQ371" s="332"/>
      <c r="KOR371" s="117"/>
      <c r="KOT371" s="118"/>
      <c r="KOV371" s="342"/>
      <c r="KOW371" s="674"/>
      <c r="KOX371" s="351"/>
      <c r="KOY371" s="352"/>
      <c r="KOZ371" s="332"/>
      <c r="KPA371" s="117"/>
      <c r="KPC371" s="118"/>
      <c r="KPE371" s="342"/>
      <c r="KPF371" s="674"/>
      <c r="KPG371" s="351"/>
      <c r="KPH371" s="352"/>
      <c r="KPI371" s="332"/>
      <c r="KPJ371" s="117"/>
      <c r="KPL371" s="118"/>
      <c r="KPN371" s="342"/>
      <c r="KPO371" s="674"/>
      <c r="KPP371" s="351"/>
      <c r="KPQ371" s="352"/>
      <c r="KPR371" s="332"/>
      <c r="KPS371" s="117"/>
      <c r="KPU371" s="118"/>
      <c r="KPW371" s="342"/>
      <c r="KPX371" s="674"/>
      <c r="KPY371" s="351"/>
      <c r="KPZ371" s="352"/>
      <c r="KQA371" s="332"/>
      <c r="KQB371" s="117"/>
      <c r="KQD371" s="118"/>
      <c r="KQF371" s="342"/>
      <c r="KQG371" s="674"/>
      <c r="KQH371" s="351"/>
      <c r="KQI371" s="352"/>
      <c r="KQJ371" s="332"/>
      <c r="KQK371" s="117"/>
      <c r="KQM371" s="118"/>
      <c r="KQO371" s="342"/>
      <c r="KQP371" s="674"/>
      <c r="KQQ371" s="351"/>
      <c r="KQR371" s="352"/>
      <c r="KQS371" s="332"/>
      <c r="KQT371" s="117"/>
      <c r="KQV371" s="118"/>
      <c r="KQX371" s="342"/>
      <c r="KQY371" s="674"/>
      <c r="KQZ371" s="351"/>
      <c r="KRA371" s="352"/>
      <c r="KRB371" s="332"/>
      <c r="KRC371" s="117"/>
      <c r="KRE371" s="118"/>
      <c r="KRG371" s="342"/>
      <c r="KRH371" s="674"/>
      <c r="KRI371" s="351"/>
      <c r="KRJ371" s="352"/>
      <c r="KRK371" s="332"/>
      <c r="KRL371" s="117"/>
      <c r="KRN371" s="118"/>
      <c r="KRP371" s="342"/>
      <c r="KRQ371" s="674"/>
      <c r="KRR371" s="351"/>
      <c r="KRS371" s="352"/>
      <c r="KRT371" s="332"/>
      <c r="KRU371" s="117"/>
      <c r="KRW371" s="118"/>
      <c r="KRY371" s="342"/>
      <c r="KRZ371" s="674"/>
      <c r="KSA371" s="351"/>
      <c r="KSB371" s="352"/>
      <c r="KSC371" s="332"/>
      <c r="KSD371" s="117"/>
      <c r="KSF371" s="118"/>
      <c r="KSH371" s="342"/>
      <c r="KSI371" s="674"/>
      <c r="KSJ371" s="351"/>
      <c r="KSK371" s="352"/>
      <c r="KSL371" s="332"/>
      <c r="KSM371" s="117"/>
      <c r="KSO371" s="118"/>
      <c r="KSQ371" s="342"/>
      <c r="KSR371" s="674"/>
      <c r="KSS371" s="351"/>
      <c r="KST371" s="352"/>
      <c r="KSU371" s="332"/>
      <c r="KSV371" s="117"/>
      <c r="KSX371" s="118"/>
      <c r="KSZ371" s="342"/>
      <c r="KTA371" s="674"/>
      <c r="KTB371" s="351"/>
      <c r="KTC371" s="352"/>
      <c r="KTD371" s="332"/>
      <c r="KTE371" s="117"/>
      <c r="KTG371" s="118"/>
      <c r="KTI371" s="342"/>
      <c r="KTJ371" s="674"/>
      <c r="KTK371" s="351"/>
      <c r="KTL371" s="352"/>
      <c r="KTM371" s="332"/>
      <c r="KTN371" s="117"/>
      <c r="KTP371" s="118"/>
      <c r="KTR371" s="342"/>
      <c r="KTS371" s="674"/>
      <c r="KTT371" s="351"/>
      <c r="KTU371" s="352"/>
      <c r="KTV371" s="332"/>
      <c r="KTW371" s="117"/>
      <c r="KTY371" s="118"/>
      <c r="KUA371" s="342"/>
      <c r="KUB371" s="674"/>
      <c r="KUC371" s="351"/>
      <c r="KUD371" s="352"/>
      <c r="KUE371" s="332"/>
      <c r="KUF371" s="117"/>
      <c r="KUH371" s="118"/>
      <c r="KUJ371" s="342"/>
      <c r="KUK371" s="674"/>
      <c r="KUL371" s="351"/>
      <c r="KUM371" s="352"/>
      <c r="KUN371" s="332"/>
      <c r="KUO371" s="117"/>
      <c r="KUQ371" s="118"/>
      <c r="KUS371" s="342"/>
      <c r="KUT371" s="674"/>
      <c r="KUU371" s="351"/>
      <c r="KUV371" s="352"/>
      <c r="KUW371" s="332"/>
      <c r="KUX371" s="117"/>
      <c r="KUZ371" s="118"/>
      <c r="KVB371" s="342"/>
      <c r="KVC371" s="674"/>
      <c r="KVD371" s="351"/>
      <c r="KVE371" s="352"/>
      <c r="KVF371" s="332"/>
      <c r="KVG371" s="117"/>
      <c r="KVI371" s="118"/>
      <c r="KVK371" s="342"/>
      <c r="KVL371" s="674"/>
      <c r="KVM371" s="351"/>
      <c r="KVN371" s="352"/>
      <c r="KVO371" s="332"/>
      <c r="KVP371" s="117"/>
      <c r="KVR371" s="118"/>
      <c r="KVT371" s="342"/>
      <c r="KVU371" s="674"/>
      <c r="KVV371" s="351"/>
      <c r="KVW371" s="352"/>
      <c r="KVX371" s="332"/>
      <c r="KVY371" s="117"/>
      <c r="KWA371" s="118"/>
      <c r="KWC371" s="342"/>
      <c r="KWD371" s="674"/>
      <c r="KWE371" s="351"/>
      <c r="KWF371" s="352"/>
      <c r="KWG371" s="332"/>
      <c r="KWH371" s="117"/>
      <c r="KWJ371" s="118"/>
      <c r="KWL371" s="342"/>
      <c r="KWM371" s="674"/>
      <c r="KWN371" s="351"/>
      <c r="KWO371" s="352"/>
      <c r="KWP371" s="332"/>
      <c r="KWQ371" s="117"/>
      <c r="KWS371" s="118"/>
      <c r="KWU371" s="342"/>
      <c r="KWV371" s="674"/>
      <c r="KWW371" s="351"/>
      <c r="KWX371" s="352"/>
      <c r="KWY371" s="332"/>
      <c r="KWZ371" s="117"/>
      <c r="KXB371" s="118"/>
      <c r="KXD371" s="342"/>
      <c r="KXE371" s="674"/>
      <c r="KXF371" s="351"/>
      <c r="KXG371" s="352"/>
      <c r="KXH371" s="332"/>
      <c r="KXI371" s="117"/>
      <c r="KXK371" s="118"/>
      <c r="KXM371" s="342"/>
      <c r="KXN371" s="674"/>
      <c r="KXO371" s="351"/>
      <c r="KXP371" s="352"/>
      <c r="KXQ371" s="332"/>
      <c r="KXR371" s="117"/>
      <c r="KXT371" s="118"/>
      <c r="KXV371" s="342"/>
      <c r="KXW371" s="674"/>
      <c r="KXX371" s="351"/>
      <c r="KXY371" s="352"/>
      <c r="KXZ371" s="332"/>
      <c r="KYA371" s="117"/>
      <c r="KYC371" s="118"/>
      <c r="KYE371" s="342"/>
      <c r="KYF371" s="674"/>
      <c r="KYG371" s="351"/>
      <c r="KYH371" s="352"/>
      <c r="KYI371" s="332"/>
      <c r="KYJ371" s="117"/>
      <c r="KYL371" s="118"/>
      <c r="KYN371" s="342"/>
      <c r="KYO371" s="674"/>
      <c r="KYP371" s="351"/>
      <c r="KYQ371" s="352"/>
      <c r="KYR371" s="332"/>
      <c r="KYS371" s="117"/>
      <c r="KYU371" s="118"/>
      <c r="KYW371" s="342"/>
      <c r="KYX371" s="674"/>
      <c r="KYY371" s="351"/>
      <c r="KYZ371" s="352"/>
      <c r="KZA371" s="332"/>
      <c r="KZB371" s="117"/>
      <c r="KZD371" s="118"/>
      <c r="KZF371" s="342"/>
      <c r="KZG371" s="674"/>
      <c r="KZH371" s="351"/>
      <c r="KZI371" s="352"/>
      <c r="KZJ371" s="332"/>
      <c r="KZK371" s="117"/>
      <c r="KZM371" s="118"/>
      <c r="KZO371" s="342"/>
      <c r="KZP371" s="674"/>
      <c r="KZQ371" s="351"/>
      <c r="KZR371" s="352"/>
      <c r="KZS371" s="332"/>
      <c r="KZT371" s="117"/>
      <c r="KZV371" s="118"/>
      <c r="KZX371" s="342"/>
      <c r="KZY371" s="674"/>
      <c r="KZZ371" s="351"/>
      <c r="LAA371" s="352"/>
      <c r="LAB371" s="332"/>
      <c r="LAC371" s="117"/>
      <c r="LAE371" s="118"/>
      <c r="LAG371" s="342"/>
      <c r="LAH371" s="674"/>
      <c r="LAI371" s="351"/>
      <c r="LAJ371" s="352"/>
      <c r="LAK371" s="332"/>
      <c r="LAL371" s="117"/>
      <c r="LAN371" s="118"/>
      <c r="LAP371" s="342"/>
      <c r="LAQ371" s="674"/>
      <c r="LAR371" s="351"/>
      <c r="LAS371" s="352"/>
      <c r="LAT371" s="332"/>
      <c r="LAU371" s="117"/>
      <c r="LAW371" s="118"/>
      <c r="LAY371" s="342"/>
      <c r="LAZ371" s="674"/>
      <c r="LBA371" s="351"/>
      <c r="LBB371" s="352"/>
      <c r="LBC371" s="332"/>
      <c r="LBD371" s="117"/>
      <c r="LBF371" s="118"/>
      <c r="LBH371" s="342"/>
      <c r="LBI371" s="674"/>
      <c r="LBJ371" s="351"/>
      <c r="LBK371" s="352"/>
      <c r="LBL371" s="332"/>
      <c r="LBM371" s="117"/>
      <c r="LBO371" s="118"/>
      <c r="LBQ371" s="342"/>
      <c r="LBR371" s="674"/>
      <c r="LBS371" s="351"/>
      <c r="LBT371" s="352"/>
      <c r="LBU371" s="332"/>
      <c r="LBV371" s="117"/>
      <c r="LBX371" s="118"/>
      <c r="LBZ371" s="342"/>
      <c r="LCA371" s="674"/>
      <c r="LCB371" s="351"/>
      <c r="LCC371" s="352"/>
      <c r="LCD371" s="332"/>
      <c r="LCE371" s="117"/>
      <c r="LCG371" s="118"/>
      <c r="LCI371" s="342"/>
      <c r="LCJ371" s="674"/>
      <c r="LCK371" s="351"/>
      <c r="LCL371" s="352"/>
      <c r="LCM371" s="332"/>
      <c r="LCN371" s="117"/>
      <c r="LCP371" s="118"/>
      <c r="LCR371" s="342"/>
      <c r="LCS371" s="674"/>
      <c r="LCT371" s="351"/>
      <c r="LCU371" s="352"/>
      <c r="LCV371" s="332"/>
      <c r="LCW371" s="117"/>
      <c r="LCY371" s="118"/>
      <c r="LDA371" s="342"/>
      <c r="LDB371" s="674"/>
      <c r="LDC371" s="351"/>
      <c r="LDD371" s="352"/>
      <c r="LDE371" s="332"/>
      <c r="LDF371" s="117"/>
      <c r="LDH371" s="118"/>
      <c r="LDJ371" s="342"/>
      <c r="LDK371" s="674"/>
      <c r="LDL371" s="351"/>
      <c r="LDM371" s="352"/>
      <c r="LDN371" s="332"/>
      <c r="LDO371" s="117"/>
      <c r="LDQ371" s="118"/>
      <c r="LDS371" s="342"/>
      <c r="LDT371" s="674"/>
      <c r="LDU371" s="351"/>
      <c r="LDV371" s="352"/>
      <c r="LDW371" s="332"/>
      <c r="LDX371" s="117"/>
      <c r="LDZ371" s="118"/>
      <c r="LEB371" s="342"/>
      <c r="LEC371" s="674"/>
      <c r="LED371" s="351"/>
      <c r="LEE371" s="352"/>
      <c r="LEF371" s="332"/>
      <c r="LEG371" s="117"/>
      <c r="LEI371" s="118"/>
      <c r="LEK371" s="342"/>
      <c r="LEL371" s="674"/>
      <c r="LEM371" s="351"/>
      <c r="LEN371" s="352"/>
      <c r="LEO371" s="332"/>
      <c r="LEP371" s="117"/>
      <c r="LER371" s="118"/>
      <c r="LET371" s="342"/>
      <c r="LEU371" s="674"/>
      <c r="LEV371" s="351"/>
      <c r="LEW371" s="352"/>
      <c r="LEX371" s="332"/>
      <c r="LEY371" s="117"/>
      <c r="LFA371" s="118"/>
      <c r="LFC371" s="342"/>
      <c r="LFD371" s="674"/>
      <c r="LFE371" s="351"/>
      <c r="LFF371" s="352"/>
      <c r="LFG371" s="332"/>
      <c r="LFH371" s="117"/>
      <c r="LFJ371" s="118"/>
      <c r="LFL371" s="342"/>
      <c r="LFM371" s="674"/>
      <c r="LFN371" s="351"/>
      <c r="LFO371" s="352"/>
      <c r="LFP371" s="332"/>
      <c r="LFQ371" s="117"/>
      <c r="LFS371" s="118"/>
      <c r="LFU371" s="342"/>
      <c r="LFV371" s="674"/>
      <c r="LFW371" s="351"/>
      <c r="LFX371" s="352"/>
      <c r="LFY371" s="332"/>
      <c r="LFZ371" s="117"/>
      <c r="LGB371" s="118"/>
      <c r="LGD371" s="342"/>
      <c r="LGE371" s="674"/>
      <c r="LGF371" s="351"/>
      <c r="LGG371" s="352"/>
      <c r="LGH371" s="332"/>
      <c r="LGI371" s="117"/>
      <c r="LGK371" s="118"/>
      <c r="LGM371" s="342"/>
      <c r="LGN371" s="674"/>
      <c r="LGO371" s="351"/>
      <c r="LGP371" s="352"/>
      <c r="LGQ371" s="332"/>
      <c r="LGR371" s="117"/>
      <c r="LGT371" s="118"/>
      <c r="LGV371" s="342"/>
      <c r="LGW371" s="674"/>
      <c r="LGX371" s="351"/>
      <c r="LGY371" s="352"/>
      <c r="LGZ371" s="332"/>
      <c r="LHA371" s="117"/>
      <c r="LHC371" s="118"/>
      <c r="LHE371" s="342"/>
      <c r="LHF371" s="674"/>
      <c r="LHG371" s="351"/>
      <c r="LHH371" s="352"/>
      <c r="LHI371" s="332"/>
      <c r="LHJ371" s="117"/>
      <c r="LHL371" s="118"/>
      <c r="LHN371" s="342"/>
      <c r="LHO371" s="674"/>
      <c r="LHP371" s="351"/>
      <c r="LHQ371" s="352"/>
      <c r="LHR371" s="332"/>
      <c r="LHS371" s="117"/>
      <c r="LHU371" s="118"/>
      <c r="LHW371" s="342"/>
      <c r="LHX371" s="674"/>
      <c r="LHY371" s="351"/>
      <c r="LHZ371" s="352"/>
      <c r="LIA371" s="332"/>
      <c r="LIB371" s="117"/>
      <c r="LID371" s="118"/>
      <c r="LIF371" s="342"/>
      <c r="LIG371" s="674"/>
      <c r="LIH371" s="351"/>
      <c r="LII371" s="352"/>
      <c r="LIJ371" s="332"/>
      <c r="LIK371" s="117"/>
      <c r="LIM371" s="118"/>
      <c r="LIO371" s="342"/>
      <c r="LIP371" s="674"/>
      <c r="LIQ371" s="351"/>
      <c r="LIR371" s="352"/>
      <c r="LIS371" s="332"/>
      <c r="LIT371" s="117"/>
      <c r="LIV371" s="118"/>
      <c r="LIX371" s="342"/>
      <c r="LIY371" s="674"/>
      <c r="LIZ371" s="351"/>
      <c r="LJA371" s="352"/>
      <c r="LJB371" s="332"/>
      <c r="LJC371" s="117"/>
      <c r="LJE371" s="118"/>
      <c r="LJG371" s="342"/>
      <c r="LJH371" s="674"/>
      <c r="LJI371" s="351"/>
      <c r="LJJ371" s="352"/>
      <c r="LJK371" s="332"/>
      <c r="LJL371" s="117"/>
      <c r="LJN371" s="118"/>
      <c r="LJP371" s="342"/>
      <c r="LJQ371" s="674"/>
      <c r="LJR371" s="351"/>
      <c r="LJS371" s="352"/>
      <c r="LJT371" s="332"/>
      <c r="LJU371" s="117"/>
      <c r="LJW371" s="118"/>
      <c r="LJY371" s="342"/>
      <c r="LJZ371" s="674"/>
      <c r="LKA371" s="351"/>
      <c r="LKB371" s="352"/>
      <c r="LKC371" s="332"/>
      <c r="LKD371" s="117"/>
      <c r="LKF371" s="118"/>
      <c r="LKH371" s="342"/>
      <c r="LKI371" s="674"/>
      <c r="LKJ371" s="351"/>
      <c r="LKK371" s="352"/>
      <c r="LKL371" s="332"/>
      <c r="LKM371" s="117"/>
      <c r="LKO371" s="118"/>
      <c r="LKQ371" s="342"/>
      <c r="LKR371" s="674"/>
      <c r="LKS371" s="351"/>
      <c r="LKT371" s="352"/>
      <c r="LKU371" s="332"/>
      <c r="LKV371" s="117"/>
      <c r="LKX371" s="118"/>
      <c r="LKZ371" s="342"/>
      <c r="LLA371" s="674"/>
      <c r="LLB371" s="351"/>
      <c r="LLC371" s="352"/>
      <c r="LLD371" s="332"/>
      <c r="LLE371" s="117"/>
      <c r="LLG371" s="118"/>
      <c r="LLI371" s="342"/>
      <c r="LLJ371" s="674"/>
      <c r="LLK371" s="351"/>
      <c r="LLL371" s="352"/>
      <c r="LLM371" s="332"/>
      <c r="LLN371" s="117"/>
      <c r="LLP371" s="118"/>
      <c r="LLR371" s="342"/>
      <c r="LLS371" s="674"/>
      <c r="LLT371" s="351"/>
      <c r="LLU371" s="352"/>
      <c r="LLV371" s="332"/>
      <c r="LLW371" s="117"/>
      <c r="LLY371" s="118"/>
      <c r="LMA371" s="342"/>
      <c r="LMB371" s="674"/>
      <c r="LMC371" s="351"/>
      <c r="LMD371" s="352"/>
      <c r="LME371" s="332"/>
      <c r="LMF371" s="117"/>
      <c r="LMH371" s="118"/>
      <c r="LMJ371" s="342"/>
      <c r="LMK371" s="674"/>
      <c r="LML371" s="351"/>
      <c r="LMM371" s="352"/>
      <c r="LMN371" s="332"/>
      <c r="LMO371" s="117"/>
      <c r="LMQ371" s="118"/>
      <c r="LMS371" s="342"/>
      <c r="LMT371" s="674"/>
      <c r="LMU371" s="351"/>
      <c r="LMV371" s="352"/>
      <c r="LMW371" s="332"/>
      <c r="LMX371" s="117"/>
      <c r="LMZ371" s="118"/>
      <c r="LNB371" s="342"/>
      <c r="LNC371" s="674"/>
      <c r="LND371" s="351"/>
      <c r="LNE371" s="352"/>
      <c r="LNF371" s="332"/>
      <c r="LNG371" s="117"/>
      <c r="LNI371" s="118"/>
      <c r="LNK371" s="342"/>
      <c r="LNL371" s="674"/>
      <c r="LNM371" s="351"/>
      <c r="LNN371" s="352"/>
      <c r="LNO371" s="332"/>
      <c r="LNP371" s="117"/>
      <c r="LNR371" s="118"/>
      <c r="LNT371" s="342"/>
      <c r="LNU371" s="674"/>
      <c r="LNV371" s="351"/>
      <c r="LNW371" s="352"/>
      <c r="LNX371" s="332"/>
      <c r="LNY371" s="117"/>
      <c r="LOA371" s="118"/>
      <c r="LOC371" s="342"/>
      <c r="LOD371" s="674"/>
      <c r="LOE371" s="351"/>
      <c r="LOF371" s="352"/>
      <c r="LOG371" s="332"/>
      <c r="LOH371" s="117"/>
      <c r="LOJ371" s="118"/>
      <c r="LOL371" s="342"/>
      <c r="LOM371" s="674"/>
      <c r="LON371" s="351"/>
      <c r="LOO371" s="352"/>
      <c r="LOP371" s="332"/>
      <c r="LOQ371" s="117"/>
      <c r="LOS371" s="118"/>
      <c r="LOU371" s="342"/>
      <c r="LOV371" s="674"/>
      <c r="LOW371" s="351"/>
      <c r="LOX371" s="352"/>
      <c r="LOY371" s="332"/>
      <c r="LOZ371" s="117"/>
      <c r="LPB371" s="118"/>
      <c r="LPD371" s="342"/>
      <c r="LPE371" s="674"/>
      <c r="LPF371" s="351"/>
      <c r="LPG371" s="352"/>
      <c r="LPH371" s="332"/>
      <c r="LPI371" s="117"/>
      <c r="LPK371" s="118"/>
      <c r="LPM371" s="342"/>
      <c r="LPN371" s="674"/>
      <c r="LPO371" s="351"/>
      <c r="LPP371" s="352"/>
      <c r="LPQ371" s="332"/>
      <c r="LPR371" s="117"/>
      <c r="LPT371" s="118"/>
      <c r="LPV371" s="342"/>
      <c r="LPW371" s="674"/>
      <c r="LPX371" s="351"/>
      <c r="LPY371" s="352"/>
      <c r="LPZ371" s="332"/>
      <c r="LQA371" s="117"/>
      <c r="LQC371" s="118"/>
      <c r="LQE371" s="342"/>
      <c r="LQF371" s="674"/>
      <c r="LQG371" s="351"/>
      <c r="LQH371" s="352"/>
      <c r="LQI371" s="332"/>
      <c r="LQJ371" s="117"/>
      <c r="LQL371" s="118"/>
      <c r="LQN371" s="342"/>
      <c r="LQO371" s="674"/>
      <c r="LQP371" s="351"/>
      <c r="LQQ371" s="352"/>
      <c r="LQR371" s="332"/>
      <c r="LQS371" s="117"/>
      <c r="LQU371" s="118"/>
      <c r="LQW371" s="342"/>
      <c r="LQX371" s="674"/>
      <c r="LQY371" s="351"/>
      <c r="LQZ371" s="352"/>
      <c r="LRA371" s="332"/>
      <c r="LRB371" s="117"/>
      <c r="LRD371" s="118"/>
      <c r="LRF371" s="342"/>
      <c r="LRG371" s="674"/>
      <c r="LRH371" s="351"/>
      <c r="LRI371" s="352"/>
      <c r="LRJ371" s="332"/>
      <c r="LRK371" s="117"/>
      <c r="LRM371" s="118"/>
      <c r="LRO371" s="342"/>
      <c r="LRP371" s="674"/>
      <c r="LRQ371" s="351"/>
      <c r="LRR371" s="352"/>
      <c r="LRS371" s="332"/>
      <c r="LRT371" s="117"/>
      <c r="LRV371" s="118"/>
      <c r="LRX371" s="342"/>
      <c r="LRY371" s="674"/>
      <c r="LRZ371" s="351"/>
      <c r="LSA371" s="352"/>
      <c r="LSB371" s="332"/>
      <c r="LSC371" s="117"/>
      <c r="LSE371" s="118"/>
      <c r="LSG371" s="342"/>
      <c r="LSH371" s="674"/>
      <c r="LSI371" s="351"/>
      <c r="LSJ371" s="352"/>
      <c r="LSK371" s="332"/>
      <c r="LSL371" s="117"/>
      <c r="LSN371" s="118"/>
      <c r="LSP371" s="342"/>
      <c r="LSQ371" s="674"/>
      <c r="LSR371" s="351"/>
      <c r="LSS371" s="352"/>
      <c r="LST371" s="332"/>
      <c r="LSU371" s="117"/>
      <c r="LSW371" s="118"/>
      <c r="LSY371" s="342"/>
      <c r="LSZ371" s="674"/>
      <c r="LTA371" s="351"/>
      <c r="LTB371" s="352"/>
      <c r="LTC371" s="332"/>
      <c r="LTD371" s="117"/>
      <c r="LTF371" s="118"/>
      <c r="LTH371" s="342"/>
      <c r="LTI371" s="674"/>
      <c r="LTJ371" s="351"/>
      <c r="LTK371" s="352"/>
      <c r="LTL371" s="332"/>
      <c r="LTM371" s="117"/>
      <c r="LTO371" s="118"/>
      <c r="LTQ371" s="342"/>
      <c r="LTR371" s="674"/>
      <c r="LTS371" s="351"/>
      <c r="LTT371" s="352"/>
      <c r="LTU371" s="332"/>
      <c r="LTV371" s="117"/>
      <c r="LTX371" s="118"/>
      <c r="LTZ371" s="342"/>
      <c r="LUA371" s="674"/>
      <c r="LUB371" s="351"/>
      <c r="LUC371" s="352"/>
      <c r="LUD371" s="332"/>
      <c r="LUE371" s="117"/>
      <c r="LUG371" s="118"/>
      <c r="LUI371" s="342"/>
      <c r="LUJ371" s="674"/>
      <c r="LUK371" s="351"/>
      <c r="LUL371" s="352"/>
      <c r="LUM371" s="332"/>
      <c r="LUN371" s="117"/>
      <c r="LUP371" s="118"/>
      <c r="LUR371" s="342"/>
      <c r="LUS371" s="674"/>
      <c r="LUT371" s="351"/>
      <c r="LUU371" s="352"/>
      <c r="LUV371" s="332"/>
      <c r="LUW371" s="117"/>
      <c r="LUY371" s="118"/>
      <c r="LVA371" s="342"/>
      <c r="LVB371" s="674"/>
      <c r="LVC371" s="351"/>
      <c r="LVD371" s="352"/>
      <c r="LVE371" s="332"/>
      <c r="LVF371" s="117"/>
      <c r="LVH371" s="118"/>
      <c r="LVJ371" s="342"/>
      <c r="LVK371" s="674"/>
      <c r="LVL371" s="351"/>
      <c r="LVM371" s="352"/>
      <c r="LVN371" s="332"/>
      <c r="LVO371" s="117"/>
      <c r="LVQ371" s="118"/>
      <c r="LVS371" s="342"/>
      <c r="LVT371" s="674"/>
      <c r="LVU371" s="351"/>
      <c r="LVV371" s="352"/>
      <c r="LVW371" s="332"/>
      <c r="LVX371" s="117"/>
      <c r="LVZ371" s="118"/>
      <c r="LWB371" s="342"/>
      <c r="LWC371" s="674"/>
      <c r="LWD371" s="351"/>
      <c r="LWE371" s="352"/>
      <c r="LWF371" s="332"/>
      <c r="LWG371" s="117"/>
      <c r="LWI371" s="118"/>
      <c r="LWK371" s="342"/>
      <c r="LWL371" s="674"/>
      <c r="LWM371" s="351"/>
      <c r="LWN371" s="352"/>
      <c r="LWO371" s="332"/>
      <c r="LWP371" s="117"/>
      <c r="LWR371" s="118"/>
      <c r="LWT371" s="342"/>
      <c r="LWU371" s="674"/>
      <c r="LWV371" s="351"/>
      <c r="LWW371" s="352"/>
      <c r="LWX371" s="332"/>
      <c r="LWY371" s="117"/>
      <c r="LXA371" s="118"/>
      <c r="LXC371" s="342"/>
      <c r="LXD371" s="674"/>
      <c r="LXE371" s="351"/>
      <c r="LXF371" s="352"/>
      <c r="LXG371" s="332"/>
      <c r="LXH371" s="117"/>
      <c r="LXJ371" s="118"/>
      <c r="LXL371" s="342"/>
      <c r="LXM371" s="674"/>
      <c r="LXN371" s="351"/>
      <c r="LXO371" s="352"/>
      <c r="LXP371" s="332"/>
      <c r="LXQ371" s="117"/>
      <c r="LXS371" s="118"/>
      <c r="LXU371" s="342"/>
      <c r="LXV371" s="674"/>
      <c r="LXW371" s="351"/>
      <c r="LXX371" s="352"/>
      <c r="LXY371" s="332"/>
      <c r="LXZ371" s="117"/>
      <c r="LYB371" s="118"/>
      <c r="LYD371" s="342"/>
      <c r="LYE371" s="674"/>
      <c r="LYF371" s="351"/>
      <c r="LYG371" s="352"/>
      <c r="LYH371" s="332"/>
      <c r="LYI371" s="117"/>
      <c r="LYK371" s="118"/>
      <c r="LYM371" s="342"/>
      <c r="LYN371" s="674"/>
      <c r="LYO371" s="351"/>
      <c r="LYP371" s="352"/>
      <c r="LYQ371" s="332"/>
      <c r="LYR371" s="117"/>
      <c r="LYT371" s="118"/>
      <c r="LYV371" s="342"/>
      <c r="LYW371" s="674"/>
      <c r="LYX371" s="351"/>
      <c r="LYY371" s="352"/>
      <c r="LYZ371" s="332"/>
      <c r="LZA371" s="117"/>
      <c r="LZC371" s="118"/>
      <c r="LZE371" s="342"/>
      <c r="LZF371" s="674"/>
      <c r="LZG371" s="351"/>
      <c r="LZH371" s="352"/>
      <c r="LZI371" s="332"/>
      <c r="LZJ371" s="117"/>
      <c r="LZL371" s="118"/>
      <c r="LZN371" s="342"/>
      <c r="LZO371" s="674"/>
      <c r="LZP371" s="351"/>
      <c r="LZQ371" s="352"/>
      <c r="LZR371" s="332"/>
      <c r="LZS371" s="117"/>
      <c r="LZU371" s="118"/>
      <c r="LZW371" s="342"/>
      <c r="LZX371" s="674"/>
      <c r="LZY371" s="351"/>
      <c r="LZZ371" s="352"/>
      <c r="MAA371" s="332"/>
      <c r="MAB371" s="117"/>
      <c r="MAD371" s="118"/>
      <c r="MAF371" s="342"/>
      <c r="MAG371" s="674"/>
      <c r="MAH371" s="351"/>
      <c r="MAI371" s="352"/>
      <c r="MAJ371" s="332"/>
      <c r="MAK371" s="117"/>
      <c r="MAM371" s="118"/>
      <c r="MAO371" s="342"/>
      <c r="MAP371" s="674"/>
      <c r="MAQ371" s="351"/>
      <c r="MAR371" s="352"/>
      <c r="MAS371" s="332"/>
      <c r="MAT371" s="117"/>
      <c r="MAV371" s="118"/>
      <c r="MAX371" s="342"/>
      <c r="MAY371" s="674"/>
      <c r="MAZ371" s="351"/>
      <c r="MBA371" s="352"/>
      <c r="MBB371" s="332"/>
      <c r="MBC371" s="117"/>
      <c r="MBE371" s="118"/>
      <c r="MBG371" s="342"/>
      <c r="MBH371" s="674"/>
      <c r="MBI371" s="351"/>
      <c r="MBJ371" s="352"/>
      <c r="MBK371" s="332"/>
      <c r="MBL371" s="117"/>
      <c r="MBN371" s="118"/>
      <c r="MBP371" s="342"/>
      <c r="MBQ371" s="674"/>
      <c r="MBR371" s="351"/>
      <c r="MBS371" s="352"/>
      <c r="MBT371" s="332"/>
      <c r="MBU371" s="117"/>
      <c r="MBW371" s="118"/>
      <c r="MBY371" s="342"/>
      <c r="MBZ371" s="674"/>
      <c r="MCA371" s="351"/>
      <c r="MCB371" s="352"/>
      <c r="MCC371" s="332"/>
      <c r="MCD371" s="117"/>
      <c r="MCF371" s="118"/>
      <c r="MCH371" s="342"/>
      <c r="MCI371" s="674"/>
      <c r="MCJ371" s="351"/>
      <c r="MCK371" s="352"/>
      <c r="MCL371" s="332"/>
      <c r="MCM371" s="117"/>
      <c r="MCO371" s="118"/>
      <c r="MCQ371" s="342"/>
      <c r="MCR371" s="674"/>
      <c r="MCS371" s="351"/>
      <c r="MCT371" s="352"/>
      <c r="MCU371" s="332"/>
      <c r="MCV371" s="117"/>
      <c r="MCX371" s="118"/>
      <c r="MCZ371" s="342"/>
      <c r="MDA371" s="674"/>
      <c r="MDB371" s="351"/>
      <c r="MDC371" s="352"/>
      <c r="MDD371" s="332"/>
      <c r="MDE371" s="117"/>
      <c r="MDG371" s="118"/>
      <c r="MDI371" s="342"/>
      <c r="MDJ371" s="674"/>
      <c r="MDK371" s="351"/>
      <c r="MDL371" s="352"/>
      <c r="MDM371" s="332"/>
      <c r="MDN371" s="117"/>
      <c r="MDP371" s="118"/>
      <c r="MDR371" s="342"/>
      <c r="MDS371" s="674"/>
      <c r="MDT371" s="351"/>
      <c r="MDU371" s="352"/>
      <c r="MDV371" s="332"/>
      <c r="MDW371" s="117"/>
      <c r="MDY371" s="118"/>
      <c r="MEA371" s="342"/>
      <c r="MEB371" s="674"/>
      <c r="MEC371" s="351"/>
      <c r="MED371" s="352"/>
      <c r="MEE371" s="332"/>
      <c r="MEF371" s="117"/>
      <c r="MEH371" s="118"/>
      <c r="MEJ371" s="342"/>
      <c r="MEK371" s="674"/>
      <c r="MEL371" s="351"/>
      <c r="MEM371" s="352"/>
      <c r="MEN371" s="332"/>
      <c r="MEO371" s="117"/>
      <c r="MEQ371" s="118"/>
      <c r="MES371" s="342"/>
      <c r="MET371" s="674"/>
      <c r="MEU371" s="351"/>
      <c r="MEV371" s="352"/>
      <c r="MEW371" s="332"/>
      <c r="MEX371" s="117"/>
      <c r="MEZ371" s="118"/>
      <c r="MFB371" s="342"/>
      <c r="MFC371" s="674"/>
      <c r="MFD371" s="351"/>
      <c r="MFE371" s="352"/>
      <c r="MFF371" s="332"/>
      <c r="MFG371" s="117"/>
      <c r="MFI371" s="118"/>
      <c r="MFK371" s="342"/>
      <c r="MFL371" s="674"/>
      <c r="MFM371" s="351"/>
      <c r="MFN371" s="352"/>
      <c r="MFO371" s="332"/>
      <c r="MFP371" s="117"/>
      <c r="MFR371" s="118"/>
      <c r="MFT371" s="342"/>
      <c r="MFU371" s="674"/>
      <c r="MFV371" s="351"/>
      <c r="MFW371" s="352"/>
      <c r="MFX371" s="332"/>
      <c r="MFY371" s="117"/>
      <c r="MGA371" s="118"/>
      <c r="MGC371" s="342"/>
      <c r="MGD371" s="674"/>
      <c r="MGE371" s="351"/>
      <c r="MGF371" s="352"/>
      <c r="MGG371" s="332"/>
      <c r="MGH371" s="117"/>
      <c r="MGJ371" s="118"/>
      <c r="MGL371" s="342"/>
      <c r="MGM371" s="674"/>
      <c r="MGN371" s="351"/>
      <c r="MGO371" s="352"/>
      <c r="MGP371" s="332"/>
      <c r="MGQ371" s="117"/>
      <c r="MGS371" s="118"/>
      <c r="MGU371" s="342"/>
      <c r="MGV371" s="674"/>
      <c r="MGW371" s="351"/>
      <c r="MGX371" s="352"/>
      <c r="MGY371" s="332"/>
      <c r="MGZ371" s="117"/>
      <c r="MHB371" s="118"/>
      <c r="MHD371" s="342"/>
      <c r="MHE371" s="674"/>
      <c r="MHF371" s="351"/>
      <c r="MHG371" s="352"/>
      <c r="MHH371" s="332"/>
      <c r="MHI371" s="117"/>
      <c r="MHK371" s="118"/>
      <c r="MHM371" s="342"/>
      <c r="MHN371" s="674"/>
      <c r="MHO371" s="351"/>
      <c r="MHP371" s="352"/>
      <c r="MHQ371" s="332"/>
      <c r="MHR371" s="117"/>
      <c r="MHT371" s="118"/>
      <c r="MHV371" s="342"/>
      <c r="MHW371" s="674"/>
      <c r="MHX371" s="351"/>
      <c r="MHY371" s="352"/>
      <c r="MHZ371" s="332"/>
      <c r="MIA371" s="117"/>
      <c r="MIC371" s="118"/>
      <c r="MIE371" s="342"/>
      <c r="MIF371" s="674"/>
      <c r="MIG371" s="351"/>
      <c r="MIH371" s="352"/>
      <c r="MII371" s="332"/>
      <c r="MIJ371" s="117"/>
      <c r="MIL371" s="118"/>
      <c r="MIN371" s="342"/>
      <c r="MIO371" s="674"/>
      <c r="MIP371" s="351"/>
      <c r="MIQ371" s="352"/>
      <c r="MIR371" s="332"/>
      <c r="MIS371" s="117"/>
      <c r="MIU371" s="118"/>
      <c r="MIW371" s="342"/>
      <c r="MIX371" s="674"/>
      <c r="MIY371" s="351"/>
      <c r="MIZ371" s="352"/>
      <c r="MJA371" s="332"/>
      <c r="MJB371" s="117"/>
      <c r="MJD371" s="118"/>
      <c r="MJF371" s="342"/>
      <c r="MJG371" s="674"/>
      <c r="MJH371" s="351"/>
      <c r="MJI371" s="352"/>
      <c r="MJJ371" s="332"/>
      <c r="MJK371" s="117"/>
      <c r="MJM371" s="118"/>
      <c r="MJO371" s="342"/>
      <c r="MJP371" s="674"/>
      <c r="MJQ371" s="351"/>
      <c r="MJR371" s="352"/>
      <c r="MJS371" s="332"/>
      <c r="MJT371" s="117"/>
      <c r="MJV371" s="118"/>
      <c r="MJX371" s="342"/>
      <c r="MJY371" s="674"/>
      <c r="MJZ371" s="351"/>
      <c r="MKA371" s="352"/>
      <c r="MKB371" s="332"/>
      <c r="MKC371" s="117"/>
      <c r="MKE371" s="118"/>
      <c r="MKG371" s="342"/>
      <c r="MKH371" s="674"/>
      <c r="MKI371" s="351"/>
      <c r="MKJ371" s="352"/>
      <c r="MKK371" s="332"/>
      <c r="MKL371" s="117"/>
      <c r="MKN371" s="118"/>
      <c r="MKP371" s="342"/>
      <c r="MKQ371" s="674"/>
      <c r="MKR371" s="351"/>
      <c r="MKS371" s="352"/>
      <c r="MKT371" s="332"/>
      <c r="MKU371" s="117"/>
      <c r="MKW371" s="118"/>
      <c r="MKY371" s="342"/>
      <c r="MKZ371" s="674"/>
      <c r="MLA371" s="351"/>
      <c r="MLB371" s="352"/>
      <c r="MLC371" s="332"/>
      <c r="MLD371" s="117"/>
      <c r="MLF371" s="118"/>
      <c r="MLH371" s="342"/>
      <c r="MLI371" s="674"/>
      <c r="MLJ371" s="351"/>
      <c r="MLK371" s="352"/>
      <c r="MLL371" s="332"/>
      <c r="MLM371" s="117"/>
      <c r="MLO371" s="118"/>
      <c r="MLQ371" s="342"/>
      <c r="MLR371" s="674"/>
      <c r="MLS371" s="351"/>
      <c r="MLT371" s="352"/>
      <c r="MLU371" s="332"/>
      <c r="MLV371" s="117"/>
      <c r="MLX371" s="118"/>
      <c r="MLZ371" s="342"/>
      <c r="MMA371" s="674"/>
      <c r="MMB371" s="351"/>
      <c r="MMC371" s="352"/>
      <c r="MMD371" s="332"/>
      <c r="MME371" s="117"/>
      <c r="MMG371" s="118"/>
      <c r="MMI371" s="342"/>
      <c r="MMJ371" s="674"/>
      <c r="MMK371" s="351"/>
      <c r="MML371" s="352"/>
      <c r="MMM371" s="332"/>
      <c r="MMN371" s="117"/>
      <c r="MMP371" s="118"/>
      <c r="MMR371" s="342"/>
      <c r="MMS371" s="674"/>
      <c r="MMT371" s="351"/>
      <c r="MMU371" s="352"/>
      <c r="MMV371" s="332"/>
      <c r="MMW371" s="117"/>
      <c r="MMY371" s="118"/>
      <c r="MNA371" s="342"/>
      <c r="MNB371" s="674"/>
      <c r="MNC371" s="351"/>
      <c r="MND371" s="352"/>
      <c r="MNE371" s="332"/>
      <c r="MNF371" s="117"/>
      <c r="MNH371" s="118"/>
      <c r="MNJ371" s="342"/>
      <c r="MNK371" s="674"/>
      <c r="MNL371" s="351"/>
      <c r="MNM371" s="352"/>
      <c r="MNN371" s="332"/>
      <c r="MNO371" s="117"/>
      <c r="MNQ371" s="118"/>
      <c r="MNS371" s="342"/>
      <c r="MNT371" s="674"/>
      <c r="MNU371" s="351"/>
      <c r="MNV371" s="352"/>
      <c r="MNW371" s="332"/>
      <c r="MNX371" s="117"/>
      <c r="MNZ371" s="118"/>
      <c r="MOB371" s="342"/>
      <c r="MOC371" s="674"/>
      <c r="MOD371" s="351"/>
      <c r="MOE371" s="352"/>
      <c r="MOF371" s="332"/>
      <c r="MOG371" s="117"/>
      <c r="MOI371" s="118"/>
      <c r="MOK371" s="342"/>
      <c r="MOL371" s="674"/>
      <c r="MOM371" s="351"/>
      <c r="MON371" s="352"/>
      <c r="MOO371" s="332"/>
      <c r="MOP371" s="117"/>
      <c r="MOR371" s="118"/>
      <c r="MOT371" s="342"/>
      <c r="MOU371" s="674"/>
      <c r="MOV371" s="351"/>
      <c r="MOW371" s="352"/>
      <c r="MOX371" s="332"/>
      <c r="MOY371" s="117"/>
      <c r="MPA371" s="118"/>
      <c r="MPC371" s="342"/>
      <c r="MPD371" s="674"/>
      <c r="MPE371" s="351"/>
      <c r="MPF371" s="352"/>
      <c r="MPG371" s="332"/>
      <c r="MPH371" s="117"/>
      <c r="MPJ371" s="118"/>
      <c r="MPL371" s="342"/>
      <c r="MPM371" s="674"/>
      <c r="MPN371" s="351"/>
      <c r="MPO371" s="352"/>
      <c r="MPP371" s="332"/>
      <c r="MPQ371" s="117"/>
      <c r="MPS371" s="118"/>
      <c r="MPU371" s="342"/>
      <c r="MPV371" s="674"/>
      <c r="MPW371" s="351"/>
      <c r="MPX371" s="352"/>
      <c r="MPY371" s="332"/>
      <c r="MPZ371" s="117"/>
      <c r="MQB371" s="118"/>
      <c r="MQD371" s="342"/>
      <c r="MQE371" s="674"/>
      <c r="MQF371" s="351"/>
      <c r="MQG371" s="352"/>
      <c r="MQH371" s="332"/>
      <c r="MQI371" s="117"/>
      <c r="MQK371" s="118"/>
      <c r="MQM371" s="342"/>
      <c r="MQN371" s="674"/>
      <c r="MQO371" s="351"/>
      <c r="MQP371" s="352"/>
      <c r="MQQ371" s="332"/>
      <c r="MQR371" s="117"/>
      <c r="MQT371" s="118"/>
      <c r="MQV371" s="342"/>
      <c r="MQW371" s="674"/>
      <c r="MQX371" s="351"/>
      <c r="MQY371" s="352"/>
      <c r="MQZ371" s="332"/>
      <c r="MRA371" s="117"/>
      <c r="MRC371" s="118"/>
      <c r="MRE371" s="342"/>
      <c r="MRF371" s="674"/>
      <c r="MRG371" s="351"/>
      <c r="MRH371" s="352"/>
      <c r="MRI371" s="332"/>
      <c r="MRJ371" s="117"/>
      <c r="MRL371" s="118"/>
      <c r="MRN371" s="342"/>
      <c r="MRO371" s="674"/>
      <c r="MRP371" s="351"/>
      <c r="MRQ371" s="352"/>
      <c r="MRR371" s="332"/>
      <c r="MRS371" s="117"/>
      <c r="MRU371" s="118"/>
      <c r="MRW371" s="342"/>
      <c r="MRX371" s="674"/>
      <c r="MRY371" s="351"/>
      <c r="MRZ371" s="352"/>
      <c r="MSA371" s="332"/>
      <c r="MSB371" s="117"/>
      <c r="MSD371" s="118"/>
      <c r="MSF371" s="342"/>
      <c r="MSG371" s="674"/>
      <c r="MSH371" s="351"/>
      <c r="MSI371" s="352"/>
      <c r="MSJ371" s="332"/>
      <c r="MSK371" s="117"/>
      <c r="MSM371" s="118"/>
      <c r="MSO371" s="342"/>
      <c r="MSP371" s="674"/>
      <c r="MSQ371" s="351"/>
      <c r="MSR371" s="352"/>
      <c r="MSS371" s="332"/>
      <c r="MST371" s="117"/>
      <c r="MSV371" s="118"/>
      <c r="MSX371" s="342"/>
      <c r="MSY371" s="674"/>
      <c r="MSZ371" s="351"/>
      <c r="MTA371" s="352"/>
      <c r="MTB371" s="332"/>
      <c r="MTC371" s="117"/>
      <c r="MTE371" s="118"/>
      <c r="MTG371" s="342"/>
      <c r="MTH371" s="674"/>
      <c r="MTI371" s="351"/>
      <c r="MTJ371" s="352"/>
      <c r="MTK371" s="332"/>
      <c r="MTL371" s="117"/>
      <c r="MTN371" s="118"/>
      <c r="MTP371" s="342"/>
      <c r="MTQ371" s="674"/>
      <c r="MTR371" s="351"/>
      <c r="MTS371" s="352"/>
      <c r="MTT371" s="332"/>
      <c r="MTU371" s="117"/>
      <c r="MTW371" s="118"/>
      <c r="MTY371" s="342"/>
      <c r="MTZ371" s="674"/>
      <c r="MUA371" s="351"/>
      <c r="MUB371" s="352"/>
      <c r="MUC371" s="332"/>
      <c r="MUD371" s="117"/>
      <c r="MUF371" s="118"/>
      <c r="MUH371" s="342"/>
      <c r="MUI371" s="674"/>
      <c r="MUJ371" s="351"/>
      <c r="MUK371" s="352"/>
      <c r="MUL371" s="332"/>
      <c r="MUM371" s="117"/>
      <c r="MUO371" s="118"/>
      <c r="MUQ371" s="342"/>
      <c r="MUR371" s="674"/>
      <c r="MUS371" s="351"/>
      <c r="MUT371" s="352"/>
      <c r="MUU371" s="332"/>
      <c r="MUV371" s="117"/>
      <c r="MUX371" s="118"/>
      <c r="MUZ371" s="342"/>
      <c r="MVA371" s="674"/>
      <c r="MVB371" s="351"/>
      <c r="MVC371" s="352"/>
      <c r="MVD371" s="332"/>
      <c r="MVE371" s="117"/>
      <c r="MVG371" s="118"/>
      <c r="MVI371" s="342"/>
      <c r="MVJ371" s="674"/>
      <c r="MVK371" s="351"/>
      <c r="MVL371" s="352"/>
      <c r="MVM371" s="332"/>
      <c r="MVN371" s="117"/>
      <c r="MVP371" s="118"/>
      <c r="MVR371" s="342"/>
      <c r="MVS371" s="674"/>
      <c r="MVT371" s="351"/>
      <c r="MVU371" s="352"/>
      <c r="MVV371" s="332"/>
      <c r="MVW371" s="117"/>
      <c r="MVY371" s="118"/>
      <c r="MWA371" s="342"/>
      <c r="MWB371" s="674"/>
      <c r="MWC371" s="351"/>
      <c r="MWD371" s="352"/>
      <c r="MWE371" s="332"/>
      <c r="MWF371" s="117"/>
      <c r="MWH371" s="118"/>
      <c r="MWJ371" s="342"/>
      <c r="MWK371" s="674"/>
      <c r="MWL371" s="351"/>
      <c r="MWM371" s="352"/>
      <c r="MWN371" s="332"/>
      <c r="MWO371" s="117"/>
      <c r="MWQ371" s="118"/>
      <c r="MWS371" s="342"/>
      <c r="MWT371" s="674"/>
      <c r="MWU371" s="351"/>
      <c r="MWV371" s="352"/>
      <c r="MWW371" s="332"/>
      <c r="MWX371" s="117"/>
      <c r="MWZ371" s="118"/>
      <c r="MXB371" s="342"/>
      <c r="MXC371" s="674"/>
      <c r="MXD371" s="351"/>
      <c r="MXE371" s="352"/>
      <c r="MXF371" s="332"/>
      <c r="MXG371" s="117"/>
      <c r="MXI371" s="118"/>
      <c r="MXK371" s="342"/>
      <c r="MXL371" s="674"/>
      <c r="MXM371" s="351"/>
      <c r="MXN371" s="352"/>
      <c r="MXO371" s="332"/>
      <c r="MXP371" s="117"/>
      <c r="MXR371" s="118"/>
      <c r="MXT371" s="342"/>
      <c r="MXU371" s="674"/>
      <c r="MXV371" s="351"/>
      <c r="MXW371" s="352"/>
      <c r="MXX371" s="332"/>
      <c r="MXY371" s="117"/>
      <c r="MYA371" s="118"/>
      <c r="MYC371" s="342"/>
      <c r="MYD371" s="674"/>
      <c r="MYE371" s="351"/>
      <c r="MYF371" s="352"/>
      <c r="MYG371" s="332"/>
      <c r="MYH371" s="117"/>
      <c r="MYJ371" s="118"/>
      <c r="MYL371" s="342"/>
      <c r="MYM371" s="674"/>
      <c r="MYN371" s="351"/>
      <c r="MYO371" s="352"/>
      <c r="MYP371" s="332"/>
      <c r="MYQ371" s="117"/>
      <c r="MYS371" s="118"/>
      <c r="MYU371" s="342"/>
      <c r="MYV371" s="674"/>
      <c r="MYW371" s="351"/>
      <c r="MYX371" s="352"/>
      <c r="MYY371" s="332"/>
      <c r="MYZ371" s="117"/>
      <c r="MZB371" s="118"/>
      <c r="MZD371" s="342"/>
      <c r="MZE371" s="674"/>
      <c r="MZF371" s="351"/>
      <c r="MZG371" s="352"/>
      <c r="MZH371" s="332"/>
      <c r="MZI371" s="117"/>
      <c r="MZK371" s="118"/>
      <c r="MZM371" s="342"/>
      <c r="MZN371" s="674"/>
      <c r="MZO371" s="351"/>
      <c r="MZP371" s="352"/>
      <c r="MZQ371" s="332"/>
      <c r="MZR371" s="117"/>
      <c r="MZT371" s="118"/>
      <c r="MZV371" s="342"/>
      <c r="MZW371" s="674"/>
      <c r="MZX371" s="351"/>
      <c r="MZY371" s="352"/>
      <c r="MZZ371" s="332"/>
      <c r="NAA371" s="117"/>
      <c r="NAC371" s="118"/>
      <c r="NAE371" s="342"/>
      <c r="NAF371" s="674"/>
      <c r="NAG371" s="351"/>
      <c r="NAH371" s="352"/>
      <c r="NAI371" s="332"/>
      <c r="NAJ371" s="117"/>
      <c r="NAL371" s="118"/>
      <c r="NAN371" s="342"/>
      <c r="NAO371" s="674"/>
      <c r="NAP371" s="351"/>
      <c r="NAQ371" s="352"/>
      <c r="NAR371" s="332"/>
      <c r="NAS371" s="117"/>
      <c r="NAU371" s="118"/>
      <c r="NAW371" s="342"/>
      <c r="NAX371" s="674"/>
      <c r="NAY371" s="351"/>
      <c r="NAZ371" s="352"/>
      <c r="NBA371" s="332"/>
      <c r="NBB371" s="117"/>
      <c r="NBD371" s="118"/>
      <c r="NBF371" s="342"/>
      <c r="NBG371" s="674"/>
      <c r="NBH371" s="351"/>
      <c r="NBI371" s="352"/>
      <c r="NBJ371" s="332"/>
      <c r="NBK371" s="117"/>
      <c r="NBM371" s="118"/>
      <c r="NBO371" s="342"/>
      <c r="NBP371" s="674"/>
      <c r="NBQ371" s="351"/>
      <c r="NBR371" s="352"/>
      <c r="NBS371" s="332"/>
      <c r="NBT371" s="117"/>
      <c r="NBV371" s="118"/>
      <c r="NBX371" s="342"/>
      <c r="NBY371" s="674"/>
      <c r="NBZ371" s="351"/>
      <c r="NCA371" s="352"/>
      <c r="NCB371" s="332"/>
      <c r="NCC371" s="117"/>
      <c r="NCE371" s="118"/>
      <c r="NCG371" s="342"/>
      <c r="NCH371" s="674"/>
      <c r="NCI371" s="351"/>
      <c r="NCJ371" s="352"/>
      <c r="NCK371" s="332"/>
      <c r="NCL371" s="117"/>
      <c r="NCN371" s="118"/>
      <c r="NCP371" s="342"/>
      <c r="NCQ371" s="674"/>
      <c r="NCR371" s="351"/>
      <c r="NCS371" s="352"/>
      <c r="NCT371" s="332"/>
      <c r="NCU371" s="117"/>
      <c r="NCW371" s="118"/>
      <c r="NCY371" s="342"/>
      <c r="NCZ371" s="674"/>
      <c r="NDA371" s="351"/>
      <c r="NDB371" s="352"/>
      <c r="NDC371" s="332"/>
      <c r="NDD371" s="117"/>
      <c r="NDF371" s="118"/>
      <c r="NDH371" s="342"/>
      <c r="NDI371" s="674"/>
      <c r="NDJ371" s="351"/>
      <c r="NDK371" s="352"/>
      <c r="NDL371" s="332"/>
      <c r="NDM371" s="117"/>
      <c r="NDO371" s="118"/>
      <c r="NDQ371" s="342"/>
      <c r="NDR371" s="674"/>
      <c r="NDS371" s="351"/>
      <c r="NDT371" s="352"/>
      <c r="NDU371" s="332"/>
      <c r="NDV371" s="117"/>
      <c r="NDX371" s="118"/>
      <c r="NDZ371" s="342"/>
      <c r="NEA371" s="674"/>
      <c r="NEB371" s="351"/>
      <c r="NEC371" s="352"/>
      <c r="NED371" s="332"/>
      <c r="NEE371" s="117"/>
      <c r="NEG371" s="118"/>
      <c r="NEI371" s="342"/>
      <c r="NEJ371" s="674"/>
      <c r="NEK371" s="351"/>
      <c r="NEL371" s="352"/>
      <c r="NEM371" s="332"/>
      <c r="NEN371" s="117"/>
      <c r="NEP371" s="118"/>
      <c r="NER371" s="342"/>
      <c r="NES371" s="674"/>
      <c r="NET371" s="351"/>
      <c r="NEU371" s="352"/>
      <c r="NEV371" s="332"/>
      <c r="NEW371" s="117"/>
      <c r="NEY371" s="118"/>
      <c r="NFA371" s="342"/>
      <c r="NFB371" s="674"/>
      <c r="NFC371" s="351"/>
      <c r="NFD371" s="352"/>
      <c r="NFE371" s="332"/>
      <c r="NFF371" s="117"/>
      <c r="NFH371" s="118"/>
      <c r="NFJ371" s="342"/>
      <c r="NFK371" s="674"/>
      <c r="NFL371" s="351"/>
      <c r="NFM371" s="352"/>
      <c r="NFN371" s="332"/>
      <c r="NFO371" s="117"/>
      <c r="NFQ371" s="118"/>
      <c r="NFS371" s="342"/>
      <c r="NFT371" s="674"/>
      <c r="NFU371" s="351"/>
      <c r="NFV371" s="352"/>
      <c r="NFW371" s="332"/>
      <c r="NFX371" s="117"/>
      <c r="NFZ371" s="118"/>
      <c r="NGB371" s="342"/>
      <c r="NGC371" s="674"/>
      <c r="NGD371" s="351"/>
      <c r="NGE371" s="352"/>
      <c r="NGF371" s="332"/>
      <c r="NGG371" s="117"/>
      <c r="NGI371" s="118"/>
      <c r="NGK371" s="342"/>
      <c r="NGL371" s="674"/>
      <c r="NGM371" s="351"/>
      <c r="NGN371" s="352"/>
      <c r="NGO371" s="332"/>
      <c r="NGP371" s="117"/>
      <c r="NGR371" s="118"/>
      <c r="NGT371" s="342"/>
      <c r="NGU371" s="674"/>
      <c r="NGV371" s="351"/>
      <c r="NGW371" s="352"/>
      <c r="NGX371" s="332"/>
      <c r="NGY371" s="117"/>
      <c r="NHA371" s="118"/>
      <c r="NHC371" s="342"/>
      <c r="NHD371" s="674"/>
      <c r="NHE371" s="351"/>
      <c r="NHF371" s="352"/>
      <c r="NHG371" s="332"/>
      <c r="NHH371" s="117"/>
      <c r="NHJ371" s="118"/>
      <c r="NHL371" s="342"/>
      <c r="NHM371" s="674"/>
      <c r="NHN371" s="351"/>
      <c r="NHO371" s="352"/>
      <c r="NHP371" s="332"/>
      <c r="NHQ371" s="117"/>
      <c r="NHS371" s="118"/>
      <c r="NHU371" s="342"/>
      <c r="NHV371" s="674"/>
      <c r="NHW371" s="351"/>
      <c r="NHX371" s="352"/>
      <c r="NHY371" s="332"/>
      <c r="NHZ371" s="117"/>
      <c r="NIB371" s="118"/>
      <c r="NID371" s="342"/>
      <c r="NIE371" s="674"/>
      <c r="NIF371" s="351"/>
      <c r="NIG371" s="352"/>
      <c r="NIH371" s="332"/>
      <c r="NII371" s="117"/>
      <c r="NIK371" s="118"/>
      <c r="NIM371" s="342"/>
      <c r="NIN371" s="674"/>
      <c r="NIO371" s="351"/>
      <c r="NIP371" s="352"/>
      <c r="NIQ371" s="332"/>
      <c r="NIR371" s="117"/>
      <c r="NIT371" s="118"/>
      <c r="NIV371" s="342"/>
      <c r="NIW371" s="674"/>
      <c r="NIX371" s="351"/>
      <c r="NIY371" s="352"/>
      <c r="NIZ371" s="332"/>
      <c r="NJA371" s="117"/>
      <c r="NJC371" s="118"/>
      <c r="NJE371" s="342"/>
      <c r="NJF371" s="674"/>
      <c r="NJG371" s="351"/>
      <c r="NJH371" s="352"/>
      <c r="NJI371" s="332"/>
      <c r="NJJ371" s="117"/>
      <c r="NJL371" s="118"/>
      <c r="NJN371" s="342"/>
      <c r="NJO371" s="674"/>
      <c r="NJP371" s="351"/>
      <c r="NJQ371" s="352"/>
      <c r="NJR371" s="332"/>
      <c r="NJS371" s="117"/>
      <c r="NJU371" s="118"/>
      <c r="NJW371" s="342"/>
      <c r="NJX371" s="674"/>
      <c r="NJY371" s="351"/>
      <c r="NJZ371" s="352"/>
      <c r="NKA371" s="332"/>
      <c r="NKB371" s="117"/>
      <c r="NKD371" s="118"/>
      <c r="NKF371" s="342"/>
      <c r="NKG371" s="674"/>
      <c r="NKH371" s="351"/>
      <c r="NKI371" s="352"/>
      <c r="NKJ371" s="332"/>
      <c r="NKK371" s="117"/>
      <c r="NKM371" s="118"/>
      <c r="NKO371" s="342"/>
      <c r="NKP371" s="674"/>
      <c r="NKQ371" s="351"/>
      <c r="NKR371" s="352"/>
      <c r="NKS371" s="332"/>
      <c r="NKT371" s="117"/>
      <c r="NKV371" s="118"/>
      <c r="NKX371" s="342"/>
      <c r="NKY371" s="674"/>
      <c r="NKZ371" s="351"/>
      <c r="NLA371" s="352"/>
      <c r="NLB371" s="332"/>
      <c r="NLC371" s="117"/>
      <c r="NLE371" s="118"/>
      <c r="NLG371" s="342"/>
      <c r="NLH371" s="674"/>
      <c r="NLI371" s="351"/>
      <c r="NLJ371" s="352"/>
      <c r="NLK371" s="332"/>
      <c r="NLL371" s="117"/>
      <c r="NLN371" s="118"/>
      <c r="NLP371" s="342"/>
      <c r="NLQ371" s="674"/>
      <c r="NLR371" s="351"/>
      <c r="NLS371" s="352"/>
      <c r="NLT371" s="332"/>
      <c r="NLU371" s="117"/>
      <c r="NLW371" s="118"/>
      <c r="NLY371" s="342"/>
      <c r="NLZ371" s="674"/>
      <c r="NMA371" s="351"/>
      <c r="NMB371" s="352"/>
      <c r="NMC371" s="332"/>
      <c r="NMD371" s="117"/>
      <c r="NMF371" s="118"/>
      <c r="NMH371" s="342"/>
      <c r="NMI371" s="674"/>
      <c r="NMJ371" s="351"/>
      <c r="NMK371" s="352"/>
      <c r="NML371" s="332"/>
      <c r="NMM371" s="117"/>
      <c r="NMO371" s="118"/>
      <c r="NMQ371" s="342"/>
      <c r="NMR371" s="674"/>
      <c r="NMS371" s="351"/>
      <c r="NMT371" s="352"/>
      <c r="NMU371" s="332"/>
      <c r="NMV371" s="117"/>
      <c r="NMX371" s="118"/>
      <c r="NMZ371" s="342"/>
      <c r="NNA371" s="674"/>
      <c r="NNB371" s="351"/>
      <c r="NNC371" s="352"/>
      <c r="NND371" s="332"/>
      <c r="NNE371" s="117"/>
      <c r="NNG371" s="118"/>
      <c r="NNI371" s="342"/>
      <c r="NNJ371" s="674"/>
      <c r="NNK371" s="351"/>
      <c r="NNL371" s="352"/>
      <c r="NNM371" s="332"/>
      <c r="NNN371" s="117"/>
      <c r="NNP371" s="118"/>
      <c r="NNR371" s="342"/>
      <c r="NNS371" s="674"/>
      <c r="NNT371" s="351"/>
      <c r="NNU371" s="352"/>
      <c r="NNV371" s="332"/>
      <c r="NNW371" s="117"/>
      <c r="NNY371" s="118"/>
      <c r="NOA371" s="342"/>
      <c r="NOB371" s="674"/>
      <c r="NOC371" s="351"/>
      <c r="NOD371" s="352"/>
      <c r="NOE371" s="332"/>
      <c r="NOF371" s="117"/>
      <c r="NOH371" s="118"/>
      <c r="NOJ371" s="342"/>
      <c r="NOK371" s="674"/>
      <c r="NOL371" s="351"/>
      <c r="NOM371" s="352"/>
      <c r="NON371" s="332"/>
      <c r="NOO371" s="117"/>
      <c r="NOQ371" s="118"/>
      <c r="NOS371" s="342"/>
      <c r="NOT371" s="674"/>
      <c r="NOU371" s="351"/>
      <c r="NOV371" s="352"/>
      <c r="NOW371" s="332"/>
      <c r="NOX371" s="117"/>
      <c r="NOZ371" s="118"/>
      <c r="NPB371" s="342"/>
      <c r="NPC371" s="674"/>
      <c r="NPD371" s="351"/>
      <c r="NPE371" s="352"/>
      <c r="NPF371" s="332"/>
      <c r="NPG371" s="117"/>
      <c r="NPI371" s="118"/>
      <c r="NPK371" s="342"/>
      <c r="NPL371" s="674"/>
      <c r="NPM371" s="351"/>
      <c r="NPN371" s="352"/>
      <c r="NPO371" s="332"/>
      <c r="NPP371" s="117"/>
      <c r="NPR371" s="118"/>
      <c r="NPT371" s="342"/>
      <c r="NPU371" s="674"/>
      <c r="NPV371" s="351"/>
      <c r="NPW371" s="352"/>
      <c r="NPX371" s="332"/>
      <c r="NPY371" s="117"/>
      <c r="NQA371" s="118"/>
      <c r="NQC371" s="342"/>
      <c r="NQD371" s="674"/>
      <c r="NQE371" s="351"/>
      <c r="NQF371" s="352"/>
      <c r="NQG371" s="332"/>
      <c r="NQH371" s="117"/>
      <c r="NQJ371" s="118"/>
      <c r="NQL371" s="342"/>
      <c r="NQM371" s="674"/>
      <c r="NQN371" s="351"/>
      <c r="NQO371" s="352"/>
      <c r="NQP371" s="332"/>
      <c r="NQQ371" s="117"/>
      <c r="NQS371" s="118"/>
      <c r="NQU371" s="342"/>
      <c r="NQV371" s="674"/>
      <c r="NQW371" s="351"/>
      <c r="NQX371" s="352"/>
      <c r="NQY371" s="332"/>
      <c r="NQZ371" s="117"/>
      <c r="NRB371" s="118"/>
      <c r="NRD371" s="342"/>
      <c r="NRE371" s="674"/>
      <c r="NRF371" s="351"/>
      <c r="NRG371" s="352"/>
      <c r="NRH371" s="332"/>
      <c r="NRI371" s="117"/>
      <c r="NRK371" s="118"/>
      <c r="NRM371" s="342"/>
      <c r="NRN371" s="674"/>
      <c r="NRO371" s="351"/>
      <c r="NRP371" s="352"/>
      <c r="NRQ371" s="332"/>
      <c r="NRR371" s="117"/>
      <c r="NRT371" s="118"/>
      <c r="NRV371" s="342"/>
      <c r="NRW371" s="674"/>
      <c r="NRX371" s="351"/>
      <c r="NRY371" s="352"/>
      <c r="NRZ371" s="332"/>
      <c r="NSA371" s="117"/>
      <c r="NSC371" s="118"/>
      <c r="NSE371" s="342"/>
      <c r="NSF371" s="674"/>
      <c r="NSG371" s="351"/>
      <c r="NSH371" s="352"/>
      <c r="NSI371" s="332"/>
      <c r="NSJ371" s="117"/>
      <c r="NSL371" s="118"/>
      <c r="NSN371" s="342"/>
      <c r="NSO371" s="674"/>
      <c r="NSP371" s="351"/>
      <c r="NSQ371" s="352"/>
      <c r="NSR371" s="332"/>
      <c r="NSS371" s="117"/>
      <c r="NSU371" s="118"/>
      <c r="NSW371" s="342"/>
      <c r="NSX371" s="674"/>
      <c r="NSY371" s="351"/>
      <c r="NSZ371" s="352"/>
      <c r="NTA371" s="332"/>
      <c r="NTB371" s="117"/>
      <c r="NTD371" s="118"/>
      <c r="NTF371" s="342"/>
      <c r="NTG371" s="674"/>
      <c r="NTH371" s="351"/>
      <c r="NTI371" s="352"/>
      <c r="NTJ371" s="332"/>
      <c r="NTK371" s="117"/>
      <c r="NTM371" s="118"/>
      <c r="NTO371" s="342"/>
      <c r="NTP371" s="674"/>
      <c r="NTQ371" s="351"/>
      <c r="NTR371" s="352"/>
      <c r="NTS371" s="332"/>
      <c r="NTT371" s="117"/>
      <c r="NTV371" s="118"/>
      <c r="NTX371" s="342"/>
      <c r="NTY371" s="674"/>
      <c r="NTZ371" s="351"/>
      <c r="NUA371" s="352"/>
      <c r="NUB371" s="332"/>
      <c r="NUC371" s="117"/>
      <c r="NUE371" s="118"/>
      <c r="NUG371" s="342"/>
      <c r="NUH371" s="674"/>
      <c r="NUI371" s="351"/>
      <c r="NUJ371" s="352"/>
      <c r="NUK371" s="332"/>
      <c r="NUL371" s="117"/>
      <c r="NUN371" s="118"/>
      <c r="NUP371" s="342"/>
      <c r="NUQ371" s="674"/>
      <c r="NUR371" s="351"/>
      <c r="NUS371" s="352"/>
      <c r="NUT371" s="332"/>
      <c r="NUU371" s="117"/>
      <c r="NUW371" s="118"/>
      <c r="NUY371" s="342"/>
      <c r="NUZ371" s="674"/>
      <c r="NVA371" s="351"/>
      <c r="NVB371" s="352"/>
      <c r="NVC371" s="332"/>
      <c r="NVD371" s="117"/>
      <c r="NVF371" s="118"/>
      <c r="NVH371" s="342"/>
      <c r="NVI371" s="674"/>
      <c r="NVJ371" s="351"/>
      <c r="NVK371" s="352"/>
      <c r="NVL371" s="332"/>
      <c r="NVM371" s="117"/>
      <c r="NVO371" s="118"/>
      <c r="NVQ371" s="342"/>
      <c r="NVR371" s="674"/>
      <c r="NVS371" s="351"/>
      <c r="NVT371" s="352"/>
      <c r="NVU371" s="332"/>
      <c r="NVV371" s="117"/>
      <c r="NVX371" s="118"/>
      <c r="NVZ371" s="342"/>
      <c r="NWA371" s="674"/>
      <c r="NWB371" s="351"/>
      <c r="NWC371" s="352"/>
      <c r="NWD371" s="332"/>
      <c r="NWE371" s="117"/>
      <c r="NWG371" s="118"/>
      <c r="NWI371" s="342"/>
      <c r="NWJ371" s="674"/>
      <c r="NWK371" s="351"/>
      <c r="NWL371" s="352"/>
      <c r="NWM371" s="332"/>
      <c r="NWN371" s="117"/>
      <c r="NWP371" s="118"/>
      <c r="NWR371" s="342"/>
      <c r="NWS371" s="674"/>
      <c r="NWT371" s="351"/>
      <c r="NWU371" s="352"/>
      <c r="NWV371" s="332"/>
      <c r="NWW371" s="117"/>
      <c r="NWY371" s="118"/>
      <c r="NXA371" s="342"/>
      <c r="NXB371" s="674"/>
      <c r="NXC371" s="351"/>
      <c r="NXD371" s="352"/>
      <c r="NXE371" s="332"/>
      <c r="NXF371" s="117"/>
      <c r="NXH371" s="118"/>
      <c r="NXJ371" s="342"/>
      <c r="NXK371" s="674"/>
      <c r="NXL371" s="351"/>
      <c r="NXM371" s="352"/>
      <c r="NXN371" s="332"/>
      <c r="NXO371" s="117"/>
      <c r="NXQ371" s="118"/>
      <c r="NXS371" s="342"/>
      <c r="NXT371" s="674"/>
      <c r="NXU371" s="351"/>
      <c r="NXV371" s="352"/>
      <c r="NXW371" s="332"/>
      <c r="NXX371" s="117"/>
      <c r="NXZ371" s="118"/>
      <c r="NYB371" s="342"/>
      <c r="NYC371" s="674"/>
      <c r="NYD371" s="351"/>
      <c r="NYE371" s="352"/>
      <c r="NYF371" s="332"/>
      <c r="NYG371" s="117"/>
      <c r="NYI371" s="118"/>
      <c r="NYK371" s="342"/>
      <c r="NYL371" s="674"/>
      <c r="NYM371" s="351"/>
      <c r="NYN371" s="352"/>
      <c r="NYO371" s="332"/>
      <c r="NYP371" s="117"/>
      <c r="NYR371" s="118"/>
      <c r="NYT371" s="342"/>
      <c r="NYU371" s="674"/>
      <c r="NYV371" s="351"/>
      <c r="NYW371" s="352"/>
      <c r="NYX371" s="332"/>
      <c r="NYY371" s="117"/>
      <c r="NZA371" s="118"/>
      <c r="NZC371" s="342"/>
      <c r="NZD371" s="674"/>
      <c r="NZE371" s="351"/>
      <c r="NZF371" s="352"/>
      <c r="NZG371" s="332"/>
      <c r="NZH371" s="117"/>
      <c r="NZJ371" s="118"/>
      <c r="NZL371" s="342"/>
      <c r="NZM371" s="674"/>
      <c r="NZN371" s="351"/>
      <c r="NZO371" s="352"/>
      <c r="NZP371" s="332"/>
      <c r="NZQ371" s="117"/>
      <c r="NZS371" s="118"/>
      <c r="NZU371" s="342"/>
      <c r="NZV371" s="674"/>
      <c r="NZW371" s="351"/>
      <c r="NZX371" s="352"/>
      <c r="NZY371" s="332"/>
      <c r="NZZ371" s="117"/>
      <c r="OAB371" s="118"/>
      <c r="OAD371" s="342"/>
      <c r="OAE371" s="674"/>
      <c r="OAF371" s="351"/>
      <c r="OAG371" s="352"/>
      <c r="OAH371" s="332"/>
      <c r="OAI371" s="117"/>
      <c r="OAK371" s="118"/>
      <c r="OAM371" s="342"/>
      <c r="OAN371" s="674"/>
      <c r="OAO371" s="351"/>
      <c r="OAP371" s="352"/>
      <c r="OAQ371" s="332"/>
      <c r="OAR371" s="117"/>
      <c r="OAT371" s="118"/>
      <c r="OAV371" s="342"/>
      <c r="OAW371" s="674"/>
      <c r="OAX371" s="351"/>
      <c r="OAY371" s="352"/>
      <c r="OAZ371" s="332"/>
      <c r="OBA371" s="117"/>
      <c r="OBC371" s="118"/>
      <c r="OBE371" s="342"/>
      <c r="OBF371" s="674"/>
      <c r="OBG371" s="351"/>
      <c r="OBH371" s="352"/>
      <c r="OBI371" s="332"/>
      <c r="OBJ371" s="117"/>
      <c r="OBL371" s="118"/>
      <c r="OBN371" s="342"/>
      <c r="OBO371" s="674"/>
      <c r="OBP371" s="351"/>
      <c r="OBQ371" s="352"/>
      <c r="OBR371" s="332"/>
      <c r="OBS371" s="117"/>
      <c r="OBU371" s="118"/>
      <c r="OBW371" s="342"/>
      <c r="OBX371" s="674"/>
      <c r="OBY371" s="351"/>
      <c r="OBZ371" s="352"/>
      <c r="OCA371" s="332"/>
      <c r="OCB371" s="117"/>
      <c r="OCD371" s="118"/>
      <c r="OCF371" s="342"/>
      <c r="OCG371" s="674"/>
      <c r="OCH371" s="351"/>
      <c r="OCI371" s="352"/>
      <c r="OCJ371" s="332"/>
      <c r="OCK371" s="117"/>
      <c r="OCM371" s="118"/>
      <c r="OCO371" s="342"/>
      <c r="OCP371" s="674"/>
      <c r="OCQ371" s="351"/>
      <c r="OCR371" s="352"/>
      <c r="OCS371" s="332"/>
      <c r="OCT371" s="117"/>
      <c r="OCV371" s="118"/>
      <c r="OCX371" s="342"/>
      <c r="OCY371" s="674"/>
      <c r="OCZ371" s="351"/>
      <c r="ODA371" s="352"/>
      <c r="ODB371" s="332"/>
      <c r="ODC371" s="117"/>
      <c r="ODE371" s="118"/>
      <c r="ODG371" s="342"/>
      <c r="ODH371" s="674"/>
      <c r="ODI371" s="351"/>
      <c r="ODJ371" s="352"/>
      <c r="ODK371" s="332"/>
      <c r="ODL371" s="117"/>
      <c r="ODN371" s="118"/>
      <c r="ODP371" s="342"/>
      <c r="ODQ371" s="674"/>
      <c r="ODR371" s="351"/>
      <c r="ODS371" s="352"/>
      <c r="ODT371" s="332"/>
      <c r="ODU371" s="117"/>
      <c r="ODW371" s="118"/>
      <c r="ODY371" s="342"/>
      <c r="ODZ371" s="674"/>
      <c r="OEA371" s="351"/>
      <c r="OEB371" s="352"/>
      <c r="OEC371" s="332"/>
      <c r="OED371" s="117"/>
      <c r="OEF371" s="118"/>
      <c r="OEH371" s="342"/>
      <c r="OEI371" s="674"/>
      <c r="OEJ371" s="351"/>
      <c r="OEK371" s="352"/>
      <c r="OEL371" s="332"/>
      <c r="OEM371" s="117"/>
      <c r="OEO371" s="118"/>
      <c r="OEQ371" s="342"/>
      <c r="OER371" s="674"/>
      <c r="OES371" s="351"/>
      <c r="OET371" s="352"/>
      <c r="OEU371" s="332"/>
      <c r="OEV371" s="117"/>
      <c r="OEX371" s="118"/>
      <c r="OEZ371" s="342"/>
      <c r="OFA371" s="674"/>
      <c r="OFB371" s="351"/>
      <c r="OFC371" s="352"/>
      <c r="OFD371" s="332"/>
      <c r="OFE371" s="117"/>
      <c r="OFG371" s="118"/>
      <c r="OFI371" s="342"/>
      <c r="OFJ371" s="674"/>
      <c r="OFK371" s="351"/>
      <c r="OFL371" s="352"/>
      <c r="OFM371" s="332"/>
      <c r="OFN371" s="117"/>
      <c r="OFP371" s="118"/>
      <c r="OFR371" s="342"/>
      <c r="OFS371" s="674"/>
      <c r="OFT371" s="351"/>
      <c r="OFU371" s="352"/>
      <c r="OFV371" s="332"/>
      <c r="OFW371" s="117"/>
      <c r="OFY371" s="118"/>
      <c r="OGA371" s="342"/>
      <c r="OGB371" s="674"/>
      <c r="OGC371" s="351"/>
      <c r="OGD371" s="352"/>
      <c r="OGE371" s="332"/>
      <c r="OGF371" s="117"/>
      <c r="OGH371" s="118"/>
      <c r="OGJ371" s="342"/>
      <c r="OGK371" s="674"/>
      <c r="OGL371" s="351"/>
      <c r="OGM371" s="352"/>
      <c r="OGN371" s="332"/>
      <c r="OGO371" s="117"/>
      <c r="OGQ371" s="118"/>
      <c r="OGS371" s="342"/>
      <c r="OGT371" s="674"/>
      <c r="OGU371" s="351"/>
      <c r="OGV371" s="352"/>
      <c r="OGW371" s="332"/>
      <c r="OGX371" s="117"/>
      <c r="OGZ371" s="118"/>
      <c r="OHB371" s="342"/>
      <c r="OHC371" s="674"/>
      <c r="OHD371" s="351"/>
      <c r="OHE371" s="352"/>
      <c r="OHF371" s="332"/>
      <c r="OHG371" s="117"/>
      <c r="OHI371" s="118"/>
      <c r="OHK371" s="342"/>
      <c r="OHL371" s="674"/>
      <c r="OHM371" s="351"/>
      <c r="OHN371" s="352"/>
      <c r="OHO371" s="332"/>
      <c r="OHP371" s="117"/>
      <c r="OHR371" s="118"/>
      <c r="OHT371" s="342"/>
      <c r="OHU371" s="674"/>
      <c r="OHV371" s="351"/>
      <c r="OHW371" s="352"/>
      <c r="OHX371" s="332"/>
      <c r="OHY371" s="117"/>
      <c r="OIA371" s="118"/>
      <c r="OIC371" s="342"/>
      <c r="OID371" s="674"/>
      <c r="OIE371" s="351"/>
      <c r="OIF371" s="352"/>
      <c r="OIG371" s="332"/>
      <c r="OIH371" s="117"/>
      <c r="OIJ371" s="118"/>
      <c r="OIL371" s="342"/>
      <c r="OIM371" s="674"/>
      <c r="OIN371" s="351"/>
      <c r="OIO371" s="352"/>
      <c r="OIP371" s="332"/>
      <c r="OIQ371" s="117"/>
      <c r="OIS371" s="118"/>
      <c r="OIU371" s="342"/>
      <c r="OIV371" s="674"/>
      <c r="OIW371" s="351"/>
      <c r="OIX371" s="352"/>
      <c r="OIY371" s="332"/>
      <c r="OIZ371" s="117"/>
      <c r="OJB371" s="118"/>
      <c r="OJD371" s="342"/>
      <c r="OJE371" s="674"/>
      <c r="OJF371" s="351"/>
      <c r="OJG371" s="352"/>
      <c r="OJH371" s="332"/>
      <c r="OJI371" s="117"/>
      <c r="OJK371" s="118"/>
      <c r="OJM371" s="342"/>
      <c r="OJN371" s="674"/>
      <c r="OJO371" s="351"/>
      <c r="OJP371" s="352"/>
      <c r="OJQ371" s="332"/>
      <c r="OJR371" s="117"/>
      <c r="OJT371" s="118"/>
      <c r="OJV371" s="342"/>
      <c r="OJW371" s="674"/>
      <c r="OJX371" s="351"/>
      <c r="OJY371" s="352"/>
      <c r="OJZ371" s="332"/>
      <c r="OKA371" s="117"/>
      <c r="OKC371" s="118"/>
      <c r="OKE371" s="342"/>
      <c r="OKF371" s="674"/>
      <c r="OKG371" s="351"/>
      <c r="OKH371" s="352"/>
      <c r="OKI371" s="332"/>
      <c r="OKJ371" s="117"/>
      <c r="OKL371" s="118"/>
      <c r="OKN371" s="342"/>
      <c r="OKO371" s="674"/>
      <c r="OKP371" s="351"/>
      <c r="OKQ371" s="352"/>
      <c r="OKR371" s="332"/>
      <c r="OKS371" s="117"/>
      <c r="OKU371" s="118"/>
      <c r="OKW371" s="342"/>
      <c r="OKX371" s="674"/>
      <c r="OKY371" s="351"/>
      <c r="OKZ371" s="352"/>
      <c r="OLA371" s="332"/>
      <c r="OLB371" s="117"/>
      <c r="OLD371" s="118"/>
      <c r="OLF371" s="342"/>
      <c r="OLG371" s="674"/>
      <c r="OLH371" s="351"/>
      <c r="OLI371" s="352"/>
      <c r="OLJ371" s="332"/>
      <c r="OLK371" s="117"/>
      <c r="OLM371" s="118"/>
      <c r="OLO371" s="342"/>
      <c r="OLP371" s="674"/>
      <c r="OLQ371" s="351"/>
      <c r="OLR371" s="352"/>
      <c r="OLS371" s="332"/>
      <c r="OLT371" s="117"/>
      <c r="OLV371" s="118"/>
      <c r="OLX371" s="342"/>
      <c r="OLY371" s="674"/>
      <c r="OLZ371" s="351"/>
      <c r="OMA371" s="352"/>
      <c r="OMB371" s="332"/>
      <c r="OMC371" s="117"/>
      <c r="OME371" s="118"/>
      <c r="OMG371" s="342"/>
      <c r="OMH371" s="674"/>
      <c r="OMI371" s="351"/>
      <c r="OMJ371" s="352"/>
      <c r="OMK371" s="332"/>
      <c r="OML371" s="117"/>
      <c r="OMN371" s="118"/>
      <c r="OMP371" s="342"/>
      <c r="OMQ371" s="674"/>
      <c r="OMR371" s="351"/>
      <c r="OMS371" s="352"/>
      <c r="OMT371" s="332"/>
      <c r="OMU371" s="117"/>
      <c r="OMW371" s="118"/>
      <c r="OMY371" s="342"/>
      <c r="OMZ371" s="674"/>
      <c r="ONA371" s="351"/>
      <c r="ONB371" s="352"/>
      <c r="ONC371" s="332"/>
      <c r="OND371" s="117"/>
      <c r="ONF371" s="118"/>
      <c r="ONH371" s="342"/>
      <c r="ONI371" s="674"/>
      <c r="ONJ371" s="351"/>
      <c r="ONK371" s="352"/>
      <c r="ONL371" s="332"/>
      <c r="ONM371" s="117"/>
      <c r="ONO371" s="118"/>
      <c r="ONQ371" s="342"/>
      <c r="ONR371" s="674"/>
      <c r="ONS371" s="351"/>
      <c r="ONT371" s="352"/>
      <c r="ONU371" s="332"/>
      <c r="ONV371" s="117"/>
      <c r="ONX371" s="118"/>
      <c r="ONZ371" s="342"/>
      <c r="OOA371" s="674"/>
      <c r="OOB371" s="351"/>
      <c r="OOC371" s="352"/>
      <c r="OOD371" s="332"/>
      <c r="OOE371" s="117"/>
      <c r="OOG371" s="118"/>
      <c r="OOI371" s="342"/>
      <c r="OOJ371" s="674"/>
      <c r="OOK371" s="351"/>
      <c r="OOL371" s="352"/>
      <c r="OOM371" s="332"/>
      <c r="OON371" s="117"/>
      <c r="OOP371" s="118"/>
      <c r="OOR371" s="342"/>
      <c r="OOS371" s="674"/>
      <c r="OOT371" s="351"/>
      <c r="OOU371" s="352"/>
      <c r="OOV371" s="332"/>
      <c r="OOW371" s="117"/>
      <c r="OOY371" s="118"/>
      <c r="OPA371" s="342"/>
      <c r="OPB371" s="674"/>
      <c r="OPC371" s="351"/>
      <c r="OPD371" s="352"/>
      <c r="OPE371" s="332"/>
      <c r="OPF371" s="117"/>
      <c r="OPH371" s="118"/>
      <c r="OPJ371" s="342"/>
      <c r="OPK371" s="674"/>
      <c r="OPL371" s="351"/>
      <c r="OPM371" s="352"/>
      <c r="OPN371" s="332"/>
      <c r="OPO371" s="117"/>
      <c r="OPQ371" s="118"/>
      <c r="OPS371" s="342"/>
      <c r="OPT371" s="674"/>
      <c r="OPU371" s="351"/>
      <c r="OPV371" s="352"/>
      <c r="OPW371" s="332"/>
      <c r="OPX371" s="117"/>
      <c r="OPZ371" s="118"/>
      <c r="OQB371" s="342"/>
      <c r="OQC371" s="674"/>
      <c r="OQD371" s="351"/>
      <c r="OQE371" s="352"/>
      <c r="OQF371" s="332"/>
      <c r="OQG371" s="117"/>
      <c r="OQI371" s="118"/>
      <c r="OQK371" s="342"/>
      <c r="OQL371" s="674"/>
      <c r="OQM371" s="351"/>
      <c r="OQN371" s="352"/>
      <c r="OQO371" s="332"/>
      <c r="OQP371" s="117"/>
      <c r="OQR371" s="118"/>
      <c r="OQT371" s="342"/>
      <c r="OQU371" s="674"/>
      <c r="OQV371" s="351"/>
      <c r="OQW371" s="352"/>
      <c r="OQX371" s="332"/>
      <c r="OQY371" s="117"/>
      <c r="ORA371" s="118"/>
      <c r="ORC371" s="342"/>
      <c r="ORD371" s="674"/>
      <c r="ORE371" s="351"/>
      <c r="ORF371" s="352"/>
      <c r="ORG371" s="332"/>
      <c r="ORH371" s="117"/>
      <c r="ORJ371" s="118"/>
      <c r="ORL371" s="342"/>
      <c r="ORM371" s="674"/>
      <c r="ORN371" s="351"/>
      <c r="ORO371" s="352"/>
      <c r="ORP371" s="332"/>
      <c r="ORQ371" s="117"/>
      <c r="ORS371" s="118"/>
      <c r="ORU371" s="342"/>
      <c r="ORV371" s="674"/>
      <c r="ORW371" s="351"/>
      <c r="ORX371" s="352"/>
      <c r="ORY371" s="332"/>
      <c r="ORZ371" s="117"/>
      <c r="OSB371" s="118"/>
      <c r="OSD371" s="342"/>
      <c r="OSE371" s="674"/>
      <c r="OSF371" s="351"/>
      <c r="OSG371" s="352"/>
      <c r="OSH371" s="332"/>
      <c r="OSI371" s="117"/>
      <c r="OSK371" s="118"/>
      <c r="OSM371" s="342"/>
      <c r="OSN371" s="674"/>
      <c r="OSO371" s="351"/>
      <c r="OSP371" s="352"/>
      <c r="OSQ371" s="332"/>
      <c r="OSR371" s="117"/>
      <c r="OST371" s="118"/>
      <c r="OSV371" s="342"/>
      <c r="OSW371" s="674"/>
      <c r="OSX371" s="351"/>
      <c r="OSY371" s="352"/>
      <c r="OSZ371" s="332"/>
      <c r="OTA371" s="117"/>
      <c r="OTC371" s="118"/>
      <c r="OTE371" s="342"/>
      <c r="OTF371" s="674"/>
      <c r="OTG371" s="351"/>
      <c r="OTH371" s="352"/>
      <c r="OTI371" s="332"/>
      <c r="OTJ371" s="117"/>
      <c r="OTL371" s="118"/>
      <c r="OTN371" s="342"/>
      <c r="OTO371" s="674"/>
      <c r="OTP371" s="351"/>
      <c r="OTQ371" s="352"/>
      <c r="OTR371" s="332"/>
      <c r="OTS371" s="117"/>
      <c r="OTU371" s="118"/>
      <c r="OTW371" s="342"/>
      <c r="OTX371" s="674"/>
      <c r="OTY371" s="351"/>
      <c r="OTZ371" s="352"/>
      <c r="OUA371" s="332"/>
      <c r="OUB371" s="117"/>
      <c r="OUD371" s="118"/>
      <c r="OUF371" s="342"/>
      <c r="OUG371" s="674"/>
      <c r="OUH371" s="351"/>
      <c r="OUI371" s="352"/>
      <c r="OUJ371" s="332"/>
      <c r="OUK371" s="117"/>
      <c r="OUM371" s="118"/>
      <c r="OUO371" s="342"/>
      <c r="OUP371" s="674"/>
      <c r="OUQ371" s="351"/>
      <c r="OUR371" s="352"/>
      <c r="OUS371" s="332"/>
      <c r="OUT371" s="117"/>
      <c r="OUV371" s="118"/>
      <c r="OUX371" s="342"/>
      <c r="OUY371" s="674"/>
      <c r="OUZ371" s="351"/>
      <c r="OVA371" s="352"/>
      <c r="OVB371" s="332"/>
      <c r="OVC371" s="117"/>
      <c r="OVE371" s="118"/>
      <c r="OVG371" s="342"/>
      <c r="OVH371" s="674"/>
      <c r="OVI371" s="351"/>
      <c r="OVJ371" s="352"/>
      <c r="OVK371" s="332"/>
      <c r="OVL371" s="117"/>
      <c r="OVN371" s="118"/>
      <c r="OVP371" s="342"/>
      <c r="OVQ371" s="674"/>
      <c r="OVR371" s="351"/>
      <c r="OVS371" s="352"/>
      <c r="OVT371" s="332"/>
      <c r="OVU371" s="117"/>
      <c r="OVW371" s="118"/>
      <c r="OVY371" s="342"/>
      <c r="OVZ371" s="674"/>
      <c r="OWA371" s="351"/>
      <c r="OWB371" s="352"/>
      <c r="OWC371" s="332"/>
      <c r="OWD371" s="117"/>
      <c r="OWF371" s="118"/>
      <c r="OWH371" s="342"/>
      <c r="OWI371" s="674"/>
      <c r="OWJ371" s="351"/>
      <c r="OWK371" s="352"/>
      <c r="OWL371" s="332"/>
      <c r="OWM371" s="117"/>
      <c r="OWO371" s="118"/>
      <c r="OWQ371" s="342"/>
      <c r="OWR371" s="674"/>
      <c r="OWS371" s="351"/>
      <c r="OWT371" s="352"/>
      <c r="OWU371" s="332"/>
      <c r="OWV371" s="117"/>
      <c r="OWX371" s="118"/>
      <c r="OWZ371" s="342"/>
      <c r="OXA371" s="674"/>
      <c r="OXB371" s="351"/>
      <c r="OXC371" s="352"/>
      <c r="OXD371" s="332"/>
      <c r="OXE371" s="117"/>
      <c r="OXG371" s="118"/>
      <c r="OXI371" s="342"/>
      <c r="OXJ371" s="674"/>
      <c r="OXK371" s="351"/>
      <c r="OXL371" s="352"/>
      <c r="OXM371" s="332"/>
      <c r="OXN371" s="117"/>
      <c r="OXP371" s="118"/>
      <c r="OXR371" s="342"/>
      <c r="OXS371" s="674"/>
      <c r="OXT371" s="351"/>
      <c r="OXU371" s="352"/>
      <c r="OXV371" s="332"/>
      <c r="OXW371" s="117"/>
      <c r="OXY371" s="118"/>
      <c r="OYA371" s="342"/>
      <c r="OYB371" s="674"/>
      <c r="OYC371" s="351"/>
      <c r="OYD371" s="352"/>
      <c r="OYE371" s="332"/>
      <c r="OYF371" s="117"/>
      <c r="OYH371" s="118"/>
      <c r="OYJ371" s="342"/>
      <c r="OYK371" s="674"/>
      <c r="OYL371" s="351"/>
      <c r="OYM371" s="352"/>
      <c r="OYN371" s="332"/>
      <c r="OYO371" s="117"/>
      <c r="OYQ371" s="118"/>
      <c r="OYS371" s="342"/>
      <c r="OYT371" s="674"/>
      <c r="OYU371" s="351"/>
      <c r="OYV371" s="352"/>
      <c r="OYW371" s="332"/>
      <c r="OYX371" s="117"/>
      <c r="OYZ371" s="118"/>
      <c r="OZB371" s="342"/>
      <c r="OZC371" s="674"/>
      <c r="OZD371" s="351"/>
      <c r="OZE371" s="352"/>
      <c r="OZF371" s="332"/>
      <c r="OZG371" s="117"/>
      <c r="OZI371" s="118"/>
      <c r="OZK371" s="342"/>
      <c r="OZL371" s="674"/>
      <c r="OZM371" s="351"/>
      <c r="OZN371" s="352"/>
      <c r="OZO371" s="332"/>
      <c r="OZP371" s="117"/>
      <c r="OZR371" s="118"/>
      <c r="OZT371" s="342"/>
      <c r="OZU371" s="674"/>
      <c r="OZV371" s="351"/>
      <c r="OZW371" s="352"/>
      <c r="OZX371" s="332"/>
      <c r="OZY371" s="117"/>
      <c r="PAA371" s="118"/>
      <c r="PAC371" s="342"/>
      <c r="PAD371" s="674"/>
      <c r="PAE371" s="351"/>
      <c r="PAF371" s="352"/>
      <c r="PAG371" s="332"/>
      <c r="PAH371" s="117"/>
      <c r="PAJ371" s="118"/>
      <c r="PAL371" s="342"/>
      <c r="PAM371" s="674"/>
      <c r="PAN371" s="351"/>
      <c r="PAO371" s="352"/>
      <c r="PAP371" s="332"/>
      <c r="PAQ371" s="117"/>
      <c r="PAS371" s="118"/>
      <c r="PAU371" s="342"/>
      <c r="PAV371" s="674"/>
      <c r="PAW371" s="351"/>
      <c r="PAX371" s="352"/>
      <c r="PAY371" s="332"/>
      <c r="PAZ371" s="117"/>
      <c r="PBB371" s="118"/>
      <c r="PBD371" s="342"/>
      <c r="PBE371" s="674"/>
      <c r="PBF371" s="351"/>
      <c r="PBG371" s="352"/>
      <c r="PBH371" s="332"/>
      <c r="PBI371" s="117"/>
      <c r="PBK371" s="118"/>
      <c r="PBM371" s="342"/>
      <c r="PBN371" s="674"/>
      <c r="PBO371" s="351"/>
      <c r="PBP371" s="352"/>
      <c r="PBQ371" s="332"/>
      <c r="PBR371" s="117"/>
      <c r="PBT371" s="118"/>
      <c r="PBV371" s="342"/>
      <c r="PBW371" s="674"/>
      <c r="PBX371" s="351"/>
      <c r="PBY371" s="352"/>
      <c r="PBZ371" s="332"/>
      <c r="PCA371" s="117"/>
      <c r="PCC371" s="118"/>
      <c r="PCE371" s="342"/>
      <c r="PCF371" s="674"/>
      <c r="PCG371" s="351"/>
      <c r="PCH371" s="352"/>
      <c r="PCI371" s="332"/>
      <c r="PCJ371" s="117"/>
      <c r="PCL371" s="118"/>
      <c r="PCN371" s="342"/>
      <c r="PCO371" s="674"/>
      <c r="PCP371" s="351"/>
      <c r="PCQ371" s="352"/>
      <c r="PCR371" s="332"/>
      <c r="PCS371" s="117"/>
      <c r="PCU371" s="118"/>
      <c r="PCW371" s="342"/>
      <c r="PCX371" s="674"/>
      <c r="PCY371" s="351"/>
      <c r="PCZ371" s="352"/>
      <c r="PDA371" s="332"/>
      <c r="PDB371" s="117"/>
      <c r="PDD371" s="118"/>
      <c r="PDF371" s="342"/>
      <c r="PDG371" s="674"/>
      <c r="PDH371" s="351"/>
      <c r="PDI371" s="352"/>
      <c r="PDJ371" s="332"/>
      <c r="PDK371" s="117"/>
      <c r="PDM371" s="118"/>
      <c r="PDO371" s="342"/>
      <c r="PDP371" s="674"/>
      <c r="PDQ371" s="351"/>
      <c r="PDR371" s="352"/>
      <c r="PDS371" s="332"/>
      <c r="PDT371" s="117"/>
      <c r="PDV371" s="118"/>
      <c r="PDX371" s="342"/>
      <c r="PDY371" s="674"/>
      <c r="PDZ371" s="351"/>
      <c r="PEA371" s="352"/>
      <c r="PEB371" s="332"/>
      <c r="PEC371" s="117"/>
      <c r="PEE371" s="118"/>
      <c r="PEG371" s="342"/>
      <c r="PEH371" s="674"/>
      <c r="PEI371" s="351"/>
      <c r="PEJ371" s="352"/>
      <c r="PEK371" s="332"/>
      <c r="PEL371" s="117"/>
      <c r="PEN371" s="118"/>
      <c r="PEP371" s="342"/>
      <c r="PEQ371" s="674"/>
      <c r="PER371" s="351"/>
      <c r="PES371" s="352"/>
      <c r="PET371" s="332"/>
      <c r="PEU371" s="117"/>
      <c r="PEW371" s="118"/>
      <c r="PEY371" s="342"/>
      <c r="PEZ371" s="674"/>
      <c r="PFA371" s="351"/>
      <c r="PFB371" s="352"/>
      <c r="PFC371" s="332"/>
      <c r="PFD371" s="117"/>
      <c r="PFF371" s="118"/>
      <c r="PFH371" s="342"/>
      <c r="PFI371" s="674"/>
      <c r="PFJ371" s="351"/>
      <c r="PFK371" s="352"/>
      <c r="PFL371" s="332"/>
      <c r="PFM371" s="117"/>
      <c r="PFO371" s="118"/>
      <c r="PFQ371" s="342"/>
      <c r="PFR371" s="674"/>
      <c r="PFS371" s="351"/>
      <c r="PFT371" s="352"/>
      <c r="PFU371" s="332"/>
      <c r="PFV371" s="117"/>
      <c r="PFX371" s="118"/>
      <c r="PFZ371" s="342"/>
      <c r="PGA371" s="674"/>
      <c r="PGB371" s="351"/>
      <c r="PGC371" s="352"/>
      <c r="PGD371" s="332"/>
      <c r="PGE371" s="117"/>
      <c r="PGG371" s="118"/>
      <c r="PGI371" s="342"/>
      <c r="PGJ371" s="674"/>
      <c r="PGK371" s="351"/>
      <c r="PGL371" s="352"/>
      <c r="PGM371" s="332"/>
      <c r="PGN371" s="117"/>
      <c r="PGP371" s="118"/>
      <c r="PGR371" s="342"/>
      <c r="PGS371" s="674"/>
      <c r="PGT371" s="351"/>
      <c r="PGU371" s="352"/>
      <c r="PGV371" s="332"/>
      <c r="PGW371" s="117"/>
      <c r="PGY371" s="118"/>
      <c r="PHA371" s="342"/>
      <c r="PHB371" s="674"/>
      <c r="PHC371" s="351"/>
      <c r="PHD371" s="352"/>
      <c r="PHE371" s="332"/>
      <c r="PHF371" s="117"/>
      <c r="PHH371" s="118"/>
      <c r="PHJ371" s="342"/>
      <c r="PHK371" s="674"/>
      <c r="PHL371" s="351"/>
      <c r="PHM371" s="352"/>
      <c r="PHN371" s="332"/>
      <c r="PHO371" s="117"/>
      <c r="PHQ371" s="118"/>
      <c r="PHS371" s="342"/>
      <c r="PHT371" s="674"/>
      <c r="PHU371" s="351"/>
      <c r="PHV371" s="352"/>
      <c r="PHW371" s="332"/>
      <c r="PHX371" s="117"/>
      <c r="PHZ371" s="118"/>
      <c r="PIB371" s="342"/>
      <c r="PIC371" s="674"/>
      <c r="PID371" s="351"/>
      <c r="PIE371" s="352"/>
      <c r="PIF371" s="332"/>
      <c r="PIG371" s="117"/>
      <c r="PII371" s="118"/>
      <c r="PIK371" s="342"/>
      <c r="PIL371" s="674"/>
      <c r="PIM371" s="351"/>
      <c r="PIN371" s="352"/>
      <c r="PIO371" s="332"/>
      <c r="PIP371" s="117"/>
      <c r="PIR371" s="118"/>
      <c r="PIT371" s="342"/>
      <c r="PIU371" s="674"/>
      <c r="PIV371" s="351"/>
      <c r="PIW371" s="352"/>
      <c r="PIX371" s="332"/>
      <c r="PIY371" s="117"/>
      <c r="PJA371" s="118"/>
      <c r="PJC371" s="342"/>
      <c r="PJD371" s="674"/>
      <c r="PJE371" s="351"/>
      <c r="PJF371" s="352"/>
      <c r="PJG371" s="332"/>
      <c r="PJH371" s="117"/>
      <c r="PJJ371" s="118"/>
      <c r="PJL371" s="342"/>
      <c r="PJM371" s="674"/>
      <c r="PJN371" s="351"/>
      <c r="PJO371" s="352"/>
      <c r="PJP371" s="332"/>
      <c r="PJQ371" s="117"/>
      <c r="PJS371" s="118"/>
      <c r="PJU371" s="342"/>
      <c r="PJV371" s="674"/>
      <c r="PJW371" s="351"/>
      <c r="PJX371" s="352"/>
      <c r="PJY371" s="332"/>
      <c r="PJZ371" s="117"/>
      <c r="PKB371" s="118"/>
      <c r="PKD371" s="342"/>
      <c r="PKE371" s="674"/>
      <c r="PKF371" s="351"/>
      <c r="PKG371" s="352"/>
      <c r="PKH371" s="332"/>
      <c r="PKI371" s="117"/>
      <c r="PKK371" s="118"/>
      <c r="PKM371" s="342"/>
      <c r="PKN371" s="674"/>
      <c r="PKO371" s="351"/>
      <c r="PKP371" s="352"/>
      <c r="PKQ371" s="332"/>
      <c r="PKR371" s="117"/>
      <c r="PKT371" s="118"/>
      <c r="PKV371" s="342"/>
      <c r="PKW371" s="674"/>
      <c r="PKX371" s="351"/>
      <c r="PKY371" s="352"/>
      <c r="PKZ371" s="332"/>
      <c r="PLA371" s="117"/>
      <c r="PLC371" s="118"/>
      <c r="PLE371" s="342"/>
      <c r="PLF371" s="674"/>
      <c r="PLG371" s="351"/>
      <c r="PLH371" s="352"/>
      <c r="PLI371" s="332"/>
      <c r="PLJ371" s="117"/>
      <c r="PLL371" s="118"/>
      <c r="PLN371" s="342"/>
      <c r="PLO371" s="674"/>
      <c r="PLP371" s="351"/>
      <c r="PLQ371" s="352"/>
      <c r="PLR371" s="332"/>
      <c r="PLS371" s="117"/>
      <c r="PLU371" s="118"/>
      <c r="PLW371" s="342"/>
      <c r="PLX371" s="674"/>
      <c r="PLY371" s="351"/>
      <c r="PLZ371" s="352"/>
      <c r="PMA371" s="332"/>
      <c r="PMB371" s="117"/>
      <c r="PMD371" s="118"/>
      <c r="PMF371" s="342"/>
      <c r="PMG371" s="674"/>
      <c r="PMH371" s="351"/>
      <c r="PMI371" s="352"/>
      <c r="PMJ371" s="332"/>
      <c r="PMK371" s="117"/>
      <c r="PMM371" s="118"/>
      <c r="PMO371" s="342"/>
      <c r="PMP371" s="674"/>
      <c r="PMQ371" s="351"/>
      <c r="PMR371" s="352"/>
      <c r="PMS371" s="332"/>
      <c r="PMT371" s="117"/>
      <c r="PMV371" s="118"/>
      <c r="PMX371" s="342"/>
      <c r="PMY371" s="674"/>
      <c r="PMZ371" s="351"/>
      <c r="PNA371" s="352"/>
      <c r="PNB371" s="332"/>
      <c r="PNC371" s="117"/>
      <c r="PNE371" s="118"/>
      <c r="PNG371" s="342"/>
      <c r="PNH371" s="674"/>
      <c r="PNI371" s="351"/>
      <c r="PNJ371" s="352"/>
      <c r="PNK371" s="332"/>
      <c r="PNL371" s="117"/>
      <c r="PNN371" s="118"/>
      <c r="PNP371" s="342"/>
      <c r="PNQ371" s="674"/>
      <c r="PNR371" s="351"/>
      <c r="PNS371" s="352"/>
      <c r="PNT371" s="332"/>
      <c r="PNU371" s="117"/>
      <c r="PNW371" s="118"/>
      <c r="PNY371" s="342"/>
      <c r="PNZ371" s="674"/>
      <c r="POA371" s="351"/>
      <c r="POB371" s="352"/>
      <c r="POC371" s="332"/>
      <c r="POD371" s="117"/>
      <c r="POF371" s="118"/>
      <c r="POH371" s="342"/>
      <c r="POI371" s="674"/>
      <c r="POJ371" s="351"/>
      <c r="POK371" s="352"/>
      <c r="POL371" s="332"/>
      <c r="POM371" s="117"/>
      <c r="POO371" s="118"/>
      <c r="POQ371" s="342"/>
      <c r="POR371" s="674"/>
      <c r="POS371" s="351"/>
      <c r="POT371" s="352"/>
      <c r="POU371" s="332"/>
      <c r="POV371" s="117"/>
      <c r="POX371" s="118"/>
      <c r="POZ371" s="342"/>
      <c r="PPA371" s="674"/>
      <c r="PPB371" s="351"/>
      <c r="PPC371" s="352"/>
      <c r="PPD371" s="332"/>
      <c r="PPE371" s="117"/>
      <c r="PPG371" s="118"/>
      <c r="PPI371" s="342"/>
      <c r="PPJ371" s="674"/>
      <c r="PPK371" s="351"/>
      <c r="PPL371" s="352"/>
      <c r="PPM371" s="332"/>
      <c r="PPN371" s="117"/>
      <c r="PPP371" s="118"/>
      <c r="PPR371" s="342"/>
      <c r="PPS371" s="674"/>
      <c r="PPT371" s="351"/>
      <c r="PPU371" s="352"/>
      <c r="PPV371" s="332"/>
      <c r="PPW371" s="117"/>
      <c r="PPY371" s="118"/>
      <c r="PQA371" s="342"/>
      <c r="PQB371" s="674"/>
      <c r="PQC371" s="351"/>
      <c r="PQD371" s="352"/>
      <c r="PQE371" s="332"/>
      <c r="PQF371" s="117"/>
      <c r="PQH371" s="118"/>
      <c r="PQJ371" s="342"/>
      <c r="PQK371" s="674"/>
      <c r="PQL371" s="351"/>
      <c r="PQM371" s="352"/>
      <c r="PQN371" s="332"/>
      <c r="PQO371" s="117"/>
      <c r="PQQ371" s="118"/>
      <c r="PQS371" s="342"/>
      <c r="PQT371" s="674"/>
      <c r="PQU371" s="351"/>
      <c r="PQV371" s="352"/>
      <c r="PQW371" s="332"/>
      <c r="PQX371" s="117"/>
      <c r="PQZ371" s="118"/>
      <c r="PRB371" s="342"/>
      <c r="PRC371" s="674"/>
      <c r="PRD371" s="351"/>
      <c r="PRE371" s="352"/>
      <c r="PRF371" s="332"/>
      <c r="PRG371" s="117"/>
      <c r="PRI371" s="118"/>
      <c r="PRK371" s="342"/>
      <c r="PRL371" s="674"/>
      <c r="PRM371" s="351"/>
      <c r="PRN371" s="352"/>
      <c r="PRO371" s="332"/>
      <c r="PRP371" s="117"/>
      <c r="PRR371" s="118"/>
      <c r="PRT371" s="342"/>
      <c r="PRU371" s="674"/>
      <c r="PRV371" s="351"/>
      <c r="PRW371" s="352"/>
      <c r="PRX371" s="332"/>
      <c r="PRY371" s="117"/>
      <c r="PSA371" s="118"/>
      <c r="PSC371" s="342"/>
      <c r="PSD371" s="674"/>
      <c r="PSE371" s="351"/>
      <c r="PSF371" s="352"/>
      <c r="PSG371" s="332"/>
      <c r="PSH371" s="117"/>
      <c r="PSJ371" s="118"/>
      <c r="PSL371" s="342"/>
      <c r="PSM371" s="674"/>
      <c r="PSN371" s="351"/>
      <c r="PSO371" s="352"/>
      <c r="PSP371" s="332"/>
      <c r="PSQ371" s="117"/>
      <c r="PSS371" s="118"/>
      <c r="PSU371" s="342"/>
      <c r="PSV371" s="674"/>
      <c r="PSW371" s="351"/>
      <c r="PSX371" s="352"/>
      <c r="PSY371" s="332"/>
      <c r="PSZ371" s="117"/>
      <c r="PTB371" s="118"/>
      <c r="PTD371" s="342"/>
      <c r="PTE371" s="674"/>
      <c r="PTF371" s="351"/>
      <c r="PTG371" s="352"/>
      <c r="PTH371" s="332"/>
      <c r="PTI371" s="117"/>
      <c r="PTK371" s="118"/>
      <c r="PTM371" s="342"/>
      <c r="PTN371" s="674"/>
      <c r="PTO371" s="351"/>
      <c r="PTP371" s="352"/>
      <c r="PTQ371" s="332"/>
      <c r="PTR371" s="117"/>
      <c r="PTT371" s="118"/>
      <c r="PTV371" s="342"/>
      <c r="PTW371" s="674"/>
      <c r="PTX371" s="351"/>
      <c r="PTY371" s="352"/>
      <c r="PTZ371" s="332"/>
      <c r="PUA371" s="117"/>
      <c r="PUC371" s="118"/>
      <c r="PUE371" s="342"/>
      <c r="PUF371" s="674"/>
      <c r="PUG371" s="351"/>
      <c r="PUH371" s="352"/>
      <c r="PUI371" s="332"/>
      <c r="PUJ371" s="117"/>
      <c r="PUL371" s="118"/>
      <c r="PUN371" s="342"/>
      <c r="PUO371" s="674"/>
      <c r="PUP371" s="351"/>
      <c r="PUQ371" s="352"/>
      <c r="PUR371" s="332"/>
      <c r="PUS371" s="117"/>
      <c r="PUU371" s="118"/>
      <c r="PUW371" s="342"/>
      <c r="PUX371" s="674"/>
      <c r="PUY371" s="351"/>
      <c r="PUZ371" s="352"/>
      <c r="PVA371" s="332"/>
      <c r="PVB371" s="117"/>
      <c r="PVD371" s="118"/>
      <c r="PVF371" s="342"/>
      <c r="PVG371" s="674"/>
      <c r="PVH371" s="351"/>
      <c r="PVI371" s="352"/>
      <c r="PVJ371" s="332"/>
      <c r="PVK371" s="117"/>
      <c r="PVM371" s="118"/>
      <c r="PVO371" s="342"/>
      <c r="PVP371" s="674"/>
      <c r="PVQ371" s="351"/>
      <c r="PVR371" s="352"/>
      <c r="PVS371" s="332"/>
      <c r="PVT371" s="117"/>
      <c r="PVV371" s="118"/>
      <c r="PVX371" s="342"/>
      <c r="PVY371" s="674"/>
      <c r="PVZ371" s="351"/>
      <c r="PWA371" s="352"/>
      <c r="PWB371" s="332"/>
      <c r="PWC371" s="117"/>
      <c r="PWE371" s="118"/>
      <c r="PWG371" s="342"/>
      <c r="PWH371" s="674"/>
      <c r="PWI371" s="351"/>
      <c r="PWJ371" s="352"/>
      <c r="PWK371" s="332"/>
      <c r="PWL371" s="117"/>
      <c r="PWN371" s="118"/>
      <c r="PWP371" s="342"/>
      <c r="PWQ371" s="674"/>
      <c r="PWR371" s="351"/>
      <c r="PWS371" s="352"/>
      <c r="PWT371" s="332"/>
      <c r="PWU371" s="117"/>
      <c r="PWW371" s="118"/>
      <c r="PWY371" s="342"/>
      <c r="PWZ371" s="674"/>
      <c r="PXA371" s="351"/>
      <c r="PXB371" s="352"/>
      <c r="PXC371" s="332"/>
      <c r="PXD371" s="117"/>
      <c r="PXF371" s="118"/>
      <c r="PXH371" s="342"/>
      <c r="PXI371" s="674"/>
      <c r="PXJ371" s="351"/>
      <c r="PXK371" s="352"/>
      <c r="PXL371" s="332"/>
      <c r="PXM371" s="117"/>
      <c r="PXO371" s="118"/>
      <c r="PXQ371" s="342"/>
      <c r="PXR371" s="674"/>
      <c r="PXS371" s="351"/>
      <c r="PXT371" s="352"/>
      <c r="PXU371" s="332"/>
      <c r="PXV371" s="117"/>
      <c r="PXX371" s="118"/>
      <c r="PXZ371" s="342"/>
      <c r="PYA371" s="674"/>
      <c r="PYB371" s="351"/>
      <c r="PYC371" s="352"/>
      <c r="PYD371" s="332"/>
      <c r="PYE371" s="117"/>
      <c r="PYG371" s="118"/>
      <c r="PYI371" s="342"/>
      <c r="PYJ371" s="674"/>
      <c r="PYK371" s="351"/>
      <c r="PYL371" s="352"/>
      <c r="PYM371" s="332"/>
      <c r="PYN371" s="117"/>
      <c r="PYP371" s="118"/>
      <c r="PYR371" s="342"/>
      <c r="PYS371" s="674"/>
      <c r="PYT371" s="351"/>
      <c r="PYU371" s="352"/>
      <c r="PYV371" s="332"/>
      <c r="PYW371" s="117"/>
      <c r="PYY371" s="118"/>
      <c r="PZA371" s="342"/>
      <c r="PZB371" s="674"/>
      <c r="PZC371" s="351"/>
      <c r="PZD371" s="352"/>
      <c r="PZE371" s="332"/>
      <c r="PZF371" s="117"/>
      <c r="PZH371" s="118"/>
      <c r="PZJ371" s="342"/>
      <c r="PZK371" s="674"/>
      <c r="PZL371" s="351"/>
      <c r="PZM371" s="352"/>
      <c r="PZN371" s="332"/>
      <c r="PZO371" s="117"/>
      <c r="PZQ371" s="118"/>
      <c r="PZS371" s="342"/>
      <c r="PZT371" s="674"/>
      <c r="PZU371" s="351"/>
      <c r="PZV371" s="352"/>
      <c r="PZW371" s="332"/>
      <c r="PZX371" s="117"/>
      <c r="PZZ371" s="118"/>
      <c r="QAB371" s="342"/>
      <c r="QAC371" s="674"/>
      <c r="QAD371" s="351"/>
      <c r="QAE371" s="352"/>
      <c r="QAF371" s="332"/>
      <c r="QAG371" s="117"/>
      <c r="QAI371" s="118"/>
      <c r="QAK371" s="342"/>
      <c r="QAL371" s="674"/>
      <c r="QAM371" s="351"/>
      <c r="QAN371" s="352"/>
      <c r="QAO371" s="332"/>
      <c r="QAP371" s="117"/>
      <c r="QAR371" s="118"/>
      <c r="QAT371" s="342"/>
      <c r="QAU371" s="674"/>
      <c r="QAV371" s="351"/>
      <c r="QAW371" s="352"/>
      <c r="QAX371" s="332"/>
      <c r="QAY371" s="117"/>
      <c r="QBA371" s="118"/>
      <c r="QBC371" s="342"/>
      <c r="QBD371" s="674"/>
      <c r="QBE371" s="351"/>
      <c r="QBF371" s="352"/>
      <c r="QBG371" s="332"/>
      <c r="QBH371" s="117"/>
      <c r="QBJ371" s="118"/>
      <c r="QBL371" s="342"/>
      <c r="QBM371" s="674"/>
      <c r="QBN371" s="351"/>
      <c r="QBO371" s="352"/>
      <c r="QBP371" s="332"/>
      <c r="QBQ371" s="117"/>
      <c r="QBS371" s="118"/>
      <c r="QBU371" s="342"/>
      <c r="QBV371" s="674"/>
      <c r="QBW371" s="351"/>
      <c r="QBX371" s="352"/>
      <c r="QBY371" s="332"/>
      <c r="QBZ371" s="117"/>
      <c r="QCB371" s="118"/>
      <c r="QCD371" s="342"/>
      <c r="QCE371" s="674"/>
      <c r="QCF371" s="351"/>
      <c r="QCG371" s="352"/>
      <c r="QCH371" s="332"/>
      <c r="QCI371" s="117"/>
      <c r="QCK371" s="118"/>
      <c r="QCM371" s="342"/>
      <c r="QCN371" s="674"/>
      <c r="QCO371" s="351"/>
      <c r="QCP371" s="352"/>
      <c r="QCQ371" s="332"/>
      <c r="QCR371" s="117"/>
      <c r="QCT371" s="118"/>
      <c r="QCV371" s="342"/>
      <c r="QCW371" s="674"/>
      <c r="QCX371" s="351"/>
      <c r="QCY371" s="352"/>
      <c r="QCZ371" s="332"/>
      <c r="QDA371" s="117"/>
      <c r="QDC371" s="118"/>
      <c r="QDE371" s="342"/>
      <c r="QDF371" s="674"/>
      <c r="QDG371" s="351"/>
      <c r="QDH371" s="352"/>
      <c r="QDI371" s="332"/>
      <c r="QDJ371" s="117"/>
      <c r="QDL371" s="118"/>
      <c r="QDN371" s="342"/>
      <c r="QDO371" s="674"/>
      <c r="QDP371" s="351"/>
      <c r="QDQ371" s="352"/>
      <c r="QDR371" s="332"/>
      <c r="QDS371" s="117"/>
      <c r="QDU371" s="118"/>
      <c r="QDW371" s="342"/>
      <c r="QDX371" s="674"/>
      <c r="QDY371" s="351"/>
      <c r="QDZ371" s="352"/>
      <c r="QEA371" s="332"/>
      <c r="QEB371" s="117"/>
      <c r="QED371" s="118"/>
      <c r="QEF371" s="342"/>
      <c r="QEG371" s="674"/>
      <c r="QEH371" s="351"/>
      <c r="QEI371" s="352"/>
      <c r="QEJ371" s="332"/>
      <c r="QEK371" s="117"/>
      <c r="QEM371" s="118"/>
      <c r="QEO371" s="342"/>
      <c r="QEP371" s="674"/>
      <c r="QEQ371" s="351"/>
      <c r="QER371" s="352"/>
      <c r="QES371" s="332"/>
      <c r="QET371" s="117"/>
      <c r="QEV371" s="118"/>
      <c r="QEX371" s="342"/>
      <c r="QEY371" s="674"/>
      <c r="QEZ371" s="351"/>
      <c r="QFA371" s="352"/>
      <c r="QFB371" s="332"/>
      <c r="QFC371" s="117"/>
      <c r="QFE371" s="118"/>
      <c r="QFG371" s="342"/>
      <c r="QFH371" s="674"/>
      <c r="QFI371" s="351"/>
      <c r="QFJ371" s="352"/>
      <c r="QFK371" s="332"/>
      <c r="QFL371" s="117"/>
      <c r="QFN371" s="118"/>
      <c r="QFP371" s="342"/>
      <c r="QFQ371" s="674"/>
      <c r="QFR371" s="351"/>
      <c r="QFS371" s="352"/>
      <c r="QFT371" s="332"/>
      <c r="QFU371" s="117"/>
      <c r="QFW371" s="118"/>
      <c r="QFY371" s="342"/>
      <c r="QFZ371" s="674"/>
      <c r="QGA371" s="351"/>
      <c r="QGB371" s="352"/>
      <c r="QGC371" s="332"/>
      <c r="QGD371" s="117"/>
      <c r="QGF371" s="118"/>
      <c r="QGH371" s="342"/>
      <c r="QGI371" s="674"/>
      <c r="QGJ371" s="351"/>
      <c r="QGK371" s="352"/>
      <c r="QGL371" s="332"/>
      <c r="QGM371" s="117"/>
      <c r="QGO371" s="118"/>
      <c r="QGQ371" s="342"/>
      <c r="QGR371" s="674"/>
      <c r="QGS371" s="351"/>
      <c r="QGT371" s="352"/>
      <c r="QGU371" s="332"/>
      <c r="QGV371" s="117"/>
      <c r="QGX371" s="118"/>
      <c r="QGZ371" s="342"/>
      <c r="QHA371" s="674"/>
      <c r="QHB371" s="351"/>
      <c r="QHC371" s="352"/>
      <c r="QHD371" s="332"/>
      <c r="QHE371" s="117"/>
      <c r="QHG371" s="118"/>
      <c r="QHI371" s="342"/>
      <c r="QHJ371" s="674"/>
      <c r="QHK371" s="351"/>
      <c r="QHL371" s="352"/>
      <c r="QHM371" s="332"/>
      <c r="QHN371" s="117"/>
      <c r="QHP371" s="118"/>
      <c r="QHR371" s="342"/>
      <c r="QHS371" s="674"/>
      <c r="QHT371" s="351"/>
      <c r="QHU371" s="352"/>
      <c r="QHV371" s="332"/>
      <c r="QHW371" s="117"/>
      <c r="QHY371" s="118"/>
      <c r="QIA371" s="342"/>
      <c r="QIB371" s="674"/>
      <c r="QIC371" s="351"/>
      <c r="QID371" s="352"/>
      <c r="QIE371" s="332"/>
      <c r="QIF371" s="117"/>
      <c r="QIH371" s="118"/>
      <c r="QIJ371" s="342"/>
      <c r="QIK371" s="674"/>
      <c r="QIL371" s="351"/>
      <c r="QIM371" s="352"/>
      <c r="QIN371" s="332"/>
      <c r="QIO371" s="117"/>
      <c r="QIQ371" s="118"/>
      <c r="QIS371" s="342"/>
      <c r="QIT371" s="674"/>
      <c r="QIU371" s="351"/>
      <c r="QIV371" s="352"/>
      <c r="QIW371" s="332"/>
      <c r="QIX371" s="117"/>
      <c r="QIZ371" s="118"/>
      <c r="QJB371" s="342"/>
      <c r="QJC371" s="674"/>
      <c r="QJD371" s="351"/>
      <c r="QJE371" s="352"/>
      <c r="QJF371" s="332"/>
      <c r="QJG371" s="117"/>
      <c r="QJI371" s="118"/>
      <c r="QJK371" s="342"/>
      <c r="QJL371" s="674"/>
      <c r="QJM371" s="351"/>
      <c r="QJN371" s="352"/>
      <c r="QJO371" s="332"/>
      <c r="QJP371" s="117"/>
      <c r="QJR371" s="118"/>
      <c r="QJT371" s="342"/>
      <c r="QJU371" s="674"/>
      <c r="QJV371" s="351"/>
      <c r="QJW371" s="352"/>
      <c r="QJX371" s="332"/>
      <c r="QJY371" s="117"/>
      <c r="QKA371" s="118"/>
      <c r="QKC371" s="342"/>
      <c r="QKD371" s="674"/>
      <c r="QKE371" s="351"/>
      <c r="QKF371" s="352"/>
      <c r="QKG371" s="332"/>
      <c r="QKH371" s="117"/>
      <c r="QKJ371" s="118"/>
      <c r="QKL371" s="342"/>
      <c r="QKM371" s="674"/>
      <c r="QKN371" s="351"/>
      <c r="QKO371" s="352"/>
      <c r="QKP371" s="332"/>
      <c r="QKQ371" s="117"/>
      <c r="QKS371" s="118"/>
      <c r="QKU371" s="342"/>
      <c r="QKV371" s="674"/>
      <c r="QKW371" s="351"/>
      <c r="QKX371" s="352"/>
      <c r="QKY371" s="332"/>
      <c r="QKZ371" s="117"/>
      <c r="QLB371" s="118"/>
      <c r="QLD371" s="342"/>
      <c r="QLE371" s="674"/>
      <c r="QLF371" s="351"/>
      <c r="QLG371" s="352"/>
      <c r="QLH371" s="332"/>
      <c r="QLI371" s="117"/>
      <c r="QLK371" s="118"/>
      <c r="QLM371" s="342"/>
      <c r="QLN371" s="674"/>
      <c r="QLO371" s="351"/>
      <c r="QLP371" s="352"/>
      <c r="QLQ371" s="332"/>
      <c r="QLR371" s="117"/>
      <c r="QLT371" s="118"/>
      <c r="QLV371" s="342"/>
      <c r="QLW371" s="674"/>
      <c r="QLX371" s="351"/>
      <c r="QLY371" s="352"/>
      <c r="QLZ371" s="332"/>
      <c r="QMA371" s="117"/>
      <c r="QMC371" s="118"/>
      <c r="QME371" s="342"/>
      <c r="QMF371" s="674"/>
      <c r="QMG371" s="351"/>
      <c r="QMH371" s="352"/>
      <c r="QMI371" s="332"/>
      <c r="QMJ371" s="117"/>
      <c r="QML371" s="118"/>
      <c r="QMN371" s="342"/>
      <c r="QMO371" s="674"/>
      <c r="QMP371" s="351"/>
      <c r="QMQ371" s="352"/>
      <c r="QMR371" s="332"/>
      <c r="QMS371" s="117"/>
      <c r="QMU371" s="118"/>
      <c r="QMW371" s="342"/>
      <c r="QMX371" s="674"/>
      <c r="QMY371" s="351"/>
      <c r="QMZ371" s="352"/>
      <c r="QNA371" s="332"/>
      <c r="QNB371" s="117"/>
      <c r="QND371" s="118"/>
      <c r="QNF371" s="342"/>
      <c r="QNG371" s="674"/>
      <c r="QNH371" s="351"/>
      <c r="QNI371" s="352"/>
      <c r="QNJ371" s="332"/>
      <c r="QNK371" s="117"/>
      <c r="QNM371" s="118"/>
      <c r="QNO371" s="342"/>
      <c r="QNP371" s="674"/>
      <c r="QNQ371" s="351"/>
      <c r="QNR371" s="352"/>
      <c r="QNS371" s="332"/>
      <c r="QNT371" s="117"/>
      <c r="QNV371" s="118"/>
      <c r="QNX371" s="342"/>
      <c r="QNY371" s="674"/>
      <c r="QNZ371" s="351"/>
      <c r="QOA371" s="352"/>
      <c r="QOB371" s="332"/>
      <c r="QOC371" s="117"/>
      <c r="QOE371" s="118"/>
      <c r="QOG371" s="342"/>
      <c r="QOH371" s="674"/>
      <c r="QOI371" s="351"/>
      <c r="QOJ371" s="352"/>
      <c r="QOK371" s="332"/>
      <c r="QOL371" s="117"/>
      <c r="QON371" s="118"/>
      <c r="QOP371" s="342"/>
      <c r="QOQ371" s="674"/>
      <c r="QOR371" s="351"/>
      <c r="QOS371" s="352"/>
      <c r="QOT371" s="332"/>
      <c r="QOU371" s="117"/>
      <c r="QOW371" s="118"/>
      <c r="QOY371" s="342"/>
      <c r="QOZ371" s="674"/>
      <c r="QPA371" s="351"/>
      <c r="QPB371" s="352"/>
      <c r="QPC371" s="332"/>
      <c r="QPD371" s="117"/>
      <c r="QPF371" s="118"/>
      <c r="QPH371" s="342"/>
      <c r="QPI371" s="674"/>
      <c r="QPJ371" s="351"/>
      <c r="QPK371" s="352"/>
      <c r="QPL371" s="332"/>
      <c r="QPM371" s="117"/>
      <c r="QPO371" s="118"/>
      <c r="QPQ371" s="342"/>
      <c r="QPR371" s="674"/>
      <c r="QPS371" s="351"/>
      <c r="QPT371" s="352"/>
      <c r="QPU371" s="332"/>
      <c r="QPV371" s="117"/>
      <c r="QPX371" s="118"/>
      <c r="QPZ371" s="342"/>
      <c r="QQA371" s="674"/>
      <c r="QQB371" s="351"/>
      <c r="QQC371" s="352"/>
      <c r="QQD371" s="332"/>
      <c r="QQE371" s="117"/>
      <c r="QQG371" s="118"/>
      <c r="QQI371" s="342"/>
      <c r="QQJ371" s="674"/>
      <c r="QQK371" s="351"/>
      <c r="QQL371" s="352"/>
      <c r="QQM371" s="332"/>
      <c r="QQN371" s="117"/>
      <c r="QQP371" s="118"/>
      <c r="QQR371" s="342"/>
      <c r="QQS371" s="674"/>
      <c r="QQT371" s="351"/>
      <c r="QQU371" s="352"/>
      <c r="QQV371" s="332"/>
      <c r="QQW371" s="117"/>
      <c r="QQY371" s="118"/>
      <c r="QRA371" s="342"/>
      <c r="QRB371" s="674"/>
      <c r="QRC371" s="351"/>
      <c r="QRD371" s="352"/>
      <c r="QRE371" s="332"/>
      <c r="QRF371" s="117"/>
      <c r="QRH371" s="118"/>
      <c r="QRJ371" s="342"/>
      <c r="QRK371" s="674"/>
      <c r="QRL371" s="351"/>
      <c r="QRM371" s="352"/>
      <c r="QRN371" s="332"/>
      <c r="QRO371" s="117"/>
      <c r="QRQ371" s="118"/>
      <c r="QRS371" s="342"/>
      <c r="QRT371" s="674"/>
      <c r="QRU371" s="351"/>
      <c r="QRV371" s="352"/>
      <c r="QRW371" s="332"/>
      <c r="QRX371" s="117"/>
      <c r="QRZ371" s="118"/>
      <c r="QSB371" s="342"/>
      <c r="QSC371" s="674"/>
      <c r="QSD371" s="351"/>
      <c r="QSE371" s="352"/>
      <c r="QSF371" s="332"/>
      <c r="QSG371" s="117"/>
      <c r="QSI371" s="118"/>
      <c r="QSK371" s="342"/>
      <c r="QSL371" s="674"/>
      <c r="QSM371" s="351"/>
      <c r="QSN371" s="352"/>
      <c r="QSO371" s="332"/>
      <c r="QSP371" s="117"/>
      <c r="QSR371" s="118"/>
      <c r="QST371" s="342"/>
      <c r="QSU371" s="674"/>
      <c r="QSV371" s="351"/>
      <c r="QSW371" s="352"/>
      <c r="QSX371" s="332"/>
      <c r="QSY371" s="117"/>
      <c r="QTA371" s="118"/>
      <c r="QTC371" s="342"/>
      <c r="QTD371" s="674"/>
      <c r="QTE371" s="351"/>
      <c r="QTF371" s="352"/>
      <c r="QTG371" s="332"/>
      <c r="QTH371" s="117"/>
      <c r="QTJ371" s="118"/>
      <c r="QTL371" s="342"/>
      <c r="QTM371" s="674"/>
      <c r="QTN371" s="351"/>
      <c r="QTO371" s="352"/>
      <c r="QTP371" s="332"/>
      <c r="QTQ371" s="117"/>
      <c r="QTS371" s="118"/>
      <c r="QTU371" s="342"/>
      <c r="QTV371" s="674"/>
      <c r="QTW371" s="351"/>
      <c r="QTX371" s="352"/>
      <c r="QTY371" s="332"/>
      <c r="QTZ371" s="117"/>
      <c r="QUB371" s="118"/>
      <c r="QUD371" s="342"/>
      <c r="QUE371" s="674"/>
      <c r="QUF371" s="351"/>
      <c r="QUG371" s="352"/>
      <c r="QUH371" s="332"/>
      <c r="QUI371" s="117"/>
      <c r="QUK371" s="118"/>
      <c r="QUM371" s="342"/>
      <c r="QUN371" s="674"/>
      <c r="QUO371" s="351"/>
      <c r="QUP371" s="352"/>
      <c r="QUQ371" s="332"/>
      <c r="QUR371" s="117"/>
      <c r="QUT371" s="118"/>
      <c r="QUV371" s="342"/>
      <c r="QUW371" s="674"/>
      <c r="QUX371" s="351"/>
      <c r="QUY371" s="352"/>
      <c r="QUZ371" s="332"/>
      <c r="QVA371" s="117"/>
      <c r="QVC371" s="118"/>
      <c r="QVE371" s="342"/>
      <c r="QVF371" s="674"/>
      <c r="QVG371" s="351"/>
      <c r="QVH371" s="352"/>
      <c r="QVI371" s="332"/>
      <c r="QVJ371" s="117"/>
      <c r="QVL371" s="118"/>
      <c r="QVN371" s="342"/>
      <c r="QVO371" s="674"/>
      <c r="QVP371" s="351"/>
      <c r="QVQ371" s="352"/>
      <c r="QVR371" s="332"/>
      <c r="QVS371" s="117"/>
      <c r="QVU371" s="118"/>
      <c r="QVW371" s="342"/>
      <c r="QVX371" s="674"/>
      <c r="QVY371" s="351"/>
      <c r="QVZ371" s="352"/>
      <c r="QWA371" s="332"/>
      <c r="QWB371" s="117"/>
      <c r="QWD371" s="118"/>
      <c r="QWF371" s="342"/>
      <c r="QWG371" s="674"/>
      <c r="QWH371" s="351"/>
      <c r="QWI371" s="352"/>
      <c r="QWJ371" s="332"/>
      <c r="QWK371" s="117"/>
      <c r="QWM371" s="118"/>
      <c r="QWO371" s="342"/>
      <c r="QWP371" s="674"/>
      <c r="QWQ371" s="351"/>
      <c r="QWR371" s="352"/>
      <c r="QWS371" s="332"/>
      <c r="QWT371" s="117"/>
      <c r="QWV371" s="118"/>
      <c r="QWX371" s="342"/>
      <c r="QWY371" s="674"/>
      <c r="QWZ371" s="351"/>
      <c r="QXA371" s="352"/>
      <c r="QXB371" s="332"/>
      <c r="QXC371" s="117"/>
      <c r="QXE371" s="118"/>
      <c r="QXG371" s="342"/>
      <c r="QXH371" s="674"/>
      <c r="QXI371" s="351"/>
      <c r="QXJ371" s="352"/>
      <c r="QXK371" s="332"/>
      <c r="QXL371" s="117"/>
      <c r="QXN371" s="118"/>
      <c r="QXP371" s="342"/>
      <c r="QXQ371" s="674"/>
      <c r="QXR371" s="351"/>
      <c r="QXS371" s="352"/>
      <c r="QXT371" s="332"/>
      <c r="QXU371" s="117"/>
      <c r="QXW371" s="118"/>
      <c r="QXY371" s="342"/>
      <c r="QXZ371" s="674"/>
      <c r="QYA371" s="351"/>
      <c r="QYB371" s="352"/>
      <c r="QYC371" s="332"/>
      <c r="QYD371" s="117"/>
      <c r="QYF371" s="118"/>
      <c r="QYH371" s="342"/>
      <c r="QYI371" s="674"/>
      <c r="QYJ371" s="351"/>
      <c r="QYK371" s="352"/>
      <c r="QYL371" s="332"/>
      <c r="QYM371" s="117"/>
      <c r="QYO371" s="118"/>
      <c r="QYQ371" s="342"/>
      <c r="QYR371" s="674"/>
      <c r="QYS371" s="351"/>
      <c r="QYT371" s="352"/>
      <c r="QYU371" s="332"/>
      <c r="QYV371" s="117"/>
      <c r="QYX371" s="118"/>
      <c r="QYZ371" s="342"/>
      <c r="QZA371" s="674"/>
      <c r="QZB371" s="351"/>
      <c r="QZC371" s="352"/>
      <c r="QZD371" s="332"/>
      <c r="QZE371" s="117"/>
      <c r="QZG371" s="118"/>
      <c r="QZI371" s="342"/>
      <c r="QZJ371" s="674"/>
      <c r="QZK371" s="351"/>
      <c r="QZL371" s="352"/>
      <c r="QZM371" s="332"/>
      <c r="QZN371" s="117"/>
      <c r="QZP371" s="118"/>
      <c r="QZR371" s="342"/>
      <c r="QZS371" s="674"/>
      <c r="QZT371" s="351"/>
      <c r="QZU371" s="352"/>
      <c r="QZV371" s="332"/>
      <c r="QZW371" s="117"/>
      <c r="QZY371" s="118"/>
      <c r="RAA371" s="342"/>
      <c r="RAB371" s="674"/>
      <c r="RAC371" s="351"/>
      <c r="RAD371" s="352"/>
      <c r="RAE371" s="332"/>
      <c r="RAF371" s="117"/>
      <c r="RAH371" s="118"/>
      <c r="RAJ371" s="342"/>
      <c r="RAK371" s="674"/>
      <c r="RAL371" s="351"/>
      <c r="RAM371" s="352"/>
      <c r="RAN371" s="332"/>
      <c r="RAO371" s="117"/>
      <c r="RAQ371" s="118"/>
      <c r="RAS371" s="342"/>
      <c r="RAT371" s="674"/>
      <c r="RAU371" s="351"/>
      <c r="RAV371" s="352"/>
      <c r="RAW371" s="332"/>
      <c r="RAX371" s="117"/>
      <c r="RAZ371" s="118"/>
      <c r="RBB371" s="342"/>
      <c r="RBC371" s="674"/>
      <c r="RBD371" s="351"/>
      <c r="RBE371" s="352"/>
      <c r="RBF371" s="332"/>
      <c r="RBG371" s="117"/>
      <c r="RBI371" s="118"/>
      <c r="RBK371" s="342"/>
      <c r="RBL371" s="674"/>
      <c r="RBM371" s="351"/>
      <c r="RBN371" s="352"/>
      <c r="RBO371" s="332"/>
      <c r="RBP371" s="117"/>
      <c r="RBR371" s="118"/>
      <c r="RBT371" s="342"/>
      <c r="RBU371" s="674"/>
      <c r="RBV371" s="351"/>
      <c r="RBW371" s="352"/>
      <c r="RBX371" s="332"/>
      <c r="RBY371" s="117"/>
      <c r="RCA371" s="118"/>
      <c r="RCC371" s="342"/>
      <c r="RCD371" s="674"/>
      <c r="RCE371" s="351"/>
      <c r="RCF371" s="352"/>
      <c r="RCG371" s="332"/>
      <c r="RCH371" s="117"/>
      <c r="RCJ371" s="118"/>
      <c r="RCL371" s="342"/>
      <c r="RCM371" s="674"/>
      <c r="RCN371" s="351"/>
      <c r="RCO371" s="352"/>
      <c r="RCP371" s="332"/>
      <c r="RCQ371" s="117"/>
      <c r="RCS371" s="118"/>
      <c r="RCU371" s="342"/>
      <c r="RCV371" s="674"/>
      <c r="RCW371" s="351"/>
      <c r="RCX371" s="352"/>
      <c r="RCY371" s="332"/>
      <c r="RCZ371" s="117"/>
      <c r="RDB371" s="118"/>
      <c r="RDD371" s="342"/>
      <c r="RDE371" s="674"/>
      <c r="RDF371" s="351"/>
      <c r="RDG371" s="352"/>
      <c r="RDH371" s="332"/>
      <c r="RDI371" s="117"/>
      <c r="RDK371" s="118"/>
      <c r="RDM371" s="342"/>
      <c r="RDN371" s="674"/>
      <c r="RDO371" s="351"/>
      <c r="RDP371" s="352"/>
      <c r="RDQ371" s="332"/>
      <c r="RDR371" s="117"/>
      <c r="RDT371" s="118"/>
      <c r="RDV371" s="342"/>
      <c r="RDW371" s="674"/>
      <c r="RDX371" s="351"/>
      <c r="RDY371" s="352"/>
      <c r="RDZ371" s="332"/>
      <c r="REA371" s="117"/>
      <c r="REC371" s="118"/>
      <c r="REE371" s="342"/>
      <c r="REF371" s="674"/>
      <c r="REG371" s="351"/>
      <c r="REH371" s="352"/>
      <c r="REI371" s="332"/>
      <c r="REJ371" s="117"/>
      <c r="REL371" s="118"/>
      <c r="REN371" s="342"/>
      <c r="REO371" s="674"/>
      <c r="REP371" s="351"/>
      <c r="REQ371" s="352"/>
      <c r="RER371" s="332"/>
      <c r="RES371" s="117"/>
      <c r="REU371" s="118"/>
      <c r="REW371" s="342"/>
      <c r="REX371" s="674"/>
      <c r="REY371" s="351"/>
      <c r="REZ371" s="352"/>
      <c r="RFA371" s="332"/>
      <c r="RFB371" s="117"/>
      <c r="RFD371" s="118"/>
      <c r="RFF371" s="342"/>
      <c r="RFG371" s="674"/>
      <c r="RFH371" s="351"/>
      <c r="RFI371" s="352"/>
      <c r="RFJ371" s="332"/>
      <c r="RFK371" s="117"/>
      <c r="RFM371" s="118"/>
      <c r="RFO371" s="342"/>
      <c r="RFP371" s="674"/>
      <c r="RFQ371" s="351"/>
      <c r="RFR371" s="352"/>
      <c r="RFS371" s="332"/>
      <c r="RFT371" s="117"/>
      <c r="RFV371" s="118"/>
      <c r="RFX371" s="342"/>
      <c r="RFY371" s="674"/>
      <c r="RFZ371" s="351"/>
      <c r="RGA371" s="352"/>
      <c r="RGB371" s="332"/>
      <c r="RGC371" s="117"/>
      <c r="RGE371" s="118"/>
      <c r="RGG371" s="342"/>
      <c r="RGH371" s="674"/>
      <c r="RGI371" s="351"/>
      <c r="RGJ371" s="352"/>
      <c r="RGK371" s="332"/>
      <c r="RGL371" s="117"/>
      <c r="RGN371" s="118"/>
      <c r="RGP371" s="342"/>
      <c r="RGQ371" s="674"/>
      <c r="RGR371" s="351"/>
      <c r="RGS371" s="352"/>
      <c r="RGT371" s="332"/>
      <c r="RGU371" s="117"/>
      <c r="RGW371" s="118"/>
      <c r="RGY371" s="342"/>
      <c r="RGZ371" s="674"/>
      <c r="RHA371" s="351"/>
      <c r="RHB371" s="352"/>
      <c r="RHC371" s="332"/>
      <c r="RHD371" s="117"/>
      <c r="RHF371" s="118"/>
      <c r="RHH371" s="342"/>
      <c r="RHI371" s="674"/>
      <c r="RHJ371" s="351"/>
      <c r="RHK371" s="352"/>
      <c r="RHL371" s="332"/>
      <c r="RHM371" s="117"/>
      <c r="RHO371" s="118"/>
      <c r="RHQ371" s="342"/>
      <c r="RHR371" s="674"/>
      <c r="RHS371" s="351"/>
      <c r="RHT371" s="352"/>
      <c r="RHU371" s="332"/>
      <c r="RHV371" s="117"/>
      <c r="RHX371" s="118"/>
      <c r="RHZ371" s="342"/>
      <c r="RIA371" s="674"/>
      <c r="RIB371" s="351"/>
      <c r="RIC371" s="352"/>
      <c r="RID371" s="332"/>
      <c r="RIE371" s="117"/>
      <c r="RIG371" s="118"/>
      <c r="RII371" s="342"/>
      <c r="RIJ371" s="674"/>
      <c r="RIK371" s="351"/>
      <c r="RIL371" s="352"/>
      <c r="RIM371" s="332"/>
      <c r="RIN371" s="117"/>
      <c r="RIP371" s="118"/>
      <c r="RIR371" s="342"/>
      <c r="RIS371" s="674"/>
      <c r="RIT371" s="351"/>
      <c r="RIU371" s="352"/>
      <c r="RIV371" s="332"/>
      <c r="RIW371" s="117"/>
      <c r="RIY371" s="118"/>
      <c r="RJA371" s="342"/>
      <c r="RJB371" s="674"/>
      <c r="RJC371" s="351"/>
      <c r="RJD371" s="352"/>
      <c r="RJE371" s="332"/>
      <c r="RJF371" s="117"/>
      <c r="RJH371" s="118"/>
      <c r="RJJ371" s="342"/>
      <c r="RJK371" s="674"/>
      <c r="RJL371" s="351"/>
      <c r="RJM371" s="352"/>
      <c r="RJN371" s="332"/>
      <c r="RJO371" s="117"/>
      <c r="RJQ371" s="118"/>
      <c r="RJS371" s="342"/>
      <c r="RJT371" s="674"/>
      <c r="RJU371" s="351"/>
      <c r="RJV371" s="352"/>
      <c r="RJW371" s="332"/>
      <c r="RJX371" s="117"/>
      <c r="RJZ371" s="118"/>
      <c r="RKB371" s="342"/>
      <c r="RKC371" s="674"/>
      <c r="RKD371" s="351"/>
      <c r="RKE371" s="352"/>
      <c r="RKF371" s="332"/>
      <c r="RKG371" s="117"/>
      <c r="RKI371" s="118"/>
      <c r="RKK371" s="342"/>
      <c r="RKL371" s="674"/>
      <c r="RKM371" s="351"/>
      <c r="RKN371" s="352"/>
      <c r="RKO371" s="332"/>
      <c r="RKP371" s="117"/>
      <c r="RKR371" s="118"/>
      <c r="RKT371" s="342"/>
      <c r="RKU371" s="674"/>
      <c r="RKV371" s="351"/>
      <c r="RKW371" s="352"/>
      <c r="RKX371" s="332"/>
      <c r="RKY371" s="117"/>
      <c r="RLA371" s="118"/>
      <c r="RLC371" s="342"/>
      <c r="RLD371" s="674"/>
      <c r="RLE371" s="351"/>
      <c r="RLF371" s="352"/>
      <c r="RLG371" s="332"/>
      <c r="RLH371" s="117"/>
      <c r="RLJ371" s="118"/>
      <c r="RLL371" s="342"/>
      <c r="RLM371" s="674"/>
      <c r="RLN371" s="351"/>
      <c r="RLO371" s="352"/>
      <c r="RLP371" s="332"/>
      <c r="RLQ371" s="117"/>
      <c r="RLS371" s="118"/>
      <c r="RLU371" s="342"/>
      <c r="RLV371" s="674"/>
      <c r="RLW371" s="351"/>
      <c r="RLX371" s="352"/>
      <c r="RLY371" s="332"/>
      <c r="RLZ371" s="117"/>
      <c r="RMB371" s="118"/>
      <c r="RMD371" s="342"/>
      <c r="RME371" s="674"/>
      <c r="RMF371" s="351"/>
      <c r="RMG371" s="352"/>
      <c r="RMH371" s="332"/>
      <c r="RMI371" s="117"/>
      <c r="RMK371" s="118"/>
      <c r="RMM371" s="342"/>
      <c r="RMN371" s="674"/>
      <c r="RMO371" s="351"/>
      <c r="RMP371" s="352"/>
      <c r="RMQ371" s="332"/>
      <c r="RMR371" s="117"/>
      <c r="RMT371" s="118"/>
      <c r="RMV371" s="342"/>
      <c r="RMW371" s="674"/>
      <c r="RMX371" s="351"/>
      <c r="RMY371" s="352"/>
      <c r="RMZ371" s="332"/>
      <c r="RNA371" s="117"/>
      <c r="RNC371" s="118"/>
      <c r="RNE371" s="342"/>
      <c r="RNF371" s="674"/>
      <c r="RNG371" s="351"/>
      <c r="RNH371" s="352"/>
      <c r="RNI371" s="332"/>
      <c r="RNJ371" s="117"/>
      <c r="RNL371" s="118"/>
      <c r="RNN371" s="342"/>
      <c r="RNO371" s="674"/>
      <c r="RNP371" s="351"/>
      <c r="RNQ371" s="352"/>
      <c r="RNR371" s="332"/>
      <c r="RNS371" s="117"/>
      <c r="RNU371" s="118"/>
      <c r="RNW371" s="342"/>
      <c r="RNX371" s="674"/>
      <c r="RNY371" s="351"/>
      <c r="RNZ371" s="352"/>
      <c r="ROA371" s="332"/>
      <c r="ROB371" s="117"/>
      <c r="ROD371" s="118"/>
      <c r="ROF371" s="342"/>
      <c r="ROG371" s="674"/>
      <c r="ROH371" s="351"/>
      <c r="ROI371" s="352"/>
      <c r="ROJ371" s="332"/>
      <c r="ROK371" s="117"/>
      <c r="ROM371" s="118"/>
      <c r="ROO371" s="342"/>
      <c r="ROP371" s="674"/>
      <c r="ROQ371" s="351"/>
      <c r="ROR371" s="352"/>
      <c r="ROS371" s="332"/>
      <c r="ROT371" s="117"/>
      <c r="ROV371" s="118"/>
      <c r="ROX371" s="342"/>
      <c r="ROY371" s="674"/>
      <c r="ROZ371" s="351"/>
      <c r="RPA371" s="352"/>
      <c r="RPB371" s="332"/>
      <c r="RPC371" s="117"/>
      <c r="RPE371" s="118"/>
      <c r="RPG371" s="342"/>
      <c r="RPH371" s="674"/>
      <c r="RPI371" s="351"/>
      <c r="RPJ371" s="352"/>
      <c r="RPK371" s="332"/>
      <c r="RPL371" s="117"/>
      <c r="RPN371" s="118"/>
      <c r="RPP371" s="342"/>
      <c r="RPQ371" s="674"/>
      <c r="RPR371" s="351"/>
      <c r="RPS371" s="352"/>
      <c r="RPT371" s="332"/>
      <c r="RPU371" s="117"/>
      <c r="RPW371" s="118"/>
      <c r="RPY371" s="342"/>
      <c r="RPZ371" s="674"/>
      <c r="RQA371" s="351"/>
      <c r="RQB371" s="352"/>
      <c r="RQC371" s="332"/>
      <c r="RQD371" s="117"/>
      <c r="RQF371" s="118"/>
      <c r="RQH371" s="342"/>
      <c r="RQI371" s="674"/>
      <c r="RQJ371" s="351"/>
      <c r="RQK371" s="352"/>
      <c r="RQL371" s="332"/>
      <c r="RQM371" s="117"/>
      <c r="RQO371" s="118"/>
      <c r="RQQ371" s="342"/>
      <c r="RQR371" s="674"/>
      <c r="RQS371" s="351"/>
      <c r="RQT371" s="352"/>
      <c r="RQU371" s="332"/>
      <c r="RQV371" s="117"/>
      <c r="RQX371" s="118"/>
      <c r="RQZ371" s="342"/>
      <c r="RRA371" s="674"/>
      <c r="RRB371" s="351"/>
      <c r="RRC371" s="352"/>
      <c r="RRD371" s="332"/>
      <c r="RRE371" s="117"/>
      <c r="RRG371" s="118"/>
      <c r="RRI371" s="342"/>
      <c r="RRJ371" s="674"/>
      <c r="RRK371" s="351"/>
      <c r="RRL371" s="352"/>
      <c r="RRM371" s="332"/>
      <c r="RRN371" s="117"/>
      <c r="RRP371" s="118"/>
      <c r="RRR371" s="342"/>
      <c r="RRS371" s="674"/>
      <c r="RRT371" s="351"/>
      <c r="RRU371" s="352"/>
      <c r="RRV371" s="332"/>
      <c r="RRW371" s="117"/>
      <c r="RRY371" s="118"/>
      <c r="RSA371" s="342"/>
      <c r="RSB371" s="674"/>
      <c r="RSC371" s="351"/>
      <c r="RSD371" s="352"/>
      <c r="RSE371" s="332"/>
      <c r="RSF371" s="117"/>
      <c r="RSH371" s="118"/>
      <c r="RSJ371" s="342"/>
      <c r="RSK371" s="674"/>
      <c r="RSL371" s="351"/>
      <c r="RSM371" s="352"/>
      <c r="RSN371" s="332"/>
      <c r="RSO371" s="117"/>
      <c r="RSQ371" s="118"/>
      <c r="RSS371" s="342"/>
      <c r="RST371" s="674"/>
      <c r="RSU371" s="351"/>
      <c r="RSV371" s="352"/>
      <c r="RSW371" s="332"/>
      <c r="RSX371" s="117"/>
      <c r="RSZ371" s="118"/>
      <c r="RTB371" s="342"/>
      <c r="RTC371" s="674"/>
      <c r="RTD371" s="351"/>
      <c r="RTE371" s="352"/>
      <c r="RTF371" s="332"/>
      <c r="RTG371" s="117"/>
      <c r="RTI371" s="118"/>
      <c r="RTK371" s="342"/>
      <c r="RTL371" s="674"/>
      <c r="RTM371" s="351"/>
      <c r="RTN371" s="352"/>
      <c r="RTO371" s="332"/>
      <c r="RTP371" s="117"/>
      <c r="RTR371" s="118"/>
      <c r="RTT371" s="342"/>
      <c r="RTU371" s="674"/>
      <c r="RTV371" s="351"/>
      <c r="RTW371" s="352"/>
      <c r="RTX371" s="332"/>
      <c r="RTY371" s="117"/>
      <c r="RUA371" s="118"/>
      <c r="RUC371" s="342"/>
      <c r="RUD371" s="674"/>
      <c r="RUE371" s="351"/>
      <c r="RUF371" s="352"/>
      <c r="RUG371" s="332"/>
      <c r="RUH371" s="117"/>
      <c r="RUJ371" s="118"/>
      <c r="RUL371" s="342"/>
      <c r="RUM371" s="674"/>
      <c r="RUN371" s="351"/>
      <c r="RUO371" s="352"/>
      <c r="RUP371" s="332"/>
      <c r="RUQ371" s="117"/>
      <c r="RUS371" s="118"/>
      <c r="RUU371" s="342"/>
      <c r="RUV371" s="674"/>
      <c r="RUW371" s="351"/>
      <c r="RUX371" s="352"/>
      <c r="RUY371" s="332"/>
      <c r="RUZ371" s="117"/>
      <c r="RVB371" s="118"/>
      <c r="RVD371" s="342"/>
      <c r="RVE371" s="674"/>
      <c r="RVF371" s="351"/>
      <c r="RVG371" s="352"/>
      <c r="RVH371" s="332"/>
      <c r="RVI371" s="117"/>
      <c r="RVK371" s="118"/>
      <c r="RVM371" s="342"/>
      <c r="RVN371" s="674"/>
      <c r="RVO371" s="351"/>
      <c r="RVP371" s="352"/>
      <c r="RVQ371" s="332"/>
      <c r="RVR371" s="117"/>
      <c r="RVT371" s="118"/>
      <c r="RVV371" s="342"/>
      <c r="RVW371" s="674"/>
      <c r="RVX371" s="351"/>
      <c r="RVY371" s="352"/>
      <c r="RVZ371" s="332"/>
      <c r="RWA371" s="117"/>
      <c r="RWC371" s="118"/>
      <c r="RWE371" s="342"/>
      <c r="RWF371" s="674"/>
      <c r="RWG371" s="351"/>
      <c r="RWH371" s="352"/>
      <c r="RWI371" s="332"/>
      <c r="RWJ371" s="117"/>
      <c r="RWL371" s="118"/>
      <c r="RWN371" s="342"/>
      <c r="RWO371" s="674"/>
      <c r="RWP371" s="351"/>
      <c r="RWQ371" s="352"/>
      <c r="RWR371" s="332"/>
      <c r="RWS371" s="117"/>
      <c r="RWU371" s="118"/>
      <c r="RWW371" s="342"/>
      <c r="RWX371" s="674"/>
      <c r="RWY371" s="351"/>
      <c r="RWZ371" s="352"/>
      <c r="RXA371" s="332"/>
      <c r="RXB371" s="117"/>
      <c r="RXD371" s="118"/>
      <c r="RXF371" s="342"/>
      <c r="RXG371" s="674"/>
      <c r="RXH371" s="351"/>
      <c r="RXI371" s="352"/>
      <c r="RXJ371" s="332"/>
      <c r="RXK371" s="117"/>
      <c r="RXM371" s="118"/>
      <c r="RXO371" s="342"/>
      <c r="RXP371" s="674"/>
      <c r="RXQ371" s="351"/>
      <c r="RXR371" s="352"/>
      <c r="RXS371" s="332"/>
      <c r="RXT371" s="117"/>
      <c r="RXV371" s="118"/>
      <c r="RXX371" s="342"/>
      <c r="RXY371" s="674"/>
      <c r="RXZ371" s="351"/>
      <c r="RYA371" s="352"/>
      <c r="RYB371" s="332"/>
      <c r="RYC371" s="117"/>
      <c r="RYE371" s="118"/>
      <c r="RYG371" s="342"/>
      <c r="RYH371" s="674"/>
      <c r="RYI371" s="351"/>
      <c r="RYJ371" s="352"/>
      <c r="RYK371" s="332"/>
      <c r="RYL371" s="117"/>
      <c r="RYN371" s="118"/>
      <c r="RYP371" s="342"/>
      <c r="RYQ371" s="674"/>
      <c r="RYR371" s="351"/>
      <c r="RYS371" s="352"/>
      <c r="RYT371" s="332"/>
      <c r="RYU371" s="117"/>
      <c r="RYW371" s="118"/>
      <c r="RYY371" s="342"/>
      <c r="RYZ371" s="674"/>
      <c r="RZA371" s="351"/>
      <c r="RZB371" s="352"/>
      <c r="RZC371" s="332"/>
      <c r="RZD371" s="117"/>
      <c r="RZF371" s="118"/>
      <c r="RZH371" s="342"/>
      <c r="RZI371" s="674"/>
      <c r="RZJ371" s="351"/>
      <c r="RZK371" s="352"/>
      <c r="RZL371" s="332"/>
      <c r="RZM371" s="117"/>
      <c r="RZO371" s="118"/>
      <c r="RZQ371" s="342"/>
      <c r="RZR371" s="674"/>
      <c r="RZS371" s="351"/>
      <c r="RZT371" s="352"/>
      <c r="RZU371" s="332"/>
      <c r="RZV371" s="117"/>
      <c r="RZX371" s="118"/>
      <c r="RZZ371" s="342"/>
      <c r="SAA371" s="674"/>
      <c r="SAB371" s="351"/>
      <c r="SAC371" s="352"/>
      <c r="SAD371" s="332"/>
      <c r="SAE371" s="117"/>
      <c r="SAG371" s="118"/>
      <c r="SAI371" s="342"/>
      <c r="SAJ371" s="674"/>
      <c r="SAK371" s="351"/>
      <c r="SAL371" s="352"/>
      <c r="SAM371" s="332"/>
      <c r="SAN371" s="117"/>
      <c r="SAP371" s="118"/>
      <c r="SAR371" s="342"/>
      <c r="SAS371" s="674"/>
      <c r="SAT371" s="351"/>
      <c r="SAU371" s="352"/>
      <c r="SAV371" s="332"/>
      <c r="SAW371" s="117"/>
      <c r="SAY371" s="118"/>
      <c r="SBA371" s="342"/>
      <c r="SBB371" s="674"/>
      <c r="SBC371" s="351"/>
      <c r="SBD371" s="352"/>
      <c r="SBE371" s="332"/>
      <c r="SBF371" s="117"/>
      <c r="SBH371" s="118"/>
      <c r="SBJ371" s="342"/>
      <c r="SBK371" s="674"/>
      <c r="SBL371" s="351"/>
      <c r="SBM371" s="352"/>
      <c r="SBN371" s="332"/>
      <c r="SBO371" s="117"/>
      <c r="SBQ371" s="118"/>
      <c r="SBS371" s="342"/>
      <c r="SBT371" s="674"/>
      <c r="SBU371" s="351"/>
      <c r="SBV371" s="352"/>
      <c r="SBW371" s="332"/>
      <c r="SBX371" s="117"/>
      <c r="SBZ371" s="118"/>
      <c r="SCB371" s="342"/>
      <c r="SCC371" s="674"/>
      <c r="SCD371" s="351"/>
      <c r="SCE371" s="352"/>
      <c r="SCF371" s="332"/>
      <c r="SCG371" s="117"/>
      <c r="SCI371" s="118"/>
      <c r="SCK371" s="342"/>
      <c r="SCL371" s="674"/>
      <c r="SCM371" s="351"/>
      <c r="SCN371" s="352"/>
      <c r="SCO371" s="332"/>
      <c r="SCP371" s="117"/>
      <c r="SCR371" s="118"/>
      <c r="SCT371" s="342"/>
      <c r="SCU371" s="674"/>
      <c r="SCV371" s="351"/>
      <c r="SCW371" s="352"/>
      <c r="SCX371" s="332"/>
      <c r="SCY371" s="117"/>
      <c r="SDA371" s="118"/>
      <c r="SDC371" s="342"/>
      <c r="SDD371" s="674"/>
      <c r="SDE371" s="351"/>
      <c r="SDF371" s="352"/>
      <c r="SDG371" s="332"/>
      <c r="SDH371" s="117"/>
      <c r="SDJ371" s="118"/>
      <c r="SDL371" s="342"/>
      <c r="SDM371" s="674"/>
      <c r="SDN371" s="351"/>
      <c r="SDO371" s="352"/>
      <c r="SDP371" s="332"/>
      <c r="SDQ371" s="117"/>
      <c r="SDS371" s="118"/>
      <c r="SDU371" s="342"/>
      <c r="SDV371" s="674"/>
      <c r="SDW371" s="351"/>
      <c r="SDX371" s="352"/>
      <c r="SDY371" s="332"/>
      <c r="SDZ371" s="117"/>
      <c r="SEB371" s="118"/>
      <c r="SED371" s="342"/>
      <c r="SEE371" s="674"/>
      <c r="SEF371" s="351"/>
      <c r="SEG371" s="352"/>
      <c r="SEH371" s="332"/>
      <c r="SEI371" s="117"/>
      <c r="SEK371" s="118"/>
      <c r="SEM371" s="342"/>
      <c r="SEN371" s="674"/>
      <c r="SEO371" s="351"/>
      <c r="SEP371" s="352"/>
      <c r="SEQ371" s="332"/>
      <c r="SER371" s="117"/>
      <c r="SET371" s="118"/>
      <c r="SEV371" s="342"/>
      <c r="SEW371" s="674"/>
      <c r="SEX371" s="351"/>
      <c r="SEY371" s="352"/>
      <c r="SEZ371" s="332"/>
      <c r="SFA371" s="117"/>
      <c r="SFC371" s="118"/>
      <c r="SFE371" s="342"/>
      <c r="SFF371" s="674"/>
      <c r="SFG371" s="351"/>
      <c r="SFH371" s="352"/>
      <c r="SFI371" s="332"/>
      <c r="SFJ371" s="117"/>
      <c r="SFL371" s="118"/>
      <c r="SFN371" s="342"/>
      <c r="SFO371" s="674"/>
      <c r="SFP371" s="351"/>
      <c r="SFQ371" s="352"/>
      <c r="SFR371" s="332"/>
      <c r="SFS371" s="117"/>
      <c r="SFU371" s="118"/>
      <c r="SFW371" s="342"/>
      <c r="SFX371" s="674"/>
      <c r="SFY371" s="351"/>
      <c r="SFZ371" s="352"/>
      <c r="SGA371" s="332"/>
      <c r="SGB371" s="117"/>
      <c r="SGD371" s="118"/>
      <c r="SGF371" s="342"/>
      <c r="SGG371" s="674"/>
      <c r="SGH371" s="351"/>
      <c r="SGI371" s="352"/>
      <c r="SGJ371" s="332"/>
      <c r="SGK371" s="117"/>
      <c r="SGM371" s="118"/>
      <c r="SGO371" s="342"/>
      <c r="SGP371" s="674"/>
      <c r="SGQ371" s="351"/>
      <c r="SGR371" s="352"/>
      <c r="SGS371" s="332"/>
      <c r="SGT371" s="117"/>
      <c r="SGV371" s="118"/>
      <c r="SGX371" s="342"/>
      <c r="SGY371" s="674"/>
      <c r="SGZ371" s="351"/>
      <c r="SHA371" s="352"/>
      <c r="SHB371" s="332"/>
      <c r="SHC371" s="117"/>
      <c r="SHE371" s="118"/>
      <c r="SHG371" s="342"/>
      <c r="SHH371" s="674"/>
      <c r="SHI371" s="351"/>
      <c r="SHJ371" s="352"/>
      <c r="SHK371" s="332"/>
      <c r="SHL371" s="117"/>
      <c r="SHN371" s="118"/>
      <c r="SHP371" s="342"/>
      <c r="SHQ371" s="674"/>
      <c r="SHR371" s="351"/>
      <c r="SHS371" s="352"/>
      <c r="SHT371" s="332"/>
      <c r="SHU371" s="117"/>
      <c r="SHW371" s="118"/>
      <c r="SHY371" s="342"/>
      <c r="SHZ371" s="674"/>
      <c r="SIA371" s="351"/>
      <c r="SIB371" s="352"/>
      <c r="SIC371" s="332"/>
      <c r="SID371" s="117"/>
      <c r="SIF371" s="118"/>
      <c r="SIH371" s="342"/>
      <c r="SII371" s="674"/>
      <c r="SIJ371" s="351"/>
      <c r="SIK371" s="352"/>
      <c r="SIL371" s="332"/>
      <c r="SIM371" s="117"/>
      <c r="SIO371" s="118"/>
      <c r="SIQ371" s="342"/>
      <c r="SIR371" s="674"/>
      <c r="SIS371" s="351"/>
      <c r="SIT371" s="352"/>
      <c r="SIU371" s="332"/>
      <c r="SIV371" s="117"/>
      <c r="SIX371" s="118"/>
      <c r="SIZ371" s="342"/>
      <c r="SJA371" s="674"/>
      <c r="SJB371" s="351"/>
      <c r="SJC371" s="352"/>
      <c r="SJD371" s="332"/>
      <c r="SJE371" s="117"/>
      <c r="SJG371" s="118"/>
      <c r="SJI371" s="342"/>
      <c r="SJJ371" s="674"/>
      <c r="SJK371" s="351"/>
      <c r="SJL371" s="352"/>
      <c r="SJM371" s="332"/>
      <c r="SJN371" s="117"/>
      <c r="SJP371" s="118"/>
      <c r="SJR371" s="342"/>
      <c r="SJS371" s="674"/>
      <c r="SJT371" s="351"/>
      <c r="SJU371" s="352"/>
      <c r="SJV371" s="332"/>
      <c r="SJW371" s="117"/>
      <c r="SJY371" s="118"/>
      <c r="SKA371" s="342"/>
      <c r="SKB371" s="674"/>
      <c r="SKC371" s="351"/>
      <c r="SKD371" s="352"/>
      <c r="SKE371" s="332"/>
      <c r="SKF371" s="117"/>
      <c r="SKH371" s="118"/>
      <c r="SKJ371" s="342"/>
      <c r="SKK371" s="674"/>
      <c r="SKL371" s="351"/>
      <c r="SKM371" s="352"/>
      <c r="SKN371" s="332"/>
      <c r="SKO371" s="117"/>
      <c r="SKQ371" s="118"/>
      <c r="SKS371" s="342"/>
      <c r="SKT371" s="674"/>
      <c r="SKU371" s="351"/>
      <c r="SKV371" s="352"/>
      <c r="SKW371" s="332"/>
      <c r="SKX371" s="117"/>
      <c r="SKZ371" s="118"/>
      <c r="SLB371" s="342"/>
      <c r="SLC371" s="674"/>
      <c r="SLD371" s="351"/>
      <c r="SLE371" s="352"/>
      <c r="SLF371" s="332"/>
      <c r="SLG371" s="117"/>
      <c r="SLI371" s="118"/>
      <c r="SLK371" s="342"/>
      <c r="SLL371" s="674"/>
      <c r="SLM371" s="351"/>
      <c r="SLN371" s="352"/>
      <c r="SLO371" s="332"/>
      <c r="SLP371" s="117"/>
      <c r="SLR371" s="118"/>
      <c r="SLT371" s="342"/>
      <c r="SLU371" s="674"/>
      <c r="SLV371" s="351"/>
      <c r="SLW371" s="352"/>
      <c r="SLX371" s="332"/>
      <c r="SLY371" s="117"/>
      <c r="SMA371" s="118"/>
      <c r="SMC371" s="342"/>
      <c r="SMD371" s="674"/>
      <c r="SME371" s="351"/>
      <c r="SMF371" s="352"/>
      <c r="SMG371" s="332"/>
      <c r="SMH371" s="117"/>
      <c r="SMJ371" s="118"/>
      <c r="SML371" s="342"/>
      <c r="SMM371" s="674"/>
      <c r="SMN371" s="351"/>
      <c r="SMO371" s="352"/>
      <c r="SMP371" s="332"/>
      <c r="SMQ371" s="117"/>
      <c r="SMS371" s="118"/>
      <c r="SMU371" s="342"/>
      <c r="SMV371" s="674"/>
      <c r="SMW371" s="351"/>
      <c r="SMX371" s="352"/>
      <c r="SMY371" s="332"/>
      <c r="SMZ371" s="117"/>
      <c r="SNB371" s="118"/>
      <c r="SND371" s="342"/>
      <c r="SNE371" s="674"/>
      <c r="SNF371" s="351"/>
      <c r="SNG371" s="352"/>
      <c r="SNH371" s="332"/>
      <c r="SNI371" s="117"/>
      <c r="SNK371" s="118"/>
      <c r="SNM371" s="342"/>
      <c r="SNN371" s="674"/>
      <c r="SNO371" s="351"/>
      <c r="SNP371" s="352"/>
      <c r="SNQ371" s="332"/>
      <c r="SNR371" s="117"/>
      <c r="SNT371" s="118"/>
      <c r="SNV371" s="342"/>
      <c r="SNW371" s="674"/>
      <c r="SNX371" s="351"/>
      <c r="SNY371" s="352"/>
      <c r="SNZ371" s="332"/>
      <c r="SOA371" s="117"/>
      <c r="SOC371" s="118"/>
      <c r="SOE371" s="342"/>
      <c r="SOF371" s="674"/>
      <c r="SOG371" s="351"/>
      <c r="SOH371" s="352"/>
      <c r="SOI371" s="332"/>
      <c r="SOJ371" s="117"/>
      <c r="SOL371" s="118"/>
      <c r="SON371" s="342"/>
      <c r="SOO371" s="674"/>
      <c r="SOP371" s="351"/>
      <c r="SOQ371" s="352"/>
      <c r="SOR371" s="332"/>
      <c r="SOS371" s="117"/>
      <c r="SOU371" s="118"/>
      <c r="SOW371" s="342"/>
      <c r="SOX371" s="674"/>
      <c r="SOY371" s="351"/>
      <c r="SOZ371" s="352"/>
      <c r="SPA371" s="332"/>
      <c r="SPB371" s="117"/>
      <c r="SPD371" s="118"/>
      <c r="SPF371" s="342"/>
      <c r="SPG371" s="674"/>
      <c r="SPH371" s="351"/>
      <c r="SPI371" s="352"/>
      <c r="SPJ371" s="332"/>
      <c r="SPK371" s="117"/>
      <c r="SPM371" s="118"/>
      <c r="SPO371" s="342"/>
      <c r="SPP371" s="674"/>
      <c r="SPQ371" s="351"/>
      <c r="SPR371" s="352"/>
      <c r="SPS371" s="332"/>
      <c r="SPT371" s="117"/>
      <c r="SPV371" s="118"/>
      <c r="SPX371" s="342"/>
      <c r="SPY371" s="674"/>
      <c r="SPZ371" s="351"/>
      <c r="SQA371" s="352"/>
      <c r="SQB371" s="332"/>
      <c r="SQC371" s="117"/>
      <c r="SQE371" s="118"/>
      <c r="SQG371" s="342"/>
      <c r="SQH371" s="674"/>
      <c r="SQI371" s="351"/>
      <c r="SQJ371" s="352"/>
      <c r="SQK371" s="332"/>
      <c r="SQL371" s="117"/>
      <c r="SQN371" s="118"/>
      <c r="SQP371" s="342"/>
      <c r="SQQ371" s="674"/>
      <c r="SQR371" s="351"/>
      <c r="SQS371" s="352"/>
      <c r="SQT371" s="332"/>
      <c r="SQU371" s="117"/>
      <c r="SQW371" s="118"/>
      <c r="SQY371" s="342"/>
      <c r="SQZ371" s="674"/>
      <c r="SRA371" s="351"/>
      <c r="SRB371" s="352"/>
      <c r="SRC371" s="332"/>
      <c r="SRD371" s="117"/>
      <c r="SRF371" s="118"/>
      <c r="SRH371" s="342"/>
      <c r="SRI371" s="674"/>
      <c r="SRJ371" s="351"/>
      <c r="SRK371" s="352"/>
      <c r="SRL371" s="332"/>
      <c r="SRM371" s="117"/>
      <c r="SRO371" s="118"/>
      <c r="SRQ371" s="342"/>
      <c r="SRR371" s="674"/>
      <c r="SRS371" s="351"/>
      <c r="SRT371" s="352"/>
      <c r="SRU371" s="332"/>
      <c r="SRV371" s="117"/>
      <c r="SRX371" s="118"/>
      <c r="SRZ371" s="342"/>
      <c r="SSA371" s="674"/>
      <c r="SSB371" s="351"/>
      <c r="SSC371" s="352"/>
      <c r="SSD371" s="332"/>
      <c r="SSE371" s="117"/>
      <c r="SSG371" s="118"/>
      <c r="SSI371" s="342"/>
      <c r="SSJ371" s="674"/>
      <c r="SSK371" s="351"/>
      <c r="SSL371" s="352"/>
      <c r="SSM371" s="332"/>
      <c r="SSN371" s="117"/>
      <c r="SSP371" s="118"/>
      <c r="SSR371" s="342"/>
      <c r="SSS371" s="674"/>
      <c r="SST371" s="351"/>
      <c r="SSU371" s="352"/>
      <c r="SSV371" s="332"/>
      <c r="SSW371" s="117"/>
      <c r="SSY371" s="118"/>
      <c r="STA371" s="342"/>
      <c r="STB371" s="674"/>
      <c r="STC371" s="351"/>
      <c r="STD371" s="352"/>
      <c r="STE371" s="332"/>
      <c r="STF371" s="117"/>
      <c r="STH371" s="118"/>
      <c r="STJ371" s="342"/>
      <c r="STK371" s="674"/>
      <c r="STL371" s="351"/>
      <c r="STM371" s="352"/>
      <c r="STN371" s="332"/>
      <c r="STO371" s="117"/>
      <c r="STQ371" s="118"/>
      <c r="STS371" s="342"/>
      <c r="STT371" s="674"/>
      <c r="STU371" s="351"/>
      <c r="STV371" s="352"/>
      <c r="STW371" s="332"/>
      <c r="STX371" s="117"/>
      <c r="STZ371" s="118"/>
      <c r="SUB371" s="342"/>
      <c r="SUC371" s="674"/>
      <c r="SUD371" s="351"/>
      <c r="SUE371" s="352"/>
      <c r="SUF371" s="332"/>
      <c r="SUG371" s="117"/>
      <c r="SUI371" s="118"/>
      <c r="SUK371" s="342"/>
      <c r="SUL371" s="674"/>
      <c r="SUM371" s="351"/>
      <c r="SUN371" s="352"/>
      <c r="SUO371" s="332"/>
      <c r="SUP371" s="117"/>
      <c r="SUR371" s="118"/>
      <c r="SUT371" s="342"/>
      <c r="SUU371" s="674"/>
      <c r="SUV371" s="351"/>
      <c r="SUW371" s="352"/>
      <c r="SUX371" s="332"/>
      <c r="SUY371" s="117"/>
      <c r="SVA371" s="118"/>
      <c r="SVC371" s="342"/>
      <c r="SVD371" s="674"/>
      <c r="SVE371" s="351"/>
      <c r="SVF371" s="352"/>
      <c r="SVG371" s="332"/>
      <c r="SVH371" s="117"/>
      <c r="SVJ371" s="118"/>
      <c r="SVL371" s="342"/>
      <c r="SVM371" s="674"/>
      <c r="SVN371" s="351"/>
      <c r="SVO371" s="352"/>
      <c r="SVP371" s="332"/>
      <c r="SVQ371" s="117"/>
      <c r="SVS371" s="118"/>
      <c r="SVU371" s="342"/>
      <c r="SVV371" s="674"/>
      <c r="SVW371" s="351"/>
      <c r="SVX371" s="352"/>
      <c r="SVY371" s="332"/>
      <c r="SVZ371" s="117"/>
      <c r="SWB371" s="118"/>
      <c r="SWD371" s="342"/>
      <c r="SWE371" s="674"/>
      <c r="SWF371" s="351"/>
      <c r="SWG371" s="352"/>
      <c r="SWH371" s="332"/>
      <c r="SWI371" s="117"/>
      <c r="SWK371" s="118"/>
      <c r="SWM371" s="342"/>
      <c r="SWN371" s="674"/>
      <c r="SWO371" s="351"/>
      <c r="SWP371" s="352"/>
      <c r="SWQ371" s="332"/>
      <c r="SWR371" s="117"/>
      <c r="SWT371" s="118"/>
      <c r="SWV371" s="342"/>
      <c r="SWW371" s="674"/>
      <c r="SWX371" s="351"/>
      <c r="SWY371" s="352"/>
      <c r="SWZ371" s="332"/>
      <c r="SXA371" s="117"/>
      <c r="SXC371" s="118"/>
      <c r="SXE371" s="342"/>
      <c r="SXF371" s="674"/>
      <c r="SXG371" s="351"/>
      <c r="SXH371" s="352"/>
      <c r="SXI371" s="332"/>
      <c r="SXJ371" s="117"/>
      <c r="SXL371" s="118"/>
      <c r="SXN371" s="342"/>
      <c r="SXO371" s="674"/>
      <c r="SXP371" s="351"/>
      <c r="SXQ371" s="352"/>
      <c r="SXR371" s="332"/>
      <c r="SXS371" s="117"/>
      <c r="SXU371" s="118"/>
      <c r="SXW371" s="342"/>
      <c r="SXX371" s="674"/>
      <c r="SXY371" s="351"/>
      <c r="SXZ371" s="352"/>
      <c r="SYA371" s="332"/>
      <c r="SYB371" s="117"/>
      <c r="SYD371" s="118"/>
      <c r="SYF371" s="342"/>
      <c r="SYG371" s="674"/>
      <c r="SYH371" s="351"/>
      <c r="SYI371" s="352"/>
      <c r="SYJ371" s="332"/>
      <c r="SYK371" s="117"/>
      <c r="SYM371" s="118"/>
      <c r="SYO371" s="342"/>
      <c r="SYP371" s="674"/>
      <c r="SYQ371" s="351"/>
      <c r="SYR371" s="352"/>
      <c r="SYS371" s="332"/>
      <c r="SYT371" s="117"/>
      <c r="SYV371" s="118"/>
      <c r="SYX371" s="342"/>
      <c r="SYY371" s="674"/>
      <c r="SYZ371" s="351"/>
      <c r="SZA371" s="352"/>
      <c r="SZB371" s="332"/>
      <c r="SZC371" s="117"/>
      <c r="SZE371" s="118"/>
      <c r="SZG371" s="342"/>
      <c r="SZH371" s="674"/>
      <c r="SZI371" s="351"/>
      <c r="SZJ371" s="352"/>
      <c r="SZK371" s="332"/>
      <c r="SZL371" s="117"/>
      <c r="SZN371" s="118"/>
      <c r="SZP371" s="342"/>
      <c r="SZQ371" s="674"/>
      <c r="SZR371" s="351"/>
      <c r="SZS371" s="352"/>
      <c r="SZT371" s="332"/>
      <c r="SZU371" s="117"/>
      <c r="SZW371" s="118"/>
      <c r="SZY371" s="342"/>
      <c r="SZZ371" s="674"/>
      <c r="TAA371" s="351"/>
      <c r="TAB371" s="352"/>
      <c r="TAC371" s="332"/>
      <c r="TAD371" s="117"/>
      <c r="TAF371" s="118"/>
      <c r="TAH371" s="342"/>
      <c r="TAI371" s="674"/>
      <c r="TAJ371" s="351"/>
      <c r="TAK371" s="352"/>
      <c r="TAL371" s="332"/>
      <c r="TAM371" s="117"/>
      <c r="TAO371" s="118"/>
      <c r="TAQ371" s="342"/>
      <c r="TAR371" s="674"/>
      <c r="TAS371" s="351"/>
      <c r="TAT371" s="352"/>
      <c r="TAU371" s="332"/>
      <c r="TAV371" s="117"/>
      <c r="TAX371" s="118"/>
      <c r="TAZ371" s="342"/>
      <c r="TBA371" s="674"/>
      <c r="TBB371" s="351"/>
      <c r="TBC371" s="352"/>
      <c r="TBD371" s="332"/>
      <c r="TBE371" s="117"/>
      <c r="TBG371" s="118"/>
      <c r="TBI371" s="342"/>
      <c r="TBJ371" s="674"/>
      <c r="TBK371" s="351"/>
      <c r="TBL371" s="352"/>
      <c r="TBM371" s="332"/>
      <c r="TBN371" s="117"/>
      <c r="TBP371" s="118"/>
      <c r="TBR371" s="342"/>
      <c r="TBS371" s="674"/>
      <c r="TBT371" s="351"/>
      <c r="TBU371" s="352"/>
      <c r="TBV371" s="332"/>
      <c r="TBW371" s="117"/>
      <c r="TBY371" s="118"/>
      <c r="TCA371" s="342"/>
      <c r="TCB371" s="674"/>
      <c r="TCC371" s="351"/>
      <c r="TCD371" s="352"/>
      <c r="TCE371" s="332"/>
      <c r="TCF371" s="117"/>
      <c r="TCH371" s="118"/>
      <c r="TCJ371" s="342"/>
      <c r="TCK371" s="674"/>
      <c r="TCL371" s="351"/>
      <c r="TCM371" s="352"/>
      <c r="TCN371" s="332"/>
      <c r="TCO371" s="117"/>
      <c r="TCQ371" s="118"/>
      <c r="TCS371" s="342"/>
      <c r="TCT371" s="674"/>
      <c r="TCU371" s="351"/>
      <c r="TCV371" s="352"/>
      <c r="TCW371" s="332"/>
      <c r="TCX371" s="117"/>
      <c r="TCZ371" s="118"/>
      <c r="TDB371" s="342"/>
      <c r="TDC371" s="674"/>
      <c r="TDD371" s="351"/>
      <c r="TDE371" s="352"/>
      <c r="TDF371" s="332"/>
      <c r="TDG371" s="117"/>
      <c r="TDI371" s="118"/>
      <c r="TDK371" s="342"/>
      <c r="TDL371" s="674"/>
      <c r="TDM371" s="351"/>
      <c r="TDN371" s="352"/>
      <c r="TDO371" s="332"/>
      <c r="TDP371" s="117"/>
      <c r="TDR371" s="118"/>
      <c r="TDT371" s="342"/>
      <c r="TDU371" s="674"/>
      <c r="TDV371" s="351"/>
      <c r="TDW371" s="352"/>
      <c r="TDX371" s="332"/>
      <c r="TDY371" s="117"/>
      <c r="TEA371" s="118"/>
      <c r="TEC371" s="342"/>
      <c r="TED371" s="674"/>
      <c r="TEE371" s="351"/>
      <c r="TEF371" s="352"/>
      <c r="TEG371" s="332"/>
      <c r="TEH371" s="117"/>
      <c r="TEJ371" s="118"/>
      <c r="TEL371" s="342"/>
      <c r="TEM371" s="674"/>
      <c r="TEN371" s="351"/>
      <c r="TEO371" s="352"/>
      <c r="TEP371" s="332"/>
      <c r="TEQ371" s="117"/>
      <c r="TES371" s="118"/>
      <c r="TEU371" s="342"/>
      <c r="TEV371" s="674"/>
      <c r="TEW371" s="351"/>
      <c r="TEX371" s="352"/>
      <c r="TEY371" s="332"/>
      <c r="TEZ371" s="117"/>
      <c r="TFB371" s="118"/>
      <c r="TFD371" s="342"/>
      <c r="TFE371" s="674"/>
      <c r="TFF371" s="351"/>
      <c r="TFG371" s="352"/>
      <c r="TFH371" s="332"/>
      <c r="TFI371" s="117"/>
      <c r="TFK371" s="118"/>
      <c r="TFM371" s="342"/>
      <c r="TFN371" s="674"/>
      <c r="TFO371" s="351"/>
      <c r="TFP371" s="352"/>
      <c r="TFQ371" s="332"/>
      <c r="TFR371" s="117"/>
      <c r="TFT371" s="118"/>
      <c r="TFV371" s="342"/>
      <c r="TFW371" s="674"/>
      <c r="TFX371" s="351"/>
      <c r="TFY371" s="352"/>
      <c r="TFZ371" s="332"/>
      <c r="TGA371" s="117"/>
      <c r="TGC371" s="118"/>
      <c r="TGE371" s="342"/>
      <c r="TGF371" s="674"/>
      <c r="TGG371" s="351"/>
      <c r="TGH371" s="352"/>
      <c r="TGI371" s="332"/>
      <c r="TGJ371" s="117"/>
      <c r="TGL371" s="118"/>
      <c r="TGN371" s="342"/>
      <c r="TGO371" s="674"/>
      <c r="TGP371" s="351"/>
      <c r="TGQ371" s="352"/>
      <c r="TGR371" s="332"/>
      <c r="TGS371" s="117"/>
      <c r="TGU371" s="118"/>
      <c r="TGW371" s="342"/>
      <c r="TGX371" s="674"/>
      <c r="TGY371" s="351"/>
      <c r="TGZ371" s="352"/>
      <c r="THA371" s="332"/>
      <c r="THB371" s="117"/>
      <c r="THD371" s="118"/>
      <c r="THF371" s="342"/>
      <c r="THG371" s="674"/>
      <c r="THH371" s="351"/>
      <c r="THI371" s="352"/>
      <c r="THJ371" s="332"/>
      <c r="THK371" s="117"/>
      <c r="THM371" s="118"/>
      <c r="THO371" s="342"/>
      <c r="THP371" s="674"/>
      <c r="THQ371" s="351"/>
      <c r="THR371" s="352"/>
      <c r="THS371" s="332"/>
      <c r="THT371" s="117"/>
      <c r="THV371" s="118"/>
      <c r="THX371" s="342"/>
      <c r="THY371" s="674"/>
      <c r="THZ371" s="351"/>
      <c r="TIA371" s="352"/>
      <c r="TIB371" s="332"/>
      <c r="TIC371" s="117"/>
      <c r="TIE371" s="118"/>
      <c r="TIG371" s="342"/>
      <c r="TIH371" s="674"/>
      <c r="TII371" s="351"/>
      <c r="TIJ371" s="352"/>
      <c r="TIK371" s="332"/>
      <c r="TIL371" s="117"/>
      <c r="TIN371" s="118"/>
      <c r="TIP371" s="342"/>
      <c r="TIQ371" s="674"/>
      <c r="TIR371" s="351"/>
      <c r="TIS371" s="352"/>
      <c r="TIT371" s="332"/>
      <c r="TIU371" s="117"/>
      <c r="TIW371" s="118"/>
      <c r="TIY371" s="342"/>
      <c r="TIZ371" s="674"/>
      <c r="TJA371" s="351"/>
      <c r="TJB371" s="352"/>
      <c r="TJC371" s="332"/>
      <c r="TJD371" s="117"/>
      <c r="TJF371" s="118"/>
      <c r="TJH371" s="342"/>
      <c r="TJI371" s="674"/>
      <c r="TJJ371" s="351"/>
      <c r="TJK371" s="352"/>
      <c r="TJL371" s="332"/>
      <c r="TJM371" s="117"/>
      <c r="TJO371" s="118"/>
      <c r="TJQ371" s="342"/>
      <c r="TJR371" s="674"/>
      <c r="TJS371" s="351"/>
      <c r="TJT371" s="352"/>
      <c r="TJU371" s="332"/>
      <c r="TJV371" s="117"/>
      <c r="TJX371" s="118"/>
      <c r="TJZ371" s="342"/>
      <c r="TKA371" s="674"/>
      <c r="TKB371" s="351"/>
      <c r="TKC371" s="352"/>
      <c r="TKD371" s="332"/>
      <c r="TKE371" s="117"/>
      <c r="TKG371" s="118"/>
      <c r="TKI371" s="342"/>
      <c r="TKJ371" s="674"/>
      <c r="TKK371" s="351"/>
      <c r="TKL371" s="352"/>
      <c r="TKM371" s="332"/>
      <c r="TKN371" s="117"/>
      <c r="TKP371" s="118"/>
      <c r="TKR371" s="342"/>
      <c r="TKS371" s="674"/>
      <c r="TKT371" s="351"/>
      <c r="TKU371" s="352"/>
      <c r="TKV371" s="332"/>
      <c r="TKW371" s="117"/>
      <c r="TKY371" s="118"/>
      <c r="TLA371" s="342"/>
      <c r="TLB371" s="674"/>
      <c r="TLC371" s="351"/>
      <c r="TLD371" s="352"/>
      <c r="TLE371" s="332"/>
      <c r="TLF371" s="117"/>
      <c r="TLH371" s="118"/>
      <c r="TLJ371" s="342"/>
      <c r="TLK371" s="674"/>
      <c r="TLL371" s="351"/>
      <c r="TLM371" s="352"/>
      <c r="TLN371" s="332"/>
      <c r="TLO371" s="117"/>
      <c r="TLQ371" s="118"/>
      <c r="TLS371" s="342"/>
      <c r="TLT371" s="674"/>
      <c r="TLU371" s="351"/>
      <c r="TLV371" s="352"/>
      <c r="TLW371" s="332"/>
      <c r="TLX371" s="117"/>
      <c r="TLZ371" s="118"/>
      <c r="TMB371" s="342"/>
      <c r="TMC371" s="674"/>
      <c r="TMD371" s="351"/>
      <c r="TME371" s="352"/>
      <c r="TMF371" s="332"/>
      <c r="TMG371" s="117"/>
      <c r="TMI371" s="118"/>
      <c r="TMK371" s="342"/>
      <c r="TML371" s="674"/>
      <c r="TMM371" s="351"/>
      <c r="TMN371" s="352"/>
      <c r="TMO371" s="332"/>
      <c r="TMP371" s="117"/>
      <c r="TMR371" s="118"/>
      <c r="TMT371" s="342"/>
      <c r="TMU371" s="674"/>
      <c r="TMV371" s="351"/>
      <c r="TMW371" s="352"/>
      <c r="TMX371" s="332"/>
      <c r="TMY371" s="117"/>
      <c r="TNA371" s="118"/>
      <c r="TNC371" s="342"/>
      <c r="TND371" s="674"/>
      <c r="TNE371" s="351"/>
      <c r="TNF371" s="352"/>
      <c r="TNG371" s="332"/>
      <c r="TNH371" s="117"/>
      <c r="TNJ371" s="118"/>
      <c r="TNL371" s="342"/>
      <c r="TNM371" s="674"/>
      <c r="TNN371" s="351"/>
      <c r="TNO371" s="352"/>
      <c r="TNP371" s="332"/>
      <c r="TNQ371" s="117"/>
      <c r="TNS371" s="118"/>
      <c r="TNU371" s="342"/>
      <c r="TNV371" s="674"/>
      <c r="TNW371" s="351"/>
      <c r="TNX371" s="352"/>
      <c r="TNY371" s="332"/>
      <c r="TNZ371" s="117"/>
      <c r="TOB371" s="118"/>
      <c r="TOD371" s="342"/>
      <c r="TOE371" s="674"/>
      <c r="TOF371" s="351"/>
      <c r="TOG371" s="352"/>
      <c r="TOH371" s="332"/>
      <c r="TOI371" s="117"/>
      <c r="TOK371" s="118"/>
      <c r="TOM371" s="342"/>
      <c r="TON371" s="674"/>
      <c r="TOO371" s="351"/>
      <c r="TOP371" s="352"/>
      <c r="TOQ371" s="332"/>
      <c r="TOR371" s="117"/>
      <c r="TOT371" s="118"/>
      <c r="TOV371" s="342"/>
      <c r="TOW371" s="674"/>
      <c r="TOX371" s="351"/>
      <c r="TOY371" s="352"/>
      <c r="TOZ371" s="332"/>
      <c r="TPA371" s="117"/>
      <c r="TPC371" s="118"/>
      <c r="TPE371" s="342"/>
      <c r="TPF371" s="674"/>
      <c r="TPG371" s="351"/>
      <c r="TPH371" s="352"/>
      <c r="TPI371" s="332"/>
      <c r="TPJ371" s="117"/>
      <c r="TPL371" s="118"/>
      <c r="TPN371" s="342"/>
      <c r="TPO371" s="674"/>
      <c r="TPP371" s="351"/>
      <c r="TPQ371" s="352"/>
      <c r="TPR371" s="332"/>
      <c r="TPS371" s="117"/>
      <c r="TPU371" s="118"/>
      <c r="TPW371" s="342"/>
      <c r="TPX371" s="674"/>
      <c r="TPY371" s="351"/>
      <c r="TPZ371" s="352"/>
      <c r="TQA371" s="332"/>
      <c r="TQB371" s="117"/>
      <c r="TQD371" s="118"/>
      <c r="TQF371" s="342"/>
      <c r="TQG371" s="674"/>
      <c r="TQH371" s="351"/>
      <c r="TQI371" s="352"/>
      <c r="TQJ371" s="332"/>
      <c r="TQK371" s="117"/>
      <c r="TQM371" s="118"/>
      <c r="TQO371" s="342"/>
      <c r="TQP371" s="674"/>
      <c r="TQQ371" s="351"/>
      <c r="TQR371" s="352"/>
      <c r="TQS371" s="332"/>
      <c r="TQT371" s="117"/>
      <c r="TQV371" s="118"/>
      <c r="TQX371" s="342"/>
      <c r="TQY371" s="674"/>
      <c r="TQZ371" s="351"/>
      <c r="TRA371" s="352"/>
      <c r="TRB371" s="332"/>
      <c r="TRC371" s="117"/>
      <c r="TRE371" s="118"/>
      <c r="TRG371" s="342"/>
      <c r="TRH371" s="674"/>
      <c r="TRI371" s="351"/>
      <c r="TRJ371" s="352"/>
      <c r="TRK371" s="332"/>
      <c r="TRL371" s="117"/>
      <c r="TRN371" s="118"/>
      <c r="TRP371" s="342"/>
      <c r="TRQ371" s="674"/>
      <c r="TRR371" s="351"/>
      <c r="TRS371" s="352"/>
      <c r="TRT371" s="332"/>
      <c r="TRU371" s="117"/>
      <c r="TRW371" s="118"/>
      <c r="TRY371" s="342"/>
      <c r="TRZ371" s="674"/>
      <c r="TSA371" s="351"/>
      <c r="TSB371" s="352"/>
      <c r="TSC371" s="332"/>
      <c r="TSD371" s="117"/>
      <c r="TSF371" s="118"/>
      <c r="TSH371" s="342"/>
      <c r="TSI371" s="674"/>
      <c r="TSJ371" s="351"/>
      <c r="TSK371" s="352"/>
      <c r="TSL371" s="332"/>
      <c r="TSM371" s="117"/>
      <c r="TSO371" s="118"/>
      <c r="TSQ371" s="342"/>
      <c r="TSR371" s="674"/>
      <c r="TSS371" s="351"/>
      <c r="TST371" s="352"/>
      <c r="TSU371" s="332"/>
      <c r="TSV371" s="117"/>
      <c r="TSX371" s="118"/>
      <c r="TSZ371" s="342"/>
      <c r="TTA371" s="674"/>
      <c r="TTB371" s="351"/>
      <c r="TTC371" s="352"/>
      <c r="TTD371" s="332"/>
      <c r="TTE371" s="117"/>
      <c r="TTG371" s="118"/>
      <c r="TTI371" s="342"/>
      <c r="TTJ371" s="674"/>
      <c r="TTK371" s="351"/>
      <c r="TTL371" s="352"/>
      <c r="TTM371" s="332"/>
      <c r="TTN371" s="117"/>
      <c r="TTP371" s="118"/>
      <c r="TTR371" s="342"/>
      <c r="TTS371" s="674"/>
      <c r="TTT371" s="351"/>
      <c r="TTU371" s="352"/>
      <c r="TTV371" s="332"/>
      <c r="TTW371" s="117"/>
      <c r="TTY371" s="118"/>
      <c r="TUA371" s="342"/>
      <c r="TUB371" s="674"/>
      <c r="TUC371" s="351"/>
      <c r="TUD371" s="352"/>
      <c r="TUE371" s="332"/>
      <c r="TUF371" s="117"/>
      <c r="TUH371" s="118"/>
      <c r="TUJ371" s="342"/>
      <c r="TUK371" s="674"/>
      <c r="TUL371" s="351"/>
      <c r="TUM371" s="352"/>
      <c r="TUN371" s="332"/>
      <c r="TUO371" s="117"/>
      <c r="TUQ371" s="118"/>
      <c r="TUS371" s="342"/>
      <c r="TUT371" s="674"/>
      <c r="TUU371" s="351"/>
      <c r="TUV371" s="352"/>
      <c r="TUW371" s="332"/>
      <c r="TUX371" s="117"/>
      <c r="TUZ371" s="118"/>
      <c r="TVB371" s="342"/>
      <c r="TVC371" s="674"/>
      <c r="TVD371" s="351"/>
      <c r="TVE371" s="352"/>
      <c r="TVF371" s="332"/>
      <c r="TVG371" s="117"/>
      <c r="TVI371" s="118"/>
      <c r="TVK371" s="342"/>
      <c r="TVL371" s="674"/>
      <c r="TVM371" s="351"/>
      <c r="TVN371" s="352"/>
      <c r="TVO371" s="332"/>
      <c r="TVP371" s="117"/>
      <c r="TVR371" s="118"/>
      <c r="TVT371" s="342"/>
      <c r="TVU371" s="674"/>
      <c r="TVV371" s="351"/>
      <c r="TVW371" s="352"/>
      <c r="TVX371" s="332"/>
      <c r="TVY371" s="117"/>
      <c r="TWA371" s="118"/>
      <c r="TWC371" s="342"/>
      <c r="TWD371" s="674"/>
      <c r="TWE371" s="351"/>
      <c r="TWF371" s="352"/>
      <c r="TWG371" s="332"/>
      <c r="TWH371" s="117"/>
      <c r="TWJ371" s="118"/>
      <c r="TWL371" s="342"/>
      <c r="TWM371" s="674"/>
      <c r="TWN371" s="351"/>
      <c r="TWO371" s="352"/>
      <c r="TWP371" s="332"/>
      <c r="TWQ371" s="117"/>
      <c r="TWS371" s="118"/>
      <c r="TWU371" s="342"/>
      <c r="TWV371" s="674"/>
      <c r="TWW371" s="351"/>
      <c r="TWX371" s="352"/>
      <c r="TWY371" s="332"/>
      <c r="TWZ371" s="117"/>
      <c r="TXB371" s="118"/>
      <c r="TXD371" s="342"/>
      <c r="TXE371" s="674"/>
      <c r="TXF371" s="351"/>
      <c r="TXG371" s="352"/>
      <c r="TXH371" s="332"/>
      <c r="TXI371" s="117"/>
      <c r="TXK371" s="118"/>
      <c r="TXM371" s="342"/>
      <c r="TXN371" s="674"/>
      <c r="TXO371" s="351"/>
      <c r="TXP371" s="352"/>
      <c r="TXQ371" s="332"/>
      <c r="TXR371" s="117"/>
      <c r="TXT371" s="118"/>
      <c r="TXV371" s="342"/>
      <c r="TXW371" s="674"/>
      <c r="TXX371" s="351"/>
      <c r="TXY371" s="352"/>
      <c r="TXZ371" s="332"/>
      <c r="TYA371" s="117"/>
      <c r="TYC371" s="118"/>
      <c r="TYE371" s="342"/>
      <c r="TYF371" s="674"/>
      <c r="TYG371" s="351"/>
      <c r="TYH371" s="352"/>
      <c r="TYI371" s="332"/>
      <c r="TYJ371" s="117"/>
      <c r="TYL371" s="118"/>
      <c r="TYN371" s="342"/>
      <c r="TYO371" s="674"/>
      <c r="TYP371" s="351"/>
      <c r="TYQ371" s="352"/>
      <c r="TYR371" s="332"/>
      <c r="TYS371" s="117"/>
      <c r="TYU371" s="118"/>
      <c r="TYW371" s="342"/>
      <c r="TYX371" s="674"/>
      <c r="TYY371" s="351"/>
      <c r="TYZ371" s="352"/>
      <c r="TZA371" s="332"/>
      <c r="TZB371" s="117"/>
      <c r="TZD371" s="118"/>
      <c r="TZF371" s="342"/>
      <c r="TZG371" s="674"/>
      <c r="TZH371" s="351"/>
      <c r="TZI371" s="352"/>
      <c r="TZJ371" s="332"/>
      <c r="TZK371" s="117"/>
      <c r="TZM371" s="118"/>
      <c r="TZO371" s="342"/>
      <c r="TZP371" s="674"/>
      <c r="TZQ371" s="351"/>
      <c r="TZR371" s="352"/>
      <c r="TZS371" s="332"/>
      <c r="TZT371" s="117"/>
      <c r="TZV371" s="118"/>
      <c r="TZX371" s="342"/>
      <c r="TZY371" s="674"/>
      <c r="TZZ371" s="351"/>
      <c r="UAA371" s="352"/>
      <c r="UAB371" s="332"/>
      <c r="UAC371" s="117"/>
      <c r="UAE371" s="118"/>
      <c r="UAG371" s="342"/>
      <c r="UAH371" s="674"/>
      <c r="UAI371" s="351"/>
      <c r="UAJ371" s="352"/>
      <c r="UAK371" s="332"/>
      <c r="UAL371" s="117"/>
      <c r="UAN371" s="118"/>
      <c r="UAP371" s="342"/>
      <c r="UAQ371" s="674"/>
      <c r="UAR371" s="351"/>
      <c r="UAS371" s="352"/>
      <c r="UAT371" s="332"/>
      <c r="UAU371" s="117"/>
      <c r="UAW371" s="118"/>
      <c r="UAY371" s="342"/>
      <c r="UAZ371" s="674"/>
      <c r="UBA371" s="351"/>
      <c r="UBB371" s="352"/>
      <c r="UBC371" s="332"/>
      <c r="UBD371" s="117"/>
      <c r="UBF371" s="118"/>
      <c r="UBH371" s="342"/>
      <c r="UBI371" s="674"/>
      <c r="UBJ371" s="351"/>
      <c r="UBK371" s="352"/>
      <c r="UBL371" s="332"/>
      <c r="UBM371" s="117"/>
      <c r="UBO371" s="118"/>
      <c r="UBQ371" s="342"/>
      <c r="UBR371" s="674"/>
      <c r="UBS371" s="351"/>
      <c r="UBT371" s="352"/>
      <c r="UBU371" s="332"/>
      <c r="UBV371" s="117"/>
      <c r="UBX371" s="118"/>
      <c r="UBZ371" s="342"/>
      <c r="UCA371" s="674"/>
      <c r="UCB371" s="351"/>
      <c r="UCC371" s="352"/>
      <c r="UCD371" s="332"/>
      <c r="UCE371" s="117"/>
      <c r="UCG371" s="118"/>
      <c r="UCI371" s="342"/>
      <c r="UCJ371" s="674"/>
      <c r="UCK371" s="351"/>
      <c r="UCL371" s="352"/>
      <c r="UCM371" s="332"/>
      <c r="UCN371" s="117"/>
      <c r="UCP371" s="118"/>
      <c r="UCR371" s="342"/>
      <c r="UCS371" s="674"/>
      <c r="UCT371" s="351"/>
      <c r="UCU371" s="352"/>
      <c r="UCV371" s="332"/>
      <c r="UCW371" s="117"/>
      <c r="UCY371" s="118"/>
      <c r="UDA371" s="342"/>
      <c r="UDB371" s="674"/>
      <c r="UDC371" s="351"/>
      <c r="UDD371" s="352"/>
      <c r="UDE371" s="332"/>
      <c r="UDF371" s="117"/>
      <c r="UDH371" s="118"/>
      <c r="UDJ371" s="342"/>
      <c r="UDK371" s="674"/>
      <c r="UDL371" s="351"/>
      <c r="UDM371" s="352"/>
      <c r="UDN371" s="332"/>
      <c r="UDO371" s="117"/>
      <c r="UDQ371" s="118"/>
      <c r="UDS371" s="342"/>
      <c r="UDT371" s="674"/>
      <c r="UDU371" s="351"/>
      <c r="UDV371" s="352"/>
      <c r="UDW371" s="332"/>
      <c r="UDX371" s="117"/>
      <c r="UDZ371" s="118"/>
      <c r="UEB371" s="342"/>
      <c r="UEC371" s="674"/>
      <c r="UED371" s="351"/>
      <c r="UEE371" s="352"/>
      <c r="UEF371" s="332"/>
      <c r="UEG371" s="117"/>
      <c r="UEI371" s="118"/>
      <c r="UEK371" s="342"/>
      <c r="UEL371" s="674"/>
      <c r="UEM371" s="351"/>
      <c r="UEN371" s="352"/>
      <c r="UEO371" s="332"/>
      <c r="UEP371" s="117"/>
      <c r="UER371" s="118"/>
      <c r="UET371" s="342"/>
      <c r="UEU371" s="674"/>
      <c r="UEV371" s="351"/>
      <c r="UEW371" s="352"/>
      <c r="UEX371" s="332"/>
      <c r="UEY371" s="117"/>
      <c r="UFA371" s="118"/>
      <c r="UFC371" s="342"/>
      <c r="UFD371" s="674"/>
      <c r="UFE371" s="351"/>
      <c r="UFF371" s="352"/>
      <c r="UFG371" s="332"/>
      <c r="UFH371" s="117"/>
      <c r="UFJ371" s="118"/>
      <c r="UFL371" s="342"/>
      <c r="UFM371" s="674"/>
      <c r="UFN371" s="351"/>
      <c r="UFO371" s="352"/>
      <c r="UFP371" s="332"/>
      <c r="UFQ371" s="117"/>
      <c r="UFS371" s="118"/>
      <c r="UFU371" s="342"/>
      <c r="UFV371" s="674"/>
      <c r="UFW371" s="351"/>
      <c r="UFX371" s="352"/>
      <c r="UFY371" s="332"/>
      <c r="UFZ371" s="117"/>
      <c r="UGB371" s="118"/>
      <c r="UGD371" s="342"/>
      <c r="UGE371" s="674"/>
      <c r="UGF371" s="351"/>
      <c r="UGG371" s="352"/>
      <c r="UGH371" s="332"/>
      <c r="UGI371" s="117"/>
      <c r="UGK371" s="118"/>
      <c r="UGM371" s="342"/>
      <c r="UGN371" s="674"/>
      <c r="UGO371" s="351"/>
      <c r="UGP371" s="352"/>
      <c r="UGQ371" s="332"/>
      <c r="UGR371" s="117"/>
      <c r="UGT371" s="118"/>
      <c r="UGV371" s="342"/>
      <c r="UGW371" s="674"/>
      <c r="UGX371" s="351"/>
      <c r="UGY371" s="352"/>
      <c r="UGZ371" s="332"/>
      <c r="UHA371" s="117"/>
      <c r="UHC371" s="118"/>
      <c r="UHE371" s="342"/>
      <c r="UHF371" s="674"/>
      <c r="UHG371" s="351"/>
      <c r="UHH371" s="352"/>
      <c r="UHI371" s="332"/>
      <c r="UHJ371" s="117"/>
      <c r="UHL371" s="118"/>
      <c r="UHN371" s="342"/>
      <c r="UHO371" s="674"/>
      <c r="UHP371" s="351"/>
      <c r="UHQ371" s="352"/>
      <c r="UHR371" s="332"/>
      <c r="UHS371" s="117"/>
      <c r="UHU371" s="118"/>
      <c r="UHW371" s="342"/>
      <c r="UHX371" s="674"/>
      <c r="UHY371" s="351"/>
      <c r="UHZ371" s="352"/>
      <c r="UIA371" s="332"/>
      <c r="UIB371" s="117"/>
      <c r="UID371" s="118"/>
      <c r="UIF371" s="342"/>
      <c r="UIG371" s="674"/>
      <c r="UIH371" s="351"/>
      <c r="UII371" s="352"/>
      <c r="UIJ371" s="332"/>
      <c r="UIK371" s="117"/>
      <c r="UIM371" s="118"/>
      <c r="UIO371" s="342"/>
      <c r="UIP371" s="674"/>
      <c r="UIQ371" s="351"/>
      <c r="UIR371" s="352"/>
      <c r="UIS371" s="332"/>
      <c r="UIT371" s="117"/>
      <c r="UIV371" s="118"/>
      <c r="UIX371" s="342"/>
      <c r="UIY371" s="674"/>
      <c r="UIZ371" s="351"/>
      <c r="UJA371" s="352"/>
      <c r="UJB371" s="332"/>
      <c r="UJC371" s="117"/>
      <c r="UJE371" s="118"/>
      <c r="UJG371" s="342"/>
      <c r="UJH371" s="674"/>
      <c r="UJI371" s="351"/>
      <c r="UJJ371" s="352"/>
      <c r="UJK371" s="332"/>
      <c r="UJL371" s="117"/>
      <c r="UJN371" s="118"/>
      <c r="UJP371" s="342"/>
      <c r="UJQ371" s="674"/>
      <c r="UJR371" s="351"/>
      <c r="UJS371" s="352"/>
      <c r="UJT371" s="332"/>
      <c r="UJU371" s="117"/>
      <c r="UJW371" s="118"/>
      <c r="UJY371" s="342"/>
      <c r="UJZ371" s="674"/>
      <c r="UKA371" s="351"/>
      <c r="UKB371" s="352"/>
      <c r="UKC371" s="332"/>
      <c r="UKD371" s="117"/>
      <c r="UKF371" s="118"/>
      <c r="UKH371" s="342"/>
      <c r="UKI371" s="674"/>
      <c r="UKJ371" s="351"/>
      <c r="UKK371" s="352"/>
      <c r="UKL371" s="332"/>
      <c r="UKM371" s="117"/>
      <c r="UKO371" s="118"/>
      <c r="UKQ371" s="342"/>
      <c r="UKR371" s="674"/>
      <c r="UKS371" s="351"/>
      <c r="UKT371" s="352"/>
      <c r="UKU371" s="332"/>
      <c r="UKV371" s="117"/>
      <c r="UKX371" s="118"/>
      <c r="UKZ371" s="342"/>
      <c r="ULA371" s="674"/>
      <c r="ULB371" s="351"/>
      <c r="ULC371" s="352"/>
      <c r="ULD371" s="332"/>
      <c r="ULE371" s="117"/>
      <c r="ULG371" s="118"/>
      <c r="ULI371" s="342"/>
      <c r="ULJ371" s="674"/>
      <c r="ULK371" s="351"/>
      <c r="ULL371" s="352"/>
      <c r="ULM371" s="332"/>
      <c r="ULN371" s="117"/>
      <c r="ULP371" s="118"/>
      <c r="ULR371" s="342"/>
      <c r="ULS371" s="674"/>
      <c r="ULT371" s="351"/>
      <c r="ULU371" s="352"/>
      <c r="ULV371" s="332"/>
      <c r="ULW371" s="117"/>
      <c r="ULY371" s="118"/>
      <c r="UMA371" s="342"/>
      <c r="UMB371" s="674"/>
      <c r="UMC371" s="351"/>
      <c r="UMD371" s="352"/>
      <c r="UME371" s="332"/>
      <c r="UMF371" s="117"/>
      <c r="UMH371" s="118"/>
      <c r="UMJ371" s="342"/>
      <c r="UMK371" s="674"/>
      <c r="UML371" s="351"/>
      <c r="UMM371" s="352"/>
      <c r="UMN371" s="332"/>
      <c r="UMO371" s="117"/>
      <c r="UMQ371" s="118"/>
      <c r="UMS371" s="342"/>
      <c r="UMT371" s="674"/>
      <c r="UMU371" s="351"/>
      <c r="UMV371" s="352"/>
      <c r="UMW371" s="332"/>
      <c r="UMX371" s="117"/>
      <c r="UMZ371" s="118"/>
      <c r="UNB371" s="342"/>
      <c r="UNC371" s="674"/>
      <c r="UND371" s="351"/>
      <c r="UNE371" s="352"/>
      <c r="UNF371" s="332"/>
      <c r="UNG371" s="117"/>
      <c r="UNI371" s="118"/>
      <c r="UNK371" s="342"/>
      <c r="UNL371" s="674"/>
      <c r="UNM371" s="351"/>
      <c r="UNN371" s="352"/>
      <c r="UNO371" s="332"/>
      <c r="UNP371" s="117"/>
      <c r="UNR371" s="118"/>
      <c r="UNT371" s="342"/>
      <c r="UNU371" s="674"/>
      <c r="UNV371" s="351"/>
      <c r="UNW371" s="352"/>
      <c r="UNX371" s="332"/>
      <c r="UNY371" s="117"/>
      <c r="UOA371" s="118"/>
      <c r="UOC371" s="342"/>
      <c r="UOD371" s="674"/>
      <c r="UOE371" s="351"/>
      <c r="UOF371" s="352"/>
      <c r="UOG371" s="332"/>
      <c r="UOH371" s="117"/>
      <c r="UOJ371" s="118"/>
      <c r="UOL371" s="342"/>
      <c r="UOM371" s="674"/>
      <c r="UON371" s="351"/>
      <c r="UOO371" s="352"/>
      <c r="UOP371" s="332"/>
      <c r="UOQ371" s="117"/>
      <c r="UOS371" s="118"/>
      <c r="UOU371" s="342"/>
      <c r="UOV371" s="674"/>
      <c r="UOW371" s="351"/>
      <c r="UOX371" s="352"/>
      <c r="UOY371" s="332"/>
      <c r="UOZ371" s="117"/>
      <c r="UPB371" s="118"/>
      <c r="UPD371" s="342"/>
      <c r="UPE371" s="674"/>
      <c r="UPF371" s="351"/>
      <c r="UPG371" s="352"/>
      <c r="UPH371" s="332"/>
      <c r="UPI371" s="117"/>
      <c r="UPK371" s="118"/>
      <c r="UPM371" s="342"/>
      <c r="UPN371" s="674"/>
      <c r="UPO371" s="351"/>
      <c r="UPP371" s="352"/>
      <c r="UPQ371" s="332"/>
      <c r="UPR371" s="117"/>
      <c r="UPT371" s="118"/>
      <c r="UPV371" s="342"/>
      <c r="UPW371" s="674"/>
      <c r="UPX371" s="351"/>
      <c r="UPY371" s="352"/>
      <c r="UPZ371" s="332"/>
      <c r="UQA371" s="117"/>
      <c r="UQC371" s="118"/>
      <c r="UQE371" s="342"/>
      <c r="UQF371" s="674"/>
      <c r="UQG371" s="351"/>
      <c r="UQH371" s="352"/>
      <c r="UQI371" s="332"/>
      <c r="UQJ371" s="117"/>
      <c r="UQL371" s="118"/>
      <c r="UQN371" s="342"/>
      <c r="UQO371" s="674"/>
      <c r="UQP371" s="351"/>
      <c r="UQQ371" s="352"/>
      <c r="UQR371" s="332"/>
      <c r="UQS371" s="117"/>
      <c r="UQU371" s="118"/>
      <c r="UQW371" s="342"/>
      <c r="UQX371" s="674"/>
      <c r="UQY371" s="351"/>
      <c r="UQZ371" s="352"/>
      <c r="URA371" s="332"/>
      <c r="URB371" s="117"/>
      <c r="URD371" s="118"/>
      <c r="URF371" s="342"/>
      <c r="URG371" s="674"/>
      <c r="URH371" s="351"/>
      <c r="URI371" s="352"/>
      <c r="URJ371" s="332"/>
      <c r="URK371" s="117"/>
      <c r="URM371" s="118"/>
      <c r="URO371" s="342"/>
      <c r="URP371" s="674"/>
      <c r="URQ371" s="351"/>
      <c r="URR371" s="352"/>
      <c r="URS371" s="332"/>
      <c r="URT371" s="117"/>
      <c r="URV371" s="118"/>
      <c r="URX371" s="342"/>
      <c r="URY371" s="674"/>
      <c r="URZ371" s="351"/>
      <c r="USA371" s="352"/>
      <c r="USB371" s="332"/>
      <c r="USC371" s="117"/>
      <c r="USE371" s="118"/>
      <c r="USG371" s="342"/>
      <c r="USH371" s="674"/>
      <c r="USI371" s="351"/>
      <c r="USJ371" s="352"/>
      <c r="USK371" s="332"/>
      <c r="USL371" s="117"/>
      <c r="USN371" s="118"/>
      <c r="USP371" s="342"/>
      <c r="USQ371" s="674"/>
      <c r="USR371" s="351"/>
      <c r="USS371" s="352"/>
      <c r="UST371" s="332"/>
      <c r="USU371" s="117"/>
      <c r="USW371" s="118"/>
      <c r="USY371" s="342"/>
      <c r="USZ371" s="674"/>
      <c r="UTA371" s="351"/>
      <c r="UTB371" s="352"/>
      <c r="UTC371" s="332"/>
      <c r="UTD371" s="117"/>
      <c r="UTF371" s="118"/>
      <c r="UTH371" s="342"/>
      <c r="UTI371" s="674"/>
      <c r="UTJ371" s="351"/>
      <c r="UTK371" s="352"/>
      <c r="UTL371" s="332"/>
      <c r="UTM371" s="117"/>
      <c r="UTO371" s="118"/>
      <c r="UTQ371" s="342"/>
      <c r="UTR371" s="674"/>
      <c r="UTS371" s="351"/>
      <c r="UTT371" s="352"/>
      <c r="UTU371" s="332"/>
      <c r="UTV371" s="117"/>
      <c r="UTX371" s="118"/>
      <c r="UTZ371" s="342"/>
      <c r="UUA371" s="674"/>
      <c r="UUB371" s="351"/>
      <c r="UUC371" s="352"/>
      <c r="UUD371" s="332"/>
      <c r="UUE371" s="117"/>
      <c r="UUG371" s="118"/>
      <c r="UUI371" s="342"/>
      <c r="UUJ371" s="674"/>
      <c r="UUK371" s="351"/>
      <c r="UUL371" s="352"/>
      <c r="UUM371" s="332"/>
      <c r="UUN371" s="117"/>
      <c r="UUP371" s="118"/>
      <c r="UUR371" s="342"/>
      <c r="UUS371" s="674"/>
      <c r="UUT371" s="351"/>
      <c r="UUU371" s="352"/>
      <c r="UUV371" s="332"/>
      <c r="UUW371" s="117"/>
      <c r="UUY371" s="118"/>
      <c r="UVA371" s="342"/>
      <c r="UVB371" s="674"/>
      <c r="UVC371" s="351"/>
      <c r="UVD371" s="352"/>
      <c r="UVE371" s="332"/>
      <c r="UVF371" s="117"/>
      <c r="UVH371" s="118"/>
      <c r="UVJ371" s="342"/>
      <c r="UVK371" s="674"/>
      <c r="UVL371" s="351"/>
      <c r="UVM371" s="352"/>
      <c r="UVN371" s="332"/>
      <c r="UVO371" s="117"/>
      <c r="UVQ371" s="118"/>
      <c r="UVS371" s="342"/>
      <c r="UVT371" s="674"/>
      <c r="UVU371" s="351"/>
      <c r="UVV371" s="352"/>
      <c r="UVW371" s="332"/>
      <c r="UVX371" s="117"/>
      <c r="UVZ371" s="118"/>
      <c r="UWB371" s="342"/>
      <c r="UWC371" s="674"/>
      <c r="UWD371" s="351"/>
      <c r="UWE371" s="352"/>
      <c r="UWF371" s="332"/>
      <c r="UWG371" s="117"/>
      <c r="UWI371" s="118"/>
      <c r="UWK371" s="342"/>
      <c r="UWL371" s="674"/>
      <c r="UWM371" s="351"/>
      <c r="UWN371" s="352"/>
      <c r="UWO371" s="332"/>
      <c r="UWP371" s="117"/>
      <c r="UWR371" s="118"/>
      <c r="UWT371" s="342"/>
      <c r="UWU371" s="674"/>
      <c r="UWV371" s="351"/>
      <c r="UWW371" s="352"/>
      <c r="UWX371" s="332"/>
      <c r="UWY371" s="117"/>
      <c r="UXA371" s="118"/>
      <c r="UXC371" s="342"/>
      <c r="UXD371" s="674"/>
      <c r="UXE371" s="351"/>
      <c r="UXF371" s="352"/>
      <c r="UXG371" s="332"/>
      <c r="UXH371" s="117"/>
      <c r="UXJ371" s="118"/>
      <c r="UXL371" s="342"/>
      <c r="UXM371" s="674"/>
      <c r="UXN371" s="351"/>
      <c r="UXO371" s="352"/>
      <c r="UXP371" s="332"/>
      <c r="UXQ371" s="117"/>
      <c r="UXS371" s="118"/>
      <c r="UXU371" s="342"/>
      <c r="UXV371" s="674"/>
      <c r="UXW371" s="351"/>
      <c r="UXX371" s="352"/>
      <c r="UXY371" s="332"/>
      <c r="UXZ371" s="117"/>
      <c r="UYB371" s="118"/>
      <c r="UYD371" s="342"/>
      <c r="UYE371" s="674"/>
      <c r="UYF371" s="351"/>
      <c r="UYG371" s="352"/>
      <c r="UYH371" s="332"/>
      <c r="UYI371" s="117"/>
      <c r="UYK371" s="118"/>
      <c r="UYM371" s="342"/>
      <c r="UYN371" s="674"/>
      <c r="UYO371" s="351"/>
      <c r="UYP371" s="352"/>
      <c r="UYQ371" s="332"/>
      <c r="UYR371" s="117"/>
      <c r="UYT371" s="118"/>
      <c r="UYV371" s="342"/>
      <c r="UYW371" s="674"/>
      <c r="UYX371" s="351"/>
      <c r="UYY371" s="352"/>
      <c r="UYZ371" s="332"/>
      <c r="UZA371" s="117"/>
      <c r="UZC371" s="118"/>
      <c r="UZE371" s="342"/>
      <c r="UZF371" s="674"/>
      <c r="UZG371" s="351"/>
      <c r="UZH371" s="352"/>
      <c r="UZI371" s="332"/>
      <c r="UZJ371" s="117"/>
      <c r="UZL371" s="118"/>
      <c r="UZN371" s="342"/>
      <c r="UZO371" s="674"/>
      <c r="UZP371" s="351"/>
      <c r="UZQ371" s="352"/>
      <c r="UZR371" s="332"/>
      <c r="UZS371" s="117"/>
      <c r="UZU371" s="118"/>
      <c r="UZW371" s="342"/>
      <c r="UZX371" s="674"/>
      <c r="UZY371" s="351"/>
      <c r="UZZ371" s="352"/>
      <c r="VAA371" s="332"/>
      <c r="VAB371" s="117"/>
      <c r="VAD371" s="118"/>
      <c r="VAF371" s="342"/>
      <c r="VAG371" s="674"/>
      <c r="VAH371" s="351"/>
      <c r="VAI371" s="352"/>
      <c r="VAJ371" s="332"/>
      <c r="VAK371" s="117"/>
      <c r="VAM371" s="118"/>
      <c r="VAO371" s="342"/>
      <c r="VAP371" s="674"/>
      <c r="VAQ371" s="351"/>
      <c r="VAR371" s="352"/>
      <c r="VAS371" s="332"/>
      <c r="VAT371" s="117"/>
      <c r="VAV371" s="118"/>
      <c r="VAX371" s="342"/>
      <c r="VAY371" s="674"/>
      <c r="VAZ371" s="351"/>
      <c r="VBA371" s="352"/>
      <c r="VBB371" s="332"/>
      <c r="VBC371" s="117"/>
      <c r="VBE371" s="118"/>
      <c r="VBG371" s="342"/>
      <c r="VBH371" s="674"/>
      <c r="VBI371" s="351"/>
      <c r="VBJ371" s="352"/>
      <c r="VBK371" s="332"/>
      <c r="VBL371" s="117"/>
      <c r="VBN371" s="118"/>
      <c r="VBP371" s="342"/>
      <c r="VBQ371" s="674"/>
      <c r="VBR371" s="351"/>
      <c r="VBS371" s="352"/>
      <c r="VBT371" s="332"/>
      <c r="VBU371" s="117"/>
      <c r="VBW371" s="118"/>
      <c r="VBY371" s="342"/>
      <c r="VBZ371" s="674"/>
      <c r="VCA371" s="351"/>
      <c r="VCB371" s="352"/>
      <c r="VCC371" s="332"/>
      <c r="VCD371" s="117"/>
      <c r="VCF371" s="118"/>
      <c r="VCH371" s="342"/>
      <c r="VCI371" s="674"/>
      <c r="VCJ371" s="351"/>
      <c r="VCK371" s="352"/>
      <c r="VCL371" s="332"/>
      <c r="VCM371" s="117"/>
      <c r="VCO371" s="118"/>
      <c r="VCQ371" s="342"/>
      <c r="VCR371" s="674"/>
      <c r="VCS371" s="351"/>
      <c r="VCT371" s="352"/>
      <c r="VCU371" s="332"/>
      <c r="VCV371" s="117"/>
      <c r="VCX371" s="118"/>
      <c r="VCZ371" s="342"/>
      <c r="VDA371" s="674"/>
      <c r="VDB371" s="351"/>
      <c r="VDC371" s="352"/>
      <c r="VDD371" s="332"/>
      <c r="VDE371" s="117"/>
      <c r="VDG371" s="118"/>
      <c r="VDI371" s="342"/>
      <c r="VDJ371" s="674"/>
      <c r="VDK371" s="351"/>
      <c r="VDL371" s="352"/>
      <c r="VDM371" s="332"/>
      <c r="VDN371" s="117"/>
      <c r="VDP371" s="118"/>
      <c r="VDR371" s="342"/>
      <c r="VDS371" s="674"/>
      <c r="VDT371" s="351"/>
      <c r="VDU371" s="352"/>
      <c r="VDV371" s="332"/>
      <c r="VDW371" s="117"/>
      <c r="VDY371" s="118"/>
      <c r="VEA371" s="342"/>
      <c r="VEB371" s="674"/>
      <c r="VEC371" s="351"/>
      <c r="VED371" s="352"/>
      <c r="VEE371" s="332"/>
      <c r="VEF371" s="117"/>
      <c r="VEH371" s="118"/>
      <c r="VEJ371" s="342"/>
      <c r="VEK371" s="674"/>
      <c r="VEL371" s="351"/>
      <c r="VEM371" s="352"/>
      <c r="VEN371" s="332"/>
      <c r="VEO371" s="117"/>
      <c r="VEQ371" s="118"/>
      <c r="VES371" s="342"/>
      <c r="VET371" s="674"/>
      <c r="VEU371" s="351"/>
      <c r="VEV371" s="352"/>
      <c r="VEW371" s="332"/>
      <c r="VEX371" s="117"/>
      <c r="VEZ371" s="118"/>
      <c r="VFB371" s="342"/>
      <c r="VFC371" s="674"/>
      <c r="VFD371" s="351"/>
      <c r="VFE371" s="352"/>
      <c r="VFF371" s="332"/>
      <c r="VFG371" s="117"/>
      <c r="VFI371" s="118"/>
      <c r="VFK371" s="342"/>
      <c r="VFL371" s="674"/>
      <c r="VFM371" s="351"/>
      <c r="VFN371" s="352"/>
      <c r="VFO371" s="332"/>
      <c r="VFP371" s="117"/>
      <c r="VFR371" s="118"/>
      <c r="VFT371" s="342"/>
      <c r="VFU371" s="674"/>
      <c r="VFV371" s="351"/>
      <c r="VFW371" s="352"/>
      <c r="VFX371" s="332"/>
      <c r="VFY371" s="117"/>
      <c r="VGA371" s="118"/>
      <c r="VGC371" s="342"/>
      <c r="VGD371" s="674"/>
      <c r="VGE371" s="351"/>
      <c r="VGF371" s="352"/>
      <c r="VGG371" s="332"/>
      <c r="VGH371" s="117"/>
      <c r="VGJ371" s="118"/>
      <c r="VGL371" s="342"/>
      <c r="VGM371" s="674"/>
      <c r="VGN371" s="351"/>
      <c r="VGO371" s="352"/>
      <c r="VGP371" s="332"/>
      <c r="VGQ371" s="117"/>
      <c r="VGS371" s="118"/>
      <c r="VGU371" s="342"/>
      <c r="VGV371" s="674"/>
      <c r="VGW371" s="351"/>
      <c r="VGX371" s="352"/>
      <c r="VGY371" s="332"/>
      <c r="VGZ371" s="117"/>
      <c r="VHB371" s="118"/>
      <c r="VHD371" s="342"/>
      <c r="VHE371" s="674"/>
      <c r="VHF371" s="351"/>
      <c r="VHG371" s="352"/>
      <c r="VHH371" s="332"/>
      <c r="VHI371" s="117"/>
      <c r="VHK371" s="118"/>
      <c r="VHM371" s="342"/>
      <c r="VHN371" s="674"/>
      <c r="VHO371" s="351"/>
      <c r="VHP371" s="352"/>
      <c r="VHQ371" s="332"/>
      <c r="VHR371" s="117"/>
      <c r="VHT371" s="118"/>
      <c r="VHV371" s="342"/>
      <c r="VHW371" s="674"/>
      <c r="VHX371" s="351"/>
      <c r="VHY371" s="352"/>
      <c r="VHZ371" s="332"/>
      <c r="VIA371" s="117"/>
      <c r="VIC371" s="118"/>
      <c r="VIE371" s="342"/>
      <c r="VIF371" s="674"/>
      <c r="VIG371" s="351"/>
      <c r="VIH371" s="352"/>
      <c r="VII371" s="332"/>
      <c r="VIJ371" s="117"/>
      <c r="VIL371" s="118"/>
      <c r="VIN371" s="342"/>
      <c r="VIO371" s="674"/>
      <c r="VIP371" s="351"/>
      <c r="VIQ371" s="352"/>
      <c r="VIR371" s="332"/>
      <c r="VIS371" s="117"/>
      <c r="VIU371" s="118"/>
      <c r="VIW371" s="342"/>
      <c r="VIX371" s="674"/>
      <c r="VIY371" s="351"/>
      <c r="VIZ371" s="352"/>
      <c r="VJA371" s="332"/>
      <c r="VJB371" s="117"/>
      <c r="VJD371" s="118"/>
      <c r="VJF371" s="342"/>
      <c r="VJG371" s="674"/>
      <c r="VJH371" s="351"/>
      <c r="VJI371" s="352"/>
      <c r="VJJ371" s="332"/>
      <c r="VJK371" s="117"/>
      <c r="VJM371" s="118"/>
      <c r="VJO371" s="342"/>
      <c r="VJP371" s="674"/>
      <c r="VJQ371" s="351"/>
      <c r="VJR371" s="352"/>
      <c r="VJS371" s="332"/>
      <c r="VJT371" s="117"/>
      <c r="VJV371" s="118"/>
      <c r="VJX371" s="342"/>
      <c r="VJY371" s="674"/>
      <c r="VJZ371" s="351"/>
      <c r="VKA371" s="352"/>
      <c r="VKB371" s="332"/>
      <c r="VKC371" s="117"/>
      <c r="VKE371" s="118"/>
      <c r="VKG371" s="342"/>
      <c r="VKH371" s="674"/>
      <c r="VKI371" s="351"/>
      <c r="VKJ371" s="352"/>
      <c r="VKK371" s="332"/>
      <c r="VKL371" s="117"/>
      <c r="VKN371" s="118"/>
      <c r="VKP371" s="342"/>
      <c r="VKQ371" s="674"/>
      <c r="VKR371" s="351"/>
      <c r="VKS371" s="352"/>
      <c r="VKT371" s="332"/>
      <c r="VKU371" s="117"/>
      <c r="VKW371" s="118"/>
      <c r="VKY371" s="342"/>
      <c r="VKZ371" s="674"/>
      <c r="VLA371" s="351"/>
      <c r="VLB371" s="352"/>
      <c r="VLC371" s="332"/>
      <c r="VLD371" s="117"/>
      <c r="VLF371" s="118"/>
      <c r="VLH371" s="342"/>
      <c r="VLI371" s="674"/>
      <c r="VLJ371" s="351"/>
      <c r="VLK371" s="352"/>
      <c r="VLL371" s="332"/>
      <c r="VLM371" s="117"/>
      <c r="VLO371" s="118"/>
      <c r="VLQ371" s="342"/>
      <c r="VLR371" s="674"/>
      <c r="VLS371" s="351"/>
      <c r="VLT371" s="352"/>
      <c r="VLU371" s="332"/>
      <c r="VLV371" s="117"/>
      <c r="VLX371" s="118"/>
      <c r="VLZ371" s="342"/>
      <c r="VMA371" s="674"/>
      <c r="VMB371" s="351"/>
      <c r="VMC371" s="352"/>
      <c r="VMD371" s="332"/>
      <c r="VME371" s="117"/>
      <c r="VMG371" s="118"/>
      <c r="VMI371" s="342"/>
      <c r="VMJ371" s="674"/>
      <c r="VMK371" s="351"/>
      <c r="VML371" s="352"/>
      <c r="VMM371" s="332"/>
      <c r="VMN371" s="117"/>
      <c r="VMP371" s="118"/>
      <c r="VMR371" s="342"/>
      <c r="VMS371" s="674"/>
      <c r="VMT371" s="351"/>
      <c r="VMU371" s="352"/>
      <c r="VMV371" s="332"/>
      <c r="VMW371" s="117"/>
      <c r="VMY371" s="118"/>
      <c r="VNA371" s="342"/>
      <c r="VNB371" s="674"/>
      <c r="VNC371" s="351"/>
      <c r="VND371" s="352"/>
      <c r="VNE371" s="332"/>
      <c r="VNF371" s="117"/>
      <c r="VNH371" s="118"/>
      <c r="VNJ371" s="342"/>
      <c r="VNK371" s="674"/>
      <c r="VNL371" s="351"/>
      <c r="VNM371" s="352"/>
      <c r="VNN371" s="332"/>
      <c r="VNO371" s="117"/>
      <c r="VNQ371" s="118"/>
      <c r="VNS371" s="342"/>
      <c r="VNT371" s="674"/>
      <c r="VNU371" s="351"/>
      <c r="VNV371" s="352"/>
      <c r="VNW371" s="332"/>
      <c r="VNX371" s="117"/>
      <c r="VNZ371" s="118"/>
      <c r="VOB371" s="342"/>
      <c r="VOC371" s="674"/>
      <c r="VOD371" s="351"/>
      <c r="VOE371" s="352"/>
      <c r="VOF371" s="332"/>
      <c r="VOG371" s="117"/>
      <c r="VOI371" s="118"/>
      <c r="VOK371" s="342"/>
      <c r="VOL371" s="674"/>
      <c r="VOM371" s="351"/>
      <c r="VON371" s="352"/>
      <c r="VOO371" s="332"/>
      <c r="VOP371" s="117"/>
      <c r="VOR371" s="118"/>
      <c r="VOT371" s="342"/>
      <c r="VOU371" s="674"/>
      <c r="VOV371" s="351"/>
      <c r="VOW371" s="352"/>
      <c r="VOX371" s="332"/>
      <c r="VOY371" s="117"/>
      <c r="VPA371" s="118"/>
      <c r="VPC371" s="342"/>
      <c r="VPD371" s="674"/>
      <c r="VPE371" s="351"/>
      <c r="VPF371" s="352"/>
      <c r="VPG371" s="332"/>
      <c r="VPH371" s="117"/>
      <c r="VPJ371" s="118"/>
      <c r="VPL371" s="342"/>
      <c r="VPM371" s="674"/>
      <c r="VPN371" s="351"/>
      <c r="VPO371" s="352"/>
      <c r="VPP371" s="332"/>
      <c r="VPQ371" s="117"/>
      <c r="VPS371" s="118"/>
      <c r="VPU371" s="342"/>
      <c r="VPV371" s="674"/>
      <c r="VPW371" s="351"/>
      <c r="VPX371" s="352"/>
      <c r="VPY371" s="332"/>
      <c r="VPZ371" s="117"/>
      <c r="VQB371" s="118"/>
      <c r="VQD371" s="342"/>
      <c r="VQE371" s="674"/>
      <c r="VQF371" s="351"/>
      <c r="VQG371" s="352"/>
      <c r="VQH371" s="332"/>
      <c r="VQI371" s="117"/>
      <c r="VQK371" s="118"/>
      <c r="VQM371" s="342"/>
      <c r="VQN371" s="674"/>
      <c r="VQO371" s="351"/>
      <c r="VQP371" s="352"/>
      <c r="VQQ371" s="332"/>
      <c r="VQR371" s="117"/>
      <c r="VQT371" s="118"/>
      <c r="VQV371" s="342"/>
      <c r="VQW371" s="674"/>
      <c r="VQX371" s="351"/>
      <c r="VQY371" s="352"/>
      <c r="VQZ371" s="332"/>
      <c r="VRA371" s="117"/>
      <c r="VRC371" s="118"/>
      <c r="VRE371" s="342"/>
      <c r="VRF371" s="674"/>
      <c r="VRG371" s="351"/>
      <c r="VRH371" s="352"/>
      <c r="VRI371" s="332"/>
      <c r="VRJ371" s="117"/>
      <c r="VRL371" s="118"/>
      <c r="VRN371" s="342"/>
      <c r="VRO371" s="674"/>
      <c r="VRP371" s="351"/>
      <c r="VRQ371" s="352"/>
      <c r="VRR371" s="332"/>
      <c r="VRS371" s="117"/>
      <c r="VRU371" s="118"/>
      <c r="VRW371" s="342"/>
      <c r="VRX371" s="674"/>
      <c r="VRY371" s="351"/>
      <c r="VRZ371" s="352"/>
      <c r="VSA371" s="332"/>
      <c r="VSB371" s="117"/>
      <c r="VSD371" s="118"/>
      <c r="VSF371" s="342"/>
      <c r="VSG371" s="674"/>
      <c r="VSH371" s="351"/>
      <c r="VSI371" s="352"/>
      <c r="VSJ371" s="332"/>
      <c r="VSK371" s="117"/>
      <c r="VSM371" s="118"/>
      <c r="VSO371" s="342"/>
      <c r="VSP371" s="674"/>
      <c r="VSQ371" s="351"/>
      <c r="VSR371" s="352"/>
      <c r="VSS371" s="332"/>
      <c r="VST371" s="117"/>
      <c r="VSV371" s="118"/>
      <c r="VSX371" s="342"/>
      <c r="VSY371" s="674"/>
      <c r="VSZ371" s="351"/>
      <c r="VTA371" s="352"/>
      <c r="VTB371" s="332"/>
      <c r="VTC371" s="117"/>
      <c r="VTE371" s="118"/>
      <c r="VTG371" s="342"/>
      <c r="VTH371" s="674"/>
      <c r="VTI371" s="351"/>
      <c r="VTJ371" s="352"/>
      <c r="VTK371" s="332"/>
      <c r="VTL371" s="117"/>
      <c r="VTN371" s="118"/>
      <c r="VTP371" s="342"/>
      <c r="VTQ371" s="674"/>
      <c r="VTR371" s="351"/>
      <c r="VTS371" s="352"/>
      <c r="VTT371" s="332"/>
      <c r="VTU371" s="117"/>
      <c r="VTW371" s="118"/>
      <c r="VTY371" s="342"/>
      <c r="VTZ371" s="674"/>
      <c r="VUA371" s="351"/>
      <c r="VUB371" s="352"/>
      <c r="VUC371" s="332"/>
      <c r="VUD371" s="117"/>
      <c r="VUF371" s="118"/>
      <c r="VUH371" s="342"/>
      <c r="VUI371" s="674"/>
      <c r="VUJ371" s="351"/>
      <c r="VUK371" s="352"/>
      <c r="VUL371" s="332"/>
      <c r="VUM371" s="117"/>
      <c r="VUO371" s="118"/>
      <c r="VUQ371" s="342"/>
      <c r="VUR371" s="674"/>
      <c r="VUS371" s="351"/>
      <c r="VUT371" s="352"/>
      <c r="VUU371" s="332"/>
      <c r="VUV371" s="117"/>
      <c r="VUX371" s="118"/>
      <c r="VUZ371" s="342"/>
      <c r="VVA371" s="674"/>
      <c r="VVB371" s="351"/>
      <c r="VVC371" s="352"/>
      <c r="VVD371" s="332"/>
      <c r="VVE371" s="117"/>
      <c r="VVG371" s="118"/>
      <c r="VVI371" s="342"/>
      <c r="VVJ371" s="674"/>
      <c r="VVK371" s="351"/>
      <c r="VVL371" s="352"/>
      <c r="VVM371" s="332"/>
      <c r="VVN371" s="117"/>
      <c r="VVP371" s="118"/>
      <c r="VVR371" s="342"/>
      <c r="VVS371" s="674"/>
      <c r="VVT371" s="351"/>
      <c r="VVU371" s="352"/>
      <c r="VVV371" s="332"/>
      <c r="VVW371" s="117"/>
      <c r="VVY371" s="118"/>
      <c r="VWA371" s="342"/>
      <c r="VWB371" s="674"/>
      <c r="VWC371" s="351"/>
      <c r="VWD371" s="352"/>
      <c r="VWE371" s="332"/>
      <c r="VWF371" s="117"/>
      <c r="VWH371" s="118"/>
      <c r="VWJ371" s="342"/>
      <c r="VWK371" s="674"/>
      <c r="VWL371" s="351"/>
      <c r="VWM371" s="352"/>
      <c r="VWN371" s="332"/>
      <c r="VWO371" s="117"/>
      <c r="VWQ371" s="118"/>
      <c r="VWS371" s="342"/>
      <c r="VWT371" s="674"/>
      <c r="VWU371" s="351"/>
      <c r="VWV371" s="352"/>
      <c r="VWW371" s="332"/>
      <c r="VWX371" s="117"/>
      <c r="VWZ371" s="118"/>
      <c r="VXB371" s="342"/>
      <c r="VXC371" s="674"/>
      <c r="VXD371" s="351"/>
      <c r="VXE371" s="352"/>
      <c r="VXF371" s="332"/>
      <c r="VXG371" s="117"/>
      <c r="VXI371" s="118"/>
      <c r="VXK371" s="342"/>
      <c r="VXL371" s="674"/>
      <c r="VXM371" s="351"/>
      <c r="VXN371" s="352"/>
      <c r="VXO371" s="332"/>
      <c r="VXP371" s="117"/>
      <c r="VXR371" s="118"/>
      <c r="VXT371" s="342"/>
      <c r="VXU371" s="674"/>
      <c r="VXV371" s="351"/>
      <c r="VXW371" s="352"/>
      <c r="VXX371" s="332"/>
      <c r="VXY371" s="117"/>
      <c r="VYA371" s="118"/>
      <c r="VYC371" s="342"/>
      <c r="VYD371" s="674"/>
      <c r="VYE371" s="351"/>
      <c r="VYF371" s="352"/>
      <c r="VYG371" s="332"/>
      <c r="VYH371" s="117"/>
      <c r="VYJ371" s="118"/>
      <c r="VYL371" s="342"/>
      <c r="VYM371" s="674"/>
      <c r="VYN371" s="351"/>
      <c r="VYO371" s="352"/>
      <c r="VYP371" s="332"/>
      <c r="VYQ371" s="117"/>
      <c r="VYS371" s="118"/>
      <c r="VYU371" s="342"/>
      <c r="VYV371" s="674"/>
      <c r="VYW371" s="351"/>
      <c r="VYX371" s="352"/>
      <c r="VYY371" s="332"/>
      <c r="VYZ371" s="117"/>
      <c r="VZB371" s="118"/>
      <c r="VZD371" s="342"/>
      <c r="VZE371" s="674"/>
      <c r="VZF371" s="351"/>
      <c r="VZG371" s="352"/>
      <c r="VZH371" s="332"/>
      <c r="VZI371" s="117"/>
      <c r="VZK371" s="118"/>
      <c r="VZM371" s="342"/>
      <c r="VZN371" s="674"/>
      <c r="VZO371" s="351"/>
      <c r="VZP371" s="352"/>
      <c r="VZQ371" s="332"/>
      <c r="VZR371" s="117"/>
      <c r="VZT371" s="118"/>
      <c r="VZV371" s="342"/>
      <c r="VZW371" s="674"/>
      <c r="VZX371" s="351"/>
      <c r="VZY371" s="352"/>
      <c r="VZZ371" s="332"/>
      <c r="WAA371" s="117"/>
      <c r="WAC371" s="118"/>
      <c r="WAE371" s="342"/>
      <c r="WAF371" s="674"/>
      <c r="WAG371" s="351"/>
      <c r="WAH371" s="352"/>
      <c r="WAI371" s="332"/>
      <c r="WAJ371" s="117"/>
      <c r="WAL371" s="118"/>
      <c r="WAN371" s="342"/>
      <c r="WAO371" s="674"/>
      <c r="WAP371" s="351"/>
      <c r="WAQ371" s="352"/>
      <c r="WAR371" s="332"/>
      <c r="WAS371" s="117"/>
      <c r="WAU371" s="118"/>
      <c r="WAW371" s="342"/>
      <c r="WAX371" s="674"/>
      <c r="WAY371" s="351"/>
      <c r="WAZ371" s="352"/>
      <c r="WBA371" s="332"/>
      <c r="WBB371" s="117"/>
      <c r="WBD371" s="118"/>
      <c r="WBF371" s="342"/>
      <c r="WBG371" s="674"/>
      <c r="WBH371" s="351"/>
      <c r="WBI371" s="352"/>
      <c r="WBJ371" s="332"/>
      <c r="WBK371" s="117"/>
      <c r="WBM371" s="118"/>
      <c r="WBO371" s="342"/>
      <c r="WBP371" s="674"/>
      <c r="WBQ371" s="351"/>
      <c r="WBR371" s="352"/>
      <c r="WBS371" s="332"/>
      <c r="WBT371" s="117"/>
      <c r="WBV371" s="118"/>
      <c r="WBX371" s="342"/>
      <c r="WBY371" s="674"/>
      <c r="WBZ371" s="351"/>
      <c r="WCA371" s="352"/>
      <c r="WCB371" s="332"/>
      <c r="WCC371" s="117"/>
      <c r="WCE371" s="118"/>
      <c r="WCG371" s="342"/>
      <c r="WCH371" s="674"/>
      <c r="WCI371" s="351"/>
      <c r="WCJ371" s="352"/>
      <c r="WCK371" s="332"/>
      <c r="WCL371" s="117"/>
      <c r="WCN371" s="118"/>
      <c r="WCP371" s="342"/>
      <c r="WCQ371" s="674"/>
      <c r="WCR371" s="351"/>
      <c r="WCS371" s="352"/>
      <c r="WCT371" s="332"/>
      <c r="WCU371" s="117"/>
      <c r="WCW371" s="118"/>
      <c r="WCY371" s="342"/>
      <c r="WCZ371" s="674"/>
      <c r="WDA371" s="351"/>
      <c r="WDB371" s="352"/>
      <c r="WDC371" s="332"/>
      <c r="WDD371" s="117"/>
      <c r="WDF371" s="118"/>
      <c r="WDH371" s="342"/>
      <c r="WDI371" s="674"/>
      <c r="WDJ371" s="351"/>
      <c r="WDK371" s="352"/>
      <c r="WDL371" s="332"/>
      <c r="WDM371" s="117"/>
      <c r="WDO371" s="118"/>
      <c r="WDQ371" s="342"/>
      <c r="WDR371" s="674"/>
      <c r="WDS371" s="351"/>
      <c r="WDT371" s="352"/>
      <c r="WDU371" s="332"/>
      <c r="WDV371" s="117"/>
      <c r="WDX371" s="118"/>
      <c r="WDZ371" s="342"/>
      <c r="WEA371" s="674"/>
      <c r="WEB371" s="351"/>
      <c r="WEC371" s="352"/>
      <c r="WED371" s="332"/>
      <c r="WEE371" s="117"/>
      <c r="WEG371" s="118"/>
      <c r="WEI371" s="342"/>
      <c r="WEJ371" s="674"/>
      <c r="WEK371" s="351"/>
      <c r="WEL371" s="352"/>
      <c r="WEM371" s="332"/>
      <c r="WEN371" s="117"/>
      <c r="WEP371" s="118"/>
      <c r="WER371" s="342"/>
      <c r="WES371" s="674"/>
      <c r="WET371" s="351"/>
      <c r="WEU371" s="352"/>
      <c r="WEV371" s="332"/>
      <c r="WEW371" s="117"/>
      <c r="WEY371" s="118"/>
      <c r="WFA371" s="342"/>
      <c r="WFB371" s="674"/>
      <c r="WFC371" s="351"/>
      <c r="WFD371" s="352"/>
      <c r="WFE371" s="332"/>
      <c r="WFF371" s="117"/>
      <c r="WFH371" s="118"/>
      <c r="WFJ371" s="342"/>
      <c r="WFK371" s="674"/>
      <c r="WFL371" s="351"/>
      <c r="WFM371" s="352"/>
      <c r="WFN371" s="332"/>
      <c r="WFO371" s="117"/>
      <c r="WFQ371" s="118"/>
      <c r="WFS371" s="342"/>
      <c r="WFT371" s="674"/>
      <c r="WFU371" s="351"/>
      <c r="WFV371" s="352"/>
      <c r="WFW371" s="332"/>
      <c r="WFX371" s="117"/>
      <c r="WFZ371" s="118"/>
      <c r="WGB371" s="342"/>
      <c r="WGC371" s="674"/>
      <c r="WGD371" s="351"/>
      <c r="WGE371" s="352"/>
      <c r="WGF371" s="332"/>
      <c r="WGG371" s="117"/>
      <c r="WGI371" s="118"/>
      <c r="WGK371" s="342"/>
      <c r="WGL371" s="674"/>
      <c r="WGM371" s="351"/>
      <c r="WGN371" s="352"/>
      <c r="WGO371" s="332"/>
      <c r="WGP371" s="117"/>
      <c r="WGR371" s="118"/>
      <c r="WGT371" s="342"/>
      <c r="WGU371" s="674"/>
      <c r="WGV371" s="351"/>
      <c r="WGW371" s="352"/>
      <c r="WGX371" s="332"/>
      <c r="WGY371" s="117"/>
      <c r="WHA371" s="118"/>
      <c r="WHC371" s="342"/>
      <c r="WHD371" s="674"/>
      <c r="WHE371" s="351"/>
      <c r="WHF371" s="352"/>
      <c r="WHG371" s="332"/>
      <c r="WHH371" s="117"/>
      <c r="WHJ371" s="118"/>
      <c r="WHL371" s="342"/>
      <c r="WHM371" s="674"/>
      <c r="WHN371" s="351"/>
      <c r="WHO371" s="352"/>
      <c r="WHP371" s="332"/>
      <c r="WHQ371" s="117"/>
      <c r="WHS371" s="118"/>
      <c r="WHU371" s="342"/>
      <c r="WHV371" s="674"/>
      <c r="WHW371" s="351"/>
      <c r="WHX371" s="352"/>
      <c r="WHY371" s="332"/>
      <c r="WHZ371" s="117"/>
      <c r="WIB371" s="118"/>
      <c r="WID371" s="342"/>
      <c r="WIE371" s="674"/>
      <c r="WIF371" s="351"/>
      <c r="WIG371" s="352"/>
      <c r="WIH371" s="332"/>
      <c r="WII371" s="117"/>
      <c r="WIK371" s="118"/>
      <c r="WIM371" s="342"/>
      <c r="WIN371" s="674"/>
      <c r="WIO371" s="351"/>
      <c r="WIP371" s="352"/>
      <c r="WIQ371" s="332"/>
      <c r="WIR371" s="117"/>
      <c r="WIT371" s="118"/>
      <c r="WIV371" s="342"/>
      <c r="WIW371" s="674"/>
      <c r="WIX371" s="351"/>
      <c r="WIY371" s="352"/>
      <c r="WIZ371" s="332"/>
      <c r="WJA371" s="117"/>
      <c r="WJC371" s="118"/>
      <c r="WJE371" s="342"/>
      <c r="WJF371" s="674"/>
      <c r="WJG371" s="351"/>
      <c r="WJH371" s="352"/>
      <c r="WJI371" s="332"/>
      <c r="WJJ371" s="117"/>
      <c r="WJL371" s="118"/>
      <c r="WJN371" s="342"/>
      <c r="WJO371" s="674"/>
      <c r="WJP371" s="351"/>
      <c r="WJQ371" s="352"/>
      <c r="WJR371" s="332"/>
      <c r="WJS371" s="117"/>
      <c r="WJU371" s="118"/>
      <c r="WJW371" s="342"/>
      <c r="WJX371" s="674"/>
      <c r="WJY371" s="351"/>
      <c r="WJZ371" s="352"/>
      <c r="WKA371" s="332"/>
      <c r="WKB371" s="117"/>
      <c r="WKD371" s="118"/>
      <c r="WKF371" s="342"/>
      <c r="WKG371" s="674"/>
      <c r="WKH371" s="351"/>
      <c r="WKI371" s="352"/>
      <c r="WKJ371" s="332"/>
      <c r="WKK371" s="117"/>
      <c r="WKM371" s="118"/>
      <c r="WKO371" s="342"/>
      <c r="WKP371" s="674"/>
      <c r="WKQ371" s="351"/>
      <c r="WKR371" s="352"/>
      <c r="WKS371" s="332"/>
      <c r="WKT371" s="117"/>
      <c r="WKV371" s="118"/>
      <c r="WKX371" s="342"/>
      <c r="WKY371" s="674"/>
      <c r="WKZ371" s="351"/>
      <c r="WLA371" s="352"/>
      <c r="WLB371" s="332"/>
      <c r="WLC371" s="117"/>
      <c r="WLE371" s="118"/>
      <c r="WLG371" s="342"/>
      <c r="WLH371" s="674"/>
      <c r="WLI371" s="351"/>
      <c r="WLJ371" s="352"/>
      <c r="WLK371" s="332"/>
      <c r="WLL371" s="117"/>
      <c r="WLN371" s="118"/>
      <c r="WLP371" s="342"/>
      <c r="WLQ371" s="674"/>
      <c r="WLR371" s="351"/>
      <c r="WLS371" s="352"/>
      <c r="WLT371" s="332"/>
      <c r="WLU371" s="117"/>
      <c r="WLW371" s="118"/>
      <c r="WLY371" s="342"/>
      <c r="WLZ371" s="674"/>
      <c r="WMA371" s="351"/>
      <c r="WMB371" s="352"/>
      <c r="WMC371" s="332"/>
      <c r="WMD371" s="117"/>
      <c r="WMF371" s="118"/>
      <c r="WMH371" s="342"/>
      <c r="WMI371" s="674"/>
      <c r="WMJ371" s="351"/>
      <c r="WMK371" s="352"/>
      <c r="WML371" s="332"/>
      <c r="WMM371" s="117"/>
      <c r="WMO371" s="118"/>
      <c r="WMQ371" s="342"/>
      <c r="WMR371" s="674"/>
      <c r="WMS371" s="351"/>
      <c r="WMT371" s="352"/>
      <c r="WMU371" s="332"/>
      <c r="WMV371" s="117"/>
      <c r="WMX371" s="118"/>
      <c r="WMZ371" s="342"/>
      <c r="WNA371" s="674"/>
      <c r="WNB371" s="351"/>
      <c r="WNC371" s="352"/>
      <c r="WND371" s="332"/>
      <c r="WNE371" s="117"/>
      <c r="WNG371" s="118"/>
      <c r="WNI371" s="342"/>
      <c r="WNJ371" s="674"/>
      <c r="WNK371" s="351"/>
      <c r="WNL371" s="352"/>
      <c r="WNM371" s="332"/>
      <c r="WNN371" s="117"/>
      <c r="WNP371" s="118"/>
      <c r="WNR371" s="342"/>
      <c r="WNS371" s="674"/>
      <c r="WNT371" s="351"/>
      <c r="WNU371" s="352"/>
      <c r="WNV371" s="332"/>
      <c r="WNW371" s="117"/>
      <c r="WNY371" s="118"/>
      <c r="WOA371" s="342"/>
      <c r="WOB371" s="674"/>
      <c r="WOC371" s="351"/>
      <c r="WOD371" s="352"/>
      <c r="WOE371" s="332"/>
      <c r="WOF371" s="117"/>
      <c r="WOH371" s="118"/>
      <c r="WOJ371" s="342"/>
      <c r="WOK371" s="674"/>
      <c r="WOL371" s="351"/>
      <c r="WOM371" s="352"/>
      <c r="WON371" s="332"/>
      <c r="WOO371" s="117"/>
      <c r="WOQ371" s="118"/>
      <c r="WOS371" s="342"/>
      <c r="WOT371" s="674"/>
      <c r="WOU371" s="351"/>
      <c r="WOV371" s="352"/>
      <c r="WOW371" s="332"/>
      <c r="WOX371" s="117"/>
      <c r="WOZ371" s="118"/>
      <c r="WPB371" s="342"/>
      <c r="WPC371" s="674"/>
      <c r="WPD371" s="351"/>
      <c r="WPE371" s="352"/>
      <c r="WPF371" s="332"/>
      <c r="WPG371" s="117"/>
      <c r="WPI371" s="118"/>
      <c r="WPK371" s="342"/>
      <c r="WPL371" s="674"/>
      <c r="WPM371" s="351"/>
      <c r="WPN371" s="352"/>
      <c r="WPO371" s="332"/>
      <c r="WPP371" s="117"/>
      <c r="WPR371" s="118"/>
      <c r="WPT371" s="342"/>
      <c r="WPU371" s="674"/>
      <c r="WPV371" s="351"/>
      <c r="WPW371" s="352"/>
      <c r="WPX371" s="332"/>
      <c r="WPY371" s="117"/>
      <c r="WQA371" s="118"/>
      <c r="WQC371" s="342"/>
      <c r="WQD371" s="674"/>
      <c r="WQE371" s="351"/>
      <c r="WQF371" s="352"/>
      <c r="WQG371" s="332"/>
      <c r="WQH371" s="117"/>
      <c r="WQJ371" s="118"/>
      <c r="WQL371" s="342"/>
      <c r="WQM371" s="674"/>
      <c r="WQN371" s="351"/>
      <c r="WQO371" s="352"/>
      <c r="WQP371" s="332"/>
      <c r="WQQ371" s="117"/>
      <c r="WQS371" s="118"/>
      <c r="WQU371" s="342"/>
      <c r="WQV371" s="674"/>
      <c r="WQW371" s="351"/>
      <c r="WQX371" s="352"/>
      <c r="WQY371" s="332"/>
      <c r="WQZ371" s="117"/>
      <c r="WRB371" s="118"/>
      <c r="WRD371" s="342"/>
      <c r="WRE371" s="674"/>
      <c r="WRF371" s="351"/>
      <c r="WRG371" s="352"/>
      <c r="WRH371" s="332"/>
      <c r="WRI371" s="117"/>
      <c r="WRK371" s="118"/>
      <c r="WRM371" s="342"/>
      <c r="WRN371" s="674"/>
      <c r="WRO371" s="351"/>
      <c r="WRP371" s="352"/>
      <c r="WRQ371" s="332"/>
      <c r="WRR371" s="117"/>
      <c r="WRT371" s="118"/>
      <c r="WRV371" s="342"/>
      <c r="WRW371" s="674"/>
      <c r="WRX371" s="351"/>
      <c r="WRY371" s="352"/>
      <c r="WRZ371" s="332"/>
      <c r="WSA371" s="117"/>
      <c r="WSC371" s="118"/>
      <c r="WSE371" s="342"/>
      <c r="WSF371" s="674"/>
      <c r="WSG371" s="351"/>
      <c r="WSH371" s="352"/>
      <c r="WSI371" s="332"/>
      <c r="WSJ371" s="117"/>
      <c r="WSL371" s="118"/>
      <c r="WSN371" s="342"/>
      <c r="WSO371" s="674"/>
      <c r="WSP371" s="351"/>
      <c r="WSQ371" s="352"/>
      <c r="WSR371" s="332"/>
      <c r="WSS371" s="117"/>
      <c r="WSU371" s="118"/>
      <c r="WSW371" s="342"/>
      <c r="WSX371" s="674"/>
      <c r="WSY371" s="351"/>
      <c r="WSZ371" s="352"/>
      <c r="WTA371" s="332"/>
      <c r="WTB371" s="117"/>
      <c r="WTD371" s="118"/>
      <c r="WTF371" s="342"/>
      <c r="WTG371" s="674"/>
      <c r="WTH371" s="351"/>
      <c r="WTI371" s="352"/>
      <c r="WTJ371" s="332"/>
      <c r="WTK371" s="117"/>
      <c r="WTM371" s="118"/>
      <c r="WTO371" s="342"/>
      <c r="WTP371" s="674"/>
      <c r="WTQ371" s="351"/>
      <c r="WTR371" s="352"/>
      <c r="WTS371" s="332"/>
      <c r="WTT371" s="117"/>
      <c r="WTV371" s="118"/>
      <c r="WTX371" s="342"/>
      <c r="WTY371" s="674"/>
      <c r="WTZ371" s="351"/>
      <c r="WUA371" s="352"/>
      <c r="WUB371" s="332"/>
      <c r="WUC371" s="117"/>
      <c r="WUE371" s="118"/>
      <c r="WUG371" s="342"/>
      <c r="WUH371" s="674"/>
      <c r="WUI371" s="351"/>
      <c r="WUJ371" s="352"/>
      <c r="WUK371" s="332"/>
      <c r="WUL371" s="117"/>
      <c r="WUN371" s="118"/>
      <c r="WUP371" s="342"/>
      <c r="WUQ371" s="674"/>
      <c r="WUR371" s="351"/>
      <c r="WUS371" s="352"/>
      <c r="WUT371" s="332"/>
      <c r="WUU371" s="117"/>
      <c r="WUW371" s="118"/>
      <c r="WUY371" s="342"/>
      <c r="WUZ371" s="674"/>
      <c r="WVA371" s="351"/>
      <c r="WVB371" s="352"/>
      <c r="WVC371" s="332"/>
      <c r="WVD371" s="117"/>
      <c r="WVF371" s="118"/>
      <c r="WVH371" s="342"/>
      <c r="WVI371" s="674"/>
      <c r="WVJ371" s="351"/>
      <c r="WVK371" s="352"/>
      <c r="WVL371" s="332"/>
      <c r="WVM371" s="117"/>
      <c r="WVO371" s="118"/>
      <c r="WVQ371" s="342"/>
      <c r="WVR371" s="674"/>
      <c r="WVS371" s="351"/>
      <c r="WVT371" s="352"/>
      <c r="WVU371" s="332"/>
      <c r="WVV371" s="117"/>
      <c r="WVX371" s="118"/>
      <c r="WVZ371" s="342"/>
      <c r="WWA371" s="674"/>
      <c r="WWB371" s="351"/>
      <c r="WWC371" s="352"/>
      <c r="WWD371" s="332"/>
      <c r="WWE371" s="117"/>
      <c r="WWG371" s="118"/>
      <c r="WWI371" s="342"/>
      <c r="WWJ371" s="674"/>
      <c r="WWK371" s="351"/>
      <c r="WWL371" s="352"/>
      <c r="WWM371" s="332"/>
      <c r="WWN371" s="117"/>
      <c r="WWP371" s="118"/>
      <c r="WWR371" s="342"/>
      <c r="WWS371" s="674"/>
      <c r="WWT371" s="351"/>
      <c r="WWU371" s="352"/>
      <c r="WWV371" s="332"/>
      <c r="WWW371" s="117"/>
      <c r="WWY371" s="118"/>
      <c r="WXA371" s="342"/>
      <c r="WXB371" s="674"/>
      <c r="WXC371" s="351"/>
      <c r="WXD371" s="352"/>
      <c r="WXE371" s="332"/>
      <c r="WXF371" s="117"/>
      <c r="WXH371" s="118"/>
      <c r="WXJ371" s="342"/>
      <c r="WXK371" s="674"/>
      <c r="WXL371" s="351"/>
      <c r="WXM371" s="352"/>
      <c r="WXN371" s="332"/>
      <c r="WXO371" s="117"/>
      <c r="WXQ371" s="118"/>
      <c r="WXS371" s="342"/>
      <c r="WXT371" s="674"/>
      <c r="WXU371" s="351"/>
      <c r="WXV371" s="352"/>
      <c r="WXW371" s="332"/>
      <c r="WXX371" s="117"/>
      <c r="WXZ371" s="118"/>
      <c r="WYB371" s="342"/>
      <c r="WYC371" s="674"/>
      <c r="WYD371" s="351"/>
      <c r="WYE371" s="352"/>
      <c r="WYF371" s="332"/>
      <c r="WYG371" s="117"/>
      <c r="WYI371" s="118"/>
      <c r="WYK371" s="342"/>
      <c r="WYL371" s="674"/>
      <c r="WYM371" s="351"/>
      <c r="WYN371" s="352"/>
      <c r="WYO371" s="332"/>
      <c r="WYP371" s="117"/>
      <c r="WYR371" s="118"/>
      <c r="WYT371" s="342"/>
      <c r="WYU371" s="674"/>
      <c r="WYV371" s="351"/>
      <c r="WYW371" s="352"/>
      <c r="WYX371" s="332"/>
      <c r="WYY371" s="117"/>
      <c r="WZA371" s="118"/>
      <c r="WZC371" s="342"/>
      <c r="WZD371" s="674"/>
      <c r="WZE371" s="351"/>
      <c r="WZF371" s="352"/>
      <c r="WZG371" s="332"/>
      <c r="WZH371" s="117"/>
      <c r="WZJ371" s="118"/>
      <c r="WZL371" s="342"/>
      <c r="WZM371" s="674"/>
      <c r="WZN371" s="351"/>
      <c r="WZO371" s="352"/>
      <c r="WZP371" s="332"/>
      <c r="WZQ371" s="117"/>
      <c r="WZS371" s="118"/>
      <c r="WZU371" s="342"/>
      <c r="WZV371" s="674"/>
      <c r="WZW371" s="351"/>
      <c r="WZX371" s="352"/>
      <c r="WZY371" s="332"/>
      <c r="WZZ371" s="117"/>
      <c r="XAB371" s="118"/>
      <c r="XAD371" s="342"/>
      <c r="XAE371" s="674"/>
      <c r="XAF371" s="351"/>
      <c r="XAG371" s="352"/>
      <c r="XAH371" s="332"/>
      <c r="XAI371" s="117"/>
      <c r="XAK371" s="118"/>
      <c r="XAM371" s="342"/>
      <c r="XAN371" s="674"/>
      <c r="XAO371" s="351"/>
      <c r="XAP371" s="352"/>
      <c r="XAQ371" s="332"/>
      <c r="XAR371" s="117"/>
      <c r="XAT371" s="118"/>
      <c r="XAV371" s="342"/>
      <c r="XAW371" s="674"/>
      <c r="XAX371" s="351"/>
      <c r="XAY371" s="352"/>
      <c r="XAZ371" s="332"/>
      <c r="XBA371" s="117"/>
      <c r="XBC371" s="118"/>
      <c r="XBE371" s="342"/>
      <c r="XBF371" s="674"/>
      <c r="XBG371" s="351"/>
      <c r="XBH371" s="352"/>
      <c r="XBI371" s="332"/>
      <c r="XBJ371" s="117"/>
      <c r="XBL371" s="118"/>
      <c r="XBN371" s="342"/>
      <c r="XBO371" s="674"/>
      <c r="XBP371" s="351"/>
      <c r="XBQ371" s="352"/>
      <c r="XBR371" s="332"/>
      <c r="XBS371" s="117"/>
      <c r="XBU371" s="118"/>
      <c r="XBW371" s="342"/>
      <c r="XBX371" s="674"/>
      <c r="XBY371" s="351"/>
      <c r="XBZ371" s="352"/>
      <c r="XCA371" s="332"/>
      <c r="XCB371" s="117"/>
      <c r="XCD371" s="118"/>
      <c r="XCF371" s="342"/>
      <c r="XCG371" s="674"/>
      <c r="XCH371" s="351"/>
      <c r="XCI371" s="352"/>
      <c r="XCJ371" s="332"/>
      <c r="XCK371" s="117"/>
      <c r="XCM371" s="118"/>
      <c r="XCO371" s="342"/>
      <c r="XCP371" s="674"/>
      <c r="XCQ371" s="351"/>
      <c r="XCR371" s="352"/>
      <c r="XCS371" s="332"/>
      <c r="XCT371" s="117"/>
      <c r="XCV371" s="118"/>
      <c r="XCX371" s="342"/>
      <c r="XCY371" s="674"/>
      <c r="XCZ371" s="351"/>
      <c r="XDA371" s="352"/>
      <c r="XDB371" s="332"/>
      <c r="XDC371" s="117"/>
      <c r="XDE371" s="118"/>
      <c r="XDG371" s="342"/>
      <c r="XDH371" s="674"/>
      <c r="XDI371" s="351"/>
      <c r="XDJ371" s="352"/>
      <c r="XDK371" s="332"/>
      <c r="XDL371" s="117"/>
      <c r="XDN371" s="118"/>
      <c r="XDP371" s="342"/>
      <c r="XDQ371" s="674"/>
      <c r="XDR371" s="351"/>
      <c r="XDS371" s="352"/>
      <c r="XDT371" s="332"/>
      <c r="XDU371" s="117"/>
      <c r="XDW371" s="118"/>
      <c r="XDY371" s="342"/>
      <c r="XDZ371" s="674"/>
      <c r="XEA371" s="351"/>
      <c r="XEB371" s="352"/>
      <c r="XEC371" s="332"/>
      <c r="XED371" s="117"/>
      <c r="XEF371" s="118"/>
      <c r="XEH371" s="342"/>
      <c r="XEI371" s="674"/>
      <c r="XEJ371" s="351"/>
      <c r="XEK371" s="352"/>
      <c r="XEL371" s="332"/>
      <c r="XEM371" s="117"/>
      <c r="XEO371" s="118"/>
      <c r="XEQ371" s="342"/>
      <c r="XER371" s="674"/>
      <c r="XES371" s="351"/>
      <c r="XET371" s="352"/>
      <c r="XEU371" s="332"/>
      <c r="XEV371" s="117"/>
      <c r="XEX371" s="118"/>
      <c r="XEZ371" s="342"/>
      <c r="XFA371" s="674"/>
      <c r="XFB371" s="351"/>
      <c r="XFC371" s="352"/>
    </row>
    <row r="372" spans="1:16383" s="149" customFormat="1" ht="19" hidden="1" outlineLevel="2" thickBot="1" x14ac:dyDescent="0.5">
      <c r="A372" s="582" t="s">
        <v>62</v>
      </c>
      <c r="B372" s="583"/>
      <c r="C372" s="584"/>
      <c r="D372" s="585">
        <f>SUM(D364:D371)</f>
        <v>257316.897</v>
      </c>
      <c r="E372" s="586">
        <f>D372-D359</f>
        <v>76.097000000008848</v>
      </c>
      <c r="F372" s="587">
        <f>(D372-D359)/D359</f>
        <v>2.9582010318739816E-4</v>
      </c>
      <c r="G372" s="574"/>
      <c r="H372" s="148"/>
      <c r="I372" s="148"/>
      <c r="J372" s="675"/>
      <c r="K372" s="676"/>
      <c r="L372" s="676"/>
      <c r="M372" s="677"/>
      <c r="N372" s="677"/>
      <c r="O372" s="678"/>
      <c r="P372" s="679"/>
      <c r="Q372" s="680"/>
      <c r="R372" s="680"/>
      <c r="S372" s="675"/>
      <c r="T372" s="676"/>
      <c r="U372" s="676"/>
      <c r="V372" s="677"/>
      <c r="W372" s="677"/>
      <c r="X372" s="678"/>
      <c r="Y372" s="679"/>
      <c r="Z372" s="680"/>
      <c r="AA372" s="675"/>
      <c r="AB372" s="676"/>
      <c r="AC372" s="676"/>
      <c r="AD372" s="677"/>
      <c r="AE372" s="677"/>
      <c r="AF372" s="678"/>
      <c r="AG372" s="679"/>
      <c r="AH372" s="680"/>
      <c r="AI372" s="680"/>
      <c r="AJ372" s="675"/>
      <c r="AK372" s="676"/>
      <c r="AL372" s="676"/>
      <c r="AM372" s="677"/>
      <c r="AN372" s="677"/>
      <c r="AO372" s="678"/>
      <c r="AP372" s="679"/>
      <c r="AQ372" s="680"/>
      <c r="AR372" s="680"/>
      <c r="AS372" s="675"/>
      <c r="AT372" s="676"/>
      <c r="AU372" s="676"/>
      <c r="AV372" s="677"/>
      <c r="AW372" s="677"/>
      <c r="AX372" s="678"/>
      <c r="AY372" s="679"/>
      <c r="AZ372" s="680"/>
      <c r="BA372" s="680"/>
      <c r="BB372" s="675"/>
      <c r="BC372" s="676"/>
      <c r="BD372" s="676"/>
      <c r="BE372" s="677"/>
      <c r="BF372" s="677"/>
      <c r="BG372" s="678"/>
      <c r="BH372" s="679"/>
      <c r="BI372" s="680"/>
      <c r="BJ372" s="680"/>
      <c r="BK372" s="675"/>
      <c r="BL372" s="676"/>
      <c r="BM372" s="676"/>
      <c r="BN372" s="677"/>
      <c r="BO372" s="677"/>
      <c r="BP372" s="678"/>
      <c r="BQ372" s="679"/>
      <c r="BR372" s="680"/>
      <c r="BS372" s="680"/>
      <c r="BT372" s="675"/>
      <c r="BU372" s="676"/>
      <c r="BV372" s="676"/>
      <c r="BW372" s="677"/>
      <c r="BX372" s="677"/>
      <c r="BY372" s="678"/>
      <c r="BZ372" s="679"/>
      <c r="CA372" s="680"/>
      <c r="CB372" s="680"/>
      <c r="CC372" s="675"/>
      <c r="CD372" s="676"/>
      <c r="CE372" s="676"/>
      <c r="CF372" s="677"/>
      <c r="CG372" s="677"/>
      <c r="CH372" s="678"/>
      <c r="CI372" s="679"/>
      <c r="CJ372" s="680"/>
      <c r="CK372" s="680"/>
      <c r="CL372" s="675"/>
      <c r="CM372" s="676"/>
      <c r="CN372" s="676"/>
      <c r="CO372" s="677"/>
      <c r="CP372" s="677"/>
      <c r="CQ372" s="678"/>
      <c r="CR372" s="679"/>
      <c r="CS372" s="680"/>
      <c r="CT372" s="680"/>
      <c r="CU372" s="675"/>
      <c r="CV372" s="676"/>
      <c r="CW372" s="676"/>
      <c r="CX372" s="677"/>
      <c r="CY372" s="677"/>
      <c r="CZ372" s="678"/>
      <c r="DA372" s="679"/>
      <c r="DB372" s="680"/>
      <c r="DC372" s="680"/>
      <c r="DD372" s="675"/>
      <c r="DE372" s="676"/>
      <c r="DF372" s="676"/>
      <c r="DG372" s="677"/>
      <c r="DH372" s="677"/>
      <c r="DI372" s="678"/>
      <c r="DJ372" s="679"/>
      <c r="DK372" s="680"/>
      <c r="DL372" s="680"/>
      <c r="DM372" s="675"/>
      <c r="DN372" s="676"/>
      <c r="DO372" s="676"/>
      <c r="DP372" s="677"/>
      <c r="DQ372" s="677"/>
      <c r="DR372" s="678"/>
      <c r="DS372" s="679"/>
      <c r="DT372" s="680"/>
      <c r="DU372" s="680"/>
      <c r="DV372" s="675"/>
      <c r="DW372" s="676"/>
      <c r="DX372" s="676"/>
      <c r="DY372" s="677"/>
      <c r="DZ372" s="677"/>
      <c r="EA372" s="678"/>
      <c r="EB372" s="679"/>
      <c r="EC372" s="680"/>
      <c r="ED372" s="680"/>
      <c r="EE372" s="675"/>
      <c r="EF372" s="676"/>
      <c r="EG372" s="676"/>
      <c r="EH372" s="677"/>
      <c r="EI372" s="677"/>
      <c r="EJ372" s="678"/>
      <c r="EK372" s="679"/>
      <c r="EL372" s="680"/>
      <c r="EM372" s="680"/>
      <c r="EN372" s="675"/>
      <c r="EO372" s="676"/>
      <c r="EP372" s="676"/>
      <c r="EQ372" s="677"/>
      <c r="ER372" s="677"/>
      <c r="ES372" s="678"/>
      <c r="ET372" s="679"/>
      <c r="EU372" s="680"/>
      <c r="EV372" s="680"/>
      <c r="EW372" s="675"/>
      <c r="EX372" s="676"/>
      <c r="EY372" s="676"/>
      <c r="EZ372" s="677"/>
      <c r="FA372" s="677"/>
      <c r="FB372" s="678"/>
      <c r="FC372" s="679"/>
      <c r="FD372" s="680"/>
      <c r="FE372" s="680"/>
      <c r="FF372" s="675"/>
      <c r="FG372" s="676"/>
      <c r="FH372" s="676"/>
      <c r="FI372" s="677"/>
      <c r="FJ372" s="677"/>
      <c r="FK372" s="678"/>
      <c r="FL372" s="679"/>
      <c r="FM372" s="680"/>
      <c r="FN372" s="680"/>
      <c r="FO372" s="675"/>
      <c r="FP372" s="676"/>
      <c r="FQ372" s="676"/>
      <c r="FR372" s="677"/>
      <c r="FS372" s="681"/>
      <c r="FT372" s="146"/>
      <c r="FU372" s="682"/>
      <c r="FV372" s="148"/>
      <c r="FW372" s="148"/>
      <c r="FX372" s="683"/>
      <c r="FY372" s="684"/>
      <c r="FZ372" s="684"/>
      <c r="GA372" s="681"/>
      <c r="GB372" s="681"/>
      <c r="GC372" s="146"/>
      <c r="GD372" s="682"/>
      <c r="GE372" s="148"/>
      <c r="GF372" s="148"/>
      <c r="GG372" s="683"/>
      <c r="GH372" s="684"/>
      <c r="GI372" s="684"/>
      <c r="GJ372" s="681"/>
      <c r="GK372" s="681"/>
      <c r="GL372" s="146"/>
      <c r="GM372" s="682"/>
      <c r="GN372" s="148"/>
      <c r="GO372" s="148"/>
      <c r="GP372" s="683"/>
      <c r="GQ372" s="684"/>
      <c r="GR372" s="684"/>
      <c r="GS372" s="681"/>
      <c r="GT372" s="681"/>
      <c r="GU372" s="146"/>
      <c r="GV372" s="682"/>
      <c r="GW372" s="148"/>
      <c r="GX372" s="148"/>
      <c r="GY372" s="683"/>
      <c r="GZ372" s="684"/>
      <c r="HA372" s="684"/>
      <c r="HB372" s="681"/>
      <c r="HC372" s="681"/>
      <c r="HD372" s="146"/>
      <c r="HE372" s="682"/>
      <c r="HF372" s="148"/>
      <c r="HG372" s="148"/>
      <c r="HH372" s="683"/>
      <c r="HI372" s="684"/>
      <c r="HJ372" s="684"/>
      <c r="HK372" s="681"/>
      <c r="HL372" s="681"/>
      <c r="HM372" s="146"/>
      <c r="HN372" s="682"/>
      <c r="HO372" s="148"/>
      <c r="HP372" s="148"/>
      <c r="HQ372" s="683"/>
      <c r="HR372" s="684"/>
      <c r="HS372" s="684"/>
      <c r="HT372" s="681"/>
      <c r="HU372" s="681"/>
      <c r="HV372" s="146"/>
      <c r="HW372" s="682"/>
      <c r="HX372" s="148"/>
      <c r="HY372" s="148"/>
      <c r="HZ372" s="683"/>
      <c r="IA372" s="684"/>
      <c r="IB372" s="684"/>
      <c r="IC372" s="681"/>
      <c r="ID372" s="681"/>
      <c r="IE372" s="146"/>
      <c r="IF372" s="682"/>
      <c r="IG372" s="148"/>
      <c r="IH372" s="148"/>
      <c r="II372" s="683"/>
      <c r="IJ372" s="684"/>
      <c r="IK372" s="684"/>
      <c r="IL372" s="681"/>
      <c r="IM372" s="681"/>
      <c r="IN372" s="146"/>
      <c r="IO372" s="682"/>
      <c r="IP372" s="148"/>
      <c r="IQ372" s="148"/>
      <c r="IR372" s="683"/>
      <c r="IS372" s="684"/>
      <c r="IT372" s="684"/>
      <c r="IU372" s="681"/>
      <c r="IV372" s="681"/>
      <c r="IW372" s="146"/>
      <c r="IX372" s="682"/>
      <c r="IY372" s="148"/>
      <c r="IZ372" s="148"/>
      <c r="JA372" s="683"/>
      <c r="JB372" s="684"/>
      <c r="JC372" s="684"/>
      <c r="JD372" s="681"/>
      <c r="JE372" s="681"/>
      <c r="JF372" s="146"/>
      <c r="JG372" s="682"/>
      <c r="JH372" s="148"/>
      <c r="JI372" s="148"/>
      <c r="JJ372" s="683"/>
      <c r="JK372" s="684"/>
      <c r="JL372" s="684"/>
      <c r="JM372" s="681"/>
      <c r="JN372" s="681"/>
      <c r="JO372" s="146"/>
      <c r="JP372" s="682"/>
      <c r="JQ372" s="148"/>
      <c r="JR372" s="148"/>
      <c r="JS372" s="683"/>
      <c r="JT372" s="684"/>
      <c r="JU372" s="684"/>
      <c r="JV372" s="681"/>
      <c r="JW372" s="681"/>
      <c r="JX372" s="146"/>
      <c r="JY372" s="682"/>
      <c r="JZ372" s="148"/>
      <c r="KA372" s="148"/>
      <c r="KB372" s="683"/>
      <c r="KC372" s="684"/>
      <c r="KD372" s="684"/>
      <c r="KE372" s="681"/>
      <c r="KF372" s="681"/>
      <c r="KG372" s="146"/>
      <c r="KH372" s="682"/>
      <c r="KI372" s="148"/>
      <c r="KJ372" s="148"/>
      <c r="KK372" s="683"/>
      <c r="KL372" s="684"/>
      <c r="KM372" s="684"/>
      <c r="KN372" s="681"/>
      <c r="KO372" s="681"/>
      <c r="KP372" s="146"/>
      <c r="KQ372" s="682"/>
      <c r="KR372" s="148"/>
      <c r="KS372" s="148"/>
      <c r="KT372" s="683"/>
      <c r="KU372" s="684"/>
      <c r="KV372" s="684"/>
      <c r="KW372" s="681"/>
      <c r="KX372" s="681"/>
      <c r="KY372" s="146"/>
      <c r="KZ372" s="682"/>
      <c r="LA372" s="148"/>
      <c r="LB372" s="148"/>
      <c r="LC372" s="683"/>
      <c r="LD372" s="684"/>
      <c r="LE372" s="684"/>
      <c r="LF372" s="681"/>
      <c r="LG372" s="681"/>
      <c r="LH372" s="146"/>
      <c r="LI372" s="682"/>
      <c r="LJ372" s="148"/>
      <c r="LK372" s="148"/>
      <c r="LL372" s="683"/>
      <c r="LM372" s="684"/>
      <c r="LN372" s="684"/>
      <c r="LO372" s="681"/>
      <c r="LP372" s="681"/>
      <c r="LQ372" s="146"/>
      <c r="LR372" s="682"/>
      <c r="LS372" s="148"/>
      <c r="LT372" s="148"/>
      <c r="LU372" s="683"/>
      <c r="LV372" s="684"/>
      <c r="LW372" s="684"/>
      <c r="LX372" s="681"/>
      <c r="LY372" s="681"/>
      <c r="LZ372" s="146"/>
      <c r="MA372" s="682"/>
      <c r="MB372" s="148"/>
      <c r="MC372" s="148"/>
      <c r="MD372" s="683"/>
      <c r="ME372" s="684"/>
      <c r="MF372" s="684"/>
      <c r="MG372" s="681"/>
      <c r="MH372" s="681"/>
      <c r="MI372" s="146"/>
      <c r="MJ372" s="682"/>
      <c r="MK372" s="148"/>
      <c r="ML372" s="148"/>
      <c r="MM372" s="683"/>
      <c r="MN372" s="684"/>
      <c r="MO372" s="684"/>
      <c r="MP372" s="681"/>
      <c r="MQ372" s="681"/>
      <c r="MR372" s="146"/>
      <c r="MS372" s="682"/>
      <c r="MT372" s="148"/>
      <c r="MU372" s="148"/>
      <c r="MV372" s="683"/>
      <c r="MW372" s="684"/>
      <c r="MX372" s="684"/>
      <c r="MY372" s="681"/>
      <c r="MZ372" s="681"/>
      <c r="NA372" s="146"/>
      <c r="NB372" s="682"/>
      <c r="NC372" s="148"/>
      <c r="ND372" s="148"/>
      <c r="NE372" s="683"/>
      <c r="NF372" s="684"/>
      <c r="NG372" s="684"/>
      <c r="NH372" s="681"/>
      <c r="NI372" s="681"/>
      <c r="NJ372" s="146"/>
      <c r="NK372" s="682"/>
      <c r="NL372" s="148"/>
      <c r="NM372" s="148"/>
      <c r="NN372" s="683"/>
      <c r="NO372" s="684"/>
      <c r="NP372" s="684"/>
      <c r="NQ372" s="681"/>
      <c r="NR372" s="681"/>
      <c r="NS372" s="146"/>
      <c r="NT372" s="682"/>
      <c r="NU372" s="148"/>
      <c r="NV372" s="148"/>
      <c r="NW372" s="683"/>
      <c r="NX372" s="684"/>
      <c r="NY372" s="684"/>
      <c r="NZ372" s="681"/>
      <c r="OA372" s="681"/>
      <c r="OB372" s="146"/>
      <c r="OC372" s="682"/>
      <c r="OD372" s="148"/>
      <c r="OE372" s="148"/>
      <c r="OF372" s="683"/>
      <c r="OG372" s="684"/>
      <c r="OH372" s="684"/>
      <c r="OI372" s="681"/>
      <c r="OJ372" s="681"/>
      <c r="OK372" s="146"/>
      <c r="OL372" s="682"/>
      <c r="OM372" s="148"/>
      <c r="ON372" s="148"/>
      <c r="OO372" s="683"/>
      <c r="OP372" s="684"/>
      <c r="OQ372" s="684"/>
      <c r="OR372" s="681"/>
      <c r="OS372" s="681"/>
      <c r="OT372" s="146"/>
      <c r="OU372" s="682"/>
      <c r="OV372" s="148"/>
      <c r="OW372" s="148"/>
      <c r="OX372" s="683"/>
      <c r="OY372" s="684"/>
      <c r="OZ372" s="684"/>
      <c r="PA372" s="681"/>
      <c r="PB372" s="681"/>
      <c r="PC372" s="146"/>
      <c r="PD372" s="682"/>
      <c r="PE372" s="148"/>
      <c r="PF372" s="148"/>
      <c r="PG372" s="683"/>
      <c r="PH372" s="684"/>
      <c r="PI372" s="684"/>
      <c r="PJ372" s="681"/>
      <c r="PK372" s="681"/>
      <c r="PL372" s="146"/>
      <c r="PM372" s="682"/>
      <c r="PN372" s="148"/>
      <c r="PO372" s="148"/>
      <c r="PP372" s="683"/>
      <c r="PQ372" s="684"/>
      <c r="PR372" s="684"/>
      <c r="PS372" s="681"/>
      <c r="PT372" s="681"/>
      <c r="PU372" s="146"/>
      <c r="PV372" s="682"/>
      <c r="PW372" s="148"/>
      <c r="PX372" s="148"/>
      <c r="PY372" s="683"/>
      <c r="PZ372" s="684"/>
      <c r="QA372" s="684"/>
      <c r="QB372" s="681"/>
      <c r="QC372" s="681"/>
      <c r="QD372" s="146"/>
      <c r="QE372" s="682"/>
      <c r="QF372" s="148"/>
      <c r="QG372" s="148"/>
      <c r="QH372" s="683"/>
      <c r="QI372" s="684"/>
      <c r="QJ372" s="684"/>
      <c r="QK372" s="681"/>
      <c r="QL372" s="681"/>
      <c r="QM372" s="146"/>
      <c r="QN372" s="682"/>
      <c r="QO372" s="148"/>
      <c r="QP372" s="148"/>
      <c r="QQ372" s="683"/>
      <c r="QR372" s="684"/>
      <c r="QS372" s="684"/>
      <c r="QT372" s="681"/>
      <c r="QU372" s="681"/>
      <c r="QV372" s="146"/>
      <c r="QW372" s="682"/>
      <c r="QX372" s="148"/>
      <c r="QY372" s="148"/>
      <c r="QZ372" s="683"/>
      <c r="RA372" s="684"/>
      <c r="RB372" s="684"/>
      <c r="RC372" s="681"/>
      <c r="RD372" s="681"/>
      <c r="RE372" s="146"/>
      <c r="RF372" s="682"/>
      <c r="RG372" s="148"/>
      <c r="RH372" s="148"/>
      <c r="RI372" s="683"/>
      <c r="RJ372" s="684"/>
      <c r="RK372" s="684"/>
      <c r="RL372" s="681"/>
      <c r="RM372" s="681"/>
      <c r="RN372" s="146"/>
      <c r="RO372" s="682"/>
      <c r="RP372" s="148"/>
      <c r="RQ372" s="148"/>
      <c r="RR372" s="683"/>
      <c r="RS372" s="684"/>
      <c r="RT372" s="684"/>
      <c r="RU372" s="681"/>
      <c r="RV372" s="681"/>
      <c r="RW372" s="146"/>
      <c r="RX372" s="682"/>
      <c r="RY372" s="148"/>
      <c r="RZ372" s="148"/>
      <c r="SA372" s="683"/>
      <c r="SB372" s="684"/>
      <c r="SC372" s="684"/>
      <c r="SD372" s="681"/>
      <c r="SE372" s="681"/>
      <c r="SF372" s="146"/>
      <c r="SG372" s="682"/>
      <c r="SH372" s="148"/>
      <c r="SI372" s="148"/>
      <c r="SJ372" s="683"/>
      <c r="SK372" s="684"/>
      <c r="SL372" s="684"/>
      <c r="SM372" s="681"/>
      <c r="SN372" s="681"/>
      <c r="SO372" s="146"/>
      <c r="SP372" s="682"/>
      <c r="SQ372" s="148"/>
      <c r="SR372" s="148"/>
      <c r="SS372" s="683"/>
      <c r="ST372" s="684"/>
      <c r="SU372" s="684"/>
      <c r="SV372" s="681"/>
      <c r="SW372" s="681"/>
      <c r="SX372" s="146"/>
      <c r="SY372" s="682"/>
      <c r="SZ372" s="148"/>
      <c r="TA372" s="148"/>
      <c r="TB372" s="683"/>
      <c r="TC372" s="684"/>
      <c r="TD372" s="684"/>
      <c r="TE372" s="681"/>
      <c r="TF372" s="681"/>
      <c r="TG372" s="146"/>
      <c r="TH372" s="682"/>
      <c r="TI372" s="148"/>
      <c r="TJ372" s="148"/>
      <c r="TK372" s="683"/>
      <c r="TL372" s="684"/>
      <c r="TM372" s="684"/>
      <c r="TN372" s="681"/>
      <c r="TO372" s="681"/>
      <c r="TP372" s="146"/>
      <c r="TQ372" s="682"/>
      <c r="TR372" s="148"/>
      <c r="TS372" s="148"/>
      <c r="TT372" s="683"/>
      <c r="TU372" s="684"/>
      <c r="TV372" s="684"/>
      <c r="TW372" s="681"/>
      <c r="TX372" s="681"/>
      <c r="TY372" s="146"/>
      <c r="TZ372" s="682"/>
      <c r="UA372" s="148"/>
      <c r="UB372" s="148"/>
      <c r="UC372" s="683"/>
      <c r="UD372" s="684"/>
      <c r="UE372" s="684"/>
      <c r="UF372" s="681"/>
      <c r="UG372" s="681"/>
      <c r="UH372" s="146"/>
      <c r="UI372" s="682"/>
      <c r="UJ372" s="148"/>
      <c r="UK372" s="148"/>
      <c r="UL372" s="683"/>
      <c r="UM372" s="684"/>
      <c r="UN372" s="684"/>
      <c r="UO372" s="681"/>
      <c r="UP372" s="681"/>
      <c r="UQ372" s="146"/>
      <c r="UR372" s="682"/>
      <c r="US372" s="148"/>
      <c r="UT372" s="148"/>
      <c r="UU372" s="683"/>
      <c r="UV372" s="684"/>
      <c r="UW372" s="684"/>
      <c r="UX372" s="681"/>
      <c r="UY372" s="681"/>
      <c r="UZ372" s="146"/>
      <c r="VA372" s="682"/>
      <c r="VB372" s="148"/>
      <c r="VC372" s="148"/>
      <c r="VD372" s="683"/>
      <c r="VE372" s="684"/>
      <c r="VF372" s="684"/>
      <c r="VG372" s="681"/>
      <c r="VH372" s="681"/>
      <c r="VI372" s="146"/>
      <c r="VJ372" s="682"/>
      <c r="VK372" s="148"/>
      <c r="VL372" s="148"/>
      <c r="VM372" s="683"/>
      <c r="VN372" s="684"/>
      <c r="VO372" s="684"/>
      <c r="VP372" s="681"/>
      <c r="VQ372" s="681"/>
      <c r="VR372" s="146"/>
      <c r="VS372" s="682"/>
      <c r="VT372" s="148"/>
      <c r="VU372" s="148"/>
      <c r="VV372" s="683"/>
      <c r="VW372" s="684"/>
      <c r="VX372" s="684"/>
      <c r="VY372" s="681"/>
      <c r="VZ372" s="681"/>
      <c r="WA372" s="146"/>
      <c r="WB372" s="682"/>
      <c r="WC372" s="148"/>
      <c r="WD372" s="148"/>
      <c r="WE372" s="683"/>
      <c r="WF372" s="684"/>
      <c r="WG372" s="684"/>
      <c r="WH372" s="681"/>
      <c r="WI372" s="681"/>
      <c r="WJ372" s="146"/>
      <c r="WK372" s="682"/>
      <c r="WL372" s="148"/>
      <c r="WM372" s="148"/>
      <c r="WN372" s="683"/>
      <c r="WO372" s="684"/>
      <c r="WP372" s="684"/>
      <c r="WQ372" s="681"/>
      <c r="WR372" s="681"/>
      <c r="WS372" s="146"/>
      <c r="WT372" s="682"/>
      <c r="WU372" s="148"/>
      <c r="WV372" s="148"/>
      <c r="WW372" s="683"/>
      <c r="WX372" s="684"/>
      <c r="WY372" s="684"/>
      <c r="WZ372" s="681"/>
      <c r="XA372" s="681"/>
      <c r="XB372" s="146"/>
      <c r="XC372" s="682"/>
      <c r="XD372" s="148"/>
      <c r="XE372" s="148"/>
      <c r="XF372" s="683"/>
      <c r="XG372" s="684"/>
      <c r="XH372" s="684"/>
      <c r="XI372" s="681"/>
      <c r="XJ372" s="681"/>
      <c r="XK372" s="146"/>
      <c r="XL372" s="682"/>
      <c r="XM372" s="148"/>
      <c r="XN372" s="148"/>
      <c r="XO372" s="683"/>
      <c r="XP372" s="684"/>
      <c r="XQ372" s="684"/>
      <c r="XR372" s="681"/>
      <c r="XS372" s="681"/>
      <c r="XT372" s="146"/>
      <c r="XU372" s="682"/>
      <c r="XV372" s="148"/>
      <c r="XW372" s="148"/>
      <c r="XX372" s="683"/>
      <c r="XY372" s="684"/>
      <c r="XZ372" s="684"/>
      <c r="YA372" s="681"/>
      <c r="YB372" s="681"/>
      <c r="YC372" s="146"/>
      <c r="YD372" s="682"/>
      <c r="YE372" s="148"/>
      <c r="YF372" s="148"/>
      <c r="YG372" s="683"/>
      <c r="YH372" s="684"/>
      <c r="YI372" s="684"/>
      <c r="YJ372" s="681"/>
      <c r="YK372" s="681"/>
      <c r="YL372" s="146"/>
      <c r="YM372" s="682"/>
      <c r="YN372" s="148"/>
      <c r="YO372" s="148"/>
      <c r="YP372" s="683"/>
      <c r="YQ372" s="684"/>
      <c r="YR372" s="684"/>
      <c r="YS372" s="681"/>
      <c r="YT372" s="681"/>
      <c r="YU372" s="146"/>
      <c r="YV372" s="682"/>
      <c r="YW372" s="148"/>
      <c r="YX372" s="148"/>
      <c r="YY372" s="683"/>
      <c r="YZ372" s="684"/>
      <c r="ZA372" s="684"/>
      <c r="ZB372" s="681"/>
      <c r="ZC372" s="681"/>
      <c r="ZD372" s="146"/>
      <c r="ZE372" s="682"/>
      <c r="ZF372" s="148"/>
      <c r="ZG372" s="148"/>
      <c r="ZH372" s="683"/>
      <c r="ZI372" s="684"/>
      <c r="ZJ372" s="684"/>
      <c r="ZK372" s="681"/>
      <c r="ZL372" s="681"/>
      <c r="ZM372" s="146"/>
      <c r="ZN372" s="682"/>
      <c r="ZO372" s="148"/>
      <c r="ZP372" s="148"/>
      <c r="ZQ372" s="683"/>
      <c r="ZR372" s="684"/>
      <c r="ZS372" s="684"/>
      <c r="ZT372" s="681"/>
      <c r="ZU372" s="681"/>
      <c r="ZV372" s="146"/>
      <c r="ZW372" s="682"/>
      <c r="ZX372" s="148"/>
      <c r="ZY372" s="148"/>
      <c r="ZZ372" s="683"/>
      <c r="AAA372" s="684"/>
      <c r="AAB372" s="684"/>
      <c r="AAC372" s="681"/>
      <c r="AAD372" s="681"/>
      <c r="AAE372" s="146"/>
      <c r="AAF372" s="682"/>
      <c r="AAG372" s="148"/>
      <c r="AAH372" s="148"/>
      <c r="AAI372" s="683"/>
      <c r="AAJ372" s="684"/>
      <c r="AAK372" s="684"/>
      <c r="AAL372" s="681"/>
      <c r="AAM372" s="681"/>
      <c r="AAN372" s="146"/>
      <c r="AAO372" s="682"/>
      <c r="AAP372" s="148"/>
      <c r="AAQ372" s="148"/>
      <c r="AAR372" s="683"/>
      <c r="AAS372" s="684"/>
      <c r="AAT372" s="684"/>
      <c r="AAU372" s="681"/>
      <c r="AAV372" s="681"/>
      <c r="AAW372" s="146"/>
      <c r="AAX372" s="682"/>
      <c r="AAY372" s="148"/>
      <c r="AAZ372" s="148"/>
      <c r="ABA372" s="683"/>
      <c r="ABB372" s="684"/>
      <c r="ABC372" s="684"/>
      <c r="ABD372" s="681"/>
      <c r="ABE372" s="681"/>
      <c r="ABF372" s="146"/>
      <c r="ABG372" s="682"/>
      <c r="ABH372" s="148"/>
      <c r="ABI372" s="148"/>
      <c r="ABJ372" s="683"/>
      <c r="ABK372" s="684"/>
      <c r="ABL372" s="684"/>
      <c r="ABM372" s="681"/>
      <c r="ABN372" s="681"/>
      <c r="ABO372" s="146"/>
      <c r="ABP372" s="682"/>
      <c r="ABQ372" s="148"/>
      <c r="ABR372" s="148"/>
      <c r="ABS372" s="683"/>
      <c r="ABT372" s="684"/>
      <c r="ABU372" s="684"/>
      <c r="ABV372" s="681"/>
      <c r="ABW372" s="681"/>
      <c r="ABX372" s="146"/>
      <c r="ABY372" s="682"/>
      <c r="ABZ372" s="148"/>
      <c r="ACA372" s="148"/>
      <c r="ACB372" s="683"/>
      <c r="ACC372" s="684"/>
      <c r="ACD372" s="684"/>
      <c r="ACE372" s="681"/>
      <c r="ACF372" s="681"/>
      <c r="ACG372" s="146"/>
      <c r="ACH372" s="682"/>
      <c r="ACI372" s="148"/>
      <c r="ACJ372" s="148"/>
      <c r="ACK372" s="683"/>
      <c r="ACL372" s="684"/>
      <c r="ACM372" s="684"/>
      <c r="ACN372" s="681"/>
      <c r="ACO372" s="681"/>
      <c r="ACP372" s="146"/>
      <c r="ACQ372" s="682"/>
      <c r="ACR372" s="148"/>
      <c r="ACS372" s="148"/>
      <c r="ACT372" s="683"/>
      <c r="ACU372" s="684"/>
      <c r="ACV372" s="684"/>
      <c r="ACW372" s="681"/>
      <c r="ACX372" s="681"/>
      <c r="ACY372" s="146"/>
      <c r="ACZ372" s="682"/>
      <c r="ADA372" s="148"/>
      <c r="ADB372" s="148"/>
      <c r="ADC372" s="683"/>
      <c r="ADD372" s="684"/>
      <c r="ADE372" s="684"/>
      <c r="ADF372" s="681"/>
      <c r="ADG372" s="681"/>
      <c r="ADH372" s="146"/>
      <c r="ADI372" s="682"/>
      <c r="ADJ372" s="148"/>
      <c r="ADK372" s="148"/>
      <c r="ADL372" s="683"/>
      <c r="ADM372" s="684"/>
      <c r="ADN372" s="684"/>
      <c r="ADO372" s="681"/>
      <c r="ADP372" s="681"/>
      <c r="ADQ372" s="146"/>
      <c r="ADR372" s="682"/>
      <c r="ADS372" s="148"/>
      <c r="ADT372" s="148"/>
      <c r="ADU372" s="683"/>
      <c r="ADV372" s="684"/>
      <c r="ADW372" s="684"/>
      <c r="ADX372" s="681"/>
      <c r="ADY372" s="681"/>
      <c r="ADZ372" s="146"/>
      <c r="AEA372" s="682"/>
      <c r="AEB372" s="148"/>
      <c r="AEC372" s="148"/>
      <c r="AED372" s="683"/>
      <c r="AEE372" s="684"/>
      <c r="AEF372" s="684"/>
      <c r="AEG372" s="681"/>
      <c r="AEH372" s="681"/>
      <c r="AEI372" s="146"/>
      <c r="AEJ372" s="682"/>
      <c r="AEK372" s="148"/>
      <c r="AEL372" s="148"/>
      <c r="AEM372" s="683"/>
      <c r="AEN372" s="684"/>
      <c r="AEO372" s="684"/>
      <c r="AEP372" s="681"/>
      <c r="AEQ372" s="681"/>
      <c r="AER372" s="146"/>
      <c r="AES372" s="682"/>
      <c r="AET372" s="148"/>
      <c r="AEU372" s="148"/>
      <c r="AEV372" s="683"/>
      <c r="AEW372" s="684"/>
      <c r="AEX372" s="684"/>
      <c r="AEY372" s="681"/>
      <c r="AEZ372" s="681"/>
      <c r="AFA372" s="146"/>
      <c r="AFB372" s="682"/>
      <c r="AFC372" s="148"/>
      <c r="AFD372" s="148"/>
      <c r="AFE372" s="683"/>
      <c r="AFF372" s="684"/>
      <c r="AFG372" s="684"/>
      <c r="AFH372" s="681"/>
      <c r="AFI372" s="681"/>
      <c r="AFJ372" s="146"/>
      <c r="AFK372" s="682"/>
      <c r="AFL372" s="148"/>
      <c r="AFM372" s="148"/>
      <c r="AFN372" s="683"/>
      <c r="AFO372" s="684"/>
      <c r="AFP372" s="684"/>
      <c r="AFQ372" s="681"/>
      <c r="AFR372" s="681"/>
      <c r="AFS372" s="146"/>
      <c r="AFT372" s="682"/>
      <c r="AFU372" s="148"/>
      <c r="AFV372" s="148"/>
      <c r="AFW372" s="683"/>
      <c r="AFX372" s="684"/>
      <c r="AFY372" s="684"/>
      <c r="AFZ372" s="681"/>
      <c r="AGA372" s="681"/>
      <c r="AGB372" s="146"/>
      <c r="AGC372" s="682"/>
      <c r="AGD372" s="148"/>
      <c r="AGE372" s="148"/>
      <c r="AGF372" s="683"/>
      <c r="AGG372" s="684"/>
      <c r="AGH372" s="684"/>
      <c r="AGI372" s="681"/>
      <c r="AGJ372" s="681"/>
      <c r="AGK372" s="146"/>
      <c r="AGL372" s="682"/>
      <c r="AGM372" s="148"/>
      <c r="AGN372" s="148"/>
      <c r="AGO372" s="683"/>
      <c r="AGP372" s="684"/>
      <c r="AGQ372" s="684"/>
      <c r="AGR372" s="681"/>
      <c r="AGS372" s="681"/>
      <c r="AGT372" s="146"/>
      <c r="AGU372" s="682"/>
      <c r="AGV372" s="148"/>
      <c r="AGW372" s="148"/>
      <c r="AGX372" s="683"/>
      <c r="AGY372" s="684"/>
      <c r="AGZ372" s="684"/>
      <c r="AHA372" s="681"/>
      <c r="AHB372" s="681"/>
      <c r="AHC372" s="146"/>
      <c r="AHD372" s="682"/>
      <c r="AHE372" s="148"/>
      <c r="AHF372" s="148"/>
      <c r="AHG372" s="683"/>
      <c r="AHH372" s="684"/>
      <c r="AHI372" s="684"/>
      <c r="AHJ372" s="681"/>
      <c r="AHK372" s="681"/>
      <c r="AHL372" s="146"/>
      <c r="AHM372" s="682"/>
      <c r="AHN372" s="148"/>
      <c r="AHO372" s="148"/>
      <c r="AHP372" s="683"/>
      <c r="AHQ372" s="684"/>
      <c r="AHR372" s="684"/>
      <c r="AHS372" s="681"/>
      <c r="AHT372" s="681"/>
      <c r="AHU372" s="146"/>
      <c r="AHV372" s="682"/>
      <c r="AHW372" s="148"/>
      <c r="AHX372" s="148"/>
      <c r="AHY372" s="683"/>
      <c r="AHZ372" s="684"/>
      <c r="AIA372" s="684"/>
      <c r="AIB372" s="681"/>
      <c r="AIC372" s="681"/>
      <c r="AID372" s="146"/>
      <c r="AIE372" s="682"/>
      <c r="AIF372" s="148"/>
      <c r="AIG372" s="148"/>
      <c r="AIH372" s="683"/>
      <c r="AII372" s="684"/>
      <c r="AIJ372" s="684"/>
      <c r="AIK372" s="681"/>
      <c r="AIL372" s="681"/>
      <c r="AIM372" s="146"/>
      <c r="AIN372" s="682"/>
      <c r="AIO372" s="148"/>
      <c r="AIP372" s="148"/>
      <c r="AIQ372" s="683"/>
      <c r="AIR372" s="684"/>
      <c r="AIS372" s="684"/>
      <c r="AIT372" s="681"/>
      <c r="AIU372" s="681"/>
      <c r="AIV372" s="146"/>
      <c r="AIW372" s="682"/>
      <c r="AIX372" s="148"/>
      <c r="AIY372" s="148"/>
      <c r="AIZ372" s="683"/>
      <c r="AJA372" s="684"/>
      <c r="AJB372" s="684"/>
      <c r="AJC372" s="681"/>
      <c r="AJD372" s="681"/>
      <c r="AJE372" s="146"/>
      <c r="AJF372" s="682"/>
      <c r="AJG372" s="148"/>
      <c r="AJH372" s="148"/>
      <c r="AJI372" s="683"/>
      <c r="AJJ372" s="684"/>
      <c r="AJK372" s="684"/>
      <c r="AJL372" s="681"/>
      <c r="AJM372" s="681"/>
      <c r="AJN372" s="146"/>
      <c r="AJO372" s="682"/>
      <c r="AJP372" s="148"/>
      <c r="AJQ372" s="148"/>
      <c r="AJR372" s="683"/>
      <c r="AJS372" s="684"/>
      <c r="AJT372" s="684"/>
      <c r="AJU372" s="681"/>
      <c r="AJV372" s="681"/>
      <c r="AJW372" s="146"/>
      <c r="AJX372" s="682"/>
      <c r="AJY372" s="148"/>
      <c r="AJZ372" s="148"/>
      <c r="AKA372" s="683"/>
      <c r="AKB372" s="684"/>
      <c r="AKC372" s="684"/>
      <c r="AKD372" s="681"/>
      <c r="AKE372" s="681"/>
      <c r="AKF372" s="146"/>
      <c r="AKG372" s="682"/>
      <c r="AKH372" s="148"/>
      <c r="AKI372" s="148"/>
      <c r="AKJ372" s="683"/>
      <c r="AKK372" s="684"/>
      <c r="AKL372" s="684"/>
      <c r="AKM372" s="681"/>
      <c r="AKN372" s="681"/>
      <c r="AKO372" s="146"/>
      <c r="AKP372" s="682"/>
      <c r="AKQ372" s="148"/>
      <c r="AKR372" s="148"/>
      <c r="AKS372" s="683"/>
      <c r="AKT372" s="684"/>
      <c r="AKU372" s="684"/>
      <c r="AKV372" s="681"/>
      <c r="AKW372" s="681"/>
      <c r="AKX372" s="146"/>
      <c r="AKY372" s="682"/>
      <c r="AKZ372" s="148"/>
      <c r="ALA372" s="148"/>
      <c r="ALB372" s="683"/>
      <c r="ALC372" s="684"/>
      <c r="ALD372" s="684"/>
      <c r="ALE372" s="681"/>
      <c r="ALF372" s="681"/>
      <c r="ALG372" s="146"/>
      <c r="ALH372" s="682"/>
      <c r="ALI372" s="148"/>
      <c r="ALJ372" s="148"/>
      <c r="ALK372" s="683"/>
      <c r="ALL372" s="684"/>
      <c r="ALM372" s="684"/>
      <c r="ALN372" s="681"/>
      <c r="ALO372" s="681"/>
      <c r="ALP372" s="146"/>
      <c r="ALQ372" s="682"/>
      <c r="ALR372" s="148"/>
      <c r="ALS372" s="148"/>
      <c r="ALT372" s="683"/>
      <c r="ALU372" s="684"/>
      <c r="ALV372" s="684"/>
      <c r="ALW372" s="681"/>
      <c r="ALX372" s="681"/>
      <c r="ALY372" s="146"/>
      <c r="ALZ372" s="682"/>
      <c r="AMA372" s="148"/>
      <c r="AMB372" s="148"/>
      <c r="AMC372" s="683"/>
      <c r="AMD372" s="684"/>
      <c r="AME372" s="684"/>
      <c r="AMF372" s="681"/>
      <c r="AMG372" s="681"/>
      <c r="AMH372" s="146"/>
      <c r="AMI372" s="682"/>
      <c r="AMJ372" s="148"/>
      <c r="AMK372" s="148"/>
      <c r="AML372" s="683"/>
      <c r="AMM372" s="684"/>
      <c r="AMN372" s="684"/>
      <c r="AMO372" s="681"/>
      <c r="AMP372" s="681"/>
      <c r="AMQ372" s="146"/>
      <c r="AMR372" s="682"/>
      <c r="AMS372" s="148"/>
      <c r="AMT372" s="148"/>
      <c r="AMU372" s="683"/>
      <c r="AMV372" s="684"/>
      <c r="AMW372" s="684"/>
      <c r="AMX372" s="681"/>
      <c r="AMY372" s="681"/>
      <c r="AMZ372" s="146"/>
      <c r="ANA372" s="682"/>
      <c r="ANB372" s="148"/>
      <c r="ANC372" s="148"/>
      <c r="AND372" s="683"/>
      <c r="ANE372" s="684"/>
      <c r="ANF372" s="684"/>
      <c r="ANG372" s="681"/>
      <c r="ANH372" s="681"/>
      <c r="ANI372" s="146"/>
      <c r="ANJ372" s="682"/>
      <c r="ANK372" s="148"/>
      <c r="ANL372" s="148"/>
      <c r="ANM372" s="683"/>
      <c r="ANN372" s="684"/>
      <c r="ANO372" s="684"/>
      <c r="ANP372" s="681"/>
      <c r="ANQ372" s="681"/>
      <c r="ANR372" s="146"/>
      <c r="ANS372" s="682"/>
      <c r="ANT372" s="148"/>
      <c r="ANU372" s="148"/>
      <c r="ANV372" s="683"/>
      <c r="ANW372" s="684"/>
      <c r="ANX372" s="684"/>
      <c r="ANY372" s="681"/>
      <c r="ANZ372" s="681"/>
      <c r="AOA372" s="146"/>
      <c r="AOB372" s="682"/>
      <c r="AOC372" s="148"/>
      <c r="AOD372" s="148"/>
      <c r="AOE372" s="683"/>
      <c r="AOF372" s="684"/>
      <c r="AOG372" s="684"/>
      <c r="AOH372" s="681"/>
      <c r="AOI372" s="681"/>
      <c r="AOJ372" s="146"/>
      <c r="AOK372" s="682"/>
      <c r="AOL372" s="148"/>
      <c r="AOM372" s="148"/>
      <c r="AON372" s="683"/>
      <c r="AOO372" s="684"/>
      <c r="AOP372" s="684"/>
      <c r="AOQ372" s="681"/>
      <c r="AOR372" s="681"/>
      <c r="AOS372" s="146"/>
      <c r="AOT372" s="682"/>
      <c r="AOU372" s="148"/>
      <c r="AOV372" s="148"/>
      <c r="AOW372" s="683"/>
      <c r="AOX372" s="684"/>
      <c r="AOY372" s="684"/>
      <c r="AOZ372" s="681"/>
      <c r="APA372" s="681"/>
      <c r="APB372" s="146"/>
      <c r="APC372" s="682"/>
      <c r="APD372" s="148"/>
      <c r="APE372" s="148"/>
      <c r="APF372" s="683"/>
      <c r="APG372" s="684"/>
      <c r="APH372" s="684"/>
      <c r="API372" s="681"/>
      <c r="APJ372" s="681"/>
      <c r="APK372" s="146"/>
      <c r="APL372" s="682"/>
      <c r="APM372" s="148"/>
      <c r="APN372" s="148"/>
      <c r="APO372" s="683"/>
      <c r="APP372" s="684"/>
      <c r="APQ372" s="684"/>
      <c r="APR372" s="681"/>
      <c r="APS372" s="681"/>
      <c r="APT372" s="146"/>
      <c r="APU372" s="682"/>
      <c r="APV372" s="148"/>
      <c r="APW372" s="148"/>
      <c r="APX372" s="683"/>
      <c r="APY372" s="684"/>
      <c r="APZ372" s="684"/>
      <c r="AQA372" s="681"/>
      <c r="AQB372" s="681"/>
      <c r="AQC372" s="146"/>
      <c r="AQD372" s="682"/>
      <c r="AQE372" s="148"/>
      <c r="AQF372" s="148"/>
      <c r="AQG372" s="683"/>
      <c r="AQH372" s="684"/>
      <c r="AQI372" s="684"/>
      <c r="AQJ372" s="681"/>
      <c r="AQK372" s="681"/>
      <c r="AQL372" s="146"/>
      <c r="AQM372" s="682"/>
      <c r="AQN372" s="148"/>
      <c r="AQO372" s="148"/>
      <c r="AQP372" s="683"/>
      <c r="AQQ372" s="684"/>
      <c r="AQR372" s="684"/>
      <c r="AQS372" s="681"/>
      <c r="AQT372" s="681"/>
      <c r="AQU372" s="146"/>
      <c r="AQV372" s="682"/>
      <c r="AQW372" s="148"/>
      <c r="AQX372" s="148"/>
      <c r="AQY372" s="683"/>
      <c r="AQZ372" s="684"/>
      <c r="ARA372" s="684"/>
      <c r="ARB372" s="681"/>
      <c r="ARC372" s="681"/>
      <c r="ARD372" s="146"/>
      <c r="ARE372" s="682"/>
      <c r="ARF372" s="148"/>
      <c r="ARG372" s="148"/>
      <c r="ARH372" s="683"/>
      <c r="ARI372" s="684"/>
      <c r="ARJ372" s="684"/>
      <c r="ARK372" s="681"/>
      <c r="ARL372" s="681"/>
      <c r="ARM372" s="146"/>
      <c r="ARN372" s="682"/>
      <c r="ARO372" s="148"/>
      <c r="ARP372" s="148"/>
      <c r="ARQ372" s="683"/>
      <c r="ARR372" s="684"/>
      <c r="ARS372" s="684"/>
      <c r="ART372" s="681"/>
      <c r="ARU372" s="681"/>
      <c r="ARV372" s="146"/>
      <c r="ARW372" s="682"/>
      <c r="ARX372" s="148"/>
      <c r="ARY372" s="148"/>
      <c r="ARZ372" s="683"/>
      <c r="ASA372" s="684"/>
      <c r="ASB372" s="684"/>
      <c r="ASC372" s="681"/>
      <c r="ASD372" s="681"/>
      <c r="ASE372" s="146"/>
      <c r="ASF372" s="682"/>
      <c r="ASG372" s="148"/>
      <c r="ASH372" s="148"/>
      <c r="ASI372" s="683"/>
      <c r="ASJ372" s="684"/>
      <c r="ASK372" s="684"/>
      <c r="ASL372" s="681"/>
      <c r="ASM372" s="681"/>
      <c r="ASN372" s="146"/>
      <c r="ASO372" s="682"/>
      <c r="ASP372" s="148"/>
      <c r="ASQ372" s="148"/>
      <c r="ASR372" s="683"/>
      <c r="ASS372" s="684"/>
      <c r="AST372" s="684"/>
      <c r="ASU372" s="681"/>
      <c r="ASV372" s="681"/>
      <c r="ASW372" s="146"/>
      <c r="ASX372" s="682"/>
      <c r="ASY372" s="148"/>
      <c r="ASZ372" s="148"/>
      <c r="ATA372" s="683"/>
      <c r="ATB372" s="684"/>
      <c r="ATC372" s="684"/>
      <c r="ATD372" s="681"/>
      <c r="ATE372" s="681"/>
      <c r="ATF372" s="146"/>
      <c r="ATG372" s="682"/>
      <c r="ATH372" s="148"/>
      <c r="ATI372" s="148"/>
      <c r="ATJ372" s="683"/>
      <c r="ATK372" s="684"/>
      <c r="ATL372" s="684"/>
      <c r="ATM372" s="681"/>
      <c r="ATN372" s="681"/>
      <c r="ATO372" s="146"/>
      <c r="ATP372" s="682"/>
      <c r="ATQ372" s="148"/>
      <c r="ATR372" s="148"/>
      <c r="ATS372" s="683"/>
      <c r="ATT372" s="684"/>
      <c r="ATU372" s="684"/>
      <c r="ATV372" s="681"/>
      <c r="ATW372" s="681"/>
      <c r="ATX372" s="146"/>
      <c r="ATY372" s="682"/>
      <c r="ATZ372" s="148"/>
      <c r="AUA372" s="148"/>
      <c r="AUB372" s="683"/>
      <c r="AUC372" s="684"/>
      <c r="AUD372" s="684"/>
      <c r="AUE372" s="681"/>
      <c r="AUF372" s="681"/>
      <c r="AUG372" s="146"/>
      <c r="AUH372" s="682"/>
      <c r="AUI372" s="148"/>
      <c r="AUJ372" s="148"/>
      <c r="AUK372" s="683"/>
      <c r="AUL372" s="684"/>
      <c r="AUM372" s="684"/>
      <c r="AUN372" s="681"/>
      <c r="AUO372" s="681"/>
      <c r="AUP372" s="146"/>
      <c r="AUQ372" s="682"/>
      <c r="AUR372" s="148"/>
      <c r="AUS372" s="148"/>
      <c r="AUT372" s="683"/>
      <c r="AUU372" s="684"/>
      <c r="AUV372" s="684"/>
      <c r="AUW372" s="681"/>
      <c r="AUX372" s="681"/>
      <c r="AUY372" s="146"/>
      <c r="AUZ372" s="682"/>
      <c r="AVA372" s="148"/>
      <c r="AVB372" s="148"/>
      <c r="AVC372" s="683"/>
      <c r="AVD372" s="684"/>
      <c r="AVE372" s="684"/>
      <c r="AVF372" s="681"/>
      <c r="AVG372" s="681"/>
      <c r="AVH372" s="146"/>
      <c r="AVI372" s="682"/>
      <c r="AVJ372" s="148"/>
      <c r="AVK372" s="148"/>
      <c r="AVL372" s="683"/>
      <c r="AVM372" s="684"/>
      <c r="AVN372" s="684"/>
      <c r="AVO372" s="681"/>
      <c r="AVP372" s="681"/>
      <c r="AVQ372" s="146"/>
      <c r="AVR372" s="682"/>
      <c r="AVS372" s="148"/>
      <c r="AVT372" s="148"/>
      <c r="AVU372" s="683"/>
      <c r="AVV372" s="684"/>
      <c r="AVW372" s="684"/>
      <c r="AVX372" s="681"/>
      <c r="AVY372" s="681"/>
      <c r="AVZ372" s="146"/>
      <c r="AWA372" s="682"/>
      <c r="AWB372" s="148"/>
      <c r="AWC372" s="148"/>
      <c r="AWD372" s="683"/>
      <c r="AWE372" s="684"/>
      <c r="AWF372" s="684"/>
      <c r="AWG372" s="681"/>
      <c r="AWH372" s="681"/>
      <c r="AWI372" s="146"/>
      <c r="AWJ372" s="682"/>
      <c r="AWK372" s="148"/>
      <c r="AWL372" s="148"/>
      <c r="AWM372" s="683"/>
      <c r="AWN372" s="684"/>
      <c r="AWO372" s="684"/>
      <c r="AWP372" s="681"/>
      <c r="AWQ372" s="681"/>
      <c r="AWR372" s="146"/>
      <c r="AWS372" s="682"/>
      <c r="AWT372" s="148"/>
      <c r="AWU372" s="148"/>
      <c r="AWV372" s="683"/>
      <c r="AWW372" s="684"/>
      <c r="AWX372" s="684"/>
      <c r="AWY372" s="681"/>
      <c r="AWZ372" s="681"/>
      <c r="AXA372" s="146"/>
      <c r="AXB372" s="682"/>
      <c r="AXC372" s="148"/>
      <c r="AXD372" s="148"/>
      <c r="AXE372" s="683"/>
      <c r="AXF372" s="684"/>
      <c r="AXG372" s="684"/>
      <c r="AXH372" s="681"/>
      <c r="AXI372" s="681"/>
      <c r="AXJ372" s="146"/>
      <c r="AXK372" s="682"/>
      <c r="AXL372" s="148"/>
      <c r="AXM372" s="148"/>
      <c r="AXN372" s="683"/>
      <c r="AXO372" s="684"/>
      <c r="AXP372" s="684"/>
      <c r="AXQ372" s="681"/>
      <c r="AXR372" s="681"/>
      <c r="AXS372" s="146"/>
      <c r="AXT372" s="682"/>
      <c r="AXU372" s="148"/>
      <c r="AXV372" s="148"/>
      <c r="AXW372" s="683"/>
      <c r="AXX372" s="684"/>
      <c r="AXY372" s="684"/>
      <c r="AXZ372" s="681"/>
      <c r="AYA372" s="681"/>
      <c r="AYB372" s="146"/>
      <c r="AYC372" s="682"/>
      <c r="AYD372" s="148"/>
      <c r="AYE372" s="148"/>
      <c r="AYF372" s="683"/>
      <c r="AYG372" s="684"/>
      <c r="AYH372" s="684"/>
      <c r="AYI372" s="681"/>
      <c r="AYJ372" s="681"/>
      <c r="AYK372" s="146"/>
      <c r="AYL372" s="682"/>
      <c r="AYM372" s="148"/>
      <c r="AYN372" s="148"/>
      <c r="AYO372" s="683"/>
      <c r="AYP372" s="684"/>
      <c r="AYQ372" s="684"/>
      <c r="AYR372" s="681"/>
      <c r="AYS372" s="681"/>
      <c r="AYT372" s="146"/>
      <c r="AYU372" s="682"/>
      <c r="AYV372" s="148"/>
      <c r="AYW372" s="148"/>
      <c r="AYX372" s="683"/>
      <c r="AYY372" s="684"/>
      <c r="AYZ372" s="684"/>
      <c r="AZA372" s="681"/>
      <c r="AZB372" s="681"/>
      <c r="AZC372" s="146"/>
      <c r="AZD372" s="682"/>
      <c r="AZE372" s="148"/>
      <c r="AZF372" s="148"/>
      <c r="AZG372" s="683"/>
      <c r="AZH372" s="684"/>
      <c r="AZI372" s="684"/>
      <c r="AZJ372" s="681"/>
      <c r="AZK372" s="681"/>
      <c r="AZL372" s="146"/>
      <c r="AZM372" s="682"/>
      <c r="AZN372" s="148"/>
      <c r="AZO372" s="148"/>
      <c r="AZP372" s="683"/>
      <c r="AZQ372" s="684"/>
      <c r="AZR372" s="684"/>
      <c r="AZS372" s="681"/>
      <c r="AZT372" s="681"/>
      <c r="AZU372" s="146"/>
      <c r="AZV372" s="682"/>
      <c r="AZW372" s="148"/>
      <c r="AZX372" s="148"/>
      <c r="AZY372" s="683"/>
      <c r="AZZ372" s="684"/>
      <c r="BAA372" s="684"/>
      <c r="BAB372" s="681"/>
      <c r="BAC372" s="681"/>
      <c r="BAD372" s="146"/>
      <c r="BAE372" s="682"/>
      <c r="BAF372" s="148"/>
      <c r="BAG372" s="148"/>
      <c r="BAH372" s="683"/>
      <c r="BAI372" s="684"/>
      <c r="BAJ372" s="684"/>
      <c r="BAK372" s="681"/>
      <c r="BAL372" s="681"/>
      <c r="BAM372" s="146"/>
      <c r="BAN372" s="682"/>
      <c r="BAO372" s="148"/>
      <c r="BAP372" s="148"/>
      <c r="BAQ372" s="683"/>
      <c r="BAR372" s="684"/>
      <c r="BAS372" s="684"/>
      <c r="BAT372" s="681"/>
      <c r="BAU372" s="681"/>
      <c r="BAV372" s="146"/>
      <c r="BAW372" s="682"/>
      <c r="BAX372" s="148"/>
      <c r="BAY372" s="148"/>
      <c r="BAZ372" s="683"/>
      <c r="BBA372" s="684"/>
      <c r="BBB372" s="684"/>
      <c r="BBC372" s="681"/>
      <c r="BBD372" s="681"/>
      <c r="BBE372" s="146"/>
      <c r="BBF372" s="682"/>
      <c r="BBG372" s="148"/>
      <c r="BBH372" s="148"/>
      <c r="BBI372" s="683"/>
      <c r="BBJ372" s="684"/>
      <c r="BBK372" s="684"/>
      <c r="BBL372" s="681"/>
      <c r="BBM372" s="681"/>
      <c r="BBN372" s="146"/>
      <c r="BBO372" s="682"/>
      <c r="BBP372" s="148"/>
      <c r="BBQ372" s="148"/>
      <c r="BBR372" s="683"/>
      <c r="BBS372" s="684"/>
      <c r="BBT372" s="684"/>
      <c r="BBU372" s="681"/>
      <c r="BBV372" s="681"/>
      <c r="BBW372" s="146"/>
      <c r="BBX372" s="682"/>
      <c r="BBY372" s="148"/>
      <c r="BBZ372" s="148"/>
      <c r="BCA372" s="683"/>
      <c r="BCB372" s="684"/>
      <c r="BCC372" s="684"/>
      <c r="BCD372" s="681"/>
      <c r="BCE372" s="681"/>
      <c r="BCF372" s="146"/>
      <c r="BCG372" s="682"/>
      <c r="BCH372" s="148"/>
      <c r="BCI372" s="148"/>
      <c r="BCJ372" s="683"/>
      <c r="BCK372" s="684"/>
      <c r="BCL372" s="684"/>
      <c r="BCM372" s="681"/>
      <c r="BCN372" s="681"/>
      <c r="BCO372" s="146"/>
      <c r="BCP372" s="682"/>
      <c r="BCQ372" s="148"/>
      <c r="BCR372" s="148"/>
      <c r="BCS372" s="683"/>
      <c r="BCT372" s="684"/>
      <c r="BCU372" s="684"/>
      <c r="BCV372" s="681"/>
      <c r="BCW372" s="681"/>
      <c r="BCX372" s="146"/>
      <c r="BCY372" s="682"/>
      <c r="BCZ372" s="148"/>
      <c r="BDA372" s="148"/>
      <c r="BDB372" s="683"/>
      <c r="BDC372" s="684"/>
      <c r="BDD372" s="684"/>
      <c r="BDE372" s="681"/>
      <c r="BDF372" s="681"/>
      <c r="BDG372" s="146"/>
      <c r="BDH372" s="682"/>
      <c r="BDI372" s="148"/>
      <c r="BDJ372" s="148"/>
      <c r="BDK372" s="683"/>
      <c r="BDL372" s="684"/>
      <c r="BDM372" s="684"/>
      <c r="BDN372" s="681"/>
      <c r="BDO372" s="681"/>
      <c r="BDP372" s="146"/>
      <c r="BDQ372" s="682"/>
      <c r="BDR372" s="148"/>
      <c r="BDS372" s="148"/>
      <c r="BDT372" s="683"/>
      <c r="BDU372" s="684"/>
      <c r="BDV372" s="684"/>
      <c r="BDW372" s="681"/>
      <c r="BDX372" s="681"/>
      <c r="BDY372" s="146"/>
      <c r="BDZ372" s="682"/>
      <c r="BEA372" s="148"/>
      <c r="BEB372" s="148"/>
      <c r="BEC372" s="683"/>
      <c r="BED372" s="684"/>
      <c r="BEE372" s="684"/>
      <c r="BEF372" s="681"/>
      <c r="BEG372" s="681"/>
      <c r="BEH372" s="146"/>
      <c r="BEI372" s="682"/>
      <c r="BEJ372" s="148"/>
      <c r="BEK372" s="148"/>
      <c r="BEL372" s="683"/>
      <c r="BEM372" s="684"/>
      <c r="BEN372" s="684"/>
      <c r="BEO372" s="681"/>
      <c r="BEP372" s="681"/>
      <c r="BEQ372" s="146"/>
      <c r="BER372" s="682"/>
      <c r="BES372" s="148"/>
      <c r="BET372" s="148"/>
      <c r="BEU372" s="683"/>
      <c r="BEV372" s="684"/>
      <c r="BEW372" s="684"/>
      <c r="BEX372" s="681"/>
      <c r="BEY372" s="681"/>
      <c r="BEZ372" s="146"/>
      <c r="BFA372" s="682"/>
      <c r="BFB372" s="148"/>
      <c r="BFC372" s="148"/>
      <c r="BFD372" s="683"/>
      <c r="BFE372" s="684"/>
      <c r="BFF372" s="684"/>
      <c r="BFG372" s="681"/>
      <c r="BFH372" s="681"/>
      <c r="BFI372" s="146"/>
      <c r="BFJ372" s="682"/>
      <c r="BFK372" s="148"/>
      <c r="BFL372" s="148"/>
      <c r="BFM372" s="683"/>
      <c r="BFN372" s="684"/>
      <c r="BFO372" s="684"/>
      <c r="BFP372" s="681"/>
      <c r="BFQ372" s="681"/>
      <c r="BFR372" s="146"/>
      <c r="BFS372" s="682"/>
      <c r="BFT372" s="148"/>
      <c r="BFU372" s="148"/>
      <c r="BFV372" s="683"/>
      <c r="BFW372" s="684"/>
      <c r="BFX372" s="684"/>
      <c r="BFY372" s="681"/>
      <c r="BFZ372" s="681"/>
      <c r="BGA372" s="146"/>
      <c r="BGB372" s="682"/>
      <c r="BGC372" s="148"/>
      <c r="BGD372" s="148"/>
      <c r="BGE372" s="683"/>
      <c r="BGF372" s="684"/>
      <c r="BGG372" s="684"/>
      <c r="BGH372" s="681"/>
      <c r="BGI372" s="681"/>
      <c r="BGJ372" s="146"/>
      <c r="BGK372" s="682"/>
      <c r="BGL372" s="148"/>
      <c r="BGM372" s="148"/>
      <c r="BGN372" s="683"/>
      <c r="BGO372" s="684"/>
      <c r="BGP372" s="684"/>
      <c r="BGQ372" s="681"/>
      <c r="BGR372" s="681"/>
      <c r="BGS372" s="146"/>
      <c r="BGT372" s="682"/>
      <c r="BGU372" s="148"/>
      <c r="BGV372" s="148"/>
      <c r="BGW372" s="683"/>
      <c r="BGX372" s="684"/>
      <c r="BGY372" s="684"/>
      <c r="BGZ372" s="681"/>
      <c r="BHA372" s="681"/>
      <c r="BHB372" s="146"/>
      <c r="BHC372" s="682"/>
      <c r="BHD372" s="148"/>
      <c r="BHE372" s="148"/>
      <c r="BHF372" s="683"/>
      <c r="BHG372" s="684"/>
      <c r="BHH372" s="684"/>
      <c r="BHI372" s="681"/>
      <c r="BHJ372" s="681"/>
      <c r="BHK372" s="146"/>
      <c r="BHL372" s="682"/>
      <c r="BHM372" s="148"/>
      <c r="BHN372" s="148"/>
      <c r="BHO372" s="683"/>
      <c r="BHP372" s="684"/>
      <c r="BHQ372" s="684"/>
      <c r="BHR372" s="681"/>
      <c r="BHS372" s="681"/>
      <c r="BHT372" s="146"/>
      <c r="BHU372" s="682"/>
      <c r="BHV372" s="148"/>
      <c r="BHW372" s="148"/>
      <c r="BHX372" s="683"/>
      <c r="BHY372" s="684"/>
      <c r="BHZ372" s="684"/>
      <c r="BIA372" s="681"/>
      <c r="BIB372" s="681"/>
      <c r="BIC372" s="146"/>
      <c r="BID372" s="682"/>
      <c r="BIE372" s="148"/>
      <c r="BIF372" s="148"/>
      <c r="BIG372" s="683"/>
      <c r="BIH372" s="684"/>
      <c r="BII372" s="684"/>
      <c r="BIJ372" s="681"/>
      <c r="BIK372" s="681"/>
      <c r="BIL372" s="146"/>
      <c r="BIM372" s="682"/>
      <c r="BIN372" s="148"/>
      <c r="BIO372" s="148"/>
      <c r="BIP372" s="683"/>
      <c r="BIQ372" s="684"/>
      <c r="BIR372" s="684"/>
      <c r="BIS372" s="681"/>
      <c r="BIT372" s="681"/>
      <c r="BIU372" s="146"/>
      <c r="BIV372" s="682"/>
      <c r="BIW372" s="148"/>
      <c r="BIX372" s="148"/>
      <c r="BIY372" s="683"/>
      <c r="BIZ372" s="684"/>
      <c r="BJA372" s="684"/>
      <c r="BJB372" s="681"/>
      <c r="BJC372" s="681"/>
      <c r="BJD372" s="146"/>
      <c r="BJE372" s="682"/>
      <c r="BJF372" s="148"/>
      <c r="BJG372" s="148"/>
      <c r="BJH372" s="683"/>
      <c r="BJI372" s="684"/>
      <c r="BJJ372" s="684"/>
      <c r="BJK372" s="681"/>
      <c r="BJL372" s="681"/>
      <c r="BJM372" s="146"/>
      <c r="BJN372" s="682"/>
      <c r="BJO372" s="148"/>
      <c r="BJP372" s="148"/>
      <c r="BJQ372" s="683"/>
      <c r="BJR372" s="684"/>
      <c r="BJS372" s="684"/>
      <c r="BJT372" s="681"/>
      <c r="BJU372" s="681"/>
      <c r="BJV372" s="146"/>
      <c r="BJW372" s="682"/>
      <c r="BJX372" s="148"/>
      <c r="BJY372" s="148"/>
      <c r="BJZ372" s="683"/>
      <c r="BKA372" s="684"/>
      <c r="BKB372" s="684"/>
      <c r="BKC372" s="681"/>
      <c r="BKD372" s="681"/>
      <c r="BKE372" s="146"/>
      <c r="BKF372" s="682"/>
      <c r="BKG372" s="148"/>
      <c r="BKH372" s="148"/>
      <c r="BKI372" s="683"/>
      <c r="BKJ372" s="684"/>
      <c r="BKK372" s="684"/>
      <c r="BKL372" s="681"/>
      <c r="BKM372" s="681"/>
      <c r="BKN372" s="146"/>
      <c r="BKO372" s="682"/>
      <c r="BKP372" s="148"/>
      <c r="BKQ372" s="148"/>
      <c r="BKR372" s="683"/>
      <c r="BKS372" s="684"/>
      <c r="BKT372" s="684"/>
      <c r="BKU372" s="681"/>
      <c r="BKV372" s="681"/>
      <c r="BKW372" s="146"/>
      <c r="BKX372" s="682"/>
      <c r="BKY372" s="148"/>
      <c r="BKZ372" s="148"/>
      <c r="BLA372" s="683"/>
      <c r="BLB372" s="684"/>
      <c r="BLC372" s="684"/>
      <c r="BLD372" s="681"/>
      <c r="BLE372" s="681"/>
      <c r="BLF372" s="146"/>
      <c r="BLG372" s="682"/>
      <c r="BLH372" s="148"/>
      <c r="BLI372" s="148"/>
      <c r="BLJ372" s="683"/>
      <c r="BLK372" s="684"/>
      <c r="BLL372" s="684"/>
      <c r="BLM372" s="681"/>
      <c r="BLN372" s="681"/>
      <c r="BLO372" s="146"/>
      <c r="BLP372" s="682"/>
      <c r="BLQ372" s="148"/>
      <c r="BLR372" s="148"/>
      <c r="BLS372" s="683"/>
      <c r="BLT372" s="684"/>
      <c r="BLU372" s="684"/>
      <c r="BLV372" s="681"/>
      <c r="BLW372" s="681"/>
      <c r="BLX372" s="146"/>
      <c r="BLY372" s="682"/>
      <c r="BLZ372" s="148"/>
      <c r="BMA372" s="148"/>
      <c r="BMB372" s="683"/>
      <c r="BMC372" s="684"/>
      <c r="BMD372" s="684"/>
      <c r="BME372" s="681"/>
      <c r="BMF372" s="681"/>
      <c r="BMG372" s="146"/>
      <c r="BMH372" s="682"/>
      <c r="BMI372" s="148"/>
      <c r="BMJ372" s="148"/>
      <c r="BMK372" s="683"/>
      <c r="BML372" s="684"/>
      <c r="BMM372" s="684"/>
      <c r="BMN372" s="681"/>
      <c r="BMO372" s="681"/>
      <c r="BMP372" s="146"/>
      <c r="BMQ372" s="682"/>
      <c r="BMR372" s="148"/>
      <c r="BMS372" s="148"/>
      <c r="BMT372" s="683"/>
      <c r="BMU372" s="684"/>
      <c r="BMV372" s="684"/>
      <c r="BMW372" s="681"/>
      <c r="BMX372" s="681"/>
      <c r="BMY372" s="146"/>
      <c r="BMZ372" s="682"/>
      <c r="BNA372" s="148"/>
      <c r="BNB372" s="148"/>
      <c r="BNC372" s="683"/>
      <c r="BND372" s="684"/>
      <c r="BNE372" s="684"/>
      <c r="BNF372" s="681"/>
      <c r="BNG372" s="681"/>
      <c r="BNH372" s="146"/>
      <c r="BNI372" s="682"/>
      <c r="BNJ372" s="148"/>
      <c r="BNK372" s="148"/>
      <c r="BNL372" s="683"/>
      <c r="BNM372" s="684"/>
      <c r="BNN372" s="684"/>
      <c r="BNO372" s="681"/>
      <c r="BNP372" s="681"/>
      <c r="BNQ372" s="146"/>
      <c r="BNR372" s="682"/>
      <c r="BNS372" s="148"/>
      <c r="BNT372" s="148"/>
      <c r="BNU372" s="683"/>
      <c r="BNV372" s="684"/>
      <c r="BNW372" s="684"/>
      <c r="BNX372" s="681"/>
      <c r="BNY372" s="681"/>
      <c r="BNZ372" s="146"/>
      <c r="BOA372" s="682"/>
      <c r="BOB372" s="148"/>
      <c r="BOC372" s="148"/>
      <c r="BOD372" s="683"/>
      <c r="BOE372" s="684"/>
      <c r="BOF372" s="684"/>
      <c r="BOG372" s="681"/>
      <c r="BOH372" s="681"/>
      <c r="BOI372" s="146"/>
      <c r="BOJ372" s="682"/>
      <c r="BOK372" s="148"/>
      <c r="BOL372" s="148"/>
      <c r="BOM372" s="683"/>
      <c r="BON372" s="684"/>
      <c r="BOO372" s="684"/>
      <c r="BOP372" s="681"/>
      <c r="BOQ372" s="681"/>
      <c r="BOR372" s="146"/>
      <c r="BOS372" s="682"/>
      <c r="BOT372" s="148"/>
      <c r="BOU372" s="148"/>
      <c r="BOV372" s="683"/>
      <c r="BOW372" s="684"/>
      <c r="BOX372" s="684"/>
      <c r="BOY372" s="681"/>
      <c r="BOZ372" s="681"/>
      <c r="BPA372" s="146"/>
      <c r="BPB372" s="682"/>
      <c r="BPC372" s="148"/>
      <c r="BPD372" s="148"/>
      <c r="BPE372" s="683"/>
      <c r="BPF372" s="684"/>
      <c r="BPG372" s="684"/>
      <c r="BPH372" s="681"/>
      <c r="BPI372" s="681"/>
      <c r="BPJ372" s="146"/>
      <c r="BPK372" s="682"/>
      <c r="BPL372" s="148"/>
      <c r="BPM372" s="148"/>
      <c r="BPN372" s="683"/>
      <c r="BPO372" s="684"/>
      <c r="BPP372" s="684"/>
      <c r="BPQ372" s="681"/>
      <c r="BPR372" s="681"/>
      <c r="BPS372" s="146"/>
      <c r="BPT372" s="682"/>
      <c r="BPU372" s="148"/>
      <c r="BPV372" s="148"/>
      <c r="BPW372" s="683"/>
      <c r="BPX372" s="684"/>
      <c r="BPY372" s="684"/>
      <c r="BPZ372" s="681"/>
      <c r="BQA372" s="681"/>
      <c r="BQB372" s="146"/>
      <c r="BQC372" s="682"/>
      <c r="BQD372" s="148"/>
      <c r="BQE372" s="148"/>
      <c r="BQF372" s="683"/>
      <c r="BQG372" s="684"/>
      <c r="BQH372" s="684"/>
      <c r="BQI372" s="681"/>
      <c r="BQJ372" s="681"/>
      <c r="BQK372" s="146"/>
      <c r="BQL372" s="682"/>
      <c r="BQM372" s="148"/>
      <c r="BQN372" s="148"/>
      <c r="BQO372" s="683"/>
      <c r="BQP372" s="684"/>
      <c r="BQQ372" s="684"/>
      <c r="BQR372" s="681"/>
      <c r="BQS372" s="681"/>
      <c r="BQT372" s="146"/>
      <c r="BQU372" s="682"/>
      <c r="BQV372" s="148"/>
      <c r="BQW372" s="148"/>
      <c r="BQX372" s="683"/>
      <c r="BQY372" s="684"/>
      <c r="BQZ372" s="684"/>
      <c r="BRA372" s="681"/>
      <c r="BRB372" s="681"/>
      <c r="BRC372" s="146"/>
      <c r="BRD372" s="682"/>
      <c r="BRE372" s="148"/>
      <c r="BRF372" s="148"/>
      <c r="BRG372" s="683"/>
      <c r="BRH372" s="684"/>
      <c r="BRI372" s="684"/>
      <c r="BRJ372" s="681"/>
      <c r="BRK372" s="681"/>
      <c r="BRL372" s="146"/>
      <c r="BRM372" s="682"/>
      <c r="BRN372" s="148"/>
      <c r="BRO372" s="148"/>
      <c r="BRP372" s="683"/>
      <c r="BRQ372" s="684"/>
      <c r="BRR372" s="684"/>
      <c r="BRS372" s="681"/>
      <c r="BRT372" s="681"/>
      <c r="BRU372" s="146"/>
      <c r="BRV372" s="682"/>
      <c r="BRW372" s="148"/>
      <c r="BRX372" s="148"/>
      <c r="BRY372" s="683"/>
      <c r="BRZ372" s="684"/>
      <c r="BSA372" s="684"/>
      <c r="BSB372" s="681"/>
      <c r="BSC372" s="681"/>
      <c r="BSD372" s="146"/>
      <c r="BSE372" s="682"/>
      <c r="BSF372" s="148"/>
      <c r="BSG372" s="148"/>
      <c r="BSH372" s="683"/>
      <c r="BSI372" s="684"/>
      <c r="BSJ372" s="684"/>
      <c r="BSK372" s="681"/>
      <c r="BSL372" s="681"/>
      <c r="BSM372" s="146"/>
      <c r="BSN372" s="682"/>
      <c r="BSO372" s="148"/>
      <c r="BSP372" s="148"/>
      <c r="BSQ372" s="683"/>
      <c r="BSR372" s="684"/>
      <c r="BSS372" s="684"/>
      <c r="BST372" s="681"/>
      <c r="BSU372" s="681"/>
      <c r="BSV372" s="146"/>
      <c r="BSW372" s="682"/>
      <c r="BSX372" s="148"/>
      <c r="BSY372" s="148"/>
      <c r="BSZ372" s="683"/>
      <c r="BTA372" s="684"/>
      <c r="BTB372" s="684"/>
      <c r="BTC372" s="681"/>
      <c r="BTD372" s="681"/>
      <c r="BTE372" s="146"/>
      <c r="BTF372" s="682"/>
      <c r="BTG372" s="148"/>
      <c r="BTH372" s="148"/>
      <c r="BTI372" s="683"/>
      <c r="BTJ372" s="684"/>
      <c r="BTK372" s="684"/>
      <c r="BTL372" s="681"/>
      <c r="BTM372" s="681"/>
      <c r="BTN372" s="146"/>
      <c r="BTO372" s="682"/>
      <c r="BTP372" s="148"/>
      <c r="BTQ372" s="148"/>
      <c r="BTR372" s="683"/>
      <c r="BTS372" s="684"/>
      <c r="BTT372" s="684"/>
      <c r="BTU372" s="681"/>
      <c r="BTV372" s="681"/>
      <c r="BTW372" s="146"/>
      <c r="BTX372" s="682"/>
      <c r="BTY372" s="148"/>
      <c r="BTZ372" s="148"/>
      <c r="BUA372" s="683"/>
      <c r="BUB372" s="684"/>
      <c r="BUC372" s="684"/>
      <c r="BUD372" s="681"/>
      <c r="BUE372" s="681"/>
      <c r="BUF372" s="146"/>
      <c r="BUG372" s="682"/>
      <c r="BUH372" s="148"/>
      <c r="BUI372" s="148"/>
      <c r="BUJ372" s="683"/>
      <c r="BUK372" s="684"/>
      <c r="BUL372" s="684"/>
      <c r="BUM372" s="681"/>
      <c r="BUN372" s="681"/>
      <c r="BUO372" s="146"/>
      <c r="BUP372" s="682"/>
      <c r="BUQ372" s="148"/>
      <c r="BUR372" s="148"/>
      <c r="BUS372" s="683"/>
      <c r="BUT372" s="684"/>
      <c r="BUU372" s="684"/>
      <c r="BUV372" s="681"/>
      <c r="BUW372" s="681"/>
      <c r="BUX372" s="146"/>
      <c r="BUY372" s="682"/>
      <c r="BUZ372" s="148"/>
      <c r="BVA372" s="148"/>
      <c r="BVB372" s="683"/>
      <c r="BVC372" s="684"/>
      <c r="BVD372" s="684"/>
      <c r="BVE372" s="681"/>
      <c r="BVF372" s="681"/>
      <c r="BVG372" s="146"/>
      <c r="BVH372" s="682"/>
      <c r="BVI372" s="148"/>
      <c r="BVJ372" s="148"/>
      <c r="BVK372" s="683"/>
      <c r="BVL372" s="684"/>
      <c r="BVM372" s="684"/>
      <c r="BVN372" s="681"/>
      <c r="BVO372" s="681"/>
      <c r="BVP372" s="146"/>
      <c r="BVQ372" s="682"/>
      <c r="BVR372" s="148"/>
      <c r="BVS372" s="148"/>
      <c r="BVT372" s="683"/>
      <c r="BVU372" s="684"/>
      <c r="BVV372" s="684"/>
      <c r="BVW372" s="681"/>
      <c r="BVX372" s="681"/>
      <c r="BVY372" s="146"/>
      <c r="BVZ372" s="682"/>
      <c r="BWA372" s="148"/>
      <c r="BWB372" s="148"/>
      <c r="BWC372" s="683"/>
      <c r="BWD372" s="684"/>
      <c r="BWE372" s="684"/>
      <c r="BWF372" s="681"/>
      <c r="BWG372" s="681"/>
      <c r="BWH372" s="146"/>
      <c r="BWI372" s="682"/>
      <c r="BWJ372" s="148"/>
      <c r="BWK372" s="148"/>
      <c r="BWL372" s="683"/>
      <c r="BWM372" s="684"/>
      <c r="BWN372" s="684"/>
      <c r="BWO372" s="681"/>
      <c r="BWP372" s="681"/>
      <c r="BWQ372" s="146"/>
      <c r="BWR372" s="682"/>
      <c r="BWS372" s="148"/>
      <c r="BWT372" s="148"/>
      <c r="BWU372" s="683"/>
      <c r="BWV372" s="684"/>
      <c r="BWW372" s="684"/>
      <c r="BWX372" s="681"/>
      <c r="BWY372" s="681"/>
      <c r="BWZ372" s="146"/>
      <c r="BXA372" s="682"/>
      <c r="BXB372" s="148"/>
      <c r="BXC372" s="148"/>
      <c r="BXD372" s="683"/>
      <c r="BXE372" s="684"/>
      <c r="BXF372" s="684"/>
      <c r="BXG372" s="681"/>
      <c r="BXH372" s="681"/>
      <c r="BXI372" s="146"/>
      <c r="BXJ372" s="682"/>
      <c r="BXK372" s="148"/>
      <c r="BXL372" s="148"/>
      <c r="BXM372" s="683"/>
      <c r="BXN372" s="684"/>
      <c r="BXO372" s="684"/>
      <c r="BXP372" s="681"/>
      <c r="BXQ372" s="681"/>
      <c r="BXR372" s="146"/>
      <c r="BXS372" s="682"/>
      <c r="BXT372" s="148"/>
      <c r="BXU372" s="148"/>
      <c r="BXV372" s="683"/>
      <c r="BXW372" s="684"/>
      <c r="BXX372" s="684"/>
      <c r="BXY372" s="681"/>
      <c r="BXZ372" s="681"/>
      <c r="BYA372" s="146"/>
      <c r="BYB372" s="682"/>
      <c r="BYC372" s="148"/>
      <c r="BYD372" s="148"/>
      <c r="BYE372" s="683"/>
      <c r="BYF372" s="684"/>
      <c r="BYG372" s="684"/>
      <c r="BYH372" s="681"/>
      <c r="BYI372" s="681"/>
      <c r="BYJ372" s="146"/>
      <c r="BYK372" s="682"/>
      <c r="BYL372" s="148"/>
      <c r="BYM372" s="148"/>
      <c r="BYN372" s="683"/>
      <c r="BYO372" s="684"/>
      <c r="BYP372" s="684"/>
      <c r="BYQ372" s="681"/>
      <c r="BYR372" s="681"/>
      <c r="BYS372" s="146"/>
      <c r="BYT372" s="682"/>
      <c r="BYU372" s="148"/>
      <c r="BYV372" s="148"/>
      <c r="BYW372" s="683"/>
      <c r="BYX372" s="684"/>
      <c r="BYY372" s="684"/>
      <c r="BYZ372" s="681"/>
      <c r="BZA372" s="681"/>
      <c r="BZB372" s="146"/>
      <c r="BZC372" s="682"/>
      <c r="BZD372" s="148"/>
      <c r="BZE372" s="148"/>
      <c r="BZF372" s="683"/>
      <c r="BZG372" s="684"/>
      <c r="BZH372" s="684"/>
      <c r="BZI372" s="681"/>
      <c r="BZJ372" s="681"/>
      <c r="BZK372" s="146"/>
      <c r="BZL372" s="682"/>
      <c r="BZM372" s="148"/>
      <c r="BZN372" s="148"/>
      <c r="BZO372" s="683"/>
      <c r="BZP372" s="684"/>
      <c r="BZQ372" s="684"/>
      <c r="BZR372" s="681"/>
      <c r="BZS372" s="681"/>
      <c r="BZT372" s="146"/>
      <c r="BZU372" s="682"/>
      <c r="BZV372" s="148"/>
      <c r="BZW372" s="148"/>
      <c r="BZX372" s="683"/>
      <c r="BZY372" s="684"/>
      <c r="BZZ372" s="684"/>
      <c r="CAA372" s="681"/>
      <c r="CAB372" s="681"/>
      <c r="CAC372" s="146"/>
      <c r="CAD372" s="682"/>
      <c r="CAE372" s="148"/>
      <c r="CAF372" s="148"/>
      <c r="CAG372" s="683"/>
      <c r="CAH372" s="684"/>
      <c r="CAI372" s="684"/>
      <c r="CAJ372" s="681"/>
      <c r="CAK372" s="681"/>
      <c r="CAL372" s="146"/>
      <c r="CAM372" s="682"/>
      <c r="CAN372" s="148"/>
      <c r="CAO372" s="148"/>
      <c r="CAP372" s="683"/>
      <c r="CAQ372" s="684"/>
      <c r="CAR372" s="684"/>
      <c r="CAS372" s="681"/>
      <c r="CAT372" s="681"/>
      <c r="CAU372" s="146"/>
      <c r="CAV372" s="682"/>
      <c r="CAW372" s="148"/>
      <c r="CAX372" s="148"/>
      <c r="CAY372" s="683"/>
      <c r="CAZ372" s="684"/>
      <c r="CBA372" s="684"/>
      <c r="CBB372" s="681"/>
      <c r="CBC372" s="681"/>
      <c r="CBD372" s="146"/>
      <c r="CBE372" s="682"/>
      <c r="CBF372" s="148"/>
      <c r="CBG372" s="148"/>
      <c r="CBH372" s="683"/>
      <c r="CBI372" s="684"/>
      <c r="CBJ372" s="684"/>
      <c r="CBK372" s="681"/>
      <c r="CBL372" s="681"/>
      <c r="CBM372" s="146"/>
      <c r="CBN372" s="682"/>
      <c r="CBO372" s="148"/>
      <c r="CBP372" s="148"/>
      <c r="CBQ372" s="683"/>
      <c r="CBR372" s="684"/>
      <c r="CBS372" s="684"/>
      <c r="CBT372" s="681"/>
      <c r="CBU372" s="681"/>
      <c r="CBV372" s="146"/>
      <c r="CBW372" s="682"/>
      <c r="CBX372" s="148"/>
      <c r="CBY372" s="148"/>
      <c r="CBZ372" s="683"/>
      <c r="CCA372" s="684"/>
      <c r="CCB372" s="684"/>
      <c r="CCC372" s="681"/>
      <c r="CCD372" s="681"/>
      <c r="CCE372" s="146"/>
      <c r="CCF372" s="682"/>
      <c r="CCG372" s="148"/>
      <c r="CCH372" s="148"/>
      <c r="CCI372" s="683"/>
      <c r="CCJ372" s="684"/>
      <c r="CCK372" s="684"/>
      <c r="CCL372" s="681"/>
      <c r="CCM372" s="681"/>
      <c r="CCN372" s="146"/>
      <c r="CCO372" s="682"/>
      <c r="CCP372" s="148"/>
      <c r="CCQ372" s="148"/>
      <c r="CCR372" s="683"/>
      <c r="CCS372" s="684"/>
      <c r="CCT372" s="684"/>
      <c r="CCU372" s="681"/>
      <c r="CCV372" s="681"/>
      <c r="CCW372" s="146"/>
      <c r="CCX372" s="682"/>
      <c r="CCY372" s="148"/>
      <c r="CCZ372" s="148"/>
      <c r="CDA372" s="683"/>
      <c r="CDB372" s="684"/>
      <c r="CDC372" s="684"/>
      <c r="CDD372" s="681"/>
      <c r="CDE372" s="681"/>
      <c r="CDF372" s="146"/>
      <c r="CDG372" s="682"/>
      <c r="CDH372" s="148"/>
      <c r="CDI372" s="148"/>
      <c r="CDJ372" s="683"/>
      <c r="CDK372" s="684"/>
      <c r="CDL372" s="684"/>
      <c r="CDM372" s="681"/>
      <c r="CDN372" s="681"/>
      <c r="CDO372" s="146"/>
      <c r="CDP372" s="682"/>
      <c r="CDQ372" s="148"/>
      <c r="CDR372" s="148"/>
      <c r="CDS372" s="683"/>
      <c r="CDT372" s="684"/>
      <c r="CDU372" s="684"/>
      <c r="CDV372" s="681"/>
      <c r="CDW372" s="681"/>
      <c r="CDX372" s="146"/>
      <c r="CDY372" s="682"/>
      <c r="CDZ372" s="148"/>
      <c r="CEA372" s="148"/>
      <c r="CEB372" s="683"/>
      <c r="CEC372" s="684"/>
      <c r="CED372" s="684"/>
      <c r="CEE372" s="681"/>
      <c r="CEF372" s="681"/>
      <c r="CEG372" s="146"/>
      <c r="CEH372" s="682"/>
      <c r="CEI372" s="148"/>
      <c r="CEJ372" s="148"/>
      <c r="CEK372" s="683"/>
      <c r="CEL372" s="684"/>
      <c r="CEM372" s="684"/>
      <c r="CEN372" s="681"/>
      <c r="CEO372" s="681"/>
      <c r="CEP372" s="146"/>
      <c r="CEQ372" s="682"/>
      <c r="CER372" s="148"/>
      <c r="CES372" s="148"/>
      <c r="CET372" s="683"/>
      <c r="CEU372" s="684"/>
      <c r="CEV372" s="684"/>
      <c r="CEW372" s="681"/>
      <c r="CEX372" s="681"/>
      <c r="CEY372" s="146"/>
      <c r="CEZ372" s="682"/>
      <c r="CFA372" s="148"/>
      <c r="CFB372" s="148"/>
      <c r="CFC372" s="683"/>
      <c r="CFD372" s="684"/>
      <c r="CFE372" s="684"/>
      <c r="CFF372" s="681"/>
      <c r="CFG372" s="681"/>
      <c r="CFH372" s="146"/>
      <c r="CFI372" s="682"/>
      <c r="CFJ372" s="148"/>
      <c r="CFK372" s="148"/>
      <c r="CFL372" s="683"/>
      <c r="CFM372" s="684"/>
      <c r="CFN372" s="684"/>
      <c r="CFO372" s="681"/>
      <c r="CFP372" s="681"/>
      <c r="CFQ372" s="146"/>
      <c r="CFR372" s="682"/>
      <c r="CFS372" s="148"/>
      <c r="CFT372" s="148"/>
      <c r="CFU372" s="683"/>
      <c r="CFV372" s="684"/>
      <c r="CFW372" s="684"/>
      <c r="CFX372" s="681"/>
      <c r="CFY372" s="681"/>
      <c r="CFZ372" s="146"/>
      <c r="CGA372" s="682"/>
      <c r="CGB372" s="148"/>
      <c r="CGC372" s="148"/>
      <c r="CGD372" s="683"/>
      <c r="CGE372" s="684"/>
      <c r="CGF372" s="684"/>
      <c r="CGG372" s="681"/>
      <c r="CGH372" s="681"/>
      <c r="CGI372" s="146"/>
      <c r="CGJ372" s="682"/>
      <c r="CGK372" s="148"/>
      <c r="CGL372" s="148"/>
      <c r="CGM372" s="683"/>
      <c r="CGN372" s="684"/>
      <c r="CGO372" s="684"/>
      <c r="CGP372" s="681"/>
      <c r="CGQ372" s="681"/>
      <c r="CGR372" s="146"/>
      <c r="CGS372" s="682"/>
      <c r="CGT372" s="148"/>
      <c r="CGU372" s="148"/>
      <c r="CGV372" s="683"/>
      <c r="CGW372" s="684"/>
      <c r="CGX372" s="684"/>
      <c r="CGY372" s="681"/>
      <c r="CGZ372" s="681"/>
      <c r="CHA372" s="146"/>
      <c r="CHB372" s="682"/>
      <c r="CHC372" s="148"/>
      <c r="CHD372" s="148"/>
      <c r="CHE372" s="683"/>
      <c r="CHF372" s="684"/>
      <c r="CHG372" s="684"/>
      <c r="CHH372" s="681"/>
      <c r="CHI372" s="681"/>
      <c r="CHJ372" s="146"/>
      <c r="CHK372" s="682"/>
      <c r="CHL372" s="148"/>
      <c r="CHM372" s="148"/>
      <c r="CHN372" s="683"/>
      <c r="CHO372" s="684"/>
      <c r="CHP372" s="684"/>
      <c r="CHQ372" s="681"/>
      <c r="CHR372" s="681"/>
      <c r="CHS372" s="146"/>
      <c r="CHT372" s="682"/>
      <c r="CHU372" s="148"/>
      <c r="CHV372" s="148"/>
      <c r="CHW372" s="683"/>
      <c r="CHX372" s="684"/>
      <c r="CHY372" s="684"/>
      <c r="CHZ372" s="681"/>
      <c r="CIA372" s="681"/>
      <c r="CIB372" s="146"/>
      <c r="CIC372" s="682"/>
      <c r="CID372" s="148"/>
      <c r="CIE372" s="148"/>
      <c r="CIF372" s="683"/>
      <c r="CIG372" s="684"/>
      <c r="CIH372" s="684"/>
      <c r="CII372" s="681"/>
      <c r="CIJ372" s="681"/>
      <c r="CIK372" s="146"/>
      <c r="CIL372" s="682"/>
      <c r="CIM372" s="148"/>
      <c r="CIN372" s="148"/>
      <c r="CIO372" s="683"/>
      <c r="CIP372" s="684"/>
      <c r="CIQ372" s="684"/>
      <c r="CIR372" s="681"/>
      <c r="CIS372" s="681"/>
      <c r="CIT372" s="146"/>
      <c r="CIU372" s="682"/>
      <c r="CIV372" s="148"/>
      <c r="CIW372" s="148"/>
      <c r="CIX372" s="683"/>
      <c r="CIY372" s="684"/>
      <c r="CIZ372" s="684"/>
      <c r="CJA372" s="681"/>
      <c r="CJB372" s="681"/>
      <c r="CJC372" s="146"/>
      <c r="CJD372" s="682"/>
      <c r="CJE372" s="148"/>
      <c r="CJF372" s="148"/>
      <c r="CJG372" s="683"/>
      <c r="CJH372" s="684"/>
      <c r="CJI372" s="684"/>
      <c r="CJJ372" s="681"/>
      <c r="CJK372" s="681"/>
      <c r="CJL372" s="146"/>
      <c r="CJM372" s="682"/>
      <c r="CJN372" s="148"/>
      <c r="CJO372" s="148"/>
      <c r="CJP372" s="683"/>
      <c r="CJQ372" s="684"/>
      <c r="CJR372" s="684"/>
      <c r="CJS372" s="681"/>
      <c r="CJT372" s="681"/>
      <c r="CJU372" s="146"/>
      <c r="CJV372" s="682"/>
      <c r="CJW372" s="148"/>
      <c r="CJX372" s="148"/>
      <c r="CJY372" s="683"/>
      <c r="CJZ372" s="684"/>
      <c r="CKA372" s="684"/>
      <c r="CKB372" s="681"/>
      <c r="CKC372" s="681"/>
      <c r="CKD372" s="146"/>
      <c r="CKE372" s="682"/>
      <c r="CKF372" s="148"/>
      <c r="CKG372" s="148"/>
      <c r="CKH372" s="683"/>
      <c r="CKI372" s="684"/>
      <c r="CKJ372" s="684"/>
      <c r="CKK372" s="681"/>
      <c r="CKL372" s="681"/>
      <c r="CKM372" s="146"/>
      <c r="CKN372" s="682"/>
      <c r="CKO372" s="148"/>
      <c r="CKP372" s="148"/>
      <c r="CKQ372" s="683"/>
      <c r="CKR372" s="684"/>
      <c r="CKS372" s="684"/>
      <c r="CKT372" s="681"/>
      <c r="CKU372" s="681"/>
      <c r="CKV372" s="146"/>
      <c r="CKW372" s="682"/>
      <c r="CKX372" s="148"/>
      <c r="CKY372" s="148"/>
      <c r="CKZ372" s="683"/>
      <c r="CLA372" s="684"/>
      <c r="CLB372" s="684"/>
      <c r="CLC372" s="681"/>
      <c r="CLD372" s="681"/>
      <c r="CLE372" s="146"/>
      <c r="CLF372" s="682"/>
      <c r="CLG372" s="148"/>
      <c r="CLH372" s="148"/>
      <c r="CLI372" s="683"/>
      <c r="CLJ372" s="684"/>
      <c r="CLK372" s="684"/>
      <c r="CLL372" s="681"/>
      <c r="CLM372" s="681"/>
      <c r="CLN372" s="146"/>
      <c r="CLO372" s="682"/>
      <c r="CLP372" s="148"/>
      <c r="CLQ372" s="148"/>
      <c r="CLR372" s="683"/>
      <c r="CLS372" s="684"/>
      <c r="CLT372" s="684"/>
      <c r="CLU372" s="681"/>
      <c r="CLV372" s="681"/>
      <c r="CLW372" s="146"/>
      <c r="CLX372" s="682"/>
      <c r="CLY372" s="148"/>
      <c r="CLZ372" s="148"/>
      <c r="CMA372" s="683"/>
      <c r="CMB372" s="684"/>
      <c r="CMC372" s="684"/>
      <c r="CMD372" s="681"/>
      <c r="CME372" s="681"/>
      <c r="CMF372" s="146"/>
      <c r="CMG372" s="682"/>
      <c r="CMH372" s="148"/>
      <c r="CMI372" s="148"/>
      <c r="CMJ372" s="683"/>
      <c r="CMK372" s="684"/>
      <c r="CML372" s="684"/>
      <c r="CMM372" s="681"/>
      <c r="CMN372" s="681"/>
      <c r="CMO372" s="146"/>
      <c r="CMP372" s="682"/>
      <c r="CMQ372" s="148"/>
      <c r="CMR372" s="148"/>
      <c r="CMS372" s="683"/>
      <c r="CMT372" s="684"/>
      <c r="CMU372" s="684"/>
      <c r="CMV372" s="681"/>
      <c r="CMW372" s="681"/>
      <c r="CMX372" s="146"/>
      <c r="CMY372" s="682"/>
      <c r="CMZ372" s="148"/>
      <c r="CNA372" s="148"/>
      <c r="CNB372" s="683"/>
      <c r="CNC372" s="684"/>
      <c r="CND372" s="684"/>
      <c r="CNE372" s="681"/>
      <c r="CNF372" s="681"/>
      <c r="CNG372" s="146"/>
      <c r="CNH372" s="682"/>
      <c r="CNI372" s="148"/>
      <c r="CNJ372" s="148"/>
      <c r="CNK372" s="683"/>
      <c r="CNL372" s="684"/>
      <c r="CNM372" s="684"/>
      <c r="CNN372" s="681"/>
      <c r="CNO372" s="681"/>
      <c r="CNP372" s="146"/>
      <c r="CNQ372" s="682"/>
      <c r="CNR372" s="148"/>
      <c r="CNS372" s="148"/>
      <c r="CNT372" s="683"/>
      <c r="CNU372" s="684"/>
      <c r="CNV372" s="684"/>
      <c r="CNW372" s="681"/>
      <c r="CNX372" s="681"/>
      <c r="CNY372" s="146"/>
      <c r="CNZ372" s="682"/>
      <c r="COA372" s="148"/>
      <c r="COB372" s="148"/>
      <c r="COC372" s="683"/>
      <c r="COD372" s="684"/>
      <c r="COE372" s="684"/>
      <c r="COF372" s="681"/>
      <c r="COG372" s="681"/>
      <c r="COH372" s="146"/>
      <c r="COI372" s="682"/>
      <c r="COJ372" s="148"/>
      <c r="COK372" s="148"/>
      <c r="COL372" s="683"/>
      <c r="COM372" s="684"/>
      <c r="CON372" s="684"/>
      <c r="COO372" s="681"/>
      <c r="COP372" s="681"/>
      <c r="COQ372" s="146"/>
      <c r="COR372" s="682"/>
      <c r="COS372" s="148"/>
      <c r="COT372" s="148"/>
      <c r="COU372" s="683"/>
      <c r="COV372" s="684"/>
      <c r="COW372" s="684"/>
      <c r="COX372" s="681"/>
      <c r="COY372" s="681"/>
      <c r="COZ372" s="146"/>
      <c r="CPA372" s="682"/>
      <c r="CPB372" s="148"/>
      <c r="CPC372" s="148"/>
      <c r="CPD372" s="683"/>
      <c r="CPE372" s="684"/>
      <c r="CPF372" s="684"/>
      <c r="CPG372" s="681"/>
      <c r="CPH372" s="681"/>
      <c r="CPI372" s="146"/>
      <c r="CPJ372" s="682"/>
      <c r="CPK372" s="148"/>
      <c r="CPL372" s="148"/>
      <c r="CPM372" s="683"/>
      <c r="CPN372" s="684"/>
      <c r="CPO372" s="684"/>
      <c r="CPP372" s="681"/>
      <c r="CPQ372" s="681"/>
      <c r="CPR372" s="146"/>
      <c r="CPS372" s="682"/>
      <c r="CPT372" s="148"/>
      <c r="CPU372" s="148"/>
      <c r="CPV372" s="683"/>
      <c r="CPW372" s="684"/>
      <c r="CPX372" s="684"/>
      <c r="CPY372" s="681"/>
      <c r="CPZ372" s="681"/>
      <c r="CQA372" s="146"/>
      <c r="CQB372" s="682"/>
      <c r="CQC372" s="148"/>
      <c r="CQD372" s="148"/>
      <c r="CQE372" s="683"/>
      <c r="CQF372" s="684"/>
      <c r="CQG372" s="684"/>
      <c r="CQH372" s="681"/>
      <c r="CQI372" s="681"/>
      <c r="CQJ372" s="146"/>
      <c r="CQK372" s="682"/>
      <c r="CQL372" s="148"/>
      <c r="CQM372" s="148"/>
      <c r="CQN372" s="683"/>
      <c r="CQO372" s="684"/>
      <c r="CQP372" s="684"/>
      <c r="CQQ372" s="681"/>
      <c r="CQR372" s="681"/>
      <c r="CQS372" s="146"/>
      <c r="CQT372" s="682"/>
      <c r="CQU372" s="148"/>
      <c r="CQV372" s="148"/>
      <c r="CQW372" s="683"/>
      <c r="CQX372" s="684"/>
      <c r="CQY372" s="684"/>
      <c r="CQZ372" s="681"/>
      <c r="CRA372" s="681"/>
      <c r="CRB372" s="146"/>
      <c r="CRC372" s="682"/>
      <c r="CRD372" s="148"/>
      <c r="CRE372" s="148"/>
      <c r="CRF372" s="683"/>
      <c r="CRG372" s="684"/>
      <c r="CRH372" s="684"/>
      <c r="CRI372" s="681"/>
      <c r="CRJ372" s="681"/>
      <c r="CRK372" s="146"/>
      <c r="CRL372" s="682"/>
      <c r="CRM372" s="148"/>
      <c r="CRN372" s="148"/>
      <c r="CRO372" s="683"/>
      <c r="CRP372" s="684"/>
      <c r="CRQ372" s="684"/>
      <c r="CRR372" s="681"/>
      <c r="CRS372" s="681"/>
      <c r="CRT372" s="146"/>
      <c r="CRU372" s="682"/>
      <c r="CRV372" s="148"/>
      <c r="CRW372" s="148"/>
      <c r="CRX372" s="683"/>
      <c r="CRY372" s="684"/>
      <c r="CRZ372" s="684"/>
      <c r="CSA372" s="681"/>
      <c r="CSB372" s="681"/>
      <c r="CSC372" s="146"/>
      <c r="CSD372" s="682"/>
      <c r="CSE372" s="148"/>
      <c r="CSF372" s="148"/>
      <c r="CSG372" s="683"/>
      <c r="CSH372" s="684"/>
      <c r="CSI372" s="684"/>
      <c r="CSJ372" s="681"/>
      <c r="CSK372" s="681"/>
      <c r="CSL372" s="146"/>
      <c r="CSM372" s="682"/>
      <c r="CSN372" s="148"/>
      <c r="CSO372" s="148"/>
      <c r="CSP372" s="683"/>
      <c r="CSQ372" s="684"/>
      <c r="CSR372" s="684"/>
      <c r="CSS372" s="681"/>
      <c r="CST372" s="681"/>
      <c r="CSU372" s="146"/>
      <c r="CSV372" s="682"/>
      <c r="CSW372" s="148"/>
      <c r="CSX372" s="148"/>
      <c r="CSY372" s="683"/>
      <c r="CSZ372" s="684"/>
      <c r="CTA372" s="684"/>
      <c r="CTB372" s="681"/>
      <c r="CTC372" s="681"/>
      <c r="CTD372" s="146"/>
      <c r="CTE372" s="682"/>
      <c r="CTF372" s="148"/>
      <c r="CTG372" s="148"/>
      <c r="CTH372" s="683"/>
      <c r="CTI372" s="684"/>
      <c r="CTJ372" s="684"/>
      <c r="CTK372" s="681"/>
      <c r="CTL372" s="681"/>
      <c r="CTM372" s="146"/>
      <c r="CTN372" s="682"/>
      <c r="CTO372" s="148"/>
      <c r="CTP372" s="148"/>
      <c r="CTQ372" s="683"/>
      <c r="CTR372" s="684"/>
      <c r="CTS372" s="684"/>
      <c r="CTT372" s="681"/>
      <c r="CTU372" s="681"/>
      <c r="CTV372" s="146"/>
      <c r="CTW372" s="682"/>
      <c r="CTX372" s="148"/>
      <c r="CTY372" s="148"/>
      <c r="CTZ372" s="683"/>
      <c r="CUA372" s="684"/>
      <c r="CUB372" s="684"/>
      <c r="CUC372" s="681"/>
      <c r="CUD372" s="681"/>
      <c r="CUE372" s="146"/>
      <c r="CUF372" s="682"/>
      <c r="CUG372" s="148"/>
      <c r="CUH372" s="148"/>
      <c r="CUI372" s="683"/>
      <c r="CUJ372" s="684"/>
      <c r="CUK372" s="684"/>
      <c r="CUL372" s="681"/>
      <c r="CUM372" s="681"/>
      <c r="CUN372" s="146"/>
      <c r="CUO372" s="682"/>
      <c r="CUP372" s="148"/>
      <c r="CUQ372" s="148"/>
      <c r="CUR372" s="683"/>
      <c r="CUS372" s="684"/>
      <c r="CUT372" s="684"/>
      <c r="CUU372" s="681"/>
      <c r="CUV372" s="681"/>
      <c r="CUW372" s="146"/>
      <c r="CUX372" s="682"/>
      <c r="CUY372" s="148"/>
      <c r="CUZ372" s="148"/>
      <c r="CVA372" s="683"/>
      <c r="CVB372" s="684"/>
      <c r="CVC372" s="684"/>
      <c r="CVD372" s="681"/>
      <c r="CVE372" s="681"/>
      <c r="CVF372" s="146"/>
      <c r="CVG372" s="682"/>
      <c r="CVH372" s="148"/>
      <c r="CVI372" s="148"/>
      <c r="CVJ372" s="683"/>
      <c r="CVK372" s="684"/>
      <c r="CVL372" s="684"/>
      <c r="CVM372" s="681"/>
      <c r="CVN372" s="681"/>
      <c r="CVO372" s="146"/>
      <c r="CVP372" s="682"/>
      <c r="CVQ372" s="148"/>
      <c r="CVR372" s="148"/>
      <c r="CVS372" s="683"/>
      <c r="CVT372" s="684"/>
      <c r="CVU372" s="684"/>
      <c r="CVV372" s="681"/>
      <c r="CVW372" s="681"/>
      <c r="CVX372" s="146"/>
      <c r="CVY372" s="682"/>
      <c r="CVZ372" s="148"/>
      <c r="CWA372" s="148"/>
      <c r="CWB372" s="683"/>
      <c r="CWC372" s="684"/>
      <c r="CWD372" s="684"/>
      <c r="CWE372" s="681"/>
      <c r="CWF372" s="681"/>
      <c r="CWG372" s="146"/>
      <c r="CWH372" s="682"/>
      <c r="CWI372" s="148"/>
      <c r="CWJ372" s="148"/>
      <c r="CWK372" s="683"/>
      <c r="CWL372" s="684"/>
      <c r="CWM372" s="684"/>
      <c r="CWN372" s="681"/>
      <c r="CWO372" s="681"/>
      <c r="CWP372" s="146"/>
      <c r="CWQ372" s="682"/>
      <c r="CWR372" s="148"/>
      <c r="CWS372" s="148"/>
      <c r="CWT372" s="683"/>
      <c r="CWU372" s="684"/>
      <c r="CWV372" s="684"/>
      <c r="CWW372" s="681"/>
      <c r="CWX372" s="681"/>
      <c r="CWY372" s="146"/>
      <c r="CWZ372" s="682"/>
      <c r="CXA372" s="148"/>
      <c r="CXB372" s="148"/>
      <c r="CXC372" s="683"/>
      <c r="CXD372" s="684"/>
      <c r="CXE372" s="684"/>
      <c r="CXF372" s="681"/>
      <c r="CXG372" s="681"/>
      <c r="CXH372" s="146"/>
      <c r="CXI372" s="682"/>
      <c r="CXJ372" s="148"/>
      <c r="CXK372" s="148"/>
      <c r="CXL372" s="683"/>
      <c r="CXM372" s="684"/>
      <c r="CXN372" s="684"/>
      <c r="CXO372" s="681"/>
      <c r="CXP372" s="681"/>
      <c r="CXQ372" s="146"/>
      <c r="CXR372" s="682"/>
      <c r="CXS372" s="148"/>
      <c r="CXT372" s="148"/>
      <c r="CXU372" s="683"/>
      <c r="CXV372" s="684"/>
      <c r="CXW372" s="684"/>
      <c r="CXX372" s="681"/>
      <c r="CXY372" s="681"/>
      <c r="CXZ372" s="146"/>
      <c r="CYA372" s="682"/>
      <c r="CYB372" s="148"/>
      <c r="CYC372" s="148"/>
      <c r="CYD372" s="683"/>
      <c r="CYE372" s="684"/>
      <c r="CYF372" s="684"/>
      <c r="CYG372" s="681"/>
      <c r="CYH372" s="681"/>
      <c r="CYI372" s="146"/>
      <c r="CYJ372" s="682"/>
      <c r="CYK372" s="148"/>
      <c r="CYL372" s="148"/>
      <c r="CYM372" s="683"/>
      <c r="CYN372" s="684"/>
      <c r="CYO372" s="684"/>
      <c r="CYP372" s="681"/>
      <c r="CYQ372" s="681"/>
      <c r="CYR372" s="146"/>
      <c r="CYS372" s="682"/>
      <c r="CYT372" s="148"/>
      <c r="CYU372" s="148"/>
      <c r="CYV372" s="683"/>
      <c r="CYW372" s="684"/>
      <c r="CYX372" s="684"/>
      <c r="CYY372" s="681"/>
      <c r="CYZ372" s="681"/>
      <c r="CZA372" s="146"/>
      <c r="CZB372" s="682"/>
      <c r="CZC372" s="148"/>
      <c r="CZD372" s="148"/>
      <c r="CZE372" s="683"/>
      <c r="CZF372" s="684"/>
      <c r="CZG372" s="684"/>
      <c r="CZH372" s="681"/>
      <c r="CZI372" s="681"/>
      <c r="CZJ372" s="146"/>
      <c r="CZK372" s="682"/>
      <c r="CZL372" s="148"/>
      <c r="CZM372" s="148"/>
      <c r="CZN372" s="683"/>
      <c r="CZO372" s="684"/>
      <c r="CZP372" s="684"/>
      <c r="CZQ372" s="681"/>
      <c r="CZR372" s="681"/>
      <c r="CZS372" s="146"/>
      <c r="CZT372" s="682"/>
      <c r="CZU372" s="148"/>
      <c r="CZV372" s="148"/>
      <c r="CZW372" s="683"/>
      <c r="CZX372" s="684"/>
      <c r="CZY372" s="684"/>
      <c r="CZZ372" s="681"/>
      <c r="DAA372" s="681"/>
      <c r="DAB372" s="146"/>
      <c r="DAC372" s="682"/>
      <c r="DAD372" s="148"/>
      <c r="DAE372" s="148"/>
      <c r="DAF372" s="683"/>
      <c r="DAG372" s="684"/>
      <c r="DAH372" s="684"/>
      <c r="DAI372" s="681"/>
      <c r="DAJ372" s="681"/>
      <c r="DAK372" s="146"/>
      <c r="DAL372" s="682"/>
      <c r="DAM372" s="148"/>
      <c r="DAN372" s="148"/>
      <c r="DAO372" s="683"/>
      <c r="DAP372" s="684"/>
      <c r="DAQ372" s="684"/>
      <c r="DAR372" s="681"/>
      <c r="DAS372" s="681"/>
      <c r="DAT372" s="146"/>
      <c r="DAU372" s="682"/>
      <c r="DAV372" s="148"/>
      <c r="DAW372" s="148"/>
      <c r="DAX372" s="683"/>
      <c r="DAY372" s="684"/>
      <c r="DAZ372" s="684"/>
      <c r="DBA372" s="681"/>
      <c r="DBB372" s="681"/>
      <c r="DBC372" s="146"/>
      <c r="DBD372" s="682"/>
      <c r="DBE372" s="148"/>
      <c r="DBF372" s="148"/>
      <c r="DBG372" s="683"/>
      <c r="DBH372" s="684"/>
      <c r="DBI372" s="684"/>
      <c r="DBJ372" s="681"/>
      <c r="DBK372" s="681"/>
      <c r="DBL372" s="146"/>
      <c r="DBM372" s="682"/>
      <c r="DBN372" s="148"/>
      <c r="DBO372" s="148"/>
      <c r="DBP372" s="683"/>
      <c r="DBQ372" s="684"/>
      <c r="DBR372" s="684"/>
      <c r="DBS372" s="681"/>
      <c r="DBT372" s="681"/>
      <c r="DBU372" s="146"/>
      <c r="DBV372" s="682"/>
      <c r="DBW372" s="148"/>
      <c r="DBX372" s="148"/>
      <c r="DBY372" s="683"/>
      <c r="DBZ372" s="684"/>
      <c r="DCA372" s="684"/>
      <c r="DCB372" s="681"/>
      <c r="DCC372" s="681"/>
      <c r="DCD372" s="146"/>
      <c r="DCE372" s="682"/>
      <c r="DCF372" s="148"/>
      <c r="DCG372" s="148"/>
      <c r="DCH372" s="683"/>
      <c r="DCI372" s="684"/>
      <c r="DCJ372" s="684"/>
      <c r="DCK372" s="681"/>
      <c r="DCL372" s="681"/>
      <c r="DCM372" s="146"/>
      <c r="DCN372" s="682"/>
      <c r="DCO372" s="148"/>
      <c r="DCP372" s="148"/>
      <c r="DCQ372" s="683"/>
      <c r="DCR372" s="684"/>
      <c r="DCS372" s="684"/>
      <c r="DCT372" s="681"/>
      <c r="DCU372" s="681"/>
      <c r="DCV372" s="146"/>
      <c r="DCW372" s="682"/>
      <c r="DCX372" s="148"/>
      <c r="DCY372" s="148"/>
      <c r="DCZ372" s="683"/>
      <c r="DDA372" s="684"/>
      <c r="DDB372" s="684"/>
      <c r="DDC372" s="681"/>
      <c r="DDD372" s="681"/>
      <c r="DDE372" s="146"/>
      <c r="DDF372" s="682"/>
      <c r="DDG372" s="148"/>
      <c r="DDH372" s="148"/>
      <c r="DDI372" s="683"/>
      <c r="DDJ372" s="684"/>
      <c r="DDK372" s="684"/>
      <c r="DDL372" s="681"/>
      <c r="DDM372" s="681"/>
      <c r="DDN372" s="146"/>
      <c r="DDO372" s="682"/>
      <c r="DDP372" s="148"/>
      <c r="DDQ372" s="148"/>
      <c r="DDR372" s="683"/>
      <c r="DDS372" s="684"/>
      <c r="DDT372" s="684"/>
      <c r="DDU372" s="681"/>
      <c r="DDV372" s="681"/>
      <c r="DDW372" s="146"/>
      <c r="DDX372" s="682"/>
      <c r="DDY372" s="148"/>
      <c r="DDZ372" s="148"/>
      <c r="DEA372" s="683"/>
      <c r="DEB372" s="684"/>
      <c r="DEC372" s="684"/>
      <c r="DED372" s="681"/>
      <c r="DEE372" s="681"/>
      <c r="DEF372" s="146"/>
      <c r="DEG372" s="682"/>
      <c r="DEH372" s="148"/>
      <c r="DEI372" s="148"/>
      <c r="DEJ372" s="683"/>
      <c r="DEK372" s="684"/>
      <c r="DEL372" s="684"/>
      <c r="DEM372" s="681"/>
      <c r="DEN372" s="681"/>
      <c r="DEO372" s="146"/>
      <c r="DEP372" s="682"/>
      <c r="DEQ372" s="148"/>
      <c r="DER372" s="148"/>
      <c r="DES372" s="683"/>
      <c r="DET372" s="684"/>
      <c r="DEU372" s="684"/>
      <c r="DEV372" s="681"/>
      <c r="DEW372" s="681"/>
      <c r="DEX372" s="146"/>
      <c r="DEY372" s="682"/>
      <c r="DEZ372" s="148"/>
      <c r="DFA372" s="148"/>
      <c r="DFB372" s="683"/>
      <c r="DFC372" s="684"/>
      <c r="DFD372" s="684"/>
      <c r="DFE372" s="681"/>
      <c r="DFF372" s="681"/>
      <c r="DFG372" s="146"/>
      <c r="DFH372" s="682"/>
      <c r="DFI372" s="148"/>
      <c r="DFJ372" s="148"/>
      <c r="DFK372" s="683"/>
      <c r="DFL372" s="684"/>
      <c r="DFM372" s="684"/>
      <c r="DFN372" s="681"/>
      <c r="DFO372" s="681"/>
      <c r="DFP372" s="146"/>
      <c r="DFQ372" s="682"/>
      <c r="DFR372" s="148"/>
      <c r="DFS372" s="148"/>
      <c r="DFT372" s="683"/>
      <c r="DFU372" s="684"/>
      <c r="DFV372" s="684"/>
      <c r="DFW372" s="681"/>
      <c r="DFX372" s="681"/>
      <c r="DFY372" s="146"/>
      <c r="DFZ372" s="682"/>
      <c r="DGA372" s="148"/>
      <c r="DGB372" s="148"/>
      <c r="DGC372" s="683"/>
      <c r="DGD372" s="684"/>
      <c r="DGE372" s="684"/>
      <c r="DGF372" s="681"/>
      <c r="DGG372" s="681"/>
      <c r="DGH372" s="146"/>
      <c r="DGI372" s="682"/>
      <c r="DGJ372" s="148"/>
      <c r="DGK372" s="148"/>
      <c r="DGL372" s="683"/>
      <c r="DGM372" s="684"/>
      <c r="DGN372" s="684"/>
      <c r="DGO372" s="681"/>
      <c r="DGP372" s="681"/>
      <c r="DGQ372" s="146"/>
      <c r="DGR372" s="682"/>
      <c r="DGS372" s="148"/>
      <c r="DGT372" s="148"/>
      <c r="DGU372" s="683"/>
      <c r="DGV372" s="684"/>
      <c r="DGW372" s="684"/>
      <c r="DGX372" s="681"/>
      <c r="DGY372" s="681"/>
      <c r="DGZ372" s="146"/>
      <c r="DHA372" s="682"/>
      <c r="DHB372" s="148"/>
      <c r="DHC372" s="148"/>
      <c r="DHD372" s="683"/>
      <c r="DHE372" s="684"/>
      <c r="DHF372" s="684"/>
      <c r="DHG372" s="681"/>
      <c r="DHH372" s="681"/>
      <c r="DHI372" s="146"/>
      <c r="DHJ372" s="682"/>
      <c r="DHK372" s="148"/>
      <c r="DHL372" s="148"/>
      <c r="DHM372" s="683"/>
      <c r="DHN372" s="684"/>
      <c r="DHO372" s="684"/>
      <c r="DHP372" s="681"/>
      <c r="DHQ372" s="681"/>
      <c r="DHR372" s="146"/>
      <c r="DHS372" s="682"/>
      <c r="DHT372" s="148"/>
      <c r="DHU372" s="148"/>
      <c r="DHV372" s="683"/>
      <c r="DHW372" s="684"/>
      <c r="DHX372" s="684"/>
      <c r="DHY372" s="681"/>
      <c r="DHZ372" s="681"/>
      <c r="DIA372" s="146"/>
      <c r="DIB372" s="682"/>
      <c r="DIC372" s="148"/>
      <c r="DID372" s="148"/>
      <c r="DIE372" s="683"/>
      <c r="DIF372" s="684"/>
      <c r="DIG372" s="684"/>
      <c r="DIH372" s="681"/>
      <c r="DII372" s="681"/>
      <c r="DIJ372" s="146"/>
      <c r="DIK372" s="682"/>
      <c r="DIL372" s="148"/>
      <c r="DIM372" s="148"/>
      <c r="DIN372" s="683"/>
      <c r="DIO372" s="684"/>
      <c r="DIP372" s="684"/>
      <c r="DIQ372" s="681"/>
      <c r="DIR372" s="681"/>
      <c r="DIS372" s="146"/>
      <c r="DIT372" s="682"/>
      <c r="DIU372" s="148"/>
      <c r="DIV372" s="148"/>
      <c r="DIW372" s="683"/>
      <c r="DIX372" s="684"/>
      <c r="DIY372" s="684"/>
      <c r="DIZ372" s="681"/>
      <c r="DJA372" s="681"/>
      <c r="DJB372" s="146"/>
      <c r="DJC372" s="682"/>
      <c r="DJD372" s="148"/>
      <c r="DJE372" s="148"/>
      <c r="DJF372" s="683"/>
      <c r="DJG372" s="684"/>
      <c r="DJH372" s="684"/>
      <c r="DJI372" s="681"/>
      <c r="DJJ372" s="681"/>
      <c r="DJK372" s="146"/>
      <c r="DJL372" s="682"/>
      <c r="DJM372" s="148"/>
      <c r="DJN372" s="148"/>
      <c r="DJO372" s="683"/>
      <c r="DJP372" s="684"/>
      <c r="DJQ372" s="684"/>
      <c r="DJR372" s="681"/>
      <c r="DJS372" s="681"/>
      <c r="DJT372" s="146"/>
      <c r="DJU372" s="682"/>
      <c r="DJV372" s="148"/>
      <c r="DJW372" s="148"/>
      <c r="DJX372" s="683"/>
      <c r="DJY372" s="684"/>
      <c r="DJZ372" s="684"/>
      <c r="DKA372" s="681"/>
      <c r="DKB372" s="681"/>
      <c r="DKC372" s="146"/>
      <c r="DKD372" s="682"/>
      <c r="DKE372" s="148"/>
      <c r="DKF372" s="148"/>
      <c r="DKG372" s="683"/>
      <c r="DKH372" s="684"/>
      <c r="DKI372" s="684"/>
      <c r="DKJ372" s="681"/>
      <c r="DKK372" s="681"/>
      <c r="DKL372" s="146"/>
      <c r="DKM372" s="682"/>
      <c r="DKN372" s="148"/>
      <c r="DKO372" s="148"/>
      <c r="DKP372" s="683"/>
      <c r="DKQ372" s="684"/>
      <c r="DKR372" s="684"/>
      <c r="DKS372" s="681"/>
      <c r="DKT372" s="681"/>
      <c r="DKU372" s="146"/>
      <c r="DKV372" s="682"/>
      <c r="DKW372" s="148"/>
      <c r="DKX372" s="148"/>
      <c r="DKY372" s="683"/>
      <c r="DKZ372" s="684"/>
      <c r="DLA372" s="684"/>
      <c r="DLB372" s="681"/>
      <c r="DLC372" s="681"/>
      <c r="DLD372" s="146"/>
      <c r="DLE372" s="682"/>
      <c r="DLF372" s="148"/>
      <c r="DLG372" s="148"/>
      <c r="DLH372" s="683"/>
      <c r="DLI372" s="684"/>
      <c r="DLJ372" s="684"/>
      <c r="DLK372" s="681"/>
      <c r="DLL372" s="681"/>
      <c r="DLM372" s="146"/>
      <c r="DLN372" s="682"/>
      <c r="DLO372" s="148"/>
      <c r="DLP372" s="148"/>
      <c r="DLQ372" s="683"/>
      <c r="DLR372" s="684"/>
      <c r="DLS372" s="684"/>
      <c r="DLT372" s="681"/>
      <c r="DLU372" s="681"/>
      <c r="DLV372" s="146"/>
      <c r="DLW372" s="682"/>
      <c r="DLX372" s="148"/>
      <c r="DLY372" s="148"/>
      <c r="DLZ372" s="683"/>
      <c r="DMA372" s="684"/>
      <c r="DMB372" s="684"/>
      <c r="DMC372" s="681"/>
      <c r="DMD372" s="681"/>
      <c r="DME372" s="146"/>
      <c r="DMF372" s="682"/>
      <c r="DMG372" s="148"/>
      <c r="DMH372" s="148"/>
      <c r="DMI372" s="683"/>
      <c r="DMJ372" s="684"/>
      <c r="DMK372" s="684"/>
      <c r="DML372" s="681"/>
      <c r="DMM372" s="681"/>
      <c r="DMN372" s="146"/>
      <c r="DMO372" s="682"/>
      <c r="DMP372" s="148"/>
      <c r="DMQ372" s="148"/>
      <c r="DMR372" s="683"/>
      <c r="DMS372" s="684"/>
      <c r="DMT372" s="684"/>
      <c r="DMU372" s="681"/>
      <c r="DMV372" s="681"/>
      <c r="DMW372" s="146"/>
      <c r="DMX372" s="682"/>
      <c r="DMY372" s="148"/>
      <c r="DMZ372" s="148"/>
      <c r="DNA372" s="683"/>
      <c r="DNB372" s="684"/>
      <c r="DNC372" s="684"/>
      <c r="DND372" s="681"/>
      <c r="DNE372" s="681"/>
      <c r="DNF372" s="146"/>
      <c r="DNG372" s="682"/>
      <c r="DNH372" s="148"/>
      <c r="DNI372" s="148"/>
      <c r="DNJ372" s="683"/>
      <c r="DNK372" s="684"/>
      <c r="DNL372" s="684"/>
      <c r="DNM372" s="681"/>
      <c r="DNN372" s="681"/>
      <c r="DNO372" s="146"/>
      <c r="DNP372" s="682"/>
      <c r="DNQ372" s="148"/>
      <c r="DNR372" s="148"/>
      <c r="DNS372" s="683"/>
      <c r="DNT372" s="684"/>
      <c r="DNU372" s="684"/>
      <c r="DNV372" s="681"/>
      <c r="DNW372" s="681"/>
      <c r="DNX372" s="146"/>
      <c r="DNY372" s="682"/>
      <c r="DNZ372" s="148"/>
      <c r="DOA372" s="148"/>
      <c r="DOB372" s="683"/>
      <c r="DOC372" s="684"/>
      <c r="DOD372" s="684"/>
      <c r="DOE372" s="681"/>
      <c r="DOF372" s="681"/>
      <c r="DOG372" s="146"/>
      <c r="DOH372" s="682"/>
      <c r="DOI372" s="148"/>
      <c r="DOJ372" s="148"/>
      <c r="DOK372" s="683"/>
      <c r="DOL372" s="684"/>
      <c r="DOM372" s="684"/>
      <c r="DON372" s="681"/>
      <c r="DOO372" s="681"/>
      <c r="DOP372" s="146"/>
      <c r="DOQ372" s="682"/>
      <c r="DOR372" s="148"/>
      <c r="DOS372" s="148"/>
      <c r="DOT372" s="683"/>
      <c r="DOU372" s="684"/>
      <c r="DOV372" s="684"/>
      <c r="DOW372" s="681"/>
      <c r="DOX372" s="681"/>
      <c r="DOY372" s="146"/>
      <c r="DOZ372" s="682"/>
      <c r="DPA372" s="148"/>
      <c r="DPB372" s="148"/>
      <c r="DPC372" s="683"/>
      <c r="DPD372" s="684"/>
      <c r="DPE372" s="684"/>
      <c r="DPF372" s="681"/>
      <c r="DPG372" s="681"/>
      <c r="DPH372" s="146"/>
      <c r="DPI372" s="682"/>
      <c r="DPJ372" s="148"/>
      <c r="DPK372" s="148"/>
      <c r="DPL372" s="683"/>
      <c r="DPM372" s="684"/>
      <c r="DPN372" s="684"/>
      <c r="DPO372" s="681"/>
      <c r="DPP372" s="681"/>
      <c r="DPQ372" s="146"/>
      <c r="DPR372" s="682"/>
      <c r="DPS372" s="148"/>
      <c r="DPT372" s="148"/>
      <c r="DPU372" s="683"/>
      <c r="DPV372" s="684"/>
      <c r="DPW372" s="684"/>
      <c r="DPX372" s="681"/>
      <c r="DPY372" s="681"/>
      <c r="DPZ372" s="146"/>
      <c r="DQA372" s="682"/>
      <c r="DQB372" s="148"/>
      <c r="DQC372" s="148"/>
      <c r="DQD372" s="683"/>
      <c r="DQE372" s="684"/>
      <c r="DQF372" s="684"/>
      <c r="DQG372" s="681"/>
      <c r="DQH372" s="681"/>
      <c r="DQI372" s="146"/>
      <c r="DQJ372" s="682"/>
      <c r="DQK372" s="148"/>
      <c r="DQL372" s="148"/>
      <c r="DQM372" s="683"/>
      <c r="DQN372" s="684"/>
      <c r="DQO372" s="684"/>
      <c r="DQP372" s="681"/>
      <c r="DQQ372" s="681"/>
      <c r="DQR372" s="146"/>
      <c r="DQS372" s="682"/>
      <c r="DQT372" s="148"/>
      <c r="DQU372" s="148"/>
      <c r="DQV372" s="683"/>
      <c r="DQW372" s="684"/>
      <c r="DQX372" s="684"/>
      <c r="DQY372" s="681"/>
      <c r="DQZ372" s="681"/>
      <c r="DRA372" s="146"/>
      <c r="DRB372" s="682"/>
      <c r="DRC372" s="148"/>
      <c r="DRD372" s="148"/>
      <c r="DRE372" s="683"/>
      <c r="DRF372" s="684"/>
      <c r="DRG372" s="684"/>
      <c r="DRH372" s="681"/>
      <c r="DRI372" s="681"/>
      <c r="DRJ372" s="146"/>
      <c r="DRK372" s="682"/>
      <c r="DRL372" s="148"/>
      <c r="DRM372" s="148"/>
      <c r="DRN372" s="683"/>
      <c r="DRO372" s="684"/>
      <c r="DRP372" s="684"/>
      <c r="DRQ372" s="681"/>
      <c r="DRR372" s="681"/>
      <c r="DRS372" s="146"/>
      <c r="DRT372" s="682"/>
      <c r="DRU372" s="148"/>
      <c r="DRV372" s="148"/>
      <c r="DRW372" s="683"/>
      <c r="DRX372" s="684"/>
      <c r="DRY372" s="684"/>
      <c r="DRZ372" s="681"/>
      <c r="DSA372" s="681"/>
      <c r="DSB372" s="146"/>
      <c r="DSC372" s="682"/>
      <c r="DSD372" s="148"/>
      <c r="DSE372" s="148"/>
      <c r="DSF372" s="683"/>
      <c r="DSG372" s="684"/>
      <c r="DSH372" s="684"/>
      <c r="DSI372" s="681"/>
      <c r="DSJ372" s="681"/>
      <c r="DSK372" s="146"/>
      <c r="DSL372" s="682"/>
      <c r="DSM372" s="148"/>
      <c r="DSN372" s="148"/>
      <c r="DSO372" s="683"/>
      <c r="DSP372" s="684"/>
      <c r="DSQ372" s="684"/>
      <c r="DSR372" s="681"/>
      <c r="DSS372" s="681"/>
      <c r="DST372" s="146"/>
      <c r="DSU372" s="682"/>
      <c r="DSV372" s="148"/>
      <c r="DSW372" s="148"/>
      <c r="DSX372" s="683"/>
      <c r="DSY372" s="684"/>
      <c r="DSZ372" s="684"/>
      <c r="DTA372" s="681"/>
      <c r="DTB372" s="681"/>
      <c r="DTC372" s="146"/>
      <c r="DTD372" s="682"/>
      <c r="DTE372" s="148"/>
      <c r="DTF372" s="148"/>
      <c r="DTG372" s="683"/>
      <c r="DTH372" s="684"/>
      <c r="DTI372" s="684"/>
      <c r="DTJ372" s="681"/>
      <c r="DTK372" s="681"/>
      <c r="DTL372" s="146"/>
      <c r="DTM372" s="682"/>
      <c r="DTN372" s="148"/>
      <c r="DTO372" s="148"/>
      <c r="DTP372" s="683"/>
      <c r="DTQ372" s="684"/>
      <c r="DTR372" s="684"/>
      <c r="DTS372" s="681"/>
      <c r="DTT372" s="681"/>
      <c r="DTU372" s="146"/>
      <c r="DTV372" s="682"/>
      <c r="DTW372" s="148"/>
      <c r="DTX372" s="148"/>
      <c r="DTY372" s="683"/>
      <c r="DTZ372" s="684"/>
      <c r="DUA372" s="684"/>
      <c r="DUB372" s="681"/>
      <c r="DUC372" s="681"/>
      <c r="DUD372" s="146"/>
      <c r="DUE372" s="682"/>
      <c r="DUF372" s="148"/>
      <c r="DUG372" s="148"/>
      <c r="DUH372" s="683"/>
      <c r="DUI372" s="684"/>
      <c r="DUJ372" s="684"/>
      <c r="DUK372" s="681"/>
      <c r="DUL372" s="681"/>
      <c r="DUM372" s="146"/>
      <c r="DUN372" s="682"/>
      <c r="DUO372" s="148"/>
      <c r="DUP372" s="148"/>
      <c r="DUQ372" s="683"/>
      <c r="DUR372" s="684"/>
      <c r="DUS372" s="684"/>
      <c r="DUT372" s="681"/>
      <c r="DUU372" s="681"/>
      <c r="DUV372" s="146"/>
      <c r="DUW372" s="682"/>
      <c r="DUX372" s="148"/>
      <c r="DUY372" s="148"/>
      <c r="DUZ372" s="683"/>
      <c r="DVA372" s="684"/>
      <c r="DVB372" s="684"/>
      <c r="DVC372" s="681"/>
      <c r="DVD372" s="681"/>
      <c r="DVE372" s="146"/>
      <c r="DVF372" s="682"/>
      <c r="DVG372" s="148"/>
      <c r="DVH372" s="148"/>
      <c r="DVI372" s="683"/>
      <c r="DVJ372" s="684"/>
      <c r="DVK372" s="684"/>
      <c r="DVL372" s="681"/>
      <c r="DVM372" s="681"/>
      <c r="DVN372" s="146"/>
      <c r="DVO372" s="682"/>
      <c r="DVP372" s="148"/>
      <c r="DVQ372" s="148"/>
      <c r="DVR372" s="683"/>
      <c r="DVS372" s="684"/>
      <c r="DVT372" s="684"/>
      <c r="DVU372" s="681"/>
      <c r="DVV372" s="681"/>
      <c r="DVW372" s="146"/>
      <c r="DVX372" s="682"/>
      <c r="DVY372" s="148"/>
      <c r="DVZ372" s="148"/>
      <c r="DWA372" s="683"/>
      <c r="DWB372" s="684"/>
      <c r="DWC372" s="684"/>
      <c r="DWD372" s="681"/>
      <c r="DWE372" s="681"/>
      <c r="DWF372" s="146"/>
      <c r="DWG372" s="682"/>
      <c r="DWH372" s="148"/>
      <c r="DWI372" s="148"/>
      <c r="DWJ372" s="683"/>
      <c r="DWK372" s="684"/>
      <c r="DWL372" s="684"/>
      <c r="DWM372" s="681"/>
      <c r="DWN372" s="681"/>
      <c r="DWO372" s="146"/>
      <c r="DWP372" s="682"/>
      <c r="DWQ372" s="148"/>
      <c r="DWR372" s="148"/>
      <c r="DWS372" s="683"/>
      <c r="DWT372" s="684"/>
      <c r="DWU372" s="684"/>
      <c r="DWV372" s="681"/>
      <c r="DWW372" s="681"/>
      <c r="DWX372" s="146"/>
      <c r="DWY372" s="682"/>
      <c r="DWZ372" s="148"/>
      <c r="DXA372" s="148"/>
      <c r="DXB372" s="683"/>
      <c r="DXC372" s="684"/>
      <c r="DXD372" s="684"/>
      <c r="DXE372" s="681"/>
      <c r="DXF372" s="681"/>
      <c r="DXG372" s="146"/>
      <c r="DXH372" s="682"/>
      <c r="DXI372" s="148"/>
      <c r="DXJ372" s="148"/>
      <c r="DXK372" s="683"/>
      <c r="DXL372" s="684"/>
      <c r="DXM372" s="684"/>
      <c r="DXN372" s="681"/>
      <c r="DXO372" s="681"/>
      <c r="DXP372" s="146"/>
      <c r="DXQ372" s="682"/>
      <c r="DXR372" s="148"/>
      <c r="DXS372" s="148"/>
      <c r="DXT372" s="683"/>
      <c r="DXU372" s="684"/>
      <c r="DXV372" s="684"/>
      <c r="DXW372" s="681"/>
      <c r="DXX372" s="681"/>
      <c r="DXY372" s="146"/>
      <c r="DXZ372" s="682"/>
      <c r="DYA372" s="148"/>
      <c r="DYB372" s="148"/>
      <c r="DYC372" s="683"/>
      <c r="DYD372" s="684"/>
      <c r="DYE372" s="684"/>
      <c r="DYF372" s="681"/>
      <c r="DYG372" s="681"/>
      <c r="DYH372" s="146"/>
      <c r="DYI372" s="682"/>
      <c r="DYJ372" s="148"/>
      <c r="DYK372" s="148"/>
      <c r="DYL372" s="683"/>
      <c r="DYM372" s="684"/>
      <c r="DYN372" s="684"/>
      <c r="DYO372" s="681"/>
      <c r="DYP372" s="681"/>
      <c r="DYQ372" s="146"/>
      <c r="DYR372" s="682"/>
      <c r="DYS372" s="148"/>
      <c r="DYT372" s="148"/>
      <c r="DYU372" s="683"/>
      <c r="DYV372" s="684"/>
      <c r="DYW372" s="684"/>
      <c r="DYX372" s="681"/>
      <c r="DYY372" s="681"/>
      <c r="DYZ372" s="146"/>
      <c r="DZA372" s="682"/>
      <c r="DZB372" s="148"/>
      <c r="DZC372" s="148"/>
      <c r="DZD372" s="683"/>
      <c r="DZE372" s="684"/>
      <c r="DZF372" s="684"/>
      <c r="DZG372" s="681"/>
      <c r="DZH372" s="681"/>
      <c r="DZI372" s="146"/>
      <c r="DZJ372" s="682"/>
      <c r="DZK372" s="148"/>
      <c r="DZL372" s="148"/>
      <c r="DZM372" s="683"/>
      <c r="DZN372" s="684"/>
      <c r="DZO372" s="684"/>
      <c r="DZP372" s="681"/>
      <c r="DZQ372" s="681"/>
      <c r="DZR372" s="146"/>
      <c r="DZS372" s="682"/>
      <c r="DZT372" s="148"/>
      <c r="DZU372" s="148"/>
      <c r="DZV372" s="683"/>
      <c r="DZW372" s="684"/>
      <c r="DZX372" s="684"/>
      <c r="DZY372" s="681"/>
      <c r="DZZ372" s="681"/>
      <c r="EAA372" s="146"/>
      <c r="EAB372" s="682"/>
      <c r="EAC372" s="148"/>
      <c r="EAD372" s="148"/>
      <c r="EAE372" s="683"/>
      <c r="EAF372" s="684"/>
      <c r="EAG372" s="684"/>
      <c r="EAH372" s="681"/>
      <c r="EAI372" s="681"/>
      <c r="EAJ372" s="146"/>
      <c r="EAK372" s="682"/>
      <c r="EAL372" s="148"/>
      <c r="EAM372" s="148"/>
      <c r="EAN372" s="683"/>
      <c r="EAO372" s="684"/>
      <c r="EAP372" s="684"/>
      <c r="EAQ372" s="681"/>
      <c r="EAR372" s="681"/>
      <c r="EAS372" s="146"/>
      <c r="EAT372" s="682"/>
      <c r="EAU372" s="148"/>
      <c r="EAV372" s="148"/>
      <c r="EAW372" s="683"/>
      <c r="EAX372" s="684"/>
      <c r="EAY372" s="684"/>
      <c r="EAZ372" s="681"/>
      <c r="EBA372" s="681"/>
      <c r="EBB372" s="146"/>
      <c r="EBC372" s="682"/>
      <c r="EBD372" s="148"/>
      <c r="EBE372" s="148"/>
      <c r="EBF372" s="683"/>
      <c r="EBG372" s="684"/>
      <c r="EBH372" s="684"/>
      <c r="EBI372" s="681"/>
      <c r="EBJ372" s="681"/>
      <c r="EBK372" s="146"/>
      <c r="EBL372" s="682"/>
      <c r="EBM372" s="148"/>
      <c r="EBN372" s="148"/>
      <c r="EBO372" s="683"/>
      <c r="EBP372" s="684"/>
      <c r="EBQ372" s="684"/>
      <c r="EBR372" s="681"/>
      <c r="EBS372" s="681"/>
      <c r="EBT372" s="146"/>
      <c r="EBU372" s="682"/>
      <c r="EBV372" s="148"/>
      <c r="EBW372" s="148"/>
      <c r="EBX372" s="683"/>
      <c r="EBY372" s="684"/>
      <c r="EBZ372" s="684"/>
      <c r="ECA372" s="681"/>
      <c r="ECB372" s="681"/>
      <c r="ECC372" s="146"/>
      <c r="ECD372" s="682"/>
      <c r="ECE372" s="148"/>
      <c r="ECF372" s="148"/>
      <c r="ECG372" s="683"/>
      <c r="ECH372" s="684"/>
      <c r="ECI372" s="684"/>
      <c r="ECJ372" s="681"/>
      <c r="ECK372" s="681"/>
      <c r="ECL372" s="146"/>
      <c r="ECM372" s="682"/>
      <c r="ECN372" s="148"/>
      <c r="ECO372" s="148"/>
      <c r="ECP372" s="683"/>
      <c r="ECQ372" s="684"/>
      <c r="ECR372" s="684"/>
      <c r="ECS372" s="681"/>
      <c r="ECT372" s="681"/>
      <c r="ECU372" s="146"/>
      <c r="ECV372" s="682"/>
      <c r="ECW372" s="148"/>
      <c r="ECX372" s="148"/>
      <c r="ECY372" s="683"/>
      <c r="ECZ372" s="684"/>
      <c r="EDA372" s="684"/>
      <c r="EDB372" s="681"/>
      <c r="EDC372" s="681"/>
      <c r="EDD372" s="146"/>
      <c r="EDE372" s="682"/>
      <c r="EDF372" s="148"/>
      <c r="EDG372" s="148"/>
      <c r="EDH372" s="683"/>
      <c r="EDI372" s="684"/>
      <c r="EDJ372" s="684"/>
      <c r="EDK372" s="681"/>
      <c r="EDL372" s="681"/>
      <c r="EDM372" s="146"/>
      <c r="EDN372" s="682"/>
      <c r="EDO372" s="148"/>
      <c r="EDP372" s="148"/>
      <c r="EDQ372" s="683"/>
      <c r="EDR372" s="684"/>
      <c r="EDS372" s="684"/>
      <c r="EDT372" s="681"/>
      <c r="EDU372" s="681"/>
      <c r="EDV372" s="146"/>
      <c r="EDW372" s="682"/>
      <c r="EDX372" s="148"/>
      <c r="EDY372" s="148"/>
      <c r="EDZ372" s="683"/>
      <c r="EEA372" s="684"/>
      <c r="EEB372" s="684"/>
      <c r="EEC372" s="681"/>
      <c r="EED372" s="681"/>
      <c r="EEE372" s="146"/>
      <c r="EEF372" s="682"/>
      <c r="EEG372" s="148"/>
      <c r="EEH372" s="148"/>
      <c r="EEI372" s="683"/>
      <c r="EEJ372" s="684"/>
      <c r="EEK372" s="684"/>
      <c r="EEL372" s="681"/>
      <c r="EEM372" s="681"/>
      <c r="EEN372" s="146"/>
      <c r="EEO372" s="682"/>
      <c r="EEP372" s="148"/>
      <c r="EEQ372" s="148"/>
      <c r="EER372" s="683"/>
      <c r="EES372" s="684"/>
      <c r="EET372" s="684"/>
      <c r="EEU372" s="681"/>
      <c r="EEV372" s="681"/>
      <c r="EEW372" s="146"/>
      <c r="EEX372" s="682"/>
      <c r="EEY372" s="148"/>
      <c r="EEZ372" s="148"/>
      <c r="EFA372" s="683"/>
      <c r="EFB372" s="684"/>
      <c r="EFC372" s="684"/>
      <c r="EFD372" s="681"/>
      <c r="EFE372" s="681"/>
      <c r="EFF372" s="146"/>
      <c r="EFG372" s="682"/>
      <c r="EFH372" s="148"/>
      <c r="EFI372" s="148"/>
      <c r="EFJ372" s="683"/>
      <c r="EFK372" s="684"/>
      <c r="EFL372" s="684"/>
      <c r="EFM372" s="681"/>
      <c r="EFN372" s="681"/>
      <c r="EFO372" s="146"/>
      <c r="EFP372" s="682"/>
      <c r="EFQ372" s="148"/>
      <c r="EFR372" s="148"/>
      <c r="EFS372" s="683"/>
      <c r="EFT372" s="684"/>
      <c r="EFU372" s="684"/>
      <c r="EFV372" s="681"/>
      <c r="EFW372" s="681"/>
      <c r="EFX372" s="146"/>
      <c r="EFY372" s="682"/>
      <c r="EFZ372" s="148"/>
      <c r="EGA372" s="148"/>
      <c r="EGB372" s="683"/>
      <c r="EGC372" s="684"/>
      <c r="EGD372" s="684"/>
      <c r="EGE372" s="681"/>
      <c r="EGF372" s="681"/>
      <c r="EGG372" s="146"/>
      <c r="EGH372" s="682"/>
      <c r="EGI372" s="148"/>
      <c r="EGJ372" s="148"/>
      <c r="EGK372" s="683"/>
      <c r="EGL372" s="684"/>
      <c r="EGM372" s="684"/>
      <c r="EGN372" s="681"/>
      <c r="EGO372" s="681"/>
      <c r="EGP372" s="146"/>
      <c r="EGQ372" s="682"/>
      <c r="EGR372" s="148"/>
      <c r="EGS372" s="148"/>
      <c r="EGT372" s="683"/>
      <c r="EGU372" s="684"/>
      <c r="EGV372" s="684"/>
      <c r="EGW372" s="681"/>
      <c r="EGX372" s="681"/>
      <c r="EGY372" s="146"/>
      <c r="EGZ372" s="682"/>
      <c r="EHA372" s="148"/>
      <c r="EHB372" s="148"/>
      <c r="EHC372" s="683"/>
      <c r="EHD372" s="684"/>
      <c r="EHE372" s="684"/>
      <c r="EHF372" s="681"/>
      <c r="EHG372" s="681"/>
      <c r="EHH372" s="146"/>
      <c r="EHI372" s="682"/>
      <c r="EHJ372" s="148"/>
      <c r="EHK372" s="148"/>
      <c r="EHL372" s="683"/>
      <c r="EHM372" s="684"/>
      <c r="EHN372" s="684"/>
      <c r="EHO372" s="681"/>
      <c r="EHP372" s="681"/>
      <c r="EHQ372" s="146"/>
      <c r="EHR372" s="682"/>
      <c r="EHS372" s="148"/>
      <c r="EHT372" s="148"/>
      <c r="EHU372" s="683"/>
      <c r="EHV372" s="684"/>
      <c r="EHW372" s="684"/>
      <c r="EHX372" s="681"/>
      <c r="EHY372" s="681"/>
      <c r="EHZ372" s="146"/>
      <c r="EIA372" s="682"/>
      <c r="EIB372" s="148"/>
      <c r="EIC372" s="148"/>
      <c r="EID372" s="683"/>
      <c r="EIE372" s="684"/>
      <c r="EIF372" s="684"/>
      <c r="EIG372" s="681"/>
      <c r="EIH372" s="681"/>
      <c r="EII372" s="146"/>
      <c r="EIJ372" s="682"/>
      <c r="EIK372" s="148"/>
      <c r="EIL372" s="148"/>
      <c r="EIM372" s="683"/>
      <c r="EIN372" s="684"/>
      <c r="EIO372" s="684"/>
      <c r="EIP372" s="681"/>
      <c r="EIQ372" s="681"/>
      <c r="EIR372" s="146"/>
      <c r="EIS372" s="682"/>
      <c r="EIT372" s="148"/>
      <c r="EIU372" s="148"/>
      <c r="EIV372" s="683"/>
      <c r="EIW372" s="684"/>
      <c r="EIX372" s="684"/>
      <c r="EIY372" s="681"/>
      <c r="EIZ372" s="681"/>
      <c r="EJA372" s="146"/>
      <c r="EJB372" s="682"/>
      <c r="EJC372" s="148"/>
      <c r="EJD372" s="148"/>
      <c r="EJE372" s="683"/>
      <c r="EJF372" s="684"/>
      <c r="EJG372" s="684"/>
      <c r="EJH372" s="681"/>
      <c r="EJI372" s="681"/>
      <c r="EJJ372" s="146"/>
      <c r="EJK372" s="682"/>
      <c r="EJL372" s="148"/>
      <c r="EJM372" s="148"/>
      <c r="EJN372" s="683"/>
      <c r="EJO372" s="684"/>
      <c r="EJP372" s="684"/>
      <c r="EJQ372" s="681"/>
      <c r="EJR372" s="681"/>
      <c r="EJS372" s="146"/>
      <c r="EJT372" s="682"/>
      <c r="EJU372" s="148"/>
      <c r="EJV372" s="148"/>
      <c r="EJW372" s="683"/>
      <c r="EJX372" s="684"/>
      <c r="EJY372" s="684"/>
      <c r="EJZ372" s="681"/>
      <c r="EKA372" s="681"/>
      <c r="EKB372" s="146"/>
      <c r="EKC372" s="682"/>
      <c r="EKD372" s="148"/>
      <c r="EKE372" s="148"/>
      <c r="EKF372" s="683"/>
      <c r="EKG372" s="684"/>
      <c r="EKH372" s="684"/>
      <c r="EKI372" s="681"/>
      <c r="EKJ372" s="681"/>
      <c r="EKK372" s="146"/>
      <c r="EKL372" s="682"/>
      <c r="EKM372" s="148"/>
      <c r="EKN372" s="148"/>
      <c r="EKO372" s="683"/>
      <c r="EKP372" s="684"/>
      <c r="EKQ372" s="684"/>
      <c r="EKR372" s="681"/>
      <c r="EKS372" s="681"/>
      <c r="EKT372" s="146"/>
      <c r="EKU372" s="682"/>
      <c r="EKV372" s="148"/>
      <c r="EKW372" s="148"/>
      <c r="EKX372" s="683"/>
      <c r="EKY372" s="684"/>
      <c r="EKZ372" s="684"/>
      <c r="ELA372" s="681"/>
      <c r="ELB372" s="681"/>
      <c r="ELC372" s="146"/>
      <c r="ELD372" s="682"/>
      <c r="ELE372" s="148"/>
      <c r="ELF372" s="148"/>
      <c r="ELG372" s="683"/>
      <c r="ELH372" s="684"/>
      <c r="ELI372" s="684"/>
      <c r="ELJ372" s="681"/>
      <c r="ELK372" s="681"/>
      <c r="ELL372" s="146"/>
      <c r="ELM372" s="682"/>
      <c r="ELN372" s="148"/>
      <c r="ELO372" s="148"/>
      <c r="ELP372" s="683"/>
      <c r="ELQ372" s="684"/>
      <c r="ELR372" s="684"/>
      <c r="ELS372" s="681"/>
      <c r="ELT372" s="681"/>
      <c r="ELU372" s="146"/>
      <c r="ELV372" s="682"/>
      <c r="ELW372" s="148"/>
      <c r="ELX372" s="148"/>
      <c r="ELY372" s="683"/>
      <c r="ELZ372" s="684"/>
      <c r="EMA372" s="684"/>
      <c r="EMB372" s="681"/>
      <c r="EMC372" s="681"/>
      <c r="EMD372" s="146"/>
      <c r="EME372" s="682"/>
      <c r="EMF372" s="148"/>
      <c r="EMG372" s="148"/>
      <c r="EMH372" s="683"/>
      <c r="EMI372" s="684"/>
      <c r="EMJ372" s="684"/>
      <c r="EMK372" s="681"/>
      <c r="EML372" s="681"/>
      <c r="EMM372" s="146"/>
      <c r="EMN372" s="682"/>
      <c r="EMO372" s="148"/>
      <c r="EMP372" s="148"/>
      <c r="EMQ372" s="683"/>
      <c r="EMR372" s="684"/>
      <c r="EMS372" s="684"/>
      <c r="EMT372" s="681"/>
      <c r="EMU372" s="681"/>
      <c r="EMV372" s="146"/>
      <c r="EMW372" s="682"/>
      <c r="EMX372" s="148"/>
      <c r="EMY372" s="148"/>
      <c r="EMZ372" s="683"/>
      <c r="ENA372" s="684"/>
      <c r="ENB372" s="684"/>
      <c r="ENC372" s="681"/>
      <c r="END372" s="681"/>
      <c r="ENE372" s="146"/>
      <c r="ENF372" s="682"/>
      <c r="ENG372" s="148"/>
      <c r="ENH372" s="148"/>
      <c r="ENI372" s="683"/>
      <c r="ENJ372" s="684"/>
      <c r="ENK372" s="684"/>
      <c r="ENL372" s="681"/>
      <c r="ENM372" s="681"/>
      <c r="ENN372" s="146"/>
      <c r="ENO372" s="682"/>
      <c r="ENP372" s="148"/>
      <c r="ENQ372" s="148"/>
      <c r="ENR372" s="683"/>
      <c r="ENS372" s="684"/>
      <c r="ENT372" s="684"/>
      <c r="ENU372" s="681"/>
      <c r="ENV372" s="681"/>
      <c r="ENW372" s="146"/>
      <c r="ENX372" s="682"/>
      <c r="ENY372" s="148"/>
      <c r="ENZ372" s="148"/>
      <c r="EOA372" s="683"/>
      <c r="EOB372" s="684"/>
      <c r="EOC372" s="684"/>
      <c r="EOD372" s="681"/>
      <c r="EOE372" s="681"/>
      <c r="EOF372" s="146"/>
      <c r="EOG372" s="682"/>
      <c r="EOH372" s="148"/>
      <c r="EOI372" s="148"/>
      <c r="EOJ372" s="683"/>
      <c r="EOK372" s="684"/>
      <c r="EOL372" s="684"/>
      <c r="EOM372" s="681"/>
      <c r="EON372" s="681"/>
      <c r="EOO372" s="146"/>
      <c r="EOP372" s="682"/>
      <c r="EOQ372" s="148"/>
      <c r="EOR372" s="148"/>
      <c r="EOS372" s="683"/>
      <c r="EOT372" s="684"/>
      <c r="EOU372" s="684"/>
      <c r="EOV372" s="681"/>
      <c r="EOW372" s="681"/>
      <c r="EOX372" s="146"/>
      <c r="EOY372" s="682"/>
      <c r="EOZ372" s="148"/>
      <c r="EPA372" s="148"/>
      <c r="EPB372" s="683"/>
      <c r="EPC372" s="684"/>
      <c r="EPD372" s="684"/>
      <c r="EPE372" s="681"/>
      <c r="EPF372" s="681"/>
      <c r="EPG372" s="146"/>
      <c r="EPH372" s="682"/>
      <c r="EPI372" s="148"/>
      <c r="EPJ372" s="148"/>
      <c r="EPK372" s="683"/>
      <c r="EPL372" s="684"/>
      <c r="EPM372" s="684"/>
      <c r="EPN372" s="681"/>
      <c r="EPO372" s="681"/>
      <c r="EPP372" s="146"/>
      <c r="EPQ372" s="682"/>
      <c r="EPR372" s="148"/>
      <c r="EPS372" s="148"/>
      <c r="EPT372" s="683"/>
      <c r="EPU372" s="684"/>
      <c r="EPV372" s="684"/>
      <c r="EPW372" s="681"/>
      <c r="EPX372" s="681"/>
      <c r="EPY372" s="146"/>
      <c r="EPZ372" s="682"/>
      <c r="EQA372" s="148"/>
      <c r="EQB372" s="148"/>
      <c r="EQC372" s="683"/>
      <c r="EQD372" s="684"/>
      <c r="EQE372" s="684"/>
      <c r="EQF372" s="681"/>
      <c r="EQG372" s="681"/>
      <c r="EQH372" s="146"/>
      <c r="EQI372" s="682"/>
      <c r="EQJ372" s="148"/>
      <c r="EQK372" s="148"/>
      <c r="EQL372" s="683"/>
      <c r="EQM372" s="684"/>
      <c r="EQN372" s="684"/>
      <c r="EQO372" s="681"/>
      <c r="EQP372" s="681"/>
      <c r="EQQ372" s="146"/>
      <c r="EQR372" s="682"/>
      <c r="EQS372" s="148"/>
      <c r="EQT372" s="148"/>
      <c r="EQU372" s="683"/>
      <c r="EQV372" s="684"/>
      <c r="EQW372" s="684"/>
      <c r="EQX372" s="681"/>
      <c r="EQY372" s="681"/>
      <c r="EQZ372" s="146"/>
      <c r="ERA372" s="682"/>
      <c r="ERB372" s="148"/>
      <c r="ERC372" s="148"/>
      <c r="ERD372" s="683"/>
      <c r="ERE372" s="684"/>
      <c r="ERF372" s="684"/>
      <c r="ERG372" s="681"/>
      <c r="ERH372" s="681"/>
      <c r="ERI372" s="146"/>
      <c r="ERJ372" s="682"/>
      <c r="ERK372" s="148"/>
      <c r="ERL372" s="148"/>
      <c r="ERM372" s="683"/>
      <c r="ERN372" s="684"/>
      <c r="ERO372" s="684"/>
      <c r="ERP372" s="681"/>
      <c r="ERQ372" s="681"/>
      <c r="ERR372" s="146"/>
      <c r="ERS372" s="682"/>
      <c r="ERT372" s="148"/>
      <c r="ERU372" s="148"/>
      <c r="ERV372" s="683"/>
      <c r="ERW372" s="684"/>
      <c r="ERX372" s="684"/>
      <c r="ERY372" s="681"/>
      <c r="ERZ372" s="681"/>
      <c r="ESA372" s="146"/>
      <c r="ESB372" s="682"/>
      <c r="ESC372" s="148"/>
      <c r="ESD372" s="148"/>
      <c r="ESE372" s="683"/>
      <c r="ESF372" s="684"/>
      <c r="ESG372" s="684"/>
      <c r="ESH372" s="681"/>
      <c r="ESI372" s="681"/>
      <c r="ESJ372" s="146"/>
      <c r="ESK372" s="682"/>
      <c r="ESL372" s="148"/>
      <c r="ESM372" s="148"/>
      <c r="ESN372" s="683"/>
      <c r="ESO372" s="684"/>
      <c r="ESP372" s="684"/>
      <c r="ESQ372" s="681"/>
      <c r="ESR372" s="681"/>
      <c r="ESS372" s="146"/>
      <c r="EST372" s="682"/>
      <c r="ESU372" s="148"/>
      <c r="ESV372" s="148"/>
      <c r="ESW372" s="683"/>
      <c r="ESX372" s="684"/>
      <c r="ESY372" s="684"/>
      <c r="ESZ372" s="681"/>
      <c r="ETA372" s="681"/>
      <c r="ETB372" s="146"/>
      <c r="ETC372" s="682"/>
      <c r="ETD372" s="148"/>
      <c r="ETE372" s="148"/>
      <c r="ETF372" s="683"/>
      <c r="ETG372" s="684"/>
      <c r="ETH372" s="684"/>
      <c r="ETI372" s="681"/>
      <c r="ETJ372" s="681"/>
      <c r="ETK372" s="146"/>
      <c r="ETL372" s="682"/>
      <c r="ETM372" s="148"/>
      <c r="ETN372" s="148"/>
      <c r="ETO372" s="683"/>
      <c r="ETP372" s="684"/>
      <c r="ETQ372" s="684"/>
      <c r="ETR372" s="681"/>
      <c r="ETS372" s="681"/>
      <c r="ETT372" s="146"/>
      <c r="ETU372" s="682"/>
      <c r="ETV372" s="148"/>
      <c r="ETW372" s="148"/>
      <c r="ETX372" s="683"/>
      <c r="ETY372" s="684"/>
      <c r="ETZ372" s="684"/>
      <c r="EUA372" s="681"/>
      <c r="EUB372" s="681"/>
      <c r="EUC372" s="146"/>
      <c r="EUD372" s="682"/>
      <c r="EUE372" s="148"/>
      <c r="EUF372" s="148"/>
      <c r="EUG372" s="683"/>
      <c r="EUH372" s="684"/>
      <c r="EUI372" s="684"/>
      <c r="EUJ372" s="681"/>
      <c r="EUK372" s="681"/>
      <c r="EUL372" s="146"/>
      <c r="EUM372" s="682"/>
      <c r="EUN372" s="148"/>
      <c r="EUO372" s="148"/>
      <c r="EUP372" s="683"/>
      <c r="EUQ372" s="684"/>
      <c r="EUR372" s="684"/>
      <c r="EUS372" s="681"/>
      <c r="EUT372" s="681"/>
      <c r="EUU372" s="146"/>
      <c r="EUV372" s="682"/>
      <c r="EUW372" s="148"/>
      <c r="EUX372" s="148"/>
      <c r="EUY372" s="683"/>
      <c r="EUZ372" s="684"/>
      <c r="EVA372" s="684"/>
      <c r="EVB372" s="681"/>
      <c r="EVC372" s="681"/>
      <c r="EVD372" s="146"/>
      <c r="EVE372" s="682"/>
      <c r="EVF372" s="148"/>
      <c r="EVG372" s="148"/>
      <c r="EVH372" s="683"/>
      <c r="EVI372" s="684"/>
      <c r="EVJ372" s="684"/>
      <c r="EVK372" s="681"/>
      <c r="EVL372" s="681"/>
      <c r="EVM372" s="146"/>
      <c r="EVN372" s="682"/>
      <c r="EVO372" s="148"/>
      <c r="EVP372" s="148"/>
      <c r="EVQ372" s="683"/>
      <c r="EVR372" s="684"/>
      <c r="EVS372" s="684"/>
      <c r="EVT372" s="681"/>
      <c r="EVU372" s="681"/>
      <c r="EVV372" s="146"/>
      <c r="EVW372" s="682"/>
      <c r="EVX372" s="148"/>
      <c r="EVY372" s="148"/>
      <c r="EVZ372" s="683"/>
      <c r="EWA372" s="684"/>
      <c r="EWB372" s="684"/>
      <c r="EWC372" s="681"/>
      <c r="EWD372" s="681"/>
      <c r="EWE372" s="146"/>
      <c r="EWF372" s="682"/>
      <c r="EWG372" s="148"/>
      <c r="EWH372" s="148"/>
      <c r="EWI372" s="683"/>
      <c r="EWJ372" s="684"/>
      <c r="EWK372" s="684"/>
      <c r="EWL372" s="681"/>
      <c r="EWM372" s="681"/>
      <c r="EWN372" s="146"/>
      <c r="EWO372" s="682"/>
      <c r="EWP372" s="148"/>
      <c r="EWQ372" s="148"/>
      <c r="EWR372" s="683"/>
      <c r="EWS372" s="684"/>
      <c r="EWT372" s="684"/>
      <c r="EWU372" s="681"/>
      <c r="EWV372" s="681"/>
      <c r="EWW372" s="146"/>
      <c r="EWX372" s="682"/>
      <c r="EWY372" s="148"/>
      <c r="EWZ372" s="148"/>
      <c r="EXA372" s="683"/>
      <c r="EXB372" s="684"/>
      <c r="EXC372" s="684"/>
      <c r="EXD372" s="681"/>
      <c r="EXE372" s="681"/>
      <c r="EXF372" s="146"/>
      <c r="EXG372" s="682"/>
      <c r="EXH372" s="148"/>
      <c r="EXI372" s="148"/>
      <c r="EXJ372" s="683"/>
      <c r="EXK372" s="684"/>
      <c r="EXL372" s="684"/>
      <c r="EXM372" s="681"/>
      <c r="EXN372" s="681"/>
      <c r="EXO372" s="146"/>
      <c r="EXP372" s="682"/>
      <c r="EXQ372" s="148"/>
      <c r="EXR372" s="148"/>
      <c r="EXS372" s="683"/>
      <c r="EXT372" s="684"/>
      <c r="EXU372" s="684"/>
      <c r="EXV372" s="681"/>
      <c r="EXW372" s="681"/>
      <c r="EXX372" s="146"/>
      <c r="EXY372" s="682"/>
      <c r="EXZ372" s="148"/>
      <c r="EYA372" s="148"/>
      <c r="EYB372" s="683"/>
      <c r="EYC372" s="684"/>
      <c r="EYD372" s="684"/>
      <c r="EYE372" s="681"/>
      <c r="EYF372" s="681"/>
      <c r="EYG372" s="146"/>
      <c r="EYH372" s="682"/>
      <c r="EYI372" s="148"/>
      <c r="EYJ372" s="148"/>
      <c r="EYK372" s="683"/>
      <c r="EYL372" s="684"/>
      <c r="EYM372" s="684"/>
      <c r="EYN372" s="681"/>
      <c r="EYO372" s="681"/>
      <c r="EYP372" s="146"/>
      <c r="EYQ372" s="682"/>
      <c r="EYR372" s="148"/>
      <c r="EYS372" s="148"/>
      <c r="EYT372" s="683"/>
      <c r="EYU372" s="684"/>
      <c r="EYV372" s="684"/>
      <c r="EYW372" s="681"/>
      <c r="EYX372" s="681"/>
      <c r="EYY372" s="146"/>
      <c r="EYZ372" s="682"/>
      <c r="EZA372" s="148"/>
      <c r="EZB372" s="148"/>
      <c r="EZC372" s="683"/>
      <c r="EZD372" s="684"/>
      <c r="EZE372" s="684"/>
      <c r="EZF372" s="681"/>
      <c r="EZG372" s="681"/>
      <c r="EZH372" s="146"/>
      <c r="EZI372" s="682"/>
      <c r="EZJ372" s="148"/>
      <c r="EZK372" s="148"/>
      <c r="EZL372" s="683"/>
      <c r="EZM372" s="684"/>
      <c r="EZN372" s="684"/>
      <c r="EZO372" s="681"/>
      <c r="EZP372" s="681"/>
      <c r="EZQ372" s="146"/>
      <c r="EZR372" s="682"/>
      <c r="EZS372" s="148"/>
      <c r="EZT372" s="148"/>
      <c r="EZU372" s="683"/>
      <c r="EZV372" s="684"/>
      <c r="EZW372" s="684"/>
      <c r="EZX372" s="681"/>
      <c r="EZY372" s="681"/>
      <c r="EZZ372" s="146"/>
      <c r="FAA372" s="682"/>
      <c r="FAB372" s="148"/>
      <c r="FAC372" s="148"/>
      <c r="FAD372" s="683"/>
      <c r="FAE372" s="684"/>
      <c r="FAF372" s="684"/>
      <c r="FAG372" s="681"/>
      <c r="FAH372" s="681"/>
      <c r="FAI372" s="146"/>
      <c r="FAJ372" s="682"/>
      <c r="FAK372" s="148"/>
      <c r="FAL372" s="148"/>
      <c r="FAM372" s="683"/>
      <c r="FAN372" s="684"/>
      <c r="FAO372" s="684"/>
      <c r="FAP372" s="681"/>
      <c r="FAQ372" s="681"/>
      <c r="FAR372" s="146"/>
      <c r="FAS372" s="682"/>
      <c r="FAT372" s="148"/>
      <c r="FAU372" s="148"/>
      <c r="FAV372" s="683"/>
      <c r="FAW372" s="684"/>
      <c r="FAX372" s="684"/>
      <c r="FAY372" s="681"/>
      <c r="FAZ372" s="681"/>
      <c r="FBA372" s="146"/>
      <c r="FBB372" s="682"/>
      <c r="FBC372" s="148"/>
      <c r="FBD372" s="148"/>
      <c r="FBE372" s="683"/>
      <c r="FBF372" s="684"/>
      <c r="FBG372" s="684"/>
      <c r="FBH372" s="681"/>
      <c r="FBI372" s="681"/>
      <c r="FBJ372" s="146"/>
      <c r="FBK372" s="682"/>
      <c r="FBL372" s="148"/>
      <c r="FBM372" s="148"/>
      <c r="FBN372" s="683"/>
      <c r="FBO372" s="684"/>
      <c r="FBP372" s="684"/>
      <c r="FBQ372" s="681"/>
      <c r="FBR372" s="681"/>
      <c r="FBS372" s="146"/>
      <c r="FBT372" s="682"/>
      <c r="FBU372" s="148"/>
      <c r="FBV372" s="148"/>
      <c r="FBW372" s="683"/>
      <c r="FBX372" s="684"/>
      <c r="FBY372" s="684"/>
      <c r="FBZ372" s="681"/>
      <c r="FCA372" s="681"/>
      <c r="FCB372" s="146"/>
      <c r="FCC372" s="682"/>
      <c r="FCD372" s="148"/>
      <c r="FCE372" s="148"/>
      <c r="FCF372" s="683"/>
      <c r="FCG372" s="684"/>
      <c r="FCH372" s="684"/>
      <c r="FCI372" s="681"/>
      <c r="FCJ372" s="681"/>
      <c r="FCK372" s="146"/>
      <c r="FCL372" s="682"/>
      <c r="FCM372" s="148"/>
      <c r="FCN372" s="148"/>
      <c r="FCO372" s="683"/>
      <c r="FCP372" s="684"/>
      <c r="FCQ372" s="684"/>
      <c r="FCR372" s="681"/>
      <c r="FCS372" s="681"/>
      <c r="FCT372" s="146"/>
      <c r="FCU372" s="682"/>
      <c r="FCV372" s="148"/>
      <c r="FCW372" s="148"/>
      <c r="FCX372" s="683"/>
      <c r="FCY372" s="684"/>
      <c r="FCZ372" s="684"/>
      <c r="FDA372" s="681"/>
      <c r="FDB372" s="681"/>
      <c r="FDC372" s="146"/>
      <c r="FDD372" s="682"/>
      <c r="FDE372" s="148"/>
      <c r="FDF372" s="148"/>
      <c r="FDG372" s="683"/>
      <c r="FDH372" s="684"/>
      <c r="FDI372" s="684"/>
      <c r="FDJ372" s="681"/>
      <c r="FDK372" s="681"/>
      <c r="FDL372" s="146"/>
      <c r="FDM372" s="682"/>
      <c r="FDN372" s="148"/>
      <c r="FDO372" s="148"/>
      <c r="FDP372" s="683"/>
      <c r="FDQ372" s="684"/>
      <c r="FDR372" s="684"/>
      <c r="FDS372" s="681"/>
      <c r="FDT372" s="681"/>
      <c r="FDU372" s="146"/>
      <c r="FDV372" s="682"/>
      <c r="FDW372" s="148"/>
      <c r="FDX372" s="148"/>
      <c r="FDY372" s="683"/>
      <c r="FDZ372" s="684"/>
      <c r="FEA372" s="684"/>
      <c r="FEB372" s="681"/>
      <c r="FEC372" s="681"/>
      <c r="FED372" s="146"/>
      <c r="FEE372" s="682"/>
      <c r="FEF372" s="148"/>
      <c r="FEG372" s="148"/>
      <c r="FEH372" s="683"/>
      <c r="FEI372" s="684"/>
      <c r="FEJ372" s="684"/>
      <c r="FEK372" s="681"/>
      <c r="FEL372" s="681"/>
      <c r="FEM372" s="146"/>
      <c r="FEN372" s="682"/>
      <c r="FEO372" s="148"/>
      <c r="FEP372" s="148"/>
      <c r="FEQ372" s="683"/>
      <c r="FER372" s="684"/>
      <c r="FES372" s="684"/>
      <c r="FET372" s="681"/>
      <c r="FEU372" s="681"/>
      <c r="FEV372" s="146"/>
      <c r="FEW372" s="682"/>
      <c r="FEX372" s="148"/>
      <c r="FEY372" s="148"/>
      <c r="FEZ372" s="683"/>
      <c r="FFA372" s="684"/>
      <c r="FFB372" s="684"/>
      <c r="FFC372" s="681"/>
      <c r="FFD372" s="681"/>
      <c r="FFE372" s="146"/>
      <c r="FFF372" s="682"/>
      <c r="FFG372" s="148"/>
      <c r="FFH372" s="148"/>
      <c r="FFI372" s="683"/>
      <c r="FFJ372" s="684"/>
      <c r="FFK372" s="684"/>
      <c r="FFL372" s="681"/>
      <c r="FFM372" s="681"/>
      <c r="FFN372" s="146"/>
      <c r="FFO372" s="682"/>
      <c r="FFP372" s="148"/>
      <c r="FFQ372" s="148"/>
      <c r="FFR372" s="683"/>
      <c r="FFS372" s="684"/>
      <c r="FFT372" s="684"/>
      <c r="FFU372" s="681"/>
      <c r="FFV372" s="681"/>
      <c r="FFW372" s="146"/>
      <c r="FFX372" s="682"/>
      <c r="FFY372" s="148"/>
      <c r="FFZ372" s="148"/>
      <c r="FGA372" s="683"/>
      <c r="FGB372" s="684"/>
      <c r="FGC372" s="684"/>
      <c r="FGD372" s="681"/>
      <c r="FGE372" s="681"/>
      <c r="FGF372" s="146"/>
      <c r="FGG372" s="682"/>
      <c r="FGH372" s="148"/>
      <c r="FGI372" s="148"/>
      <c r="FGJ372" s="683"/>
      <c r="FGK372" s="684"/>
      <c r="FGL372" s="684"/>
      <c r="FGM372" s="681"/>
      <c r="FGN372" s="681"/>
      <c r="FGO372" s="146"/>
      <c r="FGP372" s="682"/>
      <c r="FGQ372" s="148"/>
      <c r="FGR372" s="148"/>
      <c r="FGS372" s="683"/>
      <c r="FGT372" s="684"/>
      <c r="FGU372" s="684"/>
      <c r="FGV372" s="681"/>
      <c r="FGW372" s="681"/>
      <c r="FGX372" s="146"/>
      <c r="FGY372" s="682"/>
      <c r="FGZ372" s="148"/>
      <c r="FHA372" s="148"/>
      <c r="FHB372" s="683"/>
      <c r="FHC372" s="684"/>
      <c r="FHD372" s="684"/>
      <c r="FHE372" s="681"/>
      <c r="FHF372" s="681"/>
      <c r="FHG372" s="146"/>
      <c r="FHH372" s="682"/>
      <c r="FHI372" s="148"/>
      <c r="FHJ372" s="148"/>
      <c r="FHK372" s="683"/>
      <c r="FHL372" s="684"/>
      <c r="FHM372" s="684"/>
      <c r="FHN372" s="681"/>
      <c r="FHO372" s="681"/>
      <c r="FHP372" s="146"/>
      <c r="FHQ372" s="682"/>
      <c r="FHR372" s="148"/>
      <c r="FHS372" s="148"/>
      <c r="FHT372" s="683"/>
      <c r="FHU372" s="684"/>
      <c r="FHV372" s="684"/>
      <c r="FHW372" s="681"/>
      <c r="FHX372" s="681"/>
      <c r="FHY372" s="146"/>
      <c r="FHZ372" s="682"/>
      <c r="FIA372" s="148"/>
      <c r="FIB372" s="148"/>
      <c r="FIC372" s="683"/>
      <c r="FID372" s="684"/>
      <c r="FIE372" s="684"/>
      <c r="FIF372" s="681"/>
      <c r="FIG372" s="681"/>
      <c r="FIH372" s="146"/>
      <c r="FII372" s="682"/>
      <c r="FIJ372" s="148"/>
      <c r="FIK372" s="148"/>
      <c r="FIL372" s="683"/>
      <c r="FIM372" s="684"/>
      <c r="FIN372" s="684"/>
      <c r="FIO372" s="681"/>
      <c r="FIP372" s="681"/>
      <c r="FIQ372" s="146"/>
      <c r="FIR372" s="682"/>
      <c r="FIS372" s="148"/>
      <c r="FIT372" s="148"/>
      <c r="FIU372" s="683"/>
      <c r="FIV372" s="684"/>
      <c r="FIW372" s="684"/>
      <c r="FIX372" s="681"/>
      <c r="FIY372" s="681"/>
      <c r="FIZ372" s="146"/>
      <c r="FJA372" s="682"/>
      <c r="FJB372" s="148"/>
      <c r="FJC372" s="148"/>
      <c r="FJD372" s="683"/>
      <c r="FJE372" s="684"/>
      <c r="FJF372" s="684"/>
      <c r="FJG372" s="681"/>
      <c r="FJH372" s="681"/>
      <c r="FJI372" s="146"/>
      <c r="FJJ372" s="682"/>
      <c r="FJK372" s="148"/>
      <c r="FJL372" s="148"/>
      <c r="FJM372" s="683"/>
      <c r="FJN372" s="684"/>
      <c r="FJO372" s="684"/>
      <c r="FJP372" s="681"/>
      <c r="FJQ372" s="681"/>
      <c r="FJR372" s="146"/>
      <c r="FJS372" s="682"/>
      <c r="FJT372" s="148"/>
      <c r="FJU372" s="148"/>
      <c r="FJV372" s="683"/>
      <c r="FJW372" s="684"/>
      <c r="FJX372" s="684"/>
      <c r="FJY372" s="681"/>
      <c r="FJZ372" s="681"/>
      <c r="FKA372" s="146"/>
      <c r="FKB372" s="682"/>
      <c r="FKC372" s="148"/>
      <c r="FKD372" s="148"/>
      <c r="FKE372" s="683"/>
      <c r="FKF372" s="684"/>
      <c r="FKG372" s="684"/>
      <c r="FKH372" s="681"/>
      <c r="FKI372" s="681"/>
      <c r="FKJ372" s="146"/>
      <c r="FKK372" s="682"/>
      <c r="FKL372" s="148"/>
      <c r="FKM372" s="148"/>
      <c r="FKN372" s="683"/>
      <c r="FKO372" s="684"/>
      <c r="FKP372" s="684"/>
      <c r="FKQ372" s="681"/>
      <c r="FKR372" s="681"/>
      <c r="FKS372" s="146"/>
      <c r="FKT372" s="682"/>
      <c r="FKU372" s="148"/>
      <c r="FKV372" s="148"/>
      <c r="FKW372" s="683"/>
      <c r="FKX372" s="684"/>
      <c r="FKY372" s="684"/>
      <c r="FKZ372" s="681"/>
      <c r="FLA372" s="681"/>
      <c r="FLB372" s="146"/>
      <c r="FLC372" s="682"/>
      <c r="FLD372" s="148"/>
      <c r="FLE372" s="148"/>
      <c r="FLF372" s="683"/>
      <c r="FLG372" s="684"/>
      <c r="FLH372" s="684"/>
      <c r="FLI372" s="681"/>
      <c r="FLJ372" s="681"/>
      <c r="FLK372" s="146"/>
      <c r="FLL372" s="682"/>
      <c r="FLM372" s="148"/>
      <c r="FLN372" s="148"/>
      <c r="FLO372" s="683"/>
      <c r="FLP372" s="684"/>
      <c r="FLQ372" s="684"/>
      <c r="FLR372" s="681"/>
      <c r="FLS372" s="681"/>
      <c r="FLT372" s="146"/>
      <c r="FLU372" s="682"/>
      <c r="FLV372" s="148"/>
      <c r="FLW372" s="148"/>
      <c r="FLX372" s="683"/>
      <c r="FLY372" s="684"/>
      <c r="FLZ372" s="684"/>
      <c r="FMA372" s="681"/>
      <c r="FMB372" s="681"/>
      <c r="FMC372" s="146"/>
      <c r="FMD372" s="682"/>
      <c r="FME372" s="148"/>
      <c r="FMF372" s="148"/>
      <c r="FMG372" s="683"/>
      <c r="FMH372" s="684"/>
      <c r="FMI372" s="684"/>
      <c r="FMJ372" s="681"/>
      <c r="FMK372" s="681"/>
      <c r="FML372" s="146"/>
      <c r="FMM372" s="682"/>
      <c r="FMN372" s="148"/>
      <c r="FMO372" s="148"/>
      <c r="FMP372" s="683"/>
      <c r="FMQ372" s="684"/>
      <c r="FMR372" s="684"/>
      <c r="FMS372" s="681"/>
      <c r="FMT372" s="681"/>
      <c r="FMU372" s="146"/>
      <c r="FMV372" s="682"/>
      <c r="FMW372" s="148"/>
      <c r="FMX372" s="148"/>
      <c r="FMY372" s="683"/>
      <c r="FMZ372" s="684"/>
      <c r="FNA372" s="684"/>
      <c r="FNB372" s="681"/>
      <c r="FNC372" s="681"/>
      <c r="FND372" s="146"/>
      <c r="FNE372" s="682"/>
      <c r="FNF372" s="148"/>
      <c r="FNG372" s="148"/>
      <c r="FNH372" s="683"/>
      <c r="FNI372" s="684"/>
      <c r="FNJ372" s="684"/>
      <c r="FNK372" s="681"/>
      <c r="FNL372" s="681"/>
      <c r="FNM372" s="146"/>
      <c r="FNN372" s="682"/>
      <c r="FNO372" s="148"/>
      <c r="FNP372" s="148"/>
      <c r="FNQ372" s="683"/>
      <c r="FNR372" s="684"/>
      <c r="FNS372" s="684"/>
      <c r="FNT372" s="681"/>
      <c r="FNU372" s="681"/>
      <c r="FNV372" s="146"/>
      <c r="FNW372" s="682"/>
      <c r="FNX372" s="148"/>
      <c r="FNY372" s="148"/>
      <c r="FNZ372" s="683"/>
      <c r="FOA372" s="684"/>
      <c r="FOB372" s="684"/>
      <c r="FOC372" s="681"/>
      <c r="FOD372" s="681"/>
      <c r="FOE372" s="146"/>
      <c r="FOF372" s="682"/>
      <c r="FOG372" s="148"/>
      <c r="FOH372" s="148"/>
      <c r="FOI372" s="683"/>
      <c r="FOJ372" s="684"/>
      <c r="FOK372" s="684"/>
      <c r="FOL372" s="681"/>
      <c r="FOM372" s="681"/>
      <c r="FON372" s="146"/>
      <c r="FOO372" s="682"/>
      <c r="FOP372" s="148"/>
      <c r="FOQ372" s="148"/>
      <c r="FOR372" s="683"/>
      <c r="FOS372" s="684"/>
      <c r="FOT372" s="684"/>
      <c r="FOU372" s="681"/>
      <c r="FOV372" s="681"/>
      <c r="FOW372" s="146"/>
      <c r="FOX372" s="682"/>
      <c r="FOY372" s="148"/>
      <c r="FOZ372" s="148"/>
      <c r="FPA372" s="683"/>
      <c r="FPB372" s="684"/>
      <c r="FPC372" s="684"/>
      <c r="FPD372" s="681"/>
      <c r="FPE372" s="681"/>
      <c r="FPF372" s="146"/>
      <c r="FPG372" s="682"/>
      <c r="FPH372" s="148"/>
      <c r="FPI372" s="148"/>
      <c r="FPJ372" s="683"/>
      <c r="FPK372" s="684"/>
      <c r="FPL372" s="684"/>
      <c r="FPM372" s="681"/>
      <c r="FPN372" s="681"/>
      <c r="FPO372" s="146"/>
      <c r="FPP372" s="682"/>
      <c r="FPQ372" s="148"/>
      <c r="FPR372" s="148"/>
      <c r="FPS372" s="683"/>
      <c r="FPT372" s="684"/>
      <c r="FPU372" s="684"/>
      <c r="FPV372" s="681"/>
      <c r="FPW372" s="681"/>
      <c r="FPX372" s="146"/>
      <c r="FPY372" s="682"/>
      <c r="FPZ372" s="148"/>
      <c r="FQA372" s="148"/>
      <c r="FQB372" s="683"/>
      <c r="FQC372" s="684"/>
      <c r="FQD372" s="684"/>
      <c r="FQE372" s="681"/>
      <c r="FQF372" s="681"/>
      <c r="FQG372" s="146"/>
      <c r="FQH372" s="682"/>
      <c r="FQI372" s="148"/>
      <c r="FQJ372" s="148"/>
      <c r="FQK372" s="683"/>
      <c r="FQL372" s="684"/>
      <c r="FQM372" s="684"/>
      <c r="FQN372" s="681"/>
      <c r="FQO372" s="681"/>
      <c r="FQP372" s="146"/>
      <c r="FQQ372" s="682"/>
      <c r="FQR372" s="148"/>
      <c r="FQS372" s="148"/>
      <c r="FQT372" s="683"/>
      <c r="FQU372" s="684"/>
      <c r="FQV372" s="684"/>
      <c r="FQW372" s="681"/>
      <c r="FQX372" s="681"/>
      <c r="FQY372" s="146"/>
      <c r="FQZ372" s="682"/>
      <c r="FRA372" s="148"/>
      <c r="FRB372" s="148"/>
      <c r="FRC372" s="683"/>
      <c r="FRD372" s="684"/>
      <c r="FRE372" s="684"/>
      <c r="FRF372" s="681"/>
      <c r="FRG372" s="681"/>
      <c r="FRH372" s="146"/>
      <c r="FRI372" s="682"/>
      <c r="FRJ372" s="148"/>
      <c r="FRK372" s="148"/>
      <c r="FRL372" s="683"/>
      <c r="FRM372" s="684"/>
      <c r="FRN372" s="684"/>
      <c r="FRO372" s="681"/>
      <c r="FRP372" s="681"/>
      <c r="FRQ372" s="146"/>
      <c r="FRR372" s="682"/>
      <c r="FRS372" s="148"/>
      <c r="FRT372" s="148"/>
      <c r="FRU372" s="683"/>
      <c r="FRV372" s="684"/>
      <c r="FRW372" s="684"/>
      <c r="FRX372" s="681"/>
      <c r="FRY372" s="681"/>
      <c r="FRZ372" s="146"/>
      <c r="FSA372" s="682"/>
      <c r="FSB372" s="148"/>
      <c r="FSC372" s="148"/>
      <c r="FSD372" s="683"/>
      <c r="FSE372" s="684"/>
      <c r="FSF372" s="684"/>
      <c r="FSG372" s="681"/>
      <c r="FSH372" s="681"/>
      <c r="FSI372" s="146"/>
      <c r="FSJ372" s="682"/>
      <c r="FSK372" s="148"/>
      <c r="FSL372" s="148"/>
      <c r="FSM372" s="683"/>
      <c r="FSN372" s="684"/>
      <c r="FSO372" s="684"/>
      <c r="FSP372" s="681"/>
      <c r="FSQ372" s="681"/>
      <c r="FSR372" s="146"/>
      <c r="FSS372" s="682"/>
      <c r="FST372" s="148"/>
      <c r="FSU372" s="148"/>
      <c r="FSV372" s="683"/>
      <c r="FSW372" s="684"/>
      <c r="FSX372" s="684"/>
      <c r="FSY372" s="681"/>
      <c r="FSZ372" s="681"/>
      <c r="FTA372" s="146"/>
      <c r="FTB372" s="682"/>
      <c r="FTC372" s="148"/>
      <c r="FTD372" s="148"/>
      <c r="FTE372" s="683"/>
      <c r="FTF372" s="684"/>
      <c r="FTG372" s="684"/>
      <c r="FTH372" s="681"/>
      <c r="FTI372" s="681"/>
      <c r="FTJ372" s="146"/>
      <c r="FTK372" s="682"/>
      <c r="FTL372" s="148"/>
      <c r="FTM372" s="148"/>
      <c r="FTN372" s="683"/>
      <c r="FTO372" s="684"/>
      <c r="FTP372" s="684"/>
      <c r="FTQ372" s="681"/>
      <c r="FTR372" s="681"/>
      <c r="FTS372" s="146"/>
      <c r="FTT372" s="682"/>
      <c r="FTU372" s="148"/>
      <c r="FTV372" s="148"/>
      <c r="FTW372" s="683"/>
      <c r="FTX372" s="684"/>
      <c r="FTY372" s="684"/>
      <c r="FTZ372" s="681"/>
      <c r="FUA372" s="681"/>
      <c r="FUB372" s="146"/>
      <c r="FUC372" s="682"/>
      <c r="FUD372" s="148"/>
      <c r="FUE372" s="148"/>
      <c r="FUF372" s="683"/>
      <c r="FUG372" s="684"/>
      <c r="FUH372" s="684"/>
      <c r="FUI372" s="681"/>
      <c r="FUJ372" s="681"/>
      <c r="FUK372" s="146"/>
      <c r="FUL372" s="682"/>
      <c r="FUM372" s="148"/>
      <c r="FUN372" s="148"/>
      <c r="FUO372" s="683"/>
      <c r="FUP372" s="684"/>
      <c r="FUQ372" s="684"/>
      <c r="FUR372" s="681"/>
      <c r="FUS372" s="681"/>
      <c r="FUT372" s="146"/>
      <c r="FUU372" s="682"/>
      <c r="FUV372" s="148"/>
      <c r="FUW372" s="148"/>
      <c r="FUX372" s="683"/>
      <c r="FUY372" s="684"/>
      <c r="FUZ372" s="684"/>
      <c r="FVA372" s="681"/>
      <c r="FVB372" s="681"/>
      <c r="FVC372" s="146"/>
      <c r="FVD372" s="682"/>
      <c r="FVE372" s="148"/>
      <c r="FVF372" s="148"/>
      <c r="FVG372" s="683"/>
      <c r="FVH372" s="584"/>
      <c r="FVI372" s="584"/>
      <c r="FVJ372" s="585"/>
      <c r="FVK372" s="586"/>
      <c r="FVL372" s="587"/>
      <c r="FVM372" s="682"/>
      <c r="FVN372" s="148"/>
      <c r="FVO372" s="148"/>
      <c r="FVP372" s="582"/>
      <c r="FVQ372" s="584"/>
      <c r="FVR372" s="584"/>
      <c r="FVS372" s="585"/>
      <c r="FVT372" s="586"/>
      <c r="FVU372" s="587"/>
      <c r="FVV372" s="682"/>
      <c r="FVW372" s="148"/>
      <c r="FVX372" s="148"/>
      <c r="FVY372" s="582"/>
      <c r="FVZ372" s="584"/>
      <c r="FWA372" s="584"/>
      <c r="FWB372" s="585"/>
      <c r="FWC372" s="586"/>
      <c r="FWD372" s="587"/>
      <c r="FWE372" s="682"/>
      <c r="FWF372" s="148"/>
      <c r="FWG372" s="148"/>
      <c r="FWH372" s="582"/>
      <c r="FWI372" s="584"/>
      <c r="FWJ372" s="584"/>
      <c r="FWK372" s="585"/>
      <c r="FWL372" s="586"/>
      <c r="FWM372" s="587"/>
      <c r="FWN372" s="682"/>
      <c r="FWO372" s="148"/>
      <c r="FWP372" s="148"/>
      <c r="FWQ372" s="582"/>
      <c r="FWR372" s="584"/>
      <c r="FWS372" s="584"/>
      <c r="FWT372" s="585"/>
      <c r="FWU372" s="586"/>
      <c r="FWV372" s="587"/>
      <c r="FWW372" s="682"/>
      <c r="FWX372" s="148"/>
      <c r="FWY372" s="148"/>
      <c r="FWZ372" s="582"/>
      <c r="FXA372" s="584"/>
      <c r="FXB372" s="584"/>
      <c r="FXC372" s="585"/>
      <c r="FXD372" s="586"/>
      <c r="FXE372" s="587"/>
      <c r="FXF372" s="682"/>
      <c r="FXG372" s="148"/>
      <c r="FXH372" s="148"/>
      <c r="FXI372" s="582"/>
      <c r="FXJ372" s="584"/>
      <c r="FXK372" s="584"/>
      <c r="FXL372" s="585"/>
      <c r="FXM372" s="586"/>
      <c r="FXN372" s="587"/>
      <c r="FXO372" s="682"/>
      <c r="FXP372" s="148"/>
      <c r="FXQ372" s="148"/>
      <c r="FXR372" s="582"/>
      <c r="FXS372" s="584"/>
      <c r="FXT372" s="584"/>
      <c r="FXU372" s="585"/>
      <c r="FXV372" s="586"/>
      <c r="FXW372" s="587"/>
      <c r="FXX372" s="682"/>
      <c r="FXY372" s="148"/>
      <c r="FXZ372" s="148"/>
      <c r="FYA372" s="582"/>
      <c r="FYB372" s="584"/>
      <c r="FYC372" s="584"/>
      <c r="FYD372" s="585"/>
      <c r="FYE372" s="586"/>
      <c r="FYF372" s="587"/>
      <c r="FYG372" s="682"/>
      <c r="FYH372" s="148"/>
      <c r="FYI372" s="148"/>
      <c r="FYJ372" s="582"/>
      <c r="FYK372" s="584"/>
      <c r="FYL372" s="584"/>
      <c r="FYM372" s="585"/>
      <c r="FYN372" s="586"/>
      <c r="FYO372" s="587"/>
      <c r="FYP372" s="682"/>
      <c r="FYQ372" s="148"/>
      <c r="FYR372" s="148"/>
      <c r="FYS372" s="582"/>
      <c r="FYT372" s="584"/>
      <c r="FYU372" s="584"/>
      <c r="FYV372" s="585"/>
      <c r="FYW372" s="586"/>
      <c r="FYX372" s="587"/>
      <c r="FYY372" s="682"/>
      <c r="FYZ372" s="148"/>
      <c r="FZA372" s="148"/>
      <c r="FZB372" s="582"/>
      <c r="FZC372" s="584"/>
      <c r="FZD372" s="584"/>
      <c r="FZE372" s="585"/>
      <c r="FZF372" s="586"/>
      <c r="FZG372" s="587"/>
      <c r="FZH372" s="682"/>
      <c r="FZI372" s="148"/>
      <c r="FZJ372" s="148"/>
      <c r="FZK372" s="582"/>
      <c r="FZL372" s="584"/>
      <c r="FZM372" s="584"/>
      <c r="FZN372" s="585"/>
      <c r="FZO372" s="586"/>
      <c r="FZP372" s="587"/>
      <c r="FZQ372" s="682"/>
      <c r="FZR372" s="148"/>
      <c r="FZS372" s="148"/>
      <c r="FZT372" s="582"/>
      <c r="FZU372" s="584"/>
      <c r="FZV372" s="584"/>
      <c r="FZW372" s="585"/>
      <c r="FZX372" s="586"/>
      <c r="FZY372" s="587"/>
      <c r="FZZ372" s="682"/>
      <c r="GAA372" s="148"/>
      <c r="GAB372" s="148"/>
      <c r="GAC372" s="582"/>
      <c r="GAD372" s="584"/>
      <c r="GAE372" s="584"/>
      <c r="GAF372" s="585"/>
      <c r="GAG372" s="586"/>
      <c r="GAH372" s="587"/>
      <c r="GAI372" s="682"/>
      <c r="GAJ372" s="148"/>
      <c r="GAK372" s="148"/>
      <c r="GAL372" s="582"/>
      <c r="GAM372" s="584"/>
      <c r="GAN372" s="584"/>
      <c r="GAO372" s="585"/>
      <c r="GAP372" s="586"/>
      <c r="GAQ372" s="587"/>
      <c r="GAR372" s="682"/>
      <c r="GAS372" s="148"/>
      <c r="GAT372" s="148"/>
      <c r="GAU372" s="582"/>
      <c r="GAV372" s="584"/>
      <c r="GAW372" s="584"/>
      <c r="GAX372" s="585"/>
      <c r="GAY372" s="586"/>
      <c r="GAZ372" s="587"/>
      <c r="GBA372" s="682"/>
      <c r="GBB372" s="148"/>
      <c r="GBC372" s="148"/>
      <c r="GBD372" s="582"/>
      <c r="GBE372" s="584"/>
      <c r="GBF372" s="584"/>
      <c r="GBG372" s="585"/>
      <c r="GBH372" s="586"/>
      <c r="GBI372" s="587"/>
      <c r="GBJ372" s="682"/>
      <c r="GBK372" s="148"/>
      <c r="GBL372" s="148"/>
      <c r="GBM372" s="582"/>
      <c r="GBN372" s="584"/>
      <c r="GBO372" s="584"/>
      <c r="GBP372" s="585"/>
      <c r="GBQ372" s="586"/>
      <c r="GBR372" s="587"/>
      <c r="GBS372" s="682"/>
      <c r="GBT372" s="148"/>
      <c r="GBU372" s="148"/>
      <c r="GBV372" s="582"/>
      <c r="GBW372" s="584"/>
      <c r="GBX372" s="584"/>
      <c r="GBY372" s="585"/>
      <c r="GBZ372" s="586"/>
      <c r="GCA372" s="587"/>
      <c r="GCB372" s="682"/>
      <c r="GCC372" s="148"/>
      <c r="GCD372" s="148"/>
      <c r="GCE372" s="582"/>
      <c r="GCF372" s="584"/>
      <c r="GCG372" s="584"/>
      <c r="GCH372" s="585"/>
      <c r="GCI372" s="586"/>
      <c r="GCJ372" s="587"/>
      <c r="GCK372" s="682"/>
      <c r="GCL372" s="148"/>
      <c r="GCM372" s="148"/>
      <c r="GCN372" s="582"/>
      <c r="GCO372" s="584"/>
      <c r="GCP372" s="584"/>
      <c r="GCQ372" s="585"/>
      <c r="GCR372" s="586"/>
      <c r="GCS372" s="587"/>
      <c r="GCT372" s="682"/>
      <c r="GCU372" s="148"/>
      <c r="GCV372" s="148"/>
      <c r="GCW372" s="582"/>
      <c r="GCX372" s="584"/>
      <c r="GCY372" s="584"/>
      <c r="GCZ372" s="585"/>
      <c r="GDA372" s="586"/>
      <c r="GDB372" s="587"/>
      <c r="GDC372" s="682"/>
      <c r="GDD372" s="148"/>
      <c r="GDE372" s="148"/>
      <c r="GDF372" s="582"/>
      <c r="GDG372" s="584"/>
      <c r="GDH372" s="584"/>
      <c r="GDI372" s="585"/>
      <c r="GDJ372" s="586"/>
      <c r="GDK372" s="587"/>
      <c r="GDL372" s="682"/>
      <c r="GDM372" s="148"/>
      <c r="GDN372" s="148"/>
      <c r="GDO372" s="582"/>
      <c r="GDP372" s="584"/>
      <c r="GDQ372" s="584"/>
      <c r="GDR372" s="585"/>
      <c r="GDS372" s="586"/>
      <c r="GDT372" s="587"/>
      <c r="GDU372" s="682"/>
      <c r="GDV372" s="148"/>
      <c r="GDW372" s="148"/>
      <c r="GDX372" s="582"/>
      <c r="GDY372" s="584"/>
      <c r="GDZ372" s="584"/>
      <c r="GEA372" s="585"/>
      <c r="GEB372" s="586"/>
      <c r="GEC372" s="587"/>
      <c r="GED372" s="682"/>
      <c r="GEE372" s="148"/>
      <c r="GEF372" s="148"/>
      <c r="GEG372" s="582"/>
      <c r="GEH372" s="584"/>
      <c r="GEI372" s="584"/>
      <c r="GEJ372" s="585"/>
      <c r="GEK372" s="586"/>
      <c r="GEL372" s="587"/>
      <c r="GEM372" s="682"/>
      <c r="GEN372" s="148"/>
      <c r="GEO372" s="148"/>
      <c r="GEP372" s="582"/>
      <c r="GEQ372" s="584"/>
      <c r="GER372" s="584"/>
      <c r="GES372" s="585"/>
      <c r="GET372" s="586"/>
      <c r="GEU372" s="587"/>
      <c r="GEV372" s="682"/>
      <c r="GEW372" s="148"/>
      <c r="GEX372" s="148"/>
      <c r="GEY372" s="582"/>
      <c r="GEZ372" s="584"/>
      <c r="GFA372" s="584"/>
      <c r="GFB372" s="585"/>
      <c r="GFC372" s="586"/>
      <c r="GFD372" s="587"/>
      <c r="GFE372" s="682"/>
      <c r="GFF372" s="148"/>
      <c r="GFG372" s="148"/>
      <c r="GFH372" s="582"/>
      <c r="GFI372" s="584"/>
      <c r="GFJ372" s="584"/>
      <c r="GFK372" s="585"/>
      <c r="GFL372" s="586"/>
      <c r="GFM372" s="587"/>
      <c r="GFN372" s="682"/>
      <c r="GFO372" s="148"/>
      <c r="GFP372" s="148"/>
      <c r="GFQ372" s="582"/>
      <c r="GFR372" s="584"/>
      <c r="GFS372" s="584"/>
      <c r="GFT372" s="585"/>
      <c r="GFU372" s="586"/>
      <c r="GFV372" s="587"/>
      <c r="GFW372" s="682"/>
      <c r="GFX372" s="148"/>
      <c r="GFY372" s="148"/>
      <c r="GFZ372" s="582"/>
      <c r="GGA372" s="584"/>
      <c r="GGB372" s="584"/>
      <c r="GGC372" s="585"/>
      <c r="GGD372" s="586"/>
      <c r="GGE372" s="587"/>
      <c r="GGF372" s="682"/>
      <c r="GGG372" s="148"/>
      <c r="GGH372" s="148"/>
      <c r="GGI372" s="582"/>
      <c r="GGJ372" s="584"/>
      <c r="GGK372" s="584"/>
      <c r="GGL372" s="585"/>
      <c r="GGM372" s="586"/>
      <c r="GGN372" s="587"/>
      <c r="GGO372" s="682"/>
      <c r="GGP372" s="148"/>
      <c r="GGQ372" s="148"/>
      <c r="GGR372" s="582"/>
      <c r="GGS372" s="584"/>
      <c r="GGT372" s="584"/>
      <c r="GGU372" s="585"/>
      <c r="GGV372" s="586"/>
      <c r="GGW372" s="587"/>
      <c r="GGX372" s="682"/>
      <c r="GGY372" s="148"/>
      <c r="GGZ372" s="148"/>
      <c r="GHA372" s="582"/>
      <c r="GHB372" s="584"/>
      <c r="GHC372" s="584"/>
      <c r="GHD372" s="585"/>
      <c r="GHE372" s="586"/>
      <c r="GHF372" s="587"/>
      <c r="GHG372" s="682"/>
      <c r="GHH372" s="148"/>
      <c r="GHI372" s="148"/>
      <c r="GHJ372" s="582"/>
      <c r="GHK372" s="584"/>
      <c r="GHL372" s="584"/>
      <c r="GHM372" s="585"/>
      <c r="GHN372" s="586"/>
      <c r="GHO372" s="587"/>
      <c r="GHP372" s="682"/>
      <c r="GHQ372" s="148"/>
      <c r="GHR372" s="148"/>
      <c r="GHS372" s="582"/>
      <c r="GHT372" s="584"/>
      <c r="GHU372" s="584"/>
      <c r="GHV372" s="585"/>
      <c r="GHW372" s="586"/>
      <c r="GHX372" s="587"/>
      <c r="GHY372" s="682"/>
      <c r="GHZ372" s="148"/>
      <c r="GIA372" s="148"/>
      <c r="GIB372" s="582"/>
      <c r="GIC372" s="584"/>
      <c r="GID372" s="584"/>
      <c r="GIE372" s="585"/>
      <c r="GIF372" s="586"/>
      <c r="GIG372" s="587"/>
      <c r="GIH372" s="682"/>
      <c r="GII372" s="148"/>
      <c r="GIJ372" s="148"/>
      <c r="GIK372" s="582"/>
      <c r="GIL372" s="584"/>
      <c r="GIM372" s="584"/>
      <c r="GIN372" s="585"/>
      <c r="GIO372" s="586"/>
      <c r="GIP372" s="587"/>
      <c r="GIQ372" s="682"/>
      <c r="GIR372" s="148"/>
      <c r="GIS372" s="148"/>
      <c r="GIT372" s="582"/>
      <c r="GIU372" s="584"/>
      <c r="GIV372" s="584"/>
      <c r="GIW372" s="585"/>
      <c r="GIX372" s="586"/>
      <c r="GIY372" s="587"/>
      <c r="GIZ372" s="682"/>
      <c r="GJA372" s="148"/>
      <c r="GJB372" s="148"/>
      <c r="GJC372" s="582"/>
      <c r="GJD372" s="584"/>
      <c r="GJE372" s="584"/>
      <c r="GJF372" s="585"/>
      <c r="GJG372" s="586"/>
      <c r="GJH372" s="587"/>
      <c r="GJI372" s="682"/>
      <c r="GJJ372" s="148"/>
      <c r="GJK372" s="148"/>
      <c r="GJL372" s="582"/>
      <c r="GJM372" s="584"/>
      <c r="GJN372" s="584"/>
      <c r="GJO372" s="585"/>
      <c r="GJP372" s="586"/>
      <c r="GJQ372" s="587"/>
      <c r="GJR372" s="682"/>
      <c r="GJS372" s="148"/>
      <c r="GJT372" s="148"/>
      <c r="GJU372" s="582"/>
      <c r="GJV372" s="584"/>
      <c r="GJW372" s="584"/>
      <c r="GJX372" s="585"/>
      <c r="GJY372" s="586"/>
      <c r="GJZ372" s="587"/>
      <c r="GKA372" s="682"/>
      <c r="GKB372" s="148"/>
      <c r="GKC372" s="148"/>
      <c r="GKD372" s="582"/>
      <c r="GKE372" s="584"/>
      <c r="GKF372" s="584"/>
      <c r="GKG372" s="585"/>
      <c r="GKH372" s="586"/>
      <c r="GKI372" s="587"/>
      <c r="GKJ372" s="682"/>
      <c r="GKK372" s="148"/>
      <c r="GKL372" s="148"/>
      <c r="GKM372" s="582"/>
      <c r="GKN372" s="584"/>
      <c r="GKO372" s="584"/>
      <c r="GKP372" s="585"/>
      <c r="GKQ372" s="586"/>
      <c r="GKR372" s="587"/>
      <c r="GKS372" s="682"/>
      <c r="GKT372" s="148"/>
      <c r="GKU372" s="148"/>
      <c r="GKV372" s="582"/>
      <c r="GKW372" s="584"/>
      <c r="GKX372" s="584"/>
      <c r="GKY372" s="585"/>
      <c r="GKZ372" s="586"/>
      <c r="GLA372" s="587"/>
      <c r="GLB372" s="682"/>
      <c r="GLC372" s="148"/>
      <c r="GLD372" s="148"/>
      <c r="GLE372" s="582"/>
      <c r="GLF372" s="584"/>
      <c r="GLG372" s="584"/>
      <c r="GLH372" s="585"/>
      <c r="GLI372" s="586"/>
      <c r="GLJ372" s="587"/>
      <c r="GLK372" s="682"/>
      <c r="GLL372" s="148"/>
      <c r="GLM372" s="148"/>
      <c r="GLN372" s="582"/>
      <c r="GLO372" s="584"/>
      <c r="GLP372" s="584"/>
      <c r="GLQ372" s="585"/>
      <c r="GLR372" s="586"/>
      <c r="GLS372" s="587"/>
      <c r="GLT372" s="682"/>
      <c r="GLU372" s="148"/>
      <c r="GLV372" s="148"/>
      <c r="GLW372" s="582"/>
      <c r="GLX372" s="584"/>
      <c r="GLY372" s="584"/>
      <c r="GLZ372" s="585"/>
      <c r="GMA372" s="586"/>
      <c r="GMB372" s="587"/>
      <c r="GMC372" s="682"/>
      <c r="GMD372" s="148"/>
      <c r="GME372" s="148"/>
      <c r="GMF372" s="582"/>
      <c r="GMG372" s="584"/>
      <c r="GMH372" s="584"/>
      <c r="GMI372" s="585"/>
      <c r="GMJ372" s="586"/>
      <c r="GMK372" s="587"/>
      <c r="GML372" s="682"/>
      <c r="GMM372" s="148"/>
      <c r="GMN372" s="148"/>
      <c r="GMO372" s="582"/>
      <c r="GMP372" s="584"/>
      <c r="GMQ372" s="584"/>
      <c r="GMR372" s="585"/>
      <c r="GMS372" s="586"/>
      <c r="GMT372" s="587"/>
      <c r="GMU372" s="682"/>
      <c r="GMV372" s="148"/>
      <c r="GMW372" s="148"/>
      <c r="GMX372" s="582"/>
      <c r="GMY372" s="584"/>
      <c r="GMZ372" s="584"/>
      <c r="GNA372" s="585"/>
      <c r="GNB372" s="586"/>
      <c r="GNC372" s="587"/>
      <c r="GND372" s="682"/>
      <c r="GNE372" s="148"/>
      <c r="GNF372" s="148"/>
      <c r="GNG372" s="582"/>
      <c r="GNH372" s="584"/>
      <c r="GNI372" s="584"/>
      <c r="GNJ372" s="585"/>
      <c r="GNK372" s="586"/>
      <c r="GNL372" s="587"/>
      <c r="GNM372" s="682"/>
      <c r="GNN372" s="148"/>
      <c r="GNO372" s="148"/>
      <c r="GNP372" s="582"/>
      <c r="GNQ372" s="584"/>
      <c r="GNR372" s="584"/>
      <c r="GNS372" s="585"/>
      <c r="GNT372" s="586"/>
      <c r="GNU372" s="587"/>
      <c r="GNV372" s="682"/>
      <c r="GNW372" s="148"/>
      <c r="GNX372" s="148"/>
      <c r="GNY372" s="582"/>
      <c r="GNZ372" s="584"/>
      <c r="GOA372" s="584"/>
      <c r="GOB372" s="585"/>
      <c r="GOC372" s="586"/>
      <c r="GOD372" s="587"/>
      <c r="GOE372" s="682"/>
      <c r="GOF372" s="148"/>
      <c r="GOG372" s="148"/>
      <c r="GOH372" s="582"/>
      <c r="GOI372" s="584"/>
      <c r="GOJ372" s="584"/>
      <c r="GOK372" s="585"/>
      <c r="GOL372" s="586"/>
      <c r="GOM372" s="587"/>
      <c r="GON372" s="682"/>
      <c r="GOO372" s="148"/>
      <c r="GOP372" s="148"/>
      <c r="GOQ372" s="582"/>
      <c r="GOR372" s="584"/>
      <c r="GOS372" s="584"/>
      <c r="GOT372" s="585"/>
      <c r="GOU372" s="586"/>
      <c r="GOV372" s="587"/>
      <c r="GOW372" s="682"/>
      <c r="GOX372" s="148"/>
      <c r="GOY372" s="148"/>
      <c r="GOZ372" s="582"/>
      <c r="GPA372" s="584"/>
      <c r="GPB372" s="584"/>
      <c r="GPC372" s="585"/>
      <c r="GPD372" s="586"/>
      <c r="GPE372" s="587"/>
      <c r="GPF372" s="682"/>
      <c r="GPG372" s="148"/>
      <c r="GPH372" s="148"/>
      <c r="GPI372" s="582"/>
      <c r="GPJ372" s="584"/>
      <c r="GPK372" s="584"/>
      <c r="GPL372" s="585"/>
      <c r="GPM372" s="586"/>
      <c r="GPN372" s="587"/>
      <c r="GPO372" s="682"/>
      <c r="GPP372" s="148"/>
      <c r="GPQ372" s="148"/>
      <c r="GPR372" s="582"/>
      <c r="GPS372" s="584"/>
      <c r="GPT372" s="584"/>
      <c r="GPU372" s="585"/>
      <c r="GPV372" s="586"/>
      <c r="GPW372" s="587"/>
      <c r="GPX372" s="682"/>
      <c r="GPY372" s="148"/>
      <c r="GPZ372" s="148"/>
      <c r="GQA372" s="582"/>
      <c r="GQB372" s="584"/>
      <c r="GQC372" s="584"/>
      <c r="GQD372" s="585"/>
      <c r="GQE372" s="586"/>
      <c r="GQF372" s="587"/>
      <c r="GQG372" s="682"/>
      <c r="GQH372" s="148"/>
      <c r="GQI372" s="148"/>
      <c r="GQJ372" s="582"/>
      <c r="GQK372" s="584"/>
      <c r="GQL372" s="584"/>
      <c r="GQM372" s="585"/>
      <c r="GQN372" s="586"/>
      <c r="GQO372" s="587"/>
      <c r="GQP372" s="682"/>
      <c r="GQQ372" s="148"/>
      <c r="GQR372" s="148"/>
      <c r="GQS372" s="582"/>
      <c r="GQT372" s="584"/>
      <c r="GQU372" s="584"/>
      <c r="GQV372" s="585"/>
      <c r="GQW372" s="586"/>
      <c r="GQX372" s="587"/>
      <c r="GQY372" s="682"/>
      <c r="GQZ372" s="148"/>
      <c r="GRA372" s="148"/>
      <c r="GRB372" s="582"/>
      <c r="GRC372" s="584"/>
      <c r="GRD372" s="584"/>
      <c r="GRE372" s="585"/>
      <c r="GRF372" s="586"/>
      <c r="GRG372" s="587"/>
      <c r="GRH372" s="682"/>
      <c r="GRI372" s="148"/>
      <c r="GRJ372" s="148"/>
      <c r="GRK372" s="582"/>
      <c r="GRL372" s="584"/>
      <c r="GRM372" s="584"/>
      <c r="GRN372" s="585"/>
      <c r="GRO372" s="586"/>
      <c r="GRP372" s="587"/>
      <c r="GRQ372" s="682"/>
      <c r="GRR372" s="148"/>
      <c r="GRS372" s="148"/>
      <c r="GRT372" s="582"/>
      <c r="GRU372" s="584"/>
      <c r="GRV372" s="584"/>
      <c r="GRW372" s="585"/>
      <c r="GRX372" s="586"/>
      <c r="GRY372" s="587"/>
      <c r="GRZ372" s="682"/>
      <c r="GSA372" s="148"/>
      <c r="GSB372" s="148"/>
      <c r="GSC372" s="582"/>
      <c r="GSD372" s="584"/>
      <c r="GSE372" s="584"/>
      <c r="GSF372" s="585"/>
      <c r="GSG372" s="586"/>
      <c r="GSH372" s="587"/>
      <c r="GSI372" s="682"/>
      <c r="GSJ372" s="148"/>
      <c r="GSK372" s="148"/>
      <c r="GSL372" s="582"/>
      <c r="GSM372" s="584"/>
      <c r="GSN372" s="584"/>
      <c r="GSO372" s="585"/>
      <c r="GSP372" s="586"/>
      <c r="GSQ372" s="587"/>
      <c r="GSR372" s="682"/>
      <c r="GSS372" s="148"/>
      <c r="GST372" s="148"/>
      <c r="GSU372" s="582"/>
      <c r="GSV372" s="584"/>
      <c r="GSW372" s="584"/>
      <c r="GSX372" s="585"/>
      <c r="GSY372" s="586"/>
      <c r="GSZ372" s="587"/>
      <c r="GTA372" s="682"/>
      <c r="GTB372" s="148"/>
      <c r="GTC372" s="148"/>
      <c r="GTD372" s="582"/>
      <c r="GTE372" s="584"/>
      <c r="GTF372" s="584"/>
      <c r="GTG372" s="585"/>
      <c r="GTH372" s="586"/>
      <c r="GTI372" s="587"/>
      <c r="GTJ372" s="682"/>
      <c r="GTK372" s="148"/>
      <c r="GTL372" s="148"/>
      <c r="GTM372" s="582"/>
      <c r="GTN372" s="584"/>
      <c r="GTO372" s="584"/>
      <c r="GTP372" s="585"/>
      <c r="GTQ372" s="586"/>
      <c r="GTR372" s="587"/>
      <c r="GTS372" s="682"/>
      <c r="GTT372" s="148"/>
      <c r="GTU372" s="148"/>
      <c r="GTV372" s="582"/>
      <c r="GTW372" s="584"/>
      <c r="GTX372" s="584"/>
      <c r="GTY372" s="585"/>
      <c r="GTZ372" s="586"/>
      <c r="GUA372" s="587"/>
      <c r="GUB372" s="682"/>
      <c r="GUC372" s="148"/>
      <c r="GUD372" s="148"/>
      <c r="GUE372" s="582"/>
      <c r="GUF372" s="584"/>
      <c r="GUG372" s="584"/>
      <c r="GUH372" s="585"/>
      <c r="GUI372" s="586"/>
      <c r="GUJ372" s="587"/>
      <c r="GUK372" s="682"/>
      <c r="GUL372" s="148"/>
      <c r="GUM372" s="148"/>
      <c r="GUN372" s="582"/>
      <c r="GUO372" s="584"/>
      <c r="GUP372" s="584"/>
      <c r="GUQ372" s="585"/>
      <c r="GUR372" s="586"/>
      <c r="GUS372" s="587"/>
      <c r="GUT372" s="682"/>
      <c r="GUU372" s="148"/>
      <c r="GUV372" s="148"/>
      <c r="GUW372" s="582"/>
      <c r="GUX372" s="584"/>
      <c r="GUY372" s="584"/>
      <c r="GUZ372" s="585"/>
      <c r="GVA372" s="586"/>
      <c r="GVB372" s="587"/>
      <c r="GVC372" s="682"/>
      <c r="GVD372" s="148"/>
      <c r="GVE372" s="148"/>
      <c r="GVF372" s="582"/>
      <c r="GVG372" s="584"/>
      <c r="GVH372" s="584"/>
      <c r="GVI372" s="585"/>
      <c r="GVJ372" s="586"/>
      <c r="GVK372" s="587"/>
      <c r="GVL372" s="682"/>
      <c r="GVM372" s="148"/>
      <c r="GVN372" s="148"/>
      <c r="GVO372" s="582"/>
      <c r="GVP372" s="584"/>
      <c r="GVQ372" s="584"/>
      <c r="GVR372" s="585"/>
      <c r="GVS372" s="586"/>
      <c r="GVT372" s="587"/>
      <c r="GVU372" s="682"/>
      <c r="GVV372" s="148"/>
      <c r="GVW372" s="148"/>
      <c r="GVX372" s="582"/>
      <c r="GVY372" s="584"/>
      <c r="GVZ372" s="584"/>
      <c r="GWA372" s="585"/>
      <c r="GWB372" s="586"/>
      <c r="GWC372" s="587"/>
      <c r="GWD372" s="682"/>
      <c r="GWE372" s="148"/>
      <c r="GWF372" s="148"/>
      <c r="GWG372" s="582"/>
      <c r="GWH372" s="584"/>
      <c r="GWI372" s="584"/>
      <c r="GWJ372" s="585"/>
      <c r="GWK372" s="586"/>
      <c r="GWL372" s="587"/>
      <c r="GWM372" s="682"/>
      <c r="GWN372" s="148"/>
      <c r="GWO372" s="148"/>
      <c r="GWP372" s="582"/>
      <c r="GWQ372" s="584"/>
      <c r="GWR372" s="584"/>
      <c r="GWS372" s="585"/>
      <c r="GWT372" s="586"/>
      <c r="GWU372" s="587"/>
      <c r="GWV372" s="682"/>
      <c r="GWW372" s="148"/>
      <c r="GWX372" s="148"/>
      <c r="GWY372" s="582"/>
      <c r="GWZ372" s="584"/>
      <c r="GXA372" s="584"/>
      <c r="GXB372" s="585"/>
      <c r="GXC372" s="586"/>
      <c r="GXD372" s="587"/>
      <c r="GXE372" s="682"/>
      <c r="GXF372" s="148"/>
      <c r="GXG372" s="148"/>
      <c r="GXH372" s="582"/>
      <c r="GXI372" s="584"/>
      <c r="GXJ372" s="584"/>
      <c r="GXK372" s="585"/>
      <c r="GXL372" s="586"/>
      <c r="GXM372" s="587"/>
      <c r="GXN372" s="682"/>
      <c r="GXO372" s="148"/>
      <c r="GXP372" s="148"/>
      <c r="GXQ372" s="582"/>
      <c r="GXR372" s="584"/>
      <c r="GXS372" s="584"/>
      <c r="GXT372" s="585"/>
      <c r="GXU372" s="586"/>
      <c r="GXV372" s="587"/>
      <c r="GXW372" s="682"/>
      <c r="GXX372" s="148"/>
      <c r="GXY372" s="148"/>
      <c r="GXZ372" s="582"/>
      <c r="GYA372" s="584"/>
      <c r="GYB372" s="584"/>
      <c r="GYC372" s="585"/>
      <c r="GYD372" s="586"/>
      <c r="GYE372" s="587"/>
      <c r="GYF372" s="682"/>
      <c r="GYG372" s="148"/>
      <c r="GYH372" s="148"/>
      <c r="GYI372" s="582"/>
      <c r="GYJ372" s="584"/>
      <c r="GYK372" s="584"/>
      <c r="GYL372" s="585"/>
      <c r="GYM372" s="586"/>
      <c r="GYN372" s="587"/>
      <c r="GYO372" s="682"/>
      <c r="GYP372" s="148"/>
      <c r="GYQ372" s="148"/>
      <c r="GYR372" s="582"/>
      <c r="GYS372" s="584"/>
      <c r="GYT372" s="584"/>
      <c r="GYU372" s="585"/>
      <c r="GYV372" s="586"/>
      <c r="GYW372" s="587"/>
      <c r="GYX372" s="682"/>
      <c r="GYY372" s="148"/>
      <c r="GYZ372" s="148"/>
      <c r="GZA372" s="582"/>
      <c r="GZB372" s="584"/>
      <c r="GZC372" s="584"/>
      <c r="GZD372" s="585"/>
      <c r="GZE372" s="586"/>
      <c r="GZF372" s="587"/>
      <c r="GZG372" s="682"/>
      <c r="GZH372" s="148"/>
      <c r="GZI372" s="148"/>
      <c r="GZJ372" s="582"/>
      <c r="GZK372" s="584"/>
      <c r="GZL372" s="584"/>
      <c r="GZM372" s="585"/>
      <c r="GZN372" s="586"/>
      <c r="GZO372" s="587"/>
      <c r="GZP372" s="682"/>
      <c r="GZQ372" s="148"/>
      <c r="GZR372" s="148"/>
      <c r="GZS372" s="582"/>
      <c r="GZT372" s="584"/>
      <c r="GZU372" s="584"/>
      <c r="GZV372" s="585"/>
      <c r="GZW372" s="586"/>
      <c r="GZX372" s="587"/>
      <c r="GZY372" s="682"/>
      <c r="GZZ372" s="148"/>
      <c r="HAA372" s="148"/>
      <c r="HAB372" s="582"/>
      <c r="HAC372" s="584"/>
      <c r="HAD372" s="584"/>
      <c r="HAE372" s="585"/>
      <c r="HAF372" s="586"/>
      <c r="HAG372" s="587"/>
      <c r="HAH372" s="682"/>
      <c r="HAI372" s="148"/>
      <c r="HAJ372" s="148"/>
      <c r="HAK372" s="582"/>
      <c r="HAL372" s="584"/>
      <c r="HAM372" s="584"/>
      <c r="HAN372" s="585"/>
      <c r="HAO372" s="586"/>
      <c r="HAP372" s="587"/>
      <c r="HAQ372" s="682"/>
      <c r="HAR372" s="148"/>
      <c r="HAS372" s="148"/>
      <c r="HAT372" s="582"/>
      <c r="HAU372" s="584"/>
      <c r="HAV372" s="584"/>
      <c r="HAW372" s="585"/>
      <c r="HAX372" s="586"/>
      <c r="HAY372" s="587"/>
      <c r="HAZ372" s="682"/>
      <c r="HBA372" s="148"/>
      <c r="HBB372" s="148"/>
      <c r="HBC372" s="582"/>
      <c r="HBD372" s="584"/>
      <c r="HBE372" s="584"/>
      <c r="HBF372" s="585"/>
      <c r="HBG372" s="586"/>
      <c r="HBH372" s="587"/>
      <c r="HBI372" s="682"/>
      <c r="HBJ372" s="148"/>
      <c r="HBK372" s="148"/>
      <c r="HBL372" s="582"/>
      <c r="HBM372" s="584"/>
      <c r="HBN372" s="584"/>
      <c r="HBO372" s="585"/>
      <c r="HBP372" s="586"/>
      <c r="HBQ372" s="587"/>
      <c r="HBR372" s="682"/>
      <c r="HBS372" s="148"/>
      <c r="HBT372" s="148"/>
      <c r="HBU372" s="582"/>
      <c r="HBV372" s="584"/>
      <c r="HBW372" s="584"/>
      <c r="HBX372" s="585"/>
      <c r="HBY372" s="586"/>
      <c r="HBZ372" s="587"/>
      <c r="HCA372" s="682"/>
      <c r="HCB372" s="148"/>
      <c r="HCC372" s="148"/>
      <c r="HCD372" s="582"/>
      <c r="HCE372" s="584"/>
      <c r="HCF372" s="584"/>
      <c r="HCG372" s="585"/>
      <c r="HCH372" s="586"/>
      <c r="HCI372" s="587"/>
      <c r="HCJ372" s="682"/>
      <c r="HCK372" s="148"/>
      <c r="HCL372" s="148"/>
      <c r="HCM372" s="582"/>
      <c r="HCN372" s="584"/>
      <c r="HCO372" s="584"/>
      <c r="HCP372" s="585"/>
      <c r="HCQ372" s="586"/>
      <c r="HCR372" s="587"/>
      <c r="HCS372" s="682"/>
      <c r="HCT372" s="148"/>
      <c r="HCU372" s="148"/>
      <c r="HCV372" s="582"/>
      <c r="HCW372" s="584"/>
      <c r="HCX372" s="584"/>
      <c r="HCY372" s="585"/>
      <c r="HCZ372" s="586"/>
      <c r="HDA372" s="587"/>
      <c r="HDB372" s="682"/>
      <c r="HDC372" s="148"/>
      <c r="HDD372" s="148"/>
      <c r="HDE372" s="582"/>
      <c r="HDF372" s="584"/>
      <c r="HDG372" s="584"/>
      <c r="HDH372" s="585"/>
      <c r="HDI372" s="586"/>
      <c r="HDJ372" s="587"/>
      <c r="HDK372" s="682"/>
      <c r="HDL372" s="148"/>
      <c r="HDM372" s="148"/>
      <c r="HDN372" s="582"/>
      <c r="HDO372" s="584"/>
      <c r="HDP372" s="584"/>
      <c r="HDQ372" s="585"/>
      <c r="HDR372" s="586"/>
      <c r="HDS372" s="587"/>
      <c r="HDT372" s="682"/>
      <c r="HDU372" s="148"/>
      <c r="HDV372" s="148"/>
      <c r="HDW372" s="582"/>
      <c r="HDX372" s="584"/>
      <c r="HDY372" s="584"/>
      <c r="HDZ372" s="585"/>
      <c r="HEA372" s="586"/>
      <c r="HEB372" s="587"/>
      <c r="HEC372" s="682"/>
      <c r="HED372" s="148"/>
      <c r="HEE372" s="148"/>
      <c r="HEF372" s="582"/>
      <c r="HEG372" s="584"/>
      <c r="HEH372" s="584"/>
      <c r="HEI372" s="585"/>
      <c r="HEJ372" s="586"/>
      <c r="HEK372" s="587"/>
      <c r="HEL372" s="682"/>
      <c r="HEM372" s="148"/>
      <c r="HEN372" s="148"/>
      <c r="HEO372" s="582"/>
      <c r="HEP372" s="584"/>
      <c r="HEQ372" s="584"/>
      <c r="HER372" s="585"/>
      <c r="HES372" s="586"/>
      <c r="HET372" s="587"/>
      <c r="HEU372" s="682"/>
      <c r="HEV372" s="148"/>
      <c r="HEW372" s="148"/>
      <c r="HEX372" s="582"/>
      <c r="HEY372" s="584"/>
      <c r="HEZ372" s="584"/>
      <c r="HFA372" s="585"/>
      <c r="HFB372" s="586"/>
      <c r="HFC372" s="587"/>
      <c r="HFD372" s="682"/>
      <c r="HFE372" s="148"/>
      <c r="HFF372" s="148"/>
      <c r="HFG372" s="582"/>
      <c r="HFH372" s="584"/>
      <c r="HFI372" s="584"/>
      <c r="HFJ372" s="585"/>
      <c r="HFK372" s="586"/>
      <c r="HFL372" s="587"/>
      <c r="HFM372" s="682"/>
      <c r="HFN372" s="148"/>
      <c r="HFO372" s="148"/>
      <c r="HFP372" s="582"/>
      <c r="HFQ372" s="584"/>
      <c r="HFR372" s="584"/>
      <c r="HFS372" s="585"/>
      <c r="HFT372" s="586"/>
      <c r="HFU372" s="587"/>
      <c r="HFV372" s="682"/>
      <c r="HFW372" s="148"/>
      <c r="HFX372" s="148"/>
      <c r="HFY372" s="582"/>
      <c r="HFZ372" s="584"/>
      <c r="HGA372" s="584"/>
      <c r="HGB372" s="585"/>
      <c r="HGC372" s="586"/>
      <c r="HGD372" s="587"/>
      <c r="HGE372" s="682"/>
      <c r="HGF372" s="148"/>
      <c r="HGG372" s="148"/>
      <c r="HGH372" s="582"/>
      <c r="HGI372" s="584"/>
      <c r="HGJ372" s="584"/>
      <c r="HGK372" s="585"/>
      <c r="HGL372" s="586"/>
      <c r="HGM372" s="587"/>
      <c r="HGN372" s="682"/>
      <c r="HGO372" s="148"/>
      <c r="HGP372" s="148"/>
      <c r="HGQ372" s="582"/>
      <c r="HGR372" s="584"/>
      <c r="HGS372" s="584"/>
      <c r="HGT372" s="585"/>
      <c r="HGU372" s="586"/>
      <c r="HGV372" s="587"/>
      <c r="HGW372" s="682"/>
      <c r="HGX372" s="148"/>
      <c r="HGY372" s="148"/>
      <c r="HGZ372" s="582"/>
      <c r="HHA372" s="584"/>
      <c r="HHB372" s="584"/>
      <c r="HHC372" s="585"/>
      <c r="HHD372" s="586"/>
      <c r="HHE372" s="587"/>
      <c r="HHF372" s="682"/>
      <c r="HHG372" s="148"/>
      <c r="HHH372" s="148"/>
      <c r="HHI372" s="582"/>
      <c r="HHJ372" s="584"/>
      <c r="HHK372" s="584"/>
      <c r="HHL372" s="585"/>
      <c r="HHM372" s="586"/>
      <c r="HHN372" s="587"/>
      <c r="HHO372" s="682"/>
      <c r="HHP372" s="148"/>
      <c r="HHQ372" s="148"/>
      <c r="HHR372" s="582"/>
      <c r="HHS372" s="584"/>
      <c r="HHT372" s="584"/>
      <c r="HHU372" s="585"/>
      <c r="HHV372" s="586"/>
      <c r="HHW372" s="587"/>
      <c r="HHX372" s="682"/>
      <c r="HHY372" s="148"/>
      <c r="HHZ372" s="148"/>
      <c r="HIA372" s="582"/>
      <c r="HIB372" s="584"/>
      <c r="HIC372" s="584"/>
      <c r="HID372" s="585"/>
      <c r="HIE372" s="586"/>
      <c r="HIF372" s="587"/>
      <c r="HIG372" s="682"/>
      <c r="HIH372" s="148"/>
      <c r="HII372" s="148"/>
      <c r="HIJ372" s="582"/>
      <c r="HIK372" s="584"/>
      <c r="HIL372" s="584"/>
      <c r="HIM372" s="585"/>
      <c r="HIN372" s="586"/>
      <c r="HIO372" s="587"/>
      <c r="HIP372" s="682"/>
      <c r="HIQ372" s="148"/>
      <c r="HIR372" s="148"/>
      <c r="HIS372" s="582"/>
      <c r="HIT372" s="584"/>
      <c r="HIU372" s="584"/>
      <c r="HIV372" s="585"/>
      <c r="HIW372" s="586"/>
      <c r="HIX372" s="587"/>
      <c r="HIY372" s="682"/>
      <c r="HIZ372" s="148"/>
      <c r="HJA372" s="148"/>
      <c r="HJB372" s="582"/>
      <c r="HJC372" s="584"/>
      <c r="HJD372" s="584"/>
      <c r="HJE372" s="585"/>
      <c r="HJF372" s="586"/>
      <c r="HJG372" s="587"/>
      <c r="HJH372" s="682"/>
      <c r="HJI372" s="148"/>
      <c r="HJJ372" s="148"/>
      <c r="HJK372" s="582"/>
      <c r="HJL372" s="584"/>
      <c r="HJM372" s="584"/>
      <c r="HJN372" s="585"/>
      <c r="HJO372" s="586"/>
      <c r="HJP372" s="587"/>
      <c r="HJQ372" s="682"/>
      <c r="HJR372" s="148"/>
      <c r="HJS372" s="148"/>
      <c r="HJT372" s="582"/>
      <c r="HJU372" s="584"/>
      <c r="HJV372" s="584"/>
      <c r="HJW372" s="585"/>
      <c r="HJX372" s="586"/>
      <c r="HJY372" s="587"/>
      <c r="HJZ372" s="682"/>
      <c r="HKA372" s="148"/>
      <c r="HKB372" s="148"/>
      <c r="HKC372" s="582"/>
      <c r="HKD372" s="584"/>
      <c r="HKE372" s="584"/>
      <c r="HKF372" s="585"/>
      <c r="HKG372" s="586"/>
      <c r="HKH372" s="587"/>
      <c r="HKI372" s="682"/>
      <c r="HKJ372" s="148"/>
      <c r="HKK372" s="148"/>
      <c r="HKL372" s="582"/>
      <c r="HKM372" s="584"/>
      <c r="HKN372" s="584"/>
      <c r="HKO372" s="585"/>
      <c r="HKP372" s="586"/>
      <c r="HKQ372" s="587"/>
      <c r="HKR372" s="682"/>
      <c r="HKS372" s="148"/>
      <c r="HKT372" s="148"/>
      <c r="HKU372" s="582"/>
      <c r="HKV372" s="584"/>
      <c r="HKW372" s="584"/>
      <c r="HKX372" s="585"/>
      <c r="HKY372" s="586"/>
      <c r="HKZ372" s="587"/>
      <c r="HLA372" s="682"/>
      <c r="HLB372" s="148"/>
      <c r="HLC372" s="148"/>
      <c r="HLD372" s="582"/>
      <c r="HLE372" s="584"/>
      <c r="HLF372" s="584"/>
      <c r="HLG372" s="585"/>
      <c r="HLH372" s="586"/>
      <c r="HLI372" s="587"/>
      <c r="HLJ372" s="682"/>
      <c r="HLK372" s="148"/>
      <c r="HLL372" s="148"/>
      <c r="HLM372" s="582"/>
      <c r="HLN372" s="584"/>
      <c r="HLO372" s="584"/>
      <c r="HLP372" s="585"/>
      <c r="HLQ372" s="586"/>
      <c r="HLR372" s="587"/>
      <c r="HLS372" s="682"/>
      <c r="HLT372" s="148"/>
      <c r="HLU372" s="148"/>
      <c r="HLV372" s="582"/>
      <c r="HLW372" s="584"/>
      <c r="HLX372" s="584"/>
      <c r="HLY372" s="585"/>
      <c r="HLZ372" s="586"/>
      <c r="HMA372" s="587"/>
      <c r="HMB372" s="682"/>
      <c r="HMC372" s="148"/>
      <c r="HMD372" s="148"/>
      <c r="HME372" s="582"/>
      <c r="HMF372" s="584"/>
      <c r="HMG372" s="584"/>
      <c r="HMH372" s="585"/>
      <c r="HMI372" s="586"/>
      <c r="HMJ372" s="587"/>
      <c r="HMK372" s="682"/>
      <c r="HML372" s="148"/>
      <c r="HMM372" s="148"/>
      <c r="HMN372" s="582"/>
      <c r="HMO372" s="584"/>
      <c r="HMP372" s="584"/>
      <c r="HMQ372" s="585"/>
      <c r="HMR372" s="586"/>
      <c r="HMS372" s="587"/>
      <c r="HMT372" s="682"/>
      <c r="HMU372" s="148"/>
      <c r="HMV372" s="148"/>
      <c r="HMW372" s="582"/>
      <c r="HMX372" s="584"/>
      <c r="HMY372" s="584"/>
      <c r="HMZ372" s="585"/>
      <c r="HNA372" s="586"/>
      <c r="HNB372" s="587"/>
      <c r="HNC372" s="682"/>
      <c r="HND372" s="148"/>
      <c r="HNE372" s="148"/>
      <c r="HNF372" s="582"/>
      <c r="HNG372" s="584"/>
      <c r="HNH372" s="584"/>
      <c r="HNI372" s="585"/>
      <c r="HNJ372" s="586"/>
      <c r="HNK372" s="587"/>
      <c r="HNL372" s="682"/>
      <c r="HNM372" s="148"/>
      <c r="HNN372" s="148"/>
      <c r="HNO372" s="582"/>
      <c r="HNP372" s="584"/>
      <c r="HNQ372" s="584"/>
      <c r="HNR372" s="585"/>
      <c r="HNS372" s="586"/>
      <c r="HNT372" s="587"/>
      <c r="HNU372" s="682"/>
      <c r="HNV372" s="148"/>
      <c r="HNW372" s="148"/>
      <c r="HNX372" s="582"/>
      <c r="HNY372" s="584"/>
      <c r="HNZ372" s="584"/>
      <c r="HOA372" s="585"/>
      <c r="HOB372" s="586"/>
      <c r="HOC372" s="587"/>
      <c r="HOD372" s="682"/>
      <c r="HOE372" s="148"/>
      <c r="HOF372" s="148"/>
      <c r="HOG372" s="582"/>
      <c r="HOH372" s="584"/>
      <c r="HOI372" s="584"/>
      <c r="HOJ372" s="585"/>
      <c r="HOK372" s="586"/>
      <c r="HOL372" s="587"/>
      <c r="HOM372" s="682"/>
      <c r="HON372" s="148"/>
      <c r="HOO372" s="148"/>
      <c r="HOP372" s="582"/>
      <c r="HOQ372" s="584"/>
      <c r="HOR372" s="584"/>
      <c r="HOS372" s="585"/>
      <c r="HOT372" s="586"/>
      <c r="HOU372" s="587"/>
      <c r="HOV372" s="682"/>
      <c r="HOW372" s="148"/>
      <c r="HOX372" s="148"/>
      <c r="HOY372" s="582"/>
      <c r="HOZ372" s="584"/>
      <c r="HPA372" s="584"/>
      <c r="HPB372" s="585"/>
      <c r="HPC372" s="586"/>
      <c r="HPD372" s="587"/>
      <c r="HPE372" s="682"/>
      <c r="HPF372" s="148"/>
      <c r="HPG372" s="148"/>
      <c r="HPH372" s="582"/>
      <c r="HPI372" s="584"/>
      <c r="HPJ372" s="584"/>
      <c r="HPK372" s="585"/>
      <c r="HPL372" s="586"/>
      <c r="HPM372" s="587"/>
      <c r="HPN372" s="682"/>
      <c r="HPO372" s="148"/>
      <c r="HPP372" s="148"/>
      <c r="HPQ372" s="582"/>
      <c r="HPR372" s="584"/>
      <c r="HPS372" s="584"/>
      <c r="HPT372" s="585"/>
      <c r="HPU372" s="586"/>
      <c r="HPV372" s="587"/>
      <c r="HPW372" s="682"/>
      <c r="HPX372" s="148"/>
      <c r="HPY372" s="148"/>
      <c r="HPZ372" s="582"/>
      <c r="HQA372" s="584"/>
      <c r="HQB372" s="584"/>
      <c r="HQC372" s="585"/>
      <c r="HQD372" s="586"/>
      <c r="HQE372" s="587"/>
      <c r="HQF372" s="682"/>
      <c r="HQG372" s="148"/>
      <c r="HQH372" s="148"/>
      <c r="HQI372" s="582"/>
      <c r="HQJ372" s="584"/>
      <c r="HQK372" s="584"/>
      <c r="HQL372" s="585"/>
      <c r="HQM372" s="586"/>
      <c r="HQN372" s="587"/>
      <c r="HQO372" s="682"/>
      <c r="HQP372" s="148"/>
      <c r="HQQ372" s="148"/>
      <c r="HQR372" s="582"/>
      <c r="HQS372" s="584"/>
      <c r="HQT372" s="584"/>
      <c r="HQU372" s="585"/>
      <c r="HQV372" s="586"/>
      <c r="HQW372" s="587"/>
      <c r="HQX372" s="682"/>
      <c r="HQY372" s="148"/>
      <c r="HQZ372" s="148"/>
      <c r="HRA372" s="582"/>
      <c r="HRB372" s="584"/>
      <c r="HRC372" s="584"/>
      <c r="HRD372" s="585"/>
      <c r="HRE372" s="586"/>
      <c r="HRF372" s="587"/>
      <c r="HRG372" s="682"/>
      <c r="HRH372" s="148"/>
      <c r="HRI372" s="148"/>
      <c r="HRJ372" s="582"/>
      <c r="HRK372" s="584"/>
      <c r="HRL372" s="584"/>
      <c r="HRM372" s="585"/>
      <c r="HRN372" s="586"/>
      <c r="HRO372" s="587"/>
      <c r="HRP372" s="682"/>
      <c r="HRQ372" s="148"/>
      <c r="HRR372" s="148"/>
      <c r="HRS372" s="582"/>
      <c r="HRT372" s="584"/>
      <c r="HRU372" s="584"/>
      <c r="HRV372" s="585"/>
      <c r="HRW372" s="586"/>
      <c r="HRX372" s="587"/>
      <c r="HRY372" s="682"/>
      <c r="HRZ372" s="148"/>
      <c r="HSA372" s="148"/>
      <c r="HSB372" s="582"/>
      <c r="HSC372" s="584"/>
      <c r="HSD372" s="584"/>
      <c r="HSE372" s="585"/>
      <c r="HSF372" s="586"/>
      <c r="HSG372" s="587"/>
      <c r="HSH372" s="682"/>
      <c r="HSI372" s="148"/>
      <c r="HSJ372" s="148"/>
      <c r="HSK372" s="582"/>
      <c r="HSL372" s="584"/>
      <c r="HSM372" s="584"/>
      <c r="HSN372" s="585"/>
      <c r="HSO372" s="586"/>
      <c r="HSP372" s="587"/>
      <c r="HSQ372" s="682"/>
      <c r="HSR372" s="148"/>
      <c r="HSS372" s="148"/>
      <c r="HST372" s="582"/>
      <c r="HSU372" s="584"/>
      <c r="HSV372" s="584"/>
      <c r="HSW372" s="585"/>
      <c r="HSX372" s="586"/>
      <c r="HSY372" s="587"/>
      <c r="HSZ372" s="682"/>
      <c r="HTA372" s="148"/>
      <c r="HTB372" s="148"/>
      <c r="HTC372" s="582"/>
      <c r="HTD372" s="584"/>
      <c r="HTE372" s="584"/>
      <c r="HTF372" s="585"/>
      <c r="HTG372" s="586"/>
      <c r="HTH372" s="587"/>
      <c r="HTI372" s="682"/>
      <c r="HTJ372" s="148"/>
      <c r="HTK372" s="148"/>
      <c r="HTL372" s="582"/>
      <c r="HTM372" s="584"/>
      <c r="HTN372" s="584"/>
      <c r="HTO372" s="585"/>
      <c r="HTP372" s="586"/>
      <c r="HTQ372" s="587"/>
      <c r="HTR372" s="682"/>
      <c r="HTS372" s="148"/>
      <c r="HTT372" s="148"/>
      <c r="HTU372" s="582"/>
      <c r="HTV372" s="584"/>
      <c r="HTW372" s="584"/>
      <c r="HTX372" s="585"/>
      <c r="HTY372" s="586"/>
      <c r="HTZ372" s="587"/>
      <c r="HUA372" s="682"/>
      <c r="HUB372" s="148"/>
      <c r="HUC372" s="148"/>
      <c r="HUD372" s="582"/>
      <c r="HUE372" s="584"/>
      <c r="HUF372" s="584"/>
      <c r="HUG372" s="585"/>
      <c r="HUH372" s="586"/>
      <c r="HUI372" s="587"/>
      <c r="HUJ372" s="682"/>
      <c r="HUK372" s="148"/>
      <c r="HUL372" s="148"/>
      <c r="HUM372" s="582"/>
      <c r="HUN372" s="584"/>
      <c r="HUO372" s="584"/>
      <c r="HUP372" s="585"/>
      <c r="HUQ372" s="586"/>
      <c r="HUR372" s="587"/>
      <c r="HUS372" s="682"/>
      <c r="HUT372" s="148"/>
      <c r="HUU372" s="148"/>
      <c r="HUV372" s="582"/>
      <c r="HUW372" s="584"/>
      <c r="HUX372" s="584"/>
      <c r="HUY372" s="585"/>
      <c r="HUZ372" s="586"/>
      <c r="HVA372" s="587"/>
      <c r="HVB372" s="682"/>
      <c r="HVC372" s="148"/>
      <c r="HVD372" s="148"/>
      <c r="HVE372" s="582"/>
      <c r="HVF372" s="584"/>
      <c r="HVG372" s="584"/>
      <c r="HVH372" s="585"/>
      <c r="HVI372" s="586"/>
      <c r="HVJ372" s="587"/>
      <c r="HVK372" s="682"/>
      <c r="HVL372" s="148"/>
      <c r="HVM372" s="148"/>
      <c r="HVN372" s="582"/>
      <c r="HVO372" s="584"/>
      <c r="HVP372" s="584"/>
      <c r="HVQ372" s="585"/>
      <c r="HVR372" s="586"/>
      <c r="HVS372" s="587"/>
      <c r="HVT372" s="682"/>
      <c r="HVU372" s="148"/>
      <c r="HVV372" s="148"/>
      <c r="HVW372" s="582"/>
      <c r="HVX372" s="584"/>
      <c r="HVY372" s="584"/>
      <c r="HVZ372" s="585"/>
      <c r="HWA372" s="586"/>
      <c r="HWB372" s="587"/>
      <c r="HWC372" s="682"/>
      <c r="HWD372" s="148"/>
      <c r="HWE372" s="148"/>
      <c r="HWF372" s="582"/>
      <c r="HWG372" s="584"/>
      <c r="HWH372" s="584"/>
      <c r="HWI372" s="585"/>
      <c r="HWJ372" s="586"/>
      <c r="HWK372" s="587"/>
      <c r="HWL372" s="682"/>
      <c r="HWM372" s="148"/>
      <c r="HWN372" s="148"/>
      <c r="HWO372" s="582"/>
      <c r="HWP372" s="584"/>
      <c r="HWQ372" s="584"/>
      <c r="HWR372" s="585"/>
      <c r="HWS372" s="586"/>
      <c r="HWT372" s="587"/>
      <c r="HWU372" s="682"/>
      <c r="HWV372" s="148"/>
      <c r="HWW372" s="148"/>
      <c r="HWX372" s="582"/>
      <c r="HWY372" s="584"/>
      <c r="HWZ372" s="584"/>
      <c r="HXA372" s="585"/>
      <c r="HXB372" s="586"/>
      <c r="HXC372" s="587"/>
      <c r="HXD372" s="682"/>
      <c r="HXE372" s="148"/>
      <c r="HXF372" s="148"/>
      <c r="HXG372" s="582"/>
      <c r="HXH372" s="584"/>
      <c r="HXI372" s="584"/>
      <c r="HXJ372" s="585"/>
      <c r="HXK372" s="586"/>
      <c r="HXL372" s="587"/>
      <c r="HXM372" s="682"/>
      <c r="HXN372" s="148"/>
      <c r="HXO372" s="148"/>
      <c r="HXP372" s="582"/>
      <c r="HXQ372" s="584"/>
      <c r="HXR372" s="584"/>
      <c r="HXS372" s="585"/>
      <c r="HXT372" s="586"/>
      <c r="HXU372" s="587"/>
      <c r="HXV372" s="682"/>
      <c r="HXW372" s="148"/>
      <c r="HXX372" s="148"/>
      <c r="HXY372" s="582"/>
      <c r="HXZ372" s="584"/>
      <c r="HYA372" s="584"/>
      <c r="HYB372" s="585"/>
      <c r="HYC372" s="586"/>
      <c r="HYD372" s="587"/>
      <c r="HYE372" s="682"/>
      <c r="HYF372" s="148"/>
      <c r="HYG372" s="148"/>
      <c r="HYH372" s="582"/>
      <c r="HYI372" s="584"/>
      <c r="HYJ372" s="584"/>
      <c r="HYK372" s="585"/>
      <c r="HYL372" s="586"/>
      <c r="HYM372" s="587"/>
      <c r="HYN372" s="682"/>
      <c r="HYO372" s="148"/>
      <c r="HYP372" s="148"/>
      <c r="HYQ372" s="582"/>
      <c r="HYR372" s="584"/>
      <c r="HYS372" s="584"/>
      <c r="HYT372" s="585"/>
      <c r="HYU372" s="586"/>
      <c r="HYV372" s="587"/>
      <c r="HYW372" s="682"/>
      <c r="HYX372" s="148"/>
      <c r="HYY372" s="148"/>
      <c r="HYZ372" s="582"/>
      <c r="HZA372" s="584"/>
      <c r="HZB372" s="584"/>
      <c r="HZC372" s="585"/>
      <c r="HZD372" s="586"/>
      <c r="HZE372" s="587"/>
      <c r="HZF372" s="682"/>
      <c r="HZG372" s="148"/>
      <c r="HZH372" s="148"/>
      <c r="HZI372" s="582"/>
      <c r="HZJ372" s="584"/>
      <c r="HZK372" s="584"/>
      <c r="HZL372" s="585"/>
      <c r="HZM372" s="586"/>
      <c r="HZN372" s="587"/>
      <c r="HZO372" s="682"/>
      <c r="HZP372" s="148"/>
      <c r="HZQ372" s="148"/>
      <c r="HZR372" s="582"/>
      <c r="HZS372" s="584"/>
      <c r="HZT372" s="584"/>
      <c r="HZU372" s="585"/>
      <c r="HZV372" s="586"/>
      <c r="HZW372" s="587"/>
      <c r="HZX372" s="682"/>
      <c r="HZY372" s="148"/>
      <c r="HZZ372" s="148"/>
      <c r="IAA372" s="582"/>
      <c r="IAB372" s="584"/>
      <c r="IAC372" s="584"/>
      <c r="IAD372" s="585"/>
      <c r="IAE372" s="586"/>
      <c r="IAF372" s="587"/>
      <c r="IAG372" s="682"/>
      <c r="IAH372" s="148"/>
      <c r="IAI372" s="148"/>
      <c r="IAJ372" s="582"/>
      <c r="IAK372" s="584"/>
      <c r="IAL372" s="584"/>
      <c r="IAM372" s="585"/>
      <c r="IAN372" s="586"/>
      <c r="IAO372" s="587"/>
      <c r="IAP372" s="682"/>
      <c r="IAQ372" s="148"/>
      <c r="IAR372" s="148"/>
      <c r="IAS372" s="582"/>
      <c r="IAT372" s="584"/>
      <c r="IAU372" s="584"/>
      <c r="IAV372" s="585"/>
      <c r="IAW372" s="586"/>
      <c r="IAX372" s="587"/>
      <c r="IAY372" s="682"/>
      <c r="IAZ372" s="148"/>
      <c r="IBA372" s="148"/>
      <c r="IBB372" s="582"/>
      <c r="IBC372" s="584"/>
      <c r="IBD372" s="584"/>
      <c r="IBE372" s="585"/>
      <c r="IBF372" s="586"/>
      <c r="IBG372" s="587"/>
      <c r="IBH372" s="682"/>
      <c r="IBI372" s="148"/>
      <c r="IBJ372" s="148"/>
      <c r="IBK372" s="582"/>
      <c r="IBL372" s="584"/>
      <c r="IBM372" s="584"/>
      <c r="IBN372" s="585"/>
      <c r="IBO372" s="586"/>
      <c r="IBP372" s="587"/>
      <c r="IBQ372" s="682"/>
      <c r="IBR372" s="148"/>
      <c r="IBS372" s="148"/>
      <c r="IBT372" s="582"/>
      <c r="IBU372" s="584"/>
      <c r="IBV372" s="584"/>
      <c r="IBW372" s="585"/>
      <c r="IBX372" s="586"/>
      <c r="IBY372" s="587"/>
      <c r="IBZ372" s="682"/>
      <c r="ICA372" s="148"/>
      <c r="ICB372" s="148"/>
      <c r="ICC372" s="582"/>
      <c r="ICD372" s="584"/>
      <c r="ICE372" s="584"/>
      <c r="ICF372" s="585"/>
      <c r="ICG372" s="586"/>
      <c r="ICH372" s="587"/>
      <c r="ICI372" s="682"/>
      <c r="ICJ372" s="148"/>
      <c r="ICK372" s="148"/>
      <c r="ICL372" s="582"/>
      <c r="ICM372" s="584"/>
      <c r="ICN372" s="584"/>
      <c r="ICO372" s="585"/>
      <c r="ICP372" s="586"/>
      <c r="ICQ372" s="587"/>
      <c r="ICR372" s="682"/>
      <c r="ICS372" s="148"/>
      <c r="ICT372" s="148"/>
      <c r="ICU372" s="582"/>
      <c r="ICV372" s="584"/>
      <c r="ICW372" s="584"/>
      <c r="ICX372" s="585"/>
      <c r="ICY372" s="586"/>
      <c r="ICZ372" s="587"/>
      <c r="IDA372" s="682"/>
      <c r="IDB372" s="148"/>
      <c r="IDC372" s="148"/>
      <c r="IDD372" s="582"/>
      <c r="IDE372" s="584"/>
      <c r="IDF372" s="584"/>
      <c r="IDG372" s="585"/>
      <c r="IDH372" s="586"/>
      <c r="IDI372" s="587"/>
      <c r="IDJ372" s="682"/>
      <c r="IDK372" s="148"/>
      <c r="IDL372" s="148"/>
      <c r="IDM372" s="582"/>
      <c r="IDN372" s="584"/>
      <c r="IDO372" s="584"/>
      <c r="IDP372" s="585"/>
      <c r="IDQ372" s="586"/>
      <c r="IDR372" s="587"/>
      <c r="IDS372" s="682"/>
      <c r="IDT372" s="148"/>
      <c r="IDU372" s="148"/>
      <c r="IDV372" s="582"/>
      <c r="IDW372" s="584"/>
      <c r="IDX372" s="584"/>
      <c r="IDY372" s="585"/>
      <c r="IDZ372" s="586"/>
      <c r="IEA372" s="587"/>
      <c r="IEB372" s="682"/>
      <c r="IEC372" s="148"/>
      <c r="IED372" s="148"/>
      <c r="IEE372" s="582"/>
      <c r="IEF372" s="584"/>
      <c r="IEG372" s="584"/>
      <c r="IEH372" s="585"/>
      <c r="IEI372" s="586"/>
      <c r="IEJ372" s="587"/>
      <c r="IEK372" s="682"/>
      <c r="IEL372" s="148"/>
      <c r="IEM372" s="148"/>
      <c r="IEN372" s="582"/>
      <c r="IEO372" s="584"/>
      <c r="IEP372" s="584"/>
      <c r="IEQ372" s="585"/>
      <c r="IER372" s="586"/>
      <c r="IES372" s="587"/>
      <c r="IET372" s="682"/>
      <c r="IEU372" s="148"/>
      <c r="IEV372" s="148"/>
      <c r="IEW372" s="582"/>
      <c r="IEX372" s="584"/>
      <c r="IEY372" s="584"/>
      <c r="IEZ372" s="585"/>
      <c r="IFA372" s="586"/>
      <c r="IFB372" s="587"/>
      <c r="IFC372" s="682"/>
      <c r="IFD372" s="148"/>
      <c r="IFE372" s="148"/>
      <c r="IFF372" s="582"/>
      <c r="IFG372" s="584"/>
      <c r="IFH372" s="584"/>
      <c r="IFI372" s="585"/>
      <c r="IFJ372" s="586"/>
      <c r="IFK372" s="587"/>
      <c r="IFL372" s="682"/>
      <c r="IFM372" s="148"/>
      <c r="IFN372" s="148"/>
      <c r="IFO372" s="582"/>
      <c r="IFP372" s="584"/>
      <c r="IFQ372" s="584"/>
      <c r="IFR372" s="585"/>
      <c r="IFS372" s="586"/>
      <c r="IFT372" s="587"/>
      <c r="IFU372" s="682"/>
      <c r="IFV372" s="148"/>
      <c r="IFW372" s="148"/>
      <c r="IFX372" s="582"/>
      <c r="IFY372" s="584"/>
      <c r="IFZ372" s="584"/>
      <c r="IGA372" s="585"/>
      <c r="IGB372" s="586"/>
      <c r="IGC372" s="587"/>
      <c r="IGD372" s="682"/>
      <c r="IGE372" s="148"/>
      <c r="IGF372" s="148"/>
      <c r="IGG372" s="582"/>
      <c r="IGH372" s="584"/>
      <c r="IGI372" s="584"/>
      <c r="IGJ372" s="585"/>
      <c r="IGK372" s="586"/>
      <c r="IGL372" s="587"/>
      <c r="IGM372" s="682"/>
      <c r="IGN372" s="148"/>
      <c r="IGO372" s="148"/>
      <c r="IGP372" s="582"/>
      <c r="IGQ372" s="584"/>
      <c r="IGR372" s="584"/>
      <c r="IGS372" s="585"/>
      <c r="IGT372" s="586"/>
      <c r="IGU372" s="587"/>
      <c r="IGV372" s="682"/>
      <c r="IGW372" s="148"/>
      <c r="IGX372" s="148"/>
      <c r="IGY372" s="582"/>
      <c r="IGZ372" s="584"/>
      <c r="IHA372" s="584"/>
      <c r="IHB372" s="585"/>
      <c r="IHC372" s="586"/>
      <c r="IHD372" s="587"/>
      <c r="IHE372" s="682"/>
      <c r="IHF372" s="148"/>
      <c r="IHG372" s="148"/>
      <c r="IHH372" s="582"/>
      <c r="IHI372" s="584"/>
      <c r="IHJ372" s="584"/>
      <c r="IHK372" s="585"/>
      <c r="IHL372" s="586"/>
      <c r="IHM372" s="587"/>
      <c r="IHN372" s="682"/>
      <c r="IHO372" s="148"/>
      <c r="IHP372" s="148"/>
      <c r="IHQ372" s="582"/>
      <c r="IHR372" s="584"/>
      <c r="IHS372" s="584"/>
      <c r="IHT372" s="585"/>
      <c r="IHU372" s="586"/>
      <c r="IHV372" s="587"/>
      <c r="IHW372" s="682"/>
      <c r="IHX372" s="148"/>
      <c r="IHY372" s="148"/>
      <c r="IHZ372" s="582"/>
      <c r="IIA372" s="584"/>
      <c r="IIB372" s="584"/>
      <c r="IIC372" s="585"/>
      <c r="IID372" s="586"/>
      <c r="IIE372" s="587"/>
      <c r="IIF372" s="682"/>
      <c r="IIG372" s="148"/>
      <c r="IIH372" s="148"/>
      <c r="III372" s="582"/>
      <c r="IIJ372" s="584"/>
      <c r="IIK372" s="584"/>
      <c r="IIL372" s="585"/>
      <c r="IIM372" s="586"/>
      <c r="IIN372" s="587"/>
      <c r="IIO372" s="682"/>
      <c r="IIP372" s="148"/>
      <c r="IIQ372" s="148"/>
      <c r="IIR372" s="582"/>
      <c r="IIS372" s="584"/>
      <c r="IIT372" s="584"/>
      <c r="IIU372" s="585"/>
      <c r="IIV372" s="586"/>
      <c r="IIW372" s="587"/>
      <c r="IIX372" s="682"/>
      <c r="IIY372" s="148"/>
      <c r="IIZ372" s="148"/>
      <c r="IJA372" s="582"/>
      <c r="IJB372" s="584"/>
      <c r="IJC372" s="584"/>
      <c r="IJD372" s="585"/>
      <c r="IJE372" s="586"/>
      <c r="IJF372" s="587"/>
      <c r="IJG372" s="682"/>
      <c r="IJH372" s="148"/>
      <c r="IJI372" s="148"/>
      <c r="IJJ372" s="582"/>
      <c r="IJK372" s="584"/>
      <c r="IJL372" s="584"/>
      <c r="IJM372" s="585"/>
      <c r="IJN372" s="586"/>
      <c r="IJO372" s="587"/>
      <c r="IJP372" s="682"/>
      <c r="IJQ372" s="148"/>
      <c r="IJR372" s="148"/>
      <c r="IJS372" s="582"/>
      <c r="IJT372" s="584"/>
      <c r="IJU372" s="584"/>
      <c r="IJV372" s="585"/>
      <c r="IJW372" s="586"/>
      <c r="IJX372" s="587"/>
      <c r="IJY372" s="682"/>
      <c r="IJZ372" s="148"/>
      <c r="IKA372" s="148"/>
      <c r="IKB372" s="582"/>
      <c r="IKC372" s="584"/>
      <c r="IKD372" s="584"/>
      <c r="IKE372" s="585"/>
      <c r="IKF372" s="586"/>
      <c r="IKG372" s="587"/>
      <c r="IKH372" s="682"/>
      <c r="IKI372" s="148"/>
      <c r="IKJ372" s="148"/>
      <c r="IKK372" s="582"/>
      <c r="IKL372" s="584"/>
      <c r="IKM372" s="584"/>
      <c r="IKN372" s="585"/>
      <c r="IKO372" s="586"/>
      <c r="IKP372" s="587"/>
      <c r="IKQ372" s="682"/>
      <c r="IKR372" s="148"/>
      <c r="IKS372" s="148"/>
      <c r="IKT372" s="582"/>
      <c r="IKU372" s="584"/>
      <c r="IKV372" s="584"/>
      <c r="IKW372" s="585"/>
      <c r="IKX372" s="586"/>
      <c r="IKY372" s="587"/>
      <c r="IKZ372" s="682"/>
      <c r="ILA372" s="148"/>
      <c r="ILB372" s="148"/>
      <c r="ILC372" s="582"/>
      <c r="ILD372" s="584"/>
      <c r="ILE372" s="584"/>
      <c r="ILF372" s="585"/>
      <c r="ILG372" s="586"/>
      <c r="ILH372" s="587"/>
      <c r="ILI372" s="682"/>
      <c r="ILJ372" s="148"/>
      <c r="ILK372" s="148"/>
      <c r="ILL372" s="582"/>
      <c r="ILM372" s="584"/>
      <c r="ILN372" s="584"/>
      <c r="ILO372" s="585"/>
      <c r="ILP372" s="586"/>
      <c r="ILQ372" s="587"/>
      <c r="ILR372" s="682"/>
      <c r="ILS372" s="148"/>
      <c r="ILT372" s="148"/>
      <c r="ILU372" s="582"/>
      <c r="ILV372" s="584"/>
      <c r="ILW372" s="584"/>
      <c r="ILX372" s="585"/>
      <c r="ILY372" s="586"/>
      <c r="ILZ372" s="587"/>
      <c r="IMA372" s="682"/>
      <c r="IMB372" s="148"/>
      <c r="IMC372" s="148"/>
      <c r="IMD372" s="582"/>
      <c r="IME372" s="584"/>
      <c r="IMF372" s="584"/>
      <c r="IMG372" s="585"/>
      <c r="IMH372" s="586"/>
      <c r="IMI372" s="587"/>
      <c r="IMJ372" s="682"/>
      <c r="IMK372" s="148"/>
      <c r="IML372" s="148"/>
      <c r="IMM372" s="582"/>
      <c r="IMN372" s="584"/>
      <c r="IMO372" s="584"/>
      <c r="IMP372" s="585"/>
      <c r="IMQ372" s="586"/>
      <c r="IMR372" s="587"/>
      <c r="IMS372" s="682"/>
      <c r="IMT372" s="148"/>
      <c r="IMU372" s="148"/>
      <c r="IMV372" s="582"/>
      <c r="IMW372" s="584"/>
      <c r="IMX372" s="584"/>
      <c r="IMY372" s="585"/>
      <c r="IMZ372" s="586"/>
      <c r="INA372" s="587"/>
      <c r="INB372" s="682"/>
      <c r="INC372" s="148"/>
      <c r="IND372" s="148"/>
      <c r="INE372" s="582"/>
      <c r="INF372" s="584"/>
      <c r="ING372" s="584"/>
      <c r="INH372" s="585"/>
      <c r="INI372" s="586"/>
      <c r="INJ372" s="587"/>
      <c r="INK372" s="682"/>
      <c r="INL372" s="148"/>
      <c r="INM372" s="148"/>
      <c r="INN372" s="582"/>
      <c r="INO372" s="584"/>
      <c r="INP372" s="584"/>
      <c r="INQ372" s="585"/>
      <c r="INR372" s="586"/>
      <c r="INS372" s="587"/>
      <c r="INT372" s="682"/>
      <c r="INU372" s="148"/>
      <c r="INV372" s="148"/>
      <c r="INW372" s="582"/>
      <c r="INX372" s="584"/>
      <c r="INY372" s="584"/>
      <c r="INZ372" s="585"/>
      <c r="IOA372" s="586"/>
      <c r="IOB372" s="587"/>
      <c r="IOC372" s="682"/>
      <c r="IOD372" s="148"/>
      <c r="IOE372" s="148"/>
      <c r="IOF372" s="582"/>
      <c r="IOG372" s="584"/>
      <c r="IOH372" s="584"/>
      <c r="IOI372" s="585"/>
      <c r="IOJ372" s="586"/>
      <c r="IOK372" s="587"/>
      <c r="IOL372" s="682"/>
      <c r="IOM372" s="148"/>
      <c r="ION372" s="148"/>
      <c r="IOO372" s="582"/>
      <c r="IOP372" s="584"/>
      <c r="IOQ372" s="584"/>
      <c r="IOR372" s="585"/>
      <c r="IOS372" s="586"/>
      <c r="IOT372" s="587"/>
      <c r="IOU372" s="682"/>
      <c r="IOV372" s="148"/>
      <c r="IOW372" s="148"/>
      <c r="IOX372" s="582"/>
      <c r="IOY372" s="584"/>
      <c r="IOZ372" s="584"/>
      <c r="IPA372" s="585"/>
      <c r="IPB372" s="586"/>
      <c r="IPC372" s="587"/>
      <c r="IPD372" s="682"/>
      <c r="IPE372" s="148"/>
      <c r="IPF372" s="148"/>
      <c r="IPG372" s="582"/>
      <c r="IPH372" s="584"/>
      <c r="IPI372" s="584"/>
      <c r="IPJ372" s="585"/>
      <c r="IPK372" s="586"/>
      <c r="IPL372" s="587"/>
      <c r="IPM372" s="682"/>
      <c r="IPN372" s="148"/>
      <c r="IPO372" s="148"/>
      <c r="IPP372" s="582"/>
      <c r="IPQ372" s="584"/>
      <c r="IPR372" s="584"/>
      <c r="IPS372" s="585"/>
      <c r="IPT372" s="586"/>
      <c r="IPU372" s="587"/>
      <c r="IPV372" s="682"/>
      <c r="IPW372" s="148"/>
      <c r="IPX372" s="148"/>
      <c r="IPY372" s="582"/>
      <c r="IPZ372" s="584"/>
      <c r="IQA372" s="584"/>
      <c r="IQB372" s="585"/>
      <c r="IQC372" s="586"/>
      <c r="IQD372" s="587"/>
      <c r="IQE372" s="682"/>
      <c r="IQF372" s="148"/>
      <c r="IQG372" s="148"/>
      <c r="IQH372" s="582"/>
      <c r="IQI372" s="584"/>
      <c r="IQJ372" s="584"/>
      <c r="IQK372" s="585"/>
      <c r="IQL372" s="586"/>
      <c r="IQM372" s="587"/>
      <c r="IQN372" s="682"/>
      <c r="IQO372" s="148"/>
      <c r="IQP372" s="148"/>
      <c r="IQQ372" s="582"/>
      <c r="IQR372" s="584"/>
      <c r="IQS372" s="584"/>
      <c r="IQT372" s="585"/>
      <c r="IQU372" s="586"/>
      <c r="IQV372" s="587"/>
      <c r="IQW372" s="682"/>
      <c r="IQX372" s="148"/>
      <c r="IQY372" s="148"/>
      <c r="IQZ372" s="582"/>
      <c r="IRA372" s="584"/>
      <c r="IRB372" s="584"/>
      <c r="IRC372" s="585"/>
      <c r="IRD372" s="586"/>
      <c r="IRE372" s="587"/>
      <c r="IRF372" s="682"/>
      <c r="IRG372" s="148"/>
      <c r="IRH372" s="148"/>
      <c r="IRI372" s="582"/>
      <c r="IRJ372" s="584"/>
      <c r="IRK372" s="584"/>
      <c r="IRL372" s="585"/>
      <c r="IRM372" s="586"/>
      <c r="IRN372" s="587"/>
      <c r="IRO372" s="682"/>
      <c r="IRP372" s="148"/>
      <c r="IRQ372" s="148"/>
      <c r="IRR372" s="582"/>
      <c r="IRS372" s="584"/>
      <c r="IRT372" s="584"/>
      <c r="IRU372" s="585"/>
      <c r="IRV372" s="586"/>
      <c r="IRW372" s="587"/>
      <c r="IRX372" s="682"/>
      <c r="IRY372" s="148"/>
      <c r="IRZ372" s="148"/>
      <c r="ISA372" s="582"/>
      <c r="ISB372" s="584"/>
      <c r="ISC372" s="584"/>
      <c r="ISD372" s="585"/>
      <c r="ISE372" s="586"/>
      <c r="ISF372" s="587"/>
      <c r="ISG372" s="682"/>
      <c r="ISH372" s="148"/>
      <c r="ISI372" s="148"/>
      <c r="ISJ372" s="582"/>
      <c r="ISK372" s="584"/>
      <c r="ISL372" s="584"/>
      <c r="ISM372" s="585"/>
      <c r="ISN372" s="586"/>
      <c r="ISO372" s="587"/>
      <c r="ISP372" s="682"/>
      <c r="ISQ372" s="148"/>
      <c r="ISR372" s="148"/>
      <c r="ISS372" s="582"/>
      <c r="IST372" s="584"/>
      <c r="ISU372" s="584"/>
      <c r="ISV372" s="585"/>
      <c r="ISW372" s="586"/>
      <c r="ISX372" s="587"/>
      <c r="ISY372" s="682"/>
      <c r="ISZ372" s="148"/>
      <c r="ITA372" s="148"/>
      <c r="ITB372" s="582"/>
      <c r="ITC372" s="584"/>
      <c r="ITD372" s="584"/>
      <c r="ITE372" s="585"/>
      <c r="ITF372" s="586"/>
      <c r="ITG372" s="587"/>
      <c r="ITH372" s="682"/>
      <c r="ITI372" s="148"/>
      <c r="ITJ372" s="148"/>
      <c r="ITK372" s="582"/>
      <c r="ITL372" s="584"/>
      <c r="ITM372" s="584"/>
      <c r="ITN372" s="585"/>
      <c r="ITO372" s="586"/>
      <c r="ITP372" s="587"/>
      <c r="ITQ372" s="682"/>
      <c r="ITR372" s="148"/>
      <c r="ITS372" s="148"/>
      <c r="ITT372" s="582"/>
      <c r="ITU372" s="584"/>
      <c r="ITV372" s="584"/>
      <c r="ITW372" s="585"/>
      <c r="ITX372" s="586"/>
      <c r="ITY372" s="587"/>
      <c r="ITZ372" s="682"/>
      <c r="IUA372" s="148"/>
      <c r="IUB372" s="148"/>
      <c r="IUC372" s="582"/>
      <c r="IUD372" s="584"/>
      <c r="IUE372" s="584"/>
      <c r="IUF372" s="585"/>
      <c r="IUG372" s="586"/>
      <c r="IUH372" s="587"/>
      <c r="IUI372" s="682"/>
      <c r="IUJ372" s="148"/>
      <c r="IUK372" s="148"/>
      <c r="IUL372" s="582"/>
      <c r="IUM372" s="584"/>
      <c r="IUN372" s="584"/>
      <c r="IUO372" s="585"/>
      <c r="IUP372" s="586"/>
      <c r="IUQ372" s="587"/>
      <c r="IUR372" s="682"/>
      <c r="IUS372" s="148"/>
      <c r="IUT372" s="148"/>
      <c r="IUU372" s="582"/>
      <c r="IUV372" s="584"/>
      <c r="IUW372" s="584"/>
      <c r="IUX372" s="585"/>
      <c r="IUY372" s="586"/>
      <c r="IUZ372" s="587"/>
      <c r="IVA372" s="682"/>
      <c r="IVB372" s="148"/>
      <c r="IVC372" s="148"/>
      <c r="IVD372" s="582"/>
      <c r="IVE372" s="584"/>
      <c r="IVF372" s="584"/>
      <c r="IVG372" s="585"/>
      <c r="IVH372" s="586"/>
      <c r="IVI372" s="587"/>
      <c r="IVJ372" s="682"/>
      <c r="IVK372" s="148"/>
      <c r="IVL372" s="148"/>
      <c r="IVM372" s="582"/>
      <c r="IVN372" s="584"/>
      <c r="IVO372" s="584"/>
      <c r="IVP372" s="585"/>
      <c r="IVQ372" s="586"/>
      <c r="IVR372" s="587"/>
      <c r="IVS372" s="682"/>
      <c r="IVT372" s="148"/>
      <c r="IVU372" s="148"/>
      <c r="IVV372" s="582"/>
      <c r="IVW372" s="584"/>
      <c r="IVX372" s="584"/>
      <c r="IVY372" s="585"/>
      <c r="IVZ372" s="586"/>
      <c r="IWA372" s="587"/>
      <c r="IWB372" s="682"/>
      <c r="IWC372" s="148"/>
      <c r="IWD372" s="148"/>
      <c r="IWE372" s="582"/>
      <c r="IWF372" s="584"/>
      <c r="IWG372" s="584"/>
      <c r="IWH372" s="585"/>
      <c r="IWI372" s="586"/>
      <c r="IWJ372" s="587"/>
      <c r="IWK372" s="682"/>
      <c r="IWL372" s="148"/>
      <c r="IWM372" s="148"/>
      <c r="IWN372" s="582"/>
      <c r="IWO372" s="584"/>
      <c r="IWP372" s="584"/>
      <c r="IWQ372" s="585"/>
      <c r="IWR372" s="586"/>
      <c r="IWS372" s="587"/>
      <c r="IWT372" s="682"/>
      <c r="IWU372" s="148"/>
      <c r="IWV372" s="148"/>
      <c r="IWW372" s="582"/>
      <c r="IWX372" s="584"/>
      <c r="IWY372" s="584"/>
      <c r="IWZ372" s="585"/>
      <c r="IXA372" s="586"/>
      <c r="IXB372" s="587"/>
      <c r="IXC372" s="682"/>
      <c r="IXD372" s="148"/>
      <c r="IXE372" s="148"/>
      <c r="IXF372" s="582"/>
      <c r="IXG372" s="584"/>
      <c r="IXH372" s="584"/>
      <c r="IXI372" s="585"/>
      <c r="IXJ372" s="586"/>
      <c r="IXK372" s="587"/>
      <c r="IXL372" s="682"/>
      <c r="IXM372" s="148"/>
      <c r="IXN372" s="148"/>
      <c r="IXO372" s="582"/>
      <c r="IXP372" s="584"/>
      <c r="IXQ372" s="584"/>
      <c r="IXR372" s="585"/>
      <c r="IXS372" s="586"/>
      <c r="IXT372" s="587"/>
      <c r="IXU372" s="682"/>
      <c r="IXV372" s="148"/>
      <c r="IXW372" s="148"/>
      <c r="IXX372" s="582"/>
      <c r="IXY372" s="584"/>
      <c r="IXZ372" s="584"/>
      <c r="IYA372" s="585"/>
      <c r="IYB372" s="586"/>
      <c r="IYC372" s="587"/>
      <c r="IYD372" s="682"/>
      <c r="IYE372" s="148"/>
      <c r="IYF372" s="148"/>
      <c r="IYG372" s="582"/>
      <c r="IYH372" s="584"/>
      <c r="IYI372" s="584"/>
      <c r="IYJ372" s="585"/>
      <c r="IYK372" s="586"/>
      <c r="IYL372" s="587"/>
      <c r="IYM372" s="682"/>
      <c r="IYN372" s="148"/>
      <c r="IYO372" s="148"/>
      <c r="IYP372" s="582"/>
      <c r="IYQ372" s="584"/>
      <c r="IYR372" s="584"/>
      <c r="IYS372" s="585"/>
      <c r="IYT372" s="586"/>
      <c r="IYU372" s="587"/>
      <c r="IYV372" s="682"/>
      <c r="IYW372" s="148"/>
      <c r="IYX372" s="148"/>
      <c r="IYY372" s="582"/>
      <c r="IYZ372" s="584"/>
      <c r="IZA372" s="584"/>
      <c r="IZB372" s="585"/>
      <c r="IZC372" s="586"/>
      <c r="IZD372" s="587"/>
      <c r="IZE372" s="682"/>
      <c r="IZF372" s="148"/>
      <c r="IZG372" s="148"/>
      <c r="IZH372" s="582"/>
      <c r="IZI372" s="584"/>
      <c r="IZJ372" s="584"/>
      <c r="IZK372" s="585"/>
      <c r="IZL372" s="586"/>
      <c r="IZM372" s="587"/>
      <c r="IZN372" s="682"/>
      <c r="IZO372" s="148"/>
      <c r="IZP372" s="148"/>
      <c r="IZQ372" s="582"/>
      <c r="IZR372" s="584"/>
      <c r="IZS372" s="584"/>
      <c r="IZT372" s="585"/>
      <c r="IZU372" s="586"/>
      <c r="IZV372" s="587"/>
      <c r="IZW372" s="682"/>
      <c r="IZX372" s="148"/>
      <c r="IZY372" s="148"/>
      <c r="IZZ372" s="582"/>
      <c r="JAA372" s="584"/>
      <c r="JAB372" s="584"/>
      <c r="JAC372" s="585"/>
      <c r="JAD372" s="586"/>
      <c r="JAE372" s="587"/>
      <c r="JAF372" s="682"/>
      <c r="JAG372" s="148"/>
      <c r="JAH372" s="148"/>
      <c r="JAI372" s="582"/>
      <c r="JAJ372" s="584"/>
      <c r="JAK372" s="584"/>
      <c r="JAL372" s="585"/>
      <c r="JAM372" s="586"/>
      <c r="JAN372" s="587"/>
      <c r="JAO372" s="682"/>
      <c r="JAP372" s="148"/>
      <c r="JAQ372" s="148"/>
      <c r="JAR372" s="582"/>
      <c r="JAS372" s="584"/>
      <c r="JAT372" s="584"/>
      <c r="JAU372" s="585"/>
      <c r="JAV372" s="586"/>
      <c r="JAW372" s="587"/>
      <c r="JAX372" s="682"/>
      <c r="JAY372" s="148"/>
      <c r="JAZ372" s="148"/>
      <c r="JBA372" s="582"/>
      <c r="JBB372" s="584"/>
      <c r="JBC372" s="584"/>
      <c r="JBD372" s="585"/>
      <c r="JBE372" s="586"/>
      <c r="JBF372" s="587"/>
      <c r="JBG372" s="682"/>
      <c r="JBH372" s="148"/>
      <c r="JBI372" s="148"/>
      <c r="JBJ372" s="582"/>
      <c r="JBK372" s="584"/>
      <c r="JBL372" s="584"/>
      <c r="JBM372" s="585"/>
      <c r="JBN372" s="586"/>
      <c r="JBO372" s="587"/>
      <c r="JBP372" s="682"/>
      <c r="JBQ372" s="148"/>
      <c r="JBR372" s="148"/>
      <c r="JBS372" s="582"/>
      <c r="JBT372" s="584"/>
      <c r="JBU372" s="584"/>
      <c r="JBV372" s="585"/>
      <c r="JBW372" s="586"/>
      <c r="JBX372" s="587"/>
      <c r="JBY372" s="682"/>
      <c r="JBZ372" s="148"/>
      <c r="JCA372" s="148"/>
      <c r="JCB372" s="582"/>
      <c r="JCC372" s="584"/>
      <c r="JCD372" s="584"/>
      <c r="JCE372" s="585"/>
      <c r="JCF372" s="586"/>
      <c r="JCG372" s="587"/>
      <c r="JCH372" s="682"/>
      <c r="JCI372" s="148"/>
      <c r="JCJ372" s="148"/>
      <c r="JCK372" s="582"/>
      <c r="JCL372" s="584"/>
      <c r="JCM372" s="584"/>
      <c r="JCN372" s="585"/>
      <c r="JCO372" s="586"/>
      <c r="JCP372" s="587"/>
      <c r="JCQ372" s="682"/>
      <c r="JCR372" s="148"/>
      <c r="JCS372" s="148"/>
      <c r="JCT372" s="582"/>
      <c r="JCU372" s="584"/>
      <c r="JCV372" s="584"/>
      <c r="JCW372" s="585"/>
      <c r="JCX372" s="586"/>
      <c r="JCY372" s="587"/>
      <c r="JCZ372" s="682"/>
      <c r="JDA372" s="148"/>
      <c r="JDB372" s="148"/>
      <c r="JDC372" s="582"/>
      <c r="JDD372" s="584"/>
      <c r="JDE372" s="584"/>
      <c r="JDF372" s="585"/>
      <c r="JDG372" s="586"/>
      <c r="JDH372" s="587"/>
      <c r="JDI372" s="682"/>
      <c r="JDJ372" s="148"/>
      <c r="JDK372" s="148"/>
      <c r="JDL372" s="582"/>
      <c r="JDM372" s="584"/>
      <c r="JDN372" s="584"/>
      <c r="JDO372" s="585"/>
      <c r="JDP372" s="586"/>
      <c r="JDQ372" s="587"/>
      <c r="JDR372" s="682"/>
      <c r="JDS372" s="148"/>
      <c r="JDT372" s="148"/>
      <c r="JDU372" s="582"/>
      <c r="JDV372" s="584"/>
      <c r="JDW372" s="584"/>
      <c r="JDX372" s="585"/>
      <c r="JDY372" s="586"/>
      <c r="JDZ372" s="587"/>
      <c r="JEA372" s="682"/>
      <c r="JEB372" s="148"/>
      <c r="JEC372" s="148"/>
      <c r="JED372" s="582"/>
      <c r="JEE372" s="584"/>
      <c r="JEF372" s="584"/>
      <c r="JEG372" s="585"/>
      <c r="JEH372" s="586"/>
      <c r="JEI372" s="587"/>
      <c r="JEJ372" s="682"/>
      <c r="JEK372" s="148"/>
      <c r="JEL372" s="148"/>
      <c r="JEM372" s="582"/>
      <c r="JEN372" s="584"/>
      <c r="JEO372" s="584"/>
      <c r="JEP372" s="585"/>
      <c r="JEQ372" s="586"/>
      <c r="JER372" s="587"/>
      <c r="JES372" s="682"/>
      <c r="JET372" s="148"/>
      <c r="JEU372" s="148"/>
      <c r="JEV372" s="582"/>
      <c r="JEW372" s="584"/>
      <c r="JEX372" s="584"/>
      <c r="JEY372" s="585"/>
      <c r="JEZ372" s="586"/>
      <c r="JFA372" s="587"/>
      <c r="JFB372" s="682"/>
      <c r="JFC372" s="148"/>
      <c r="JFD372" s="148"/>
      <c r="JFE372" s="582"/>
      <c r="JFF372" s="584"/>
      <c r="JFG372" s="584"/>
      <c r="JFH372" s="585"/>
      <c r="JFI372" s="586"/>
      <c r="JFJ372" s="587"/>
      <c r="JFK372" s="682"/>
      <c r="JFL372" s="148"/>
      <c r="JFM372" s="148"/>
      <c r="JFN372" s="582"/>
      <c r="JFO372" s="584"/>
      <c r="JFP372" s="584"/>
      <c r="JFQ372" s="585"/>
      <c r="JFR372" s="586"/>
      <c r="JFS372" s="587"/>
      <c r="JFT372" s="682"/>
      <c r="JFU372" s="148"/>
      <c r="JFV372" s="148"/>
      <c r="JFW372" s="582"/>
      <c r="JFX372" s="584"/>
      <c r="JFY372" s="584"/>
      <c r="JFZ372" s="585"/>
      <c r="JGA372" s="586"/>
      <c r="JGB372" s="587"/>
      <c r="JGC372" s="682"/>
      <c r="JGD372" s="148"/>
      <c r="JGE372" s="148"/>
      <c r="JGF372" s="582"/>
      <c r="JGG372" s="584"/>
      <c r="JGH372" s="584"/>
      <c r="JGI372" s="585"/>
      <c r="JGJ372" s="586"/>
      <c r="JGK372" s="587"/>
      <c r="JGL372" s="682"/>
      <c r="JGM372" s="148"/>
      <c r="JGN372" s="148"/>
      <c r="JGO372" s="582"/>
      <c r="JGP372" s="584"/>
      <c r="JGQ372" s="584"/>
      <c r="JGR372" s="585"/>
      <c r="JGS372" s="586"/>
      <c r="JGT372" s="587"/>
      <c r="JGU372" s="682"/>
      <c r="JGV372" s="148"/>
      <c r="JGW372" s="148"/>
      <c r="JGX372" s="582"/>
      <c r="JGY372" s="584"/>
      <c r="JGZ372" s="584"/>
      <c r="JHA372" s="585"/>
      <c r="JHB372" s="586"/>
      <c r="JHC372" s="587"/>
      <c r="JHD372" s="682"/>
      <c r="JHE372" s="148"/>
      <c r="JHF372" s="148"/>
      <c r="JHG372" s="582"/>
      <c r="JHH372" s="584"/>
      <c r="JHI372" s="584"/>
      <c r="JHJ372" s="585"/>
      <c r="JHK372" s="586"/>
      <c r="JHL372" s="587"/>
      <c r="JHM372" s="682"/>
      <c r="JHN372" s="148"/>
      <c r="JHO372" s="148"/>
      <c r="JHP372" s="582"/>
      <c r="JHQ372" s="584"/>
      <c r="JHR372" s="584"/>
      <c r="JHS372" s="585"/>
      <c r="JHT372" s="586"/>
      <c r="JHU372" s="587"/>
      <c r="JHV372" s="682"/>
      <c r="JHW372" s="148"/>
      <c r="JHX372" s="148"/>
      <c r="JHY372" s="582"/>
      <c r="JHZ372" s="584"/>
      <c r="JIA372" s="584"/>
      <c r="JIB372" s="585"/>
      <c r="JIC372" s="586"/>
      <c r="JID372" s="587"/>
      <c r="JIE372" s="682"/>
      <c r="JIF372" s="148"/>
      <c r="JIG372" s="148"/>
      <c r="JIH372" s="582"/>
      <c r="JII372" s="584"/>
      <c r="JIJ372" s="584"/>
      <c r="JIK372" s="585"/>
      <c r="JIL372" s="586"/>
      <c r="JIM372" s="587"/>
      <c r="JIN372" s="682"/>
      <c r="JIO372" s="148"/>
      <c r="JIP372" s="148"/>
      <c r="JIQ372" s="582"/>
      <c r="JIR372" s="584"/>
      <c r="JIS372" s="584"/>
      <c r="JIT372" s="585"/>
      <c r="JIU372" s="586"/>
      <c r="JIV372" s="587"/>
      <c r="JIW372" s="682"/>
      <c r="JIX372" s="148"/>
      <c r="JIY372" s="148"/>
      <c r="JIZ372" s="582"/>
      <c r="JJA372" s="584"/>
      <c r="JJB372" s="584"/>
      <c r="JJC372" s="585"/>
      <c r="JJD372" s="586"/>
      <c r="JJE372" s="587"/>
      <c r="JJF372" s="682"/>
      <c r="JJG372" s="148"/>
      <c r="JJH372" s="148"/>
      <c r="JJI372" s="582"/>
      <c r="JJJ372" s="584"/>
      <c r="JJK372" s="584"/>
      <c r="JJL372" s="585"/>
      <c r="JJM372" s="586"/>
      <c r="JJN372" s="587"/>
      <c r="JJO372" s="682"/>
      <c r="JJP372" s="148"/>
      <c r="JJQ372" s="148"/>
      <c r="JJR372" s="582"/>
      <c r="JJS372" s="584"/>
      <c r="JJT372" s="584"/>
      <c r="JJU372" s="585"/>
      <c r="JJV372" s="586"/>
      <c r="JJW372" s="587"/>
      <c r="JJX372" s="682"/>
      <c r="JJY372" s="148"/>
      <c r="JJZ372" s="148"/>
      <c r="JKA372" s="582"/>
      <c r="JKB372" s="584"/>
      <c r="JKC372" s="584"/>
      <c r="JKD372" s="585"/>
      <c r="JKE372" s="586"/>
      <c r="JKF372" s="587"/>
      <c r="JKG372" s="682"/>
      <c r="JKH372" s="148"/>
      <c r="JKI372" s="148"/>
      <c r="JKJ372" s="582"/>
      <c r="JKK372" s="584"/>
      <c r="JKL372" s="584"/>
      <c r="JKM372" s="585"/>
      <c r="JKN372" s="586"/>
      <c r="JKO372" s="587"/>
      <c r="JKP372" s="682"/>
      <c r="JKQ372" s="148"/>
      <c r="JKR372" s="148"/>
      <c r="JKS372" s="582"/>
      <c r="JKT372" s="584"/>
      <c r="JKU372" s="584"/>
      <c r="JKV372" s="585"/>
      <c r="JKW372" s="586"/>
      <c r="JKX372" s="587"/>
      <c r="JKY372" s="682"/>
      <c r="JKZ372" s="148"/>
      <c r="JLA372" s="148"/>
      <c r="JLB372" s="582"/>
      <c r="JLC372" s="584"/>
      <c r="JLD372" s="584"/>
      <c r="JLE372" s="585"/>
      <c r="JLF372" s="586"/>
      <c r="JLG372" s="587"/>
      <c r="JLH372" s="682"/>
      <c r="JLI372" s="148"/>
      <c r="JLJ372" s="148"/>
      <c r="JLK372" s="582"/>
      <c r="JLL372" s="584"/>
      <c r="JLM372" s="584"/>
      <c r="JLN372" s="585"/>
      <c r="JLO372" s="586"/>
      <c r="JLP372" s="587"/>
      <c r="JLQ372" s="682"/>
      <c r="JLR372" s="148"/>
      <c r="JLS372" s="148"/>
      <c r="JLT372" s="582"/>
      <c r="JLU372" s="584"/>
      <c r="JLV372" s="584"/>
      <c r="JLW372" s="585"/>
      <c r="JLX372" s="586"/>
      <c r="JLY372" s="587"/>
      <c r="JLZ372" s="682"/>
      <c r="JMA372" s="148"/>
      <c r="JMB372" s="148"/>
      <c r="JMC372" s="582"/>
      <c r="JMD372" s="584"/>
      <c r="JME372" s="584"/>
      <c r="JMF372" s="585"/>
      <c r="JMG372" s="586"/>
      <c r="JMH372" s="587"/>
      <c r="JMI372" s="682"/>
      <c r="JMJ372" s="148"/>
      <c r="JMK372" s="148"/>
      <c r="JML372" s="582"/>
      <c r="JMM372" s="584"/>
      <c r="JMN372" s="584"/>
      <c r="JMO372" s="585"/>
      <c r="JMP372" s="586"/>
      <c r="JMQ372" s="587"/>
      <c r="JMR372" s="682"/>
      <c r="JMS372" s="148"/>
      <c r="JMT372" s="148"/>
      <c r="JMU372" s="582"/>
      <c r="JMV372" s="584"/>
      <c r="JMW372" s="584"/>
      <c r="JMX372" s="585"/>
      <c r="JMY372" s="586"/>
      <c r="JMZ372" s="587"/>
      <c r="JNA372" s="682"/>
      <c r="JNB372" s="148"/>
      <c r="JNC372" s="148"/>
      <c r="JND372" s="582"/>
      <c r="JNE372" s="584"/>
      <c r="JNF372" s="584"/>
      <c r="JNG372" s="585"/>
      <c r="JNH372" s="586"/>
      <c r="JNI372" s="587"/>
      <c r="JNJ372" s="682"/>
      <c r="JNK372" s="148"/>
      <c r="JNL372" s="148"/>
      <c r="JNM372" s="582"/>
      <c r="JNN372" s="584"/>
      <c r="JNO372" s="584"/>
      <c r="JNP372" s="585"/>
      <c r="JNQ372" s="586"/>
      <c r="JNR372" s="587"/>
      <c r="JNS372" s="682"/>
      <c r="JNT372" s="148"/>
      <c r="JNU372" s="148"/>
      <c r="JNV372" s="582"/>
      <c r="JNW372" s="584"/>
      <c r="JNX372" s="584"/>
      <c r="JNY372" s="585"/>
      <c r="JNZ372" s="586"/>
      <c r="JOA372" s="587"/>
      <c r="JOB372" s="682"/>
      <c r="JOC372" s="148"/>
      <c r="JOD372" s="148"/>
      <c r="JOE372" s="582"/>
      <c r="JOF372" s="584"/>
      <c r="JOG372" s="584"/>
      <c r="JOH372" s="585"/>
      <c r="JOI372" s="586"/>
      <c r="JOJ372" s="587"/>
      <c r="JOK372" s="682"/>
      <c r="JOL372" s="148"/>
      <c r="JOM372" s="148"/>
      <c r="JON372" s="582"/>
      <c r="JOO372" s="584"/>
      <c r="JOP372" s="584"/>
      <c r="JOQ372" s="585"/>
      <c r="JOR372" s="586"/>
      <c r="JOS372" s="587"/>
      <c r="JOT372" s="682"/>
      <c r="JOU372" s="148"/>
      <c r="JOV372" s="148"/>
      <c r="JOW372" s="582"/>
      <c r="JOX372" s="584"/>
      <c r="JOY372" s="584"/>
      <c r="JOZ372" s="585"/>
      <c r="JPA372" s="586"/>
      <c r="JPB372" s="587"/>
      <c r="JPC372" s="682"/>
      <c r="JPD372" s="148"/>
      <c r="JPE372" s="148"/>
      <c r="JPF372" s="582"/>
      <c r="JPG372" s="584"/>
      <c r="JPH372" s="584"/>
      <c r="JPI372" s="585"/>
      <c r="JPJ372" s="586"/>
      <c r="JPK372" s="587"/>
      <c r="JPL372" s="682"/>
      <c r="JPM372" s="148"/>
      <c r="JPN372" s="148"/>
      <c r="JPO372" s="582"/>
      <c r="JPP372" s="584"/>
      <c r="JPQ372" s="584"/>
      <c r="JPR372" s="585"/>
      <c r="JPS372" s="586"/>
      <c r="JPT372" s="587"/>
      <c r="JPU372" s="682"/>
      <c r="JPV372" s="148"/>
      <c r="JPW372" s="148"/>
      <c r="JPX372" s="582"/>
      <c r="JPY372" s="584"/>
      <c r="JPZ372" s="584"/>
      <c r="JQA372" s="585"/>
      <c r="JQB372" s="586"/>
      <c r="JQC372" s="587"/>
      <c r="JQD372" s="682"/>
      <c r="JQE372" s="148"/>
      <c r="JQF372" s="148"/>
      <c r="JQG372" s="582"/>
      <c r="JQH372" s="584"/>
      <c r="JQI372" s="584"/>
      <c r="JQJ372" s="585"/>
      <c r="JQK372" s="586"/>
      <c r="JQL372" s="587"/>
      <c r="JQM372" s="682"/>
      <c r="JQN372" s="148"/>
      <c r="JQO372" s="148"/>
      <c r="JQP372" s="582"/>
      <c r="JQQ372" s="584"/>
      <c r="JQR372" s="584"/>
      <c r="JQS372" s="585"/>
      <c r="JQT372" s="586"/>
      <c r="JQU372" s="587"/>
      <c r="JQV372" s="682"/>
      <c r="JQW372" s="148"/>
      <c r="JQX372" s="148"/>
      <c r="JQY372" s="582"/>
      <c r="JQZ372" s="584"/>
      <c r="JRA372" s="584"/>
      <c r="JRB372" s="585"/>
      <c r="JRC372" s="586"/>
      <c r="JRD372" s="587"/>
      <c r="JRE372" s="682"/>
      <c r="JRF372" s="148"/>
      <c r="JRG372" s="148"/>
      <c r="JRH372" s="582"/>
      <c r="JRI372" s="584"/>
      <c r="JRJ372" s="584"/>
      <c r="JRK372" s="585"/>
      <c r="JRL372" s="586"/>
      <c r="JRM372" s="587"/>
      <c r="JRN372" s="682"/>
      <c r="JRO372" s="148"/>
      <c r="JRP372" s="148"/>
      <c r="JRQ372" s="582"/>
      <c r="JRR372" s="584"/>
      <c r="JRS372" s="584"/>
      <c r="JRT372" s="585"/>
      <c r="JRU372" s="586"/>
      <c r="JRV372" s="587"/>
      <c r="JRW372" s="682"/>
      <c r="JRX372" s="148"/>
      <c r="JRY372" s="148"/>
      <c r="JRZ372" s="582"/>
      <c r="JSA372" s="584"/>
      <c r="JSB372" s="584"/>
      <c r="JSC372" s="585"/>
      <c r="JSD372" s="586"/>
      <c r="JSE372" s="587"/>
      <c r="JSF372" s="682"/>
      <c r="JSG372" s="148"/>
      <c r="JSH372" s="148"/>
      <c r="JSI372" s="582"/>
      <c r="JSJ372" s="584"/>
      <c r="JSK372" s="584"/>
      <c r="JSL372" s="585"/>
      <c r="JSM372" s="586"/>
      <c r="JSN372" s="587"/>
      <c r="JSO372" s="682"/>
      <c r="JSP372" s="148"/>
      <c r="JSQ372" s="148"/>
      <c r="JSR372" s="582"/>
      <c r="JSS372" s="584"/>
      <c r="JST372" s="584"/>
      <c r="JSU372" s="585"/>
      <c r="JSV372" s="586"/>
      <c r="JSW372" s="587"/>
      <c r="JSX372" s="682"/>
      <c r="JSY372" s="148"/>
      <c r="JSZ372" s="148"/>
      <c r="JTA372" s="582"/>
      <c r="JTB372" s="584"/>
      <c r="JTC372" s="584"/>
      <c r="JTD372" s="585"/>
      <c r="JTE372" s="586"/>
      <c r="JTF372" s="587"/>
      <c r="JTG372" s="682"/>
      <c r="JTH372" s="148"/>
      <c r="JTI372" s="148"/>
      <c r="JTJ372" s="582"/>
      <c r="JTK372" s="584"/>
      <c r="JTL372" s="584"/>
      <c r="JTM372" s="585"/>
      <c r="JTN372" s="586"/>
      <c r="JTO372" s="587"/>
      <c r="JTP372" s="682"/>
      <c r="JTQ372" s="148"/>
      <c r="JTR372" s="148"/>
      <c r="JTS372" s="582"/>
      <c r="JTT372" s="584"/>
      <c r="JTU372" s="584"/>
      <c r="JTV372" s="585"/>
      <c r="JTW372" s="586"/>
      <c r="JTX372" s="587"/>
      <c r="JTY372" s="682"/>
      <c r="JTZ372" s="148"/>
      <c r="JUA372" s="148"/>
      <c r="JUB372" s="582"/>
      <c r="JUC372" s="584"/>
      <c r="JUD372" s="584"/>
      <c r="JUE372" s="585"/>
      <c r="JUF372" s="586"/>
      <c r="JUG372" s="587"/>
      <c r="JUH372" s="682"/>
      <c r="JUI372" s="148"/>
      <c r="JUJ372" s="148"/>
      <c r="JUK372" s="582"/>
      <c r="JUL372" s="584"/>
      <c r="JUM372" s="584"/>
      <c r="JUN372" s="585"/>
      <c r="JUO372" s="586"/>
      <c r="JUP372" s="587"/>
      <c r="JUQ372" s="682"/>
      <c r="JUR372" s="148"/>
      <c r="JUS372" s="148"/>
      <c r="JUT372" s="582"/>
      <c r="JUU372" s="584"/>
      <c r="JUV372" s="584"/>
      <c r="JUW372" s="585"/>
      <c r="JUX372" s="586"/>
      <c r="JUY372" s="587"/>
      <c r="JUZ372" s="682"/>
      <c r="JVA372" s="148"/>
      <c r="JVB372" s="148"/>
      <c r="JVC372" s="582"/>
      <c r="JVD372" s="584"/>
      <c r="JVE372" s="584"/>
      <c r="JVF372" s="585"/>
      <c r="JVG372" s="586"/>
      <c r="JVH372" s="587"/>
      <c r="JVI372" s="682"/>
      <c r="JVJ372" s="148"/>
      <c r="JVK372" s="148"/>
      <c r="JVL372" s="582"/>
      <c r="JVM372" s="584"/>
      <c r="JVN372" s="584"/>
      <c r="JVO372" s="585"/>
      <c r="JVP372" s="586"/>
      <c r="JVQ372" s="587"/>
      <c r="JVR372" s="682"/>
      <c r="JVS372" s="148"/>
      <c r="JVT372" s="148"/>
      <c r="JVU372" s="582"/>
      <c r="JVV372" s="584"/>
      <c r="JVW372" s="584"/>
      <c r="JVX372" s="585"/>
      <c r="JVY372" s="586"/>
      <c r="JVZ372" s="587"/>
      <c r="JWA372" s="682"/>
      <c r="JWB372" s="148"/>
      <c r="JWC372" s="148"/>
      <c r="JWD372" s="582"/>
      <c r="JWE372" s="584"/>
      <c r="JWF372" s="584"/>
      <c r="JWG372" s="585"/>
      <c r="JWH372" s="586"/>
      <c r="JWI372" s="587"/>
      <c r="JWJ372" s="682"/>
      <c r="JWK372" s="148"/>
      <c r="JWL372" s="148"/>
      <c r="JWM372" s="582"/>
      <c r="JWN372" s="584"/>
      <c r="JWO372" s="584"/>
      <c r="JWP372" s="585"/>
      <c r="JWQ372" s="586"/>
      <c r="JWR372" s="587"/>
      <c r="JWS372" s="682"/>
      <c r="JWT372" s="148"/>
      <c r="JWU372" s="148"/>
      <c r="JWV372" s="582"/>
      <c r="JWW372" s="584"/>
      <c r="JWX372" s="584"/>
      <c r="JWY372" s="585"/>
      <c r="JWZ372" s="586"/>
      <c r="JXA372" s="587"/>
      <c r="JXB372" s="682"/>
      <c r="JXC372" s="148"/>
      <c r="JXD372" s="148"/>
      <c r="JXE372" s="582"/>
      <c r="JXF372" s="584"/>
      <c r="JXG372" s="584"/>
      <c r="JXH372" s="585"/>
      <c r="JXI372" s="586"/>
      <c r="JXJ372" s="587"/>
      <c r="JXK372" s="682"/>
      <c r="JXL372" s="148"/>
      <c r="JXM372" s="148"/>
      <c r="JXN372" s="582"/>
      <c r="JXO372" s="584"/>
      <c r="JXP372" s="584"/>
      <c r="JXQ372" s="585"/>
      <c r="JXR372" s="586"/>
      <c r="JXS372" s="587"/>
      <c r="JXT372" s="682"/>
      <c r="JXU372" s="148"/>
      <c r="JXV372" s="148"/>
      <c r="JXW372" s="582"/>
      <c r="JXX372" s="584"/>
      <c r="JXY372" s="584"/>
      <c r="JXZ372" s="585"/>
      <c r="JYA372" s="586"/>
      <c r="JYB372" s="587"/>
      <c r="JYC372" s="682"/>
      <c r="JYD372" s="148"/>
      <c r="JYE372" s="148"/>
      <c r="JYF372" s="582"/>
      <c r="JYG372" s="584"/>
      <c r="JYH372" s="584"/>
      <c r="JYI372" s="585"/>
      <c r="JYJ372" s="586"/>
      <c r="JYK372" s="587"/>
      <c r="JYL372" s="682"/>
      <c r="JYM372" s="148"/>
      <c r="JYN372" s="148"/>
      <c r="JYO372" s="582"/>
      <c r="JYP372" s="584"/>
      <c r="JYQ372" s="584"/>
      <c r="JYR372" s="585"/>
      <c r="JYS372" s="586"/>
      <c r="JYT372" s="587"/>
      <c r="JYU372" s="682"/>
      <c r="JYV372" s="148"/>
      <c r="JYW372" s="148"/>
      <c r="JYX372" s="582"/>
      <c r="JYY372" s="584"/>
      <c r="JYZ372" s="584"/>
      <c r="JZA372" s="585"/>
      <c r="JZB372" s="586"/>
      <c r="JZC372" s="587"/>
      <c r="JZD372" s="682"/>
      <c r="JZE372" s="148"/>
      <c r="JZF372" s="148"/>
      <c r="JZG372" s="582"/>
      <c r="JZH372" s="584"/>
      <c r="JZI372" s="584"/>
      <c r="JZJ372" s="585"/>
      <c r="JZK372" s="586"/>
      <c r="JZL372" s="587"/>
      <c r="JZM372" s="682"/>
      <c r="JZN372" s="148"/>
      <c r="JZO372" s="148"/>
      <c r="JZP372" s="582"/>
      <c r="JZQ372" s="584"/>
      <c r="JZR372" s="584"/>
      <c r="JZS372" s="585"/>
      <c r="JZT372" s="586"/>
      <c r="JZU372" s="587"/>
      <c r="JZV372" s="682"/>
      <c r="JZW372" s="148"/>
      <c r="JZX372" s="148"/>
      <c r="JZY372" s="582"/>
      <c r="JZZ372" s="584"/>
      <c r="KAA372" s="584"/>
      <c r="KAB372" s="585"/>
      <c r="KAC372" s="586"/>
      <c r="KAD372" s="587"/>
      <c r="KAE372" s="682"/>
      <c r="KAF372" s="148"/>
      <c r="KAG372" s="148"/>
      <c r="KAH372" s="582"/>
      <c r="KAI372" s="584"/>
      <c r="KAJ372" s="584"/>
      <c r="KAK372" s="585"/>
      <c r="KAL372" s="586"/>
      <c r="KAM372" s="587"/>
      <c r="KAN372" s="682"/>
      <c r="KAO372" s="148"/>
      <c r="KAP372" s="148"/>
      <c r="KAQ372" s="582"/>
      <c r="KAR372" s="584"/>
      <c r="KAS372" s="584"/>
      <c r="KAT372" s="585"/>
      <c r="KAU372" s="586"/>
      <c r="KAV372" s="587"/>
      <c r="KAW372" s="682"/>
      <c r="KAX372" s="148"/>
      <c r="KAY372" s="148"/>
      <c r="KAZ372" s="582"/>
      <c r="KBA372" s="584"/>
      <c r="KBB372" s="584"/>
      <c r="KBC372" s="585"/>
      <c r="KBD372" s="586"/>
      <c r="KBE372" s="587"/>
      <c r="KBF372" s="682"/>
      <c r="KBG372" s="148"/>
      <c r="KBH372" s="148"/>
      <c r="KBI372" s="582"/>
      <c r="KBJ372" s="584"/>
      <c r="KBK372" s="584"/>
      <c r="KBL372" s="585"/>
      <c r="KBM372" s="586"/>
      <c r="KBN372" s="587"/>
      <c r="KBO372" s="682"/>
      <c r="KBP372" s="148"/>
      <c r="KBQ372" s="148"/>
      <c r="KBR372" s="582"/>
      <c r="KBS372" s="584"/>
      <c r="KBT372" s="584"/>
      <c r="KBU372" s="585"/>
      <c r="KBV372" s="586"/>
      <c r="KBW372" s="587"/>
      <c r="KBX372" s="682"/>
      <c r="KBY372" s="148"/>
      <c r="KBZ372" s="148"/>
      <c r="KCA372" s="582"/>
      <c r="KCB372" s="584"/>
      <c r="KCC372" s="584"/>
      <c r="KCD372" s="585"/>
      <c r="KCE372" s="586"/>
      <c r="KCF372" s="587"/>
      <c r="KCG372" s="682"/>
      <c r="KCH372" s="148"/>
      <c r="KCI372" s="148"/>
      <c r="KCJ372" s="582"/>
      <c r="KCK372" s="584"/>
      <c r="KCL372" s="584"/>
      <c r="KCM372" s="585"/>
      <c r="KCN372" s="586"/>
      <c r="KCO372" s="587"/>
      <c r="KCP372" s="682"/>
      <c r="KCQ372" s="148"/>
      <c r="KCR372" s="148"/>
      <c r="KCS372" s="582"/>
      <c r="KCT372" s="584"/>
      <c r="KCU372" s="584"/>
      <c r="KCV372" s="585"/>
      <c r="KCW372" s="586"/>
      <c r="KCX372" s="587"/>
      <c r="KCY372" s="682"/>
      <c r="KCZ372" s="148"/>
      <c r="KDA372" s="148"/>
      <c r="KDB372" s="582"/>
      <c r="KDC372" s="584"/>
      <c r="KDD372" s="584"/>
      <c r="KDE372" s="585"/>
      <c r="KDF372" s="586"/>
      <c r="KDG372" s="587"/>
      <c r="KDH372" s="682"/>
      <c r="KDI372" s="148"/>
      <c r="KDJ372" s="148"/>
      <c r="KDK372" s="582"/>
      <c r="KDL372" s="584"/>
      <c r="KDM372" s="584"/>
      <c r="KDN372" s="585"/>
      <c r="KDO372" s="586"/>
      <c r="KDP372" s="587"/>
      <c r="KDQ372" s="682"/>
      <c r="KDR372" s="148"/>
      <c r="KDS372" s="148"/>
      <c r="KDT372" s="582"/>
      <c r="KDU372" s="584"/>
      <c r="KDV372" s="584"/>
      <c r="KDW372" s="585"/>
      <c r="KDX372" s="586"/>
      <c r="KDY372" s="587"/>
      <c r="KDZ372" s="682"/>
      <c r="KEA372" s="148"/>
      <c r="KEB372" s="148"/>
      <c r="KEC372" s="582"/>
      <c r="KED372" s="584"/>
      <c r="KEE372" s="584"/>
      <c r="KEF372" s="585"/>
      <c r="KEG372" s="586"/>
      <c r="KEH372" s="587"/>
      <c r="KEI372" s="682"/>
      <c r="KEJ372" s="148"/>
      <c r="KEK372" s="148"/>
      <c r="KEL372" s="582"/>
      <c r="KEM372" s="584"/>
      <c r="KEN372" s="584"/>
      <c r="KEO372" s="585"/>
      <c r="KEP372" s="586"/>
      <c r="KEQ372" s="587"/>
      <c r="KER372" s="682"/>
      <c r="KES372" s="148"/>
      <c r="KET372" s="148"/>
      <c r="KEU372" s="582"/>
      <c r="KEV372" s="584"/>
      <c r="KEW372" s="584"/>
      <c r="KEX372" s="585"/>
      <c r="KEY372" s="586"/>
      <c r="KEZ372" s="587"/>
      <c r="KFA372" s="682"/>
      <c r="KFB372" s="148"/>
      <c r="KFC372" s="148"/>
      <c r="KFD372" s="582"/>
      <c r="KFE372" s="584"/>
      <c r="KFF372" s="584"/>
      <c r="KFG372" s="585"/>
      <c r="KFH372" s="586"/>
      <c r="KFI372" s="587"/>
      <c r="KFJ372" s="682"/>
      <c r="KFK372" s="148"/>
      <c r="KFL372" s="148"/>
      <c r="KFM372" s="582"/>
      <c r="KFN372" s="584"/>
      <c r="KFO372" s="584"/>
      <c r="KFP372" s="585"/>
      <c r="KFQ372" s="586"/>
      <c r="KFR372" s="587"/>
      <c r="KFS372" s="682"/>
      <c r="KFT372" s="148"/>
      <c r="KFU372" s="148"/>
      <c r="KFV372" s="582"/>
      <c r="KFW372" s="584"/>
      <c r="KFX372" s="584"/>
      <c r="KFY372" s="585"/>
      <c r="KFZ372" s="586"/>
      <c r="KGA372" s="587"/>
      <c r="KGB372" s="682"/>
      <c r="KGC372" s="148"/>
      <c r="KGD372" s="148"/>
      <c r="KGE372" s="582"/>
      <c r="KGF372" s="584"/>
      <c r="KGG372" s="584"/>
      <c r="KGH372" s="585"/>
      <c r="KGI372" s="586"/>
      <c r="KGJ372" s="587"/>
      <c r="KGK372" s="682"/>
      <c r="KGL372" s="148"/>
      <c r="KGM372" s="148"/>
      <c r="KGN372" s="582"/>
      <c r="KGO372" s="584"/>
      <c r="KGP372" s="584"/>
      <c r="KGQ372" s="585"/>
      <c r="KGR372" s="586"/>
      <c r="KGS372" s="587"/>
      <c r="KGT372" s="682"/>
      <c r="KGU372" s="148"/>
      <c r="KGV372" s="148"/>
      <c r="KGW372" s="582"/>
      <c r="KGX372" s="584"/>
      <c r="KGY372" s="584"/>
      <c r="KGZ372" s="585"/>
      <c r="KHA372" s="586"/>
      <c r="KHB372" s="587"/>
      <c r="KHC372" s="682"/>
      <c r="KHD372" s="148"/>
      <c r="KHE372" s="148"/>
      <c r="KHF372" s="582"/>
      <c r="KHG372" s="584"/>
      <c r="KHH372" s="584"/>
      <c r="KHI372" s="585"/>
      <c r="KHJ372" s="586"/>
      <c r="KHK372" s="587"/>
      <c r="KHL372" s="682"/>
      <c r="KHM372" s="148"/>
      <c r="KHN372" s="148"/>
      <c r="KHO372" s="582"/>
      <c r="KHP372" s="584"/>
      <c r="KHQ372" s="584"/>
      <c r="KHR372" s="585"/>
      <c r="KHS372" s="586"/>
      <c r="KHT372" s="587"/>
      <c r="KHU372" s="682"/>
      <c r="KHV372" s="148"/>
      <c r="KHW372" s="148"/>
      <c r="KHX372" s="582"/>
      <c r="KHY372" s="584"/>
      <c r="KHZ372" s="584"/>
      <c r="KIA372" s="585"/>
      <c r="KIB372" s="586"/>
      <c r="KIC372" s="587"/>
      <c r="KID372" s="682"/>
      <c r="KIE372" s="148"/>
      <c r="KIF372" s="148"/>
      <c r="KIG372" s="582"/>
      <c r="KIH372" s="584"/>
      <c r="KII372" s="584"/>
      <c r="KIJ372" s="585"/>
      <c r="KIK372" s="586"/>
      <c r="KIL372" s="587"/>
      <c r="KIM372" s="682"/>
      <c r="KIN372" s="148"/>
      <c r="KIO372" s="148"/>
      <c r="KIP372" s="582"/>
      <c r="KIQ372" s="584"/>
      <c r="KIR372" s="584"/>
      <c r="KIS372" s="585"/>
      <c r="KIT372" s="586"/>
      <c r="KIU372" s="587"/>
      <c r="KIV372" s="682"/>
      <c r="KIW372" s="148"/>
      <c r="KIX372" s="148"/>
      <c r="KIY372" s="582"/>
      <c r="KIZ372" s="584"/>
      <c r="KJA372" s="584"/>
      <c r="KJB372" s="585"/>
      <c r="KJC372" s="586"/>
      <c r="KJD372" s="587"/>
      <c r="KJE372" s="682"/>
      <c r="KJF372" s="148"/>
      <c r="KJG372" s="148"/>
      <c r="KJH372" s="582"/>
      <c r="KJI372" s="584"/>
      <c r="KJJ372" s="584"/>
      <c r="KJK372" s="585"/>
      <c r="KJL372" s="586"/>
      <c r="KJM372" s="587"/>
      <c r="KJN372" s="682"/>
      <c r="KJO372" s="148"/>
      <c r="KJP372" s="148"/>
      <c r="KJQ372" s="582"/>
      <c r="KJR372" s="584"/>
      <c r="KJS372" s="584"/>
      <c r="KJT372" s="585"/>
      <c r="KJU372" s="586"/>
      <c r="KJV372" s="587"/>
      <c r="KJW372" s="682"/>
      <c r="KJX372" s="148"/>
      <c r="KJY372" s="148"/>
      <c r="KJZ372" s="582"/>
      <c r="KKA372" s="584"/>
      <c r="KKB372" s="584"/>
      <c r="KKC372" s="585"/>
      <c r="KKD372" s="586"/>
      <c r="KKE372" s="587"/>
      <c r="KKF372" s="682"/>
      <c r="KKG372" s="148"/>
      <c r="KKH372" s="148"/>
      <c r="KKI372" s="582"/>
      <c r="KKJ372" s="584"/>
      <c r="KKK372" s="584"/>
      <c r="KKL372" s="585"/>
      <c r="KKM372" s="586"/>
      <c r="KKN372" s="587"/>
      <c r="KKO372" s="682"/>
      <c r="KKP372" s="148"/>
      <c r="KKQ372" s="148"/>
      <c r="KKR372" s="582"/>
      <c r="KKS372" s="584"/>
      <c r="KKT372" s="584"/>
      <c r="KKU372" s="585"/>
      <c r="KKV372" s="586"/>
      <c r="KKW372" s="587"/>
      <c r="KKX372" s="682"/>
      <c r="KKY372" s="148"/>
      <c r="KKZ372" s="148"/>
      <c r="KLA372" s="582"/>
      <c r="KLB372" s="584"/>
      <c r="KLC372" s="584"/>
      <c r="KLD372" s="585"/>
      <c r="KLE372" s="586"/>
      <c r="KLF372" s="587"/>
      <c r="KLG372" s="682"/>
      <c r="KLH372" s="148"/>
      <c r="KLI372" s="148"/>
      <c r="KLJ372" s="582"/>
      <c r="KLK372" s="584"/>
      <c r="KLL372" s="584"/>
      <c r="KLM372" s="585"/>
      <c r="KLN372" s="586"/>
      <c r="KLO372" s="587"/>
      <c r="KLP372" s="682"/>
      <c r="KLQ372" s="148"/>
      <c r="KLR372" s="148"/>
      <c r="KLS372" s="582"/>
      <c r="KLT372" s="584"/>
      <c r="KLU372" s="584"/>
      <c r="KLV372" s="585"/>
      <c r="KLW372" s="586"/>
      <c r="KLX372" s="587"/>
      <c r="KLY372" s="682"/>
      <c r="KLZ372" s="148"/>
      <c r="KMA372" s="148"/>
      <c r="KMB372" s="582"/>
      <c r="KMC372" s="584"/>
      <c r="KMD372" s="584"/>
      <c r="KME372" s="585"/>
      <c r="KMF372" s="586"/>
      <c r="KMG372" s="587"/>
      <c r="KMH372" s="682"/>
      <c r="KMI372" s="148"/>
      <c r="KMJ372" s="148"/>
      <c r="KMK372" s="582"/>
      <c r="KML372" s="584"/>
      <c r="KMM372" s="584"/>
      <c r="KMN372" s="585"/>
      <c r="KMO372" s="586"/>
      <c r="KMP372" s="587"/>
      <c r="KMQ372" s="682"/>
      <c r="KMR372" s="148"/>
      <c r="KMS372" s="148"/>
      <c r="KMT372" s="582"/>
      <c r="KMU372" s="584"/>
      <c r="KMV372" s="584"/>
      <c r="KMW372" s="585"/>
      <c r="KMX372" s="586"/>
      <c r="KMY372" s="587"/>
      <c r="KMZ372" s="682"/>
      <c r="KNA372" s="148"/>
      <c r="KNB372" s="148"/>
      <c r="KNC372" s="582"/>
      <c r="KND372" s="584"/>
      <c r="KNE372" s="584"/>
      <c r="KNF372" s="585"/>
      <c r="KNG372" s="586"/>
      <c r="KNH372" s="587"/>
      <c r="KNI372" s="682"/>
      <c r="KNJ372" s="148"/>
      <c r="KNK372" s="148"/>
      <c r="KNL372" s="582"/>
      <c r="KNM372" s="584"/>
      <c r="KNN372" s="584"/>
      <c r="KNO372" s="585"/>
      <c r="KNP372" s="586"/>
      <c r="KNQ372" s="587"/>
      <c r="KNR372" s="682"/>
      <c r="KNS372" s="148"/>
      <c r="KNT372" s="148"/>
      <c r="KNU372" s="582"/>
      <c r="KNV372" s="584"/>
      <c r="KNW372" s="584"/>
      <c r="KNX372" s="585"/>
      <c r="KNY372" s="586"/>
      <c r="KNZ372" s="587"/>
      <c r="KOA372" s="682"/>
      <c r="KOB372" s="148"/>
      <c r="KOC372" s="148"/>
      <c r="KOD372" s="582"/>
      <c r="KOE372" s="584"/>
      <c r="KOF372" s="584"/>
      <c r="KOG372" s="585"/>
      <c r="KOH372" s="586"/>
      <c r="KOI372" s="587"/>
      <c r="KOJ372" s="682"/>
      <c r="KOK372" s="148"/>
      <c r="KOL372" s="148"/>
      <c r="KOM372" s="582"/>
      <c r="KON372" s="584"/>
      <c r="KOO372" s="584"/>
      <c r="KOP372" s="585"/>
      <c r="KOQ372" s="586"/>
      <c r="KOR372" s="587"/>
      <c r="KOS372" s="682"/>
      <c r="KOT372" s="148"/>
      <c r="KOU372" s="148"/>
      <c r="KOV372" s="582"/>
      <c r="KOW372" s="584"/>
      <c r="KOX372" s="584"/>
      <c r="KOY372" s="585"/>
      <c r="KOZ372" s="586"/>
      <c r="KPA372" s="587"/>
      <c r="KPB372" s="682"/>
      <c r="KPC372" s="148"/>
      <c r="KPD372" s="148"/>
      <c r="KPE372" s="582"/>
      <c r="KPF372" s="584"/>
      <c r="KPG372" s="584"/>
      <c r="KPH372" s="585"/>
      <c r="KPI372" s="586"/>
      <c r="KPJ372" s="587"/>
      <c r="KPK372" s="682"/>
      <c r="KPL372" s="148"/>
      <c r="KPM372" s="148"/>
      <c r="KPN372" s="582"/>
      <c r="KPO372" s="584"/>
      <c r="KPP372" s="584"/>
      <c r="KPQ372" s="585"/>
      <c r="KPR372" s="586"/>
      <c r="KPS372" s="587"/>
      <c r="KPT372" s="682"/>
      <c r="KPU372" s="148"/>
      <c r="KPV372" s="148"/>
      <c r="KPW372" s="582"/>
      <c r="KPX372" s="584"/>
      <c r="KPY372" s="584"/>
      <c r="KPZ372" s="585"/>
      <c r="KQA372" s="586"/>
      <c r="KQB372" s="587"/>
      <c r="KQC372" s="682"/>
      <c r="KQD372" s="148"/>
      <c r="KQE372" s="148"/>
      <c r="KQF372" s="582"/>
      <c r="KQG372" s="584"/>
      <c r="KQH372" s="584"/>
      <c r="KQI372" s="585"/>
      <c r="KQJ372" s="586"/>
      <c r="KQK372" s="587"/>
      <c r="KQL372" s="682"/>
      <c r="KQM372" s="148"/>
      <c r="KQN372" s="148"/>
      <c r="KQO372" s="582"/>
      <c r="KQP372" s="584"/>
      <c r="KQQ372" s="584"/>
      <c r="KQR372" s="585"/>
      <c r="KQS372" s="586"/>
      <c r="KQT372" s="587"/>
      <c r="KQU372" s="682"/>
      <c r="KQV372" s="148"/>
      <c r="KQW372" s="148"/>
      <c r="KQX372" s="582"/>
      <c r="KQY372" s="584"/>
      <c r="KQZ372" s="584"/>
      <c r="KRA372" s="585"/>
      <c r="KRB372" s="586"/>
      <c r="KRC372" s="587"/>
      <c r="KRD372" s="682"/>
      <c r="KRE372" s="148"/>
      <c r="KRF372" s="148"/>
      <c r="KRG372" s="582"/>
      <c r="KRH372" s="584"/>
      <c r="KRI372" s="584"/>
      <c r="KRJ372" s="585"/>
      <c r="KRK372" s="586"/>
      <c r="KRL372" s="587"/>
      <c r="KRM372" s="682"/>
      <c r="KRN372" s="148"/>
      <c r="KRO372" s="148"/>
      <c r="KRP372" s="582"/>
      <c r="KRQ372" s="584"/>
      <c r="KRR372" s="584"/>
      <c r="KRS372" s="585"/>
      <c r="KRT372" s="586"/>
      <c r="KRU372" s="587"/>
      <c r="KRV372" s="682"/>
      <c r="KRW372" s="148"/>
      <c r="KRX372" s="148"/>
      <c r="KRY372" s="582"/>
      <c r="KRZ372" s="584"/>
      <c r="KSA372" s="584"/>
      <c r="KSB372" s="585"/>
      <c r="KSC372" s="586"/>
      <c r="KSD372" s="587"/>
      <c r="KSE372" s="682"/>
      <c r="KSF372" s="148"/>
      <c r="KSG372" s="148"/>
      <c r="KSH372" s="582"/>
      <c r="KSI372" s="584"/>
      <c r="KSJ372" s="584"/>
      <c r="KSK372" s="585"/>
      <c r="KSL372" s="586"/>
      <c r="KSM372" s="587"/>
      <c r="KSN372" s="682"/>
      <c r="KSO372" s="148"/>
      <c r="KSP372" s="148"/>
      <c r="KSQ372" s="582"/>
      <c r="KSR372" s="584"/>
      <c r="KSS372" s="584"/>
      <c r="KST372" s="585"/>
      <c r="KSU372" s="586"/>
      <c r="KSV372" s="587"/>
      <c r="KSW372" s="682"/>
      <c r="KSX372" s="148"/>
      <c r="KSY372" s="148"/>
      <c r="KSZ372" s="582"/>
      <c r="KTA372" s="584"/>
      <c r="KTB372" s="584"/>
      <c r="KTC372" s="585"/>
      <c r="KTD372" s="586"/>
      <c r="KTE372" s="587"/>
      <c r="KTF372" s="682"/>
      <c r="KTG372" s="148"/>
      <c r="KTH372" s="148"/>
      <c r="KTI372" s="582"/>
      <c r="KTJ372" s="584"/>
      <c r="KTK372" s="584"/>
      <c r="KTL372" s="585"/>
      <c r="KTM372" s="586"/>
      <c r="KTN372" s="587"/>
      <c r="KTO372" s="682"/>
      <c r="KTP372" s="148"/>
      <c r="KTQ372" s="148"/>
      <c r="KTR372" s="582"/>
      <c r="KTS372" s="584"/>
      <c r="KTT372" s="584"/>
      <c r="KTU372" s="585"/>
      <c r="KTV372" s="586"/>
      <c r="KTW372" s="587"/>
      <c r="KTX372" s="682"/>
      <c r="KTY372" s="148"/>
      <c r="KTZ372" s="148"/>
      <c r="KUA372" s="582"/>
      <c r="KUB372" s="584"/>
      <c r="KUC372" s="584"/>
      <c r="KUD372" s="585"/>
      <c r="KUE372" s="586"/>
      <c r="KUF372" s="587"/>
      <c r="KUG372" s="682"/>
      <c r="KUH372" s="148"/>
      <c r="KUI372" s="148"/>
      <c r="KUJ372" s="582"/>
      <c r="KUK372" s="584"/>
      <c r="KUL372" s="584"/>
      <c r="KUM372" s="585"/>
      <c r="KUN372" s="586"/>
      <c r="KUO372" s="587"/>
      <c r="KUP372" s="682"/>
      <c r="KUQ372" s="148"/>
      <c r="KUR372" s="148"/>
      <c r="KUS372" s="582"/>
      <c r="KUT372" s="584"/>
      <c r="KUU372" s="584"/>
      <c r="KUV372" s="585"/>
      <c r="KUW372" s="586"/>
      <c r="KUX372" s="587"/>
      <c r="KUY372" s="682"/>
      <c r="KUZ372" s="148"/>
      <c r="KVA372" s="148"/>
      <c r="KVB372" s="582"/>
      <c r="KVC372" s="584"/>
      <c r="KVD372" s="584"/>
      <c r="KVE372" s="585"/>
      <c r="KVF372" s="586"/>
      <c r="KVG372" s="587"/>
      <c r="KVH372" s="682"/>
      <c r="KVI372" s="148"/>
      <c r="KVJ372" s="148"/>
      <c r="KVK372" s="582"/>
      <c r="KVL372" s="584"/>
      <c r="KVM372" s="584"/>
      <c r="KVN372" s="585"/>
      <c r="KVO372" s="586"/>
      <c r="KVP372" s="587"/>
      <c r="KVQ372" s="682"/>
      <c r="KVR372" s="148"/>
      <c r="KVS372" s="148"/>
      <c r="KVT372" s="582"/>
      <c r="KVU372" s="584"/>
      <c r="KVV372" s="584"/>
      <c r="KVW372" s="585"/>
      <c r="KVX372" s="586"/>
      <c r="KVY372" s="587"/>
      <c r="KVZ372" s="682"/>
      <c r="KWA372" s="148"/>
      <c r="KWB372" s="148"/>
      <c r="KWC372" s="582"/>
      <c r="KWD372" s="584"/>
      <c r="KWE372" s="584"/>
      <c r="KWF372" s="585"/>
      <c r="KWG372" s="586"/>
      <c r="KWH372" s="587"/>
      <c r="KWI372" s="682"/>
      <c r="KWJ372" s="148"/>
      <c r="KWK372" s="148"/>
      <c r="KWL372" s="582"/>
      <c r="KWM372" s="584"/>
      <c r="KWN372" s="584"/>
      <c r="KWO372" s="585"/>
      <c r="KWP372" s="586"/>
      <c r="KWQ372" s="587"/>
      <c r="KWR372" s="682"/>
      <c r="KWS372" s="148"/>
      <c r="KWT372" s="148"/>
      <c r="KWU372" s="582"/>
      <c r="KWV372" s="584"/>
      <c r="KWW372" s="584"/>
      <c r="KWX372" s="585"/>
      <c r="KWY372" s="586"/>
      <c r="KWZ372" s="587"/>
      <c r="KXA372" s="682"/>
      <c r="KXB372" s="148"/>
      <c r="KXC372" s="148"/>
      <c r="KXD372" s="582"/>
      <c r="KXE372" s="584"/>
      <c r="KXF372" s="584"/>
      <c r="KXG372" s="585"/>
      <c r="KXH372" s="586"/>
      <c r="KXI372" s="587"/>
      <c r="KXJ372" s="682"/>
      <c r="KXK372" s="148"/>
      <c r="KXL372" s="148"/>
      <c r="KXM372" s="582"/>
      <c r="KXN372" s="584"/>
      <c r="KXO372" s="584"/>
      <c r="KXP372" s="585"/>
      <c r="KXQ372" s="586"/>
      <c r="KXR372" s="587"/>
      <c r="KXS372" s="682"/>
      <c r="KXT372" s="148"/>
      <c r="KXU372" s="148"/>
      <c r="KXV372" s="582"/>
      <c r="KXW372" s="584"/>
      <c r="KXX372" s="584"/>
      <c r="KXY372" s="585"/>
      <c r="KXZ372" s="586"/>
      <c r="KYA372" s="587"/>
      <c r="KYB372" s="682"/>
      <c r="KYC372" s="148"/>
      <c r="KYD372" s="148"/>
      <c r="KYE372" s="582"/>
      <c r="KYF372" s="584"/>
      <c r="KYG372" s="584"/>
      <c r="KYH372" s="585"/>
      <c r="KYI372" s="586"/>
      <c r="KYJ372" s="587"/>
      <c r="KYK372" s="682"/>
      <c r="KYL372" s="148"/>
      <c r="KYM372" s="148"/>
      <c r="KYN372" s="582"/>
      <c r="KYO372" s="584"/>
      <c r="KYP372" s="584"/>
      <c r="KYQ372" s="585"/>
      <c r="KYR372" s="586"/>
      <c r="KYS372" s="587"/>
      <c r="KYT372" s="682"/>
      <c r="KYU372" s="148"/>
      <c r="KYV372" s="148"/>
      <c r="KYW372" s="582"/>
      <c r="KYX372" s="584"/>
      <c r="KYY372" s="584"/>
      <c r="KYZ372" s="585"/>
      <c r="KZA372" s="586"/>
      <c r="KZB372" s="587"/>
      <c r="KZC372" s="682"/>
      <c r="KZD372" s="148"/>
      <c r="KZE372" s="148"/>
      <c r="KZF372" s="582"/>
      <c r="KZG372" s="584"/>
      <c r="KZH372" s="584"/>
      <c r="KZI372" s="585"/>
      <c r="KZJ372" s="586"/>
      <c r="KZK372" s="587"/>
      <c r="KZL372" s="682"/>
      <c r="KZM372" s="148"/>
      <c r="KZN372" s="148"/>
      <c r="KZO372" s="582"/>
      <c r="KZP372" s="584"/>
      <c r="KZQ372" s="584"/>
      <c r="KZR372" s="585"/>
      <c r="KZS372" s="586"/>
      <c r="KZT372" s="587"/>
      <c r="KZU372" s="682"/>
      <c r="KZV372" s="148"/>
      <c r="KZW372" s="148"/>
      <c r="KZX372" s="582"/>
      <c r="KZY372" s="584"/>
      <c r="KZZ372" s="584"/>
      <c r="LAA372" s="585"/>
      <c r="LAB372" s="586"/>
      <c r="LAC372" s="587"/>
      <c r="LAD372" s="682"/>
      <c r="LAE372" s="148"/>
      <c r="LAF372" s="148"/>
      <c r="LAG372" s="582"/>
      <c r="LAH372" s="584"/>
      <c r="LAI372" s="584"/>
      <c r="LAJ372" s="585"/>
      <c r="LAK372" s="586"/>
      <c r="LAL372" s="587"/>
      <c r="LAM372" s="682"/>
      <c r="LAN372" s="148"/>
      <c r="LAO372" s="148"/>
      <c r="LAP372" s="582"/>
      <c r="LAQ372" s="584"/>
      <c r="LAR372" s="584"/>
      <c r="LAS372" s="585"/>
      <c r="LAT372" s="586"/>
      <c r="LAU372" s="587"/>
      <c r="LAV372" s="682"/>
      <c r="LAW372" s="148"/>
      <c r="LAX372" s="148"/>
      <c r="LAY372" s="582"/>
      <c r="LAZ372" s="584"/>
      <c r="LBA372" s="584"/>
      <c r="LBB372" s="585"/>
      <c r="LBC372" s="586"/>
      <c r="LBD372" s="587"/>
      <c r="LBE372" s="682"/>
      <c r="LBF372" s="148"/>
      <c r="LBG372" s="148"/>
      <c r="LBH372" s="582"/>
      <c r="LBI372" s="584"/>
      <c r="LBJ372" s="584"/>
      <c r="LBK372" s="585"/>
      <c r="LBL372" s="586"/>
      <c r="LBM372" s="587"/>
      <c r="LBN372" s="682"/>
      <c r="LBO372" s="148"/>
      <c r="LBP372" s="148"/>
      <c r="LBQ372" s="582"/>
      <c r="LBR372" s="584"/>
      <c r="LBS372" s="584"/>
      <c r="LBT372" s="585"/>
      <c r="LBU372" s="586"/>
      <c r="LBV372" s="587"/>
      <c r="LBW372" s="682"/>
      <c r="LBX372" s="148"/>
      <c r="LBY372" s="148"/>
      <c r="LBZ372" s="582"/>
      <c r="LCA372" s="584"/>
      <c r="LCB372" s="584"/>
      <c r="LCC372" s="585"/>
      <c r="LCD372" s="586"/>
      <c r="LCE372" s="587"/>
      <c r="LCF372" s="682"/>
      <c r="LCG372" s="148"/>
      <c r="LCH372" s="148"/>
      <c r="LCI372" s="582"/>
      <c r="LCJ372" s="584"/>
      <c r="LCK372" s="584"/>
      <c r="LCL372" s="585"/>
      <c r="LCM372" s="586"/>
      <c r="LCN372" s="587"/>
      <c r="LCO372" s="682"/>
      <c r="LCP372" s="148"/>
      <c r="LCQ372" s="148"/>
      <c r="LCR372" s="582"/>
      <c r="LCS372" s="584"/>
      <c r="LCT372" s="584"/>
      <c r="LCU372" s="585"/>
      <c r="LCV372" s="586"/>
      <c r="LCW372" s="587"/>
      <c r="LCX372" s="682"/>
      <c r="LCY372" s="148"/>
      <c r="LCZ372" s="148"/>
      <c r="LDA372" s="582"/>
      <c r="LDB372" s="584"/>
      <c r="LDC372" s="584"/>
      <c r="LDD372" s="585"/>
      <c r="LDE372" s="586"/>
      <c r="LDF372" s="587"/>
      <c r="LDG372" s="682"/>
      <c r="LDH372" s="148"/>
      <c r="LDI372" s="148"/>
      <c r="LDJ372" s="582"/>
      <c r="LDK372" s="584"/>
      <c r="LDL372" s="584"/>
      <c r="LDM372" s="585"/>
      <c r="LDN372" s="586"/>
      <c r="LDO372" s="587"/>
      <c r="LDP372" s="682"/>
      <c r="LDQ372" s="148"/>
      <c r="LDR372" s="148"/>
      <c r="LDS372" s="582"/>
      <c r="LDT372" s="584"/>
      <c r="LDU372" s="584"/>
      <c r="LDV372" s="585"/>
      <c r="LDW372" s="586"/>
      <c r="LDX372" s="587"/>
      <c r="LDY372" s="682"/>
      <c r="LDZ372" s="148"/>
      <c r="LEA372" s="148"/>
      <c r="LEB372" s="582"/>
      <c r="LEC372" s="584"/>
      <c r="LED372" s="584"/>
      <c r="LEE372" s="585"/>
      <c r="LEF372" s="586"/>
      <c r="LEG372" s="587"/>
      <c r="LEH372" s="682"/>
      <c r="LEI372" s="148"/>
      <c r="LEJ372" s="148"/>
      <c r="LEK372" s="582"/>
      <c r="LEL372" s="584"/>
      <c r="LEM372" s="584"/>
      <c r="LEN372" s="585"/>
      <c r="LEO372" s="586"/>
      <c r="LEP372" s="587"/>
      <c r="LEQ372" s="682"/>
      <c r="LER372" s="148"/>
      <c r="LES372" s="148"/>
      <c r="LET372" s="582"/>
      <c r="LEU372" s="584"/>
      <c r="LEV372" s="584"/>
      <c r="LEW372" s="585"/>
      <c r="LEX372" s="586"/>
      <c r="LEY372" s="587"/>
      <c r="LEZ372" s="682"/>
      <c r="LFA372" s="148"/>
      <c r="LFB372" s="148"/>
      <c r="LFC372" s="582"/>
      <c r="LFD372" s="584"/>
      <c r="LFE372" s="584"/>
      <c r="LFF372" s="585"/>
      <c r="LFG372" s="586"/>
      <c r="LFH372" s="587"/>
      <c r="LFI372" s="682"/>
      <c r="LFJ372" s="148"/>
      <c r="LFK372" s="148"/>
      <c r="LFL372" s="582"/>
      <c r="LFM372" s="584"/>
      <c r="LFN372" s="584"/>
      <c r="LFO372" s="585"/>
      <c r="LFP372" s="586"/>
      <c r="LFQ372" s="587"/>
      <c r="LFR372" s="682"/>
      <c r="LFS372" s="148"/>
      <c r="LFT372" s="148"/>
      <c r="LFU372" s="582"/>
      <c r="LFV372" s="584"/>
      <c r="LFW372" s="584"/>
      <c r="LFX372" s="585"/>
      <c r="LFY372" s="586"/>
      <c r="LFZ372" s="587"/>
      <c r="LGA372" s="682"/>
      <c r="LGB372" s="148"/>
      <c r="LGC372" s="148"/>
      <c r="LGD372" s="582"/>
      <c r="LGE372" s="584"/>
      <c r="LGF372" s="584"/>
      <c r="LGG372" s="585"/>
      <c r="LGH372" s="586"/>
      <c r="LGI372" s="587"/>
      <c r="LGJ372" s="682"/>
      <c r="LGK372" s="148"/>
      <c r="LGL372" s="148"/>
      <c r="LGM372" s="582"/>
      <c r="LGN372" s="584"/>
      <c r="LGO372" s="584"/>
      <c r="LGP372" s="585"/>
      <c r="LGQ372" s="586"/>
      <c r="LGR372" s="587"/>
      <c r="LGS372" s="682"/>
      <c r="LGT372" s="148"/>
      <c r="LGU372" s="148"/>
      <c r="LGV372" s="582"/>
      <c r="LGW372" s="584"/>
      <c r="LGX372" s="584"/>
      <c r="LGY372" s="585"/>
      <c r="LGZ372" s="586"/>
      <c r="LHA372" s="587"/>
      <c r="LHB372" s="682"/>
      <c r="LHC372" s="148"/>
      <c r="LHD372" s="148"/>
      <c r="LHE372" s="582"/>
      <c r="LHF372" s="584"/>
      <c r="LHG372" s="584"/>
      <c r="LHH372" s="585"/>
      <c r="LHI372" s="586"/>
      <c r="LHJ372" s="587"/>
      <c r="LHK372" s="682"/>
      <c r="LHL372" s="148"/>
      <c r="LHM372" s="148"/>
      <c r="LHN372" s="582"/>
      <c r="LHO372" s="584"/>
      <c r="LHP372" s="584"/>
      <c r="LHQ372" s="585"/>
      <c r="LHR372" s="586"/>
      <c r="LHS372" s="587"/>
      <c r="LHT372" s="682"/>
      <c r="LHU372" s="148"/>
      <c r="LHV372" s="148"/>
      <c r="LHW372" s="582"/>
      <c r="LHX372" s="584"/>
      <c r="LHY372" s="584"/>
      <c r="LHZ372" s="585"/>
      <c r="LIA372" s="586"/>
      <c r="LIB372" s="587"/>
      <c r="LIC372" s="682"/>
      <c r="LID372" s="148"/>
      <c r="LIE372" s="148"/>
      <c r="LIF372" s="582"/>
      <c r="LIG372" s="584"/>
      <c r="LIH372" s="584"/>
      <c r="LII372" s="585"/>
      <c r="LIJ372" s="586"/>
      <c r="LIK372" s="587"/>
      <c r="LIL372" s="682"/>
      <c r="LIM372" s="148"/>
      <c r="LIN372" s="148"/>
      <c r="LIO372" s="582"/>
      <c r="LIP372" s="584"/>
      <c r="LIQ372" s="584"/>
      <c r="LIR372" s="585"/>
      <c r="LIS372" s="586"/>
      <c r="LIT372" s="587"/>
      <c r="LIU372" s="682"/>
      <c r="LIV372" s="148"/>
      <c r="LIW372" s="148"/>
      <c r="LIX372" s="582"/>
      <c r="LIY372" s="584"/>
      <c r="LIZ372" s="584"/>
      <c r="LJA372" s="585"/>
      <c r="LJB372" s="586"/>
      <c r="LJC372" s="587"/>
      <c r="LJD372" s="682"/>
      <c r="LJE372" s="148"/>
      <c r="LJF372" s="148"/>
      <c r="LJG372" s="582"/>
      <c r="LJH372" s="584"/>
      <c r="LJI372" s="584"/>
      <c r="LJJ372" s="585"/>
      <c r="LJK372" s="586"/>
      <c r="LJL372" s="587"/>
      <c r="LJM372" s="682"/>
      <c r="LJN372" s="148"/>
      <c r="LJO372" s="148"/>
      <c r="LJP372" s="582"/>
      <c r="LJQ372" s="584"/>
      <c r="LJR372" s="584"/>
      <c r="LJS372" s="585"/>
      <c r="LJT372" s="586"/>
      <c r="LJU372" s="587"/>
      <c r="LJV372" s="682"/>
      <c r="LJW372" s="148"/>
      <c r="LJX372" s="148"/>
      <c r="LJY372" s="582"/>
      <c r="LJZ372" s="584"/>
      <c r="LKA372" s="584"/>
      <c r="LKB372" s="585"/>
      <c r="LKC372" s="586"/>
      <c r="LKD372" s="587"/>
      <c r="LKE372" s="682"/>
      <c r="LKF372" s="148"/>
      <c r="LKG372" s="148"/>
      <c r="LKH372" s="582"/>
      <c r="LKI372" s="584"/>
      <c r="LKJ372" s="584"/>
      <c r="LKK372" s="585"/>
      <c r="LKL372" s="586"/>
      <c r="LKM372" s="587"/>
      <c r="LKN372" s="682"/>
      <c r="LKO372" s="148"/>
      <c r="LKP372" s="148"/>
      <c r="LKQ372" s="582"/>
      <c r="LKR372" s="584"/>
      <c r="LKS372" s="584"/>
      <c r="LKT372" s="585"/>
      <c r="LKU372" s="586"/>
      <c r="LKV372" s="587"/>
      <c r="LKW372" s="682"/>
      <c r="LKX372" s="148"/>
      <c r="LKY372" s="148"/>
      <c r="LKZ372" s="582"/>
      <c r="LLA372" s="584"/>
      <c r="LLB372" s="584"/>
      <c r="LLC372" s="585"/>
      <c r="LLD372" s="586"/>
      <c r="LLE372" s="587"/>
      <c r="LLF372" s="682"/>
      <c r="LLG372" s="148"/>
      <c r="LLH372" s="148"/>
      <c r="LLI372" s="582"/>
      <c r="LLJ372" s="584"/>
      <c r="LLK372" s="584"/>
      <c r="LLL372" s="585"/>
      <c r="LLM372" s="586"/>
      <c r="LLN372" s="587"/>
      <c r="LLO372" s="682"/>
      <c r="LLP372" s="148"/>
      <c r="LLQ372" s="148"/>
      <c r="LLR372" s="582"/>
      <c r="LLS372" s="584"/>
      <c r="LLT372" s="584"/>
      <c r="LLU372" s="585"/>
      <c r="LLV372" s="586"/>
      <c r="LLW372" s="587"/>
      <c r="LLX372" s="682"/>
      <c r="LLY372" s="148"/>
      <c r="LLZ372" s="148"/>
      <c r="LMA372" s="582"/>
      <c r="LMB372" s="584"/>
      <c r="LMC372" s="584"/>
      <c r="LMD372" s="585"/>
      <c r="LME372" s="586"/>
      <c r="LMF372" s="587"/>
      <c r="LMG372" s="682"/>
      <c r="LMH372" s="148"/>
      <c r="LMI372" s="148"/>
      <c r="LMJ372" s="582"/>
      <c r="LMK372" s="584"/>
      <c r="LML372" s="584"/>
      <c r="LMM372" s="585"/>
      <c r="LMN372" s="586"/>
      <c r="LMO372" s="587"/>
      <c r="LMP372" s="682"/>
      <c r="LMQ372" s="148"/>
      <c r="LMR372" s="148"/>
      <c r="LMS372" s="582"/>
      <c r="LMT372" s="584"/>
      <c r="LMU372" s="584"/>
      <c r="LMV372" s="585"/>
      <c r="LMW372" s="586"/>
      <c r="LMX372" s="587"/>
      <c r="LMY372" s="682"/>
      <c r="LMZ372" s="148"/>
      <c r="LNA372" s="148"/>
      <c r="LNB372" s="582"/>
      <c r="LNC372" s="584"/>
      <c r="LND372" s="584"/>
      <c r="LNE372" s="585"/>
      <c r="LNF372" s="586"/>
      <c r="LNG372" s="587"/>
      <c r="LNH372" s="682"/>
      <c r="LNI372" s="148"/>
      <c r="LNJ372" s="148"/>
      <c r="LNK372" s="582"/>
      <c r="LNL372" s="584"/>
      <c r="LNM372" s="584"/>
      <c r="LNN372" s="585"/>
      <c r="LNO372" s="586"/>
      <c r="LNP372" s="587"/>
      <c r="LNQ372" s="682"/>
      <c r="LNR372" s="148"/>
      <c r="LNS372" s="148"/>
      <c r="LNT372" s="582"/>
      <c r="LNU372" s="584"/>
      <c r="LNV372" s="584"/>
      <c r="LNW372" s="585"/>
      <c r="LNX372" s="586"/>
      <c r="LNY372" s="587"/>
      <c r="LNZ372" s="682"/>
      <c r="LOA372" s="148"/>
      <c r="LOB372" s="148"/>
      <c r="LOC372" s="582"/>
      <c r="LOD372" s="584"/>
      <c r="LOE372" s="584"/>
      <c r="LOF372" s="585"/>
      <c r="LOG372" s="586"/>
      <c r="LOH372" s="587"/>
      <c r="LOI372" s="682"/>
      <c r="LOJ372" s="148"/>
      <c r="LOK372" s="148"/>
      <c r="LOL372" s="582"/>
      <c r="LOM372" s="584"/>
      <c r="LON372" s="584"/>
      <c r="LOO372" s="585"/>
      <c r="LOP372" s="586"/>
      <c r="LOQ372" s="587"/>
      <c r="LOR372" s="682"/>
      <c r="LOS372" s="148"/>
      <c r="LOT372" s="148"/>
      <c r="LOU372" s="582"/>
      <c r="LOV372" s="584"/>
      <c r="LOW372" s="584"/>
      <c r="LOX372" s="585"/>
      <c r="LOY372" s="586"/>
      <c r="LOZ372" s="587"/>
      <c r="LPA372" s="682"/>
      <c r="LPB372" s="148"/>
      <c r="LPC372" s="148"/>
      <c r="LPD372" s="582"/>
      <c r="LPE372" s="584"/>
      <c r="LPF372" s="584"/>
      <c r="LPG372" s="585"/>
      <c r="LPH372" s="586"/>
      <c r="LPI372" s="587"/>
      <c r="LPJ372" s="682"/>
      <c r="LPK372" s="148"/>
      <c r="LPL372" s="148"/>
      <c r="LPM372" s="582"/>
      <c r="LPN372" s="584"/>
      <c r="LPO372" s="584"/>
      <c r="LPP372" s="585"/>
      <c r="LPQ372" s="586"/>
      <c r="LPR372" s="587"/>
      <c r="LPS372" s="682"/>
      <c r="LPT372" s="148"/>
      <c r="LPU372" s="148"/>
      <c r="LPV372" s="582"/>
      <c r="LPW372" s="584"/>
      <c r="LPX372" s="584"/>
      <c r="LPY372" s="585"/>
      <c r="LPZ372" s="586"/>
      <c r="LQA372" s="587"/>
      <c r="LQB372" s="682"/>
      <c r="LQC372" s="148"/>
      <c r="LQD372" s="148"/>
      <c r="LQE372" s="582"/>
      <c r="LQF372" s="584"/>
      <c r="LQG372" s="584"/>
      <c r="LQH372" s="585"/>
      <c r="LQI372" s="586"/>
      <c r="LQJ372" s="587"/>
      <c r="LQK372" s="682"/>
      <c r="LQL372" s="148"/>
      <c r="LQM372" s="148"/>
      <c r="LQN372" s="582"/>
      <c r="LQO372" s="584"/>
      <c r="LQP372" s="584"/>
      <c r="LQQ372" s="585"/>
      <c r="LQR372" s="586"/>
      <c r="LQS372" s="587"/>
      <c r="LQT372" s="682"/>
      <c r="LQU372" s="148"/>
      <c r="LQV372" s="148"/>
      <c r="LQW372" s="582"/>
      <c r="LQX372" s="584"/>
      <c r="LQY372" s="584"/>
      <c r="LQZ372" s="585"/>
      <c r="LRA372" s="586"/>
      <c r="LRB372" s="587"/>
      <c r="LRC372" s="682"/>
      <c r="LRD372" s="148"/>
      <c r="LRE372" s="148"/>
      <c r="LRF372" s="582"/>
      <c r="LRG372" s="584"/>
      <c r="LRH372" s="584"/>
      <c r="LRI372" s="585"/>
      <c r="LRJ372" s="586"/>
      <c r="LRK372" s="587"/>
      <c r="LRL372" s="682"/>
      <c r="LRM372" s="148"/>
      <c r="LRN372" s="148"/>
      <c r="LRO372" s="582"/>
      <c r="LRP372" s="584"/>
      <c r="LRQ372" s="584"/>
      <c r="LRR372" s="585"/>
      <c r="LRS372" s="586"/>
      <c r="LRT372" s="587"/>
      <c r="LRU372" s="682"/>
      <c r="LRV372" s="148"/>
      <c r="LRW372" s="148"/>
      <c r="LRX372" s="582"/>
      <c r="LRY372" s="584"/>
      <c r="LRZ372" s="584"/>
      <c r="LSA372" s="585"/>
      <c r="LSB372" s="586"/>
      <c r="LSC372" s="587"/>
      <c r="LSD372" s="682"/>
      <c r="LSE372" s="148"/>
      <c r="LSF372" s="148"/>
      <c r="LSG372" s="582"/>
      <c r="LSH372" s="584"/>
      <c r="LSI372" s="584"/>
      <c r="LSJ372" s="585"/>
      <c r="LSK372" s="586"/>
      <c r="LSL372" s="587"/>
      <c r="LSM372" s="682"/>
      <c r="LSN372" s="148"/>
      <c r="LSO372" s="148"/>
      <c r="LSP372" s="582"/>
      <c r="LSQ372" s="584"/>
      <c r="LSR372" s="584"/>
      <c r="LSS372" s="585"/>
      <c r="LST372" s="586"/>
      <c r="LSU372" s="587"/>
      <c r="LSV372" s="682"/>
      <c r="LSW372" s="148"/>
      <c r="LSX372" s="148"/>
      <c r="LSY372" s="582"/>
      <c r="LSZ372" s="584"/>
      <c r="LTA372" s="584"/>
      <c r="LTB372" s="585"/>
      <c r="LTC372" s="586"/>
      <c r="LTD372" s="587"/>
      <c r="LTE372" s="682"/>
      <c r="LTF372" s="148"/>
      <c r="LTG372" s="148"/>
      <c r="LTH372" s="582"/>
      <c r="LTI372" s="584"/>
      <c r="LTJ372" s="584"/>
      <c r="LTK372" s="585"/>
      <c r="LTL372" s="586"/>
      <c r="LTM372" s="587"/>
      <c r="LTN372" s="682"/>
      <c r="LTO372" s="148"/>
      <c r="LTP372" s="148"/>
      <c r="LTQ372" s="582"/>
      <c r="LTR372" s="584"/>
      <c r="LTS372" s="584"/>
      <c r="LTT372" s="585"/>
      <c r="LTU372" s="586"/>
      <c r="LTV372" s="587"/>
      <c r="LTW372" s="682"/>
      <c r="LTX372" s="148"/>
      <c r="LTY372" s="148"/>
      <c r="LTZ372" s="582"/>
      <c r="LUA372" s="584"/>
      <c r="LUB372" s="584"/>
      <c r="LUC372" s="585"/>
      <c r="LUD372" s="586"/>
      <c r="LUE372" s="587"/>
      <c r="LUF372" s="682"/>
      <c r="LUG372" s="148"/>
      <c r="LUH372" s="148"/>
      <c r="LUI372" s="582"/>
      <c r="LUJ372" s="584"/>
      <c r="LUK372" s="584"/>
      <c r="LUL372" s="585"/>
      <c r="LUM372" s="586"/>
      <c r="LUN372" s="587"/>
      <c r="LUO372" s="682"/>
      <c r="LUP372" s="148"/>
      <c r="LUQ372" s="148"/>
      <c r="LUR372" s="582"/>
      <c r="LUS372" s="584"/>
      <c r="LUT372" s="584"/>
      <c r="LUU372" s="585"/>
      <c r="LUV372" s="586"/>
      <c r="LUW372" s="587"/>
      <c r="LUX372" s="682"/>
      <c r="LUY372" s="148"/>
      <c r="LUZ372" s="148"/>
      <c r="LVA372" s="582"/>
      <c r="LVB372" s="584"/>
      <c r="LVC372" s="584"/>
      <c r="LVD372" s="585"/>
      <c r="LVE372" s="586"/>
      <c r="LVF372" s="587"/>
      <c r="LVG372" s="682"/>
      <c r="LVH372" s="148"/>
      <c r="LVI372" s="148"/>
      <c r="LVJ372" s="582"/>
      <c r="LVK372" s="584"/>
      <c r="LVL372" s="584"/>
      <c r="LVM372" s="585"/>
      <c r="LVN372" s="586"/>
      <c r="LVO372" s="587"/>
      <c r="LVP372" s="682"/>
      <c r="LVQ372" s="148"/>
      <c r="LVR372" s="148"/>
      <c r="LVS372" s="582"/>
      <c r="LVT372" s="584"/>
      <c r="LVU372" s="584"/>
      <c r="LVV372" s="585"/>
      <c r="LVW372" s="586"/>
      <c r="LVX372" s="587"/>
      <c r="LVY372" s="682"/>
      <c r="LVZ372" s="148"/>
      <c r="LWA372" s="148"/>
      <c r="LWB372" s="582"/>
      <c r="LWC372" s="584"/>
      <c r="LWD372" s="584"/>
      <c r="LWE372" s="585"/>
      <c r="LWF372" s="586"/>
      <c r="LWG372" s="587"/>
      <c r="LWH372" s="682"/>
      <c r="LWI372" s="148"/>
      <c r="LWJ372" s="148"/>
      <c r="LWK372" s="582"/>
      <c r="LWL372" s="584"/>
      <c r="LWM372" s="584"/>
      <c r="LWN372" s="585"/>
      <c r="LWO372" s="586"/>
      <c r="LWP372" s="587"/>
      <c r="LWQ372" s="682"/>
      <c r="LWR372" s="148"/>
      <c r="LWS372" s="148"/>
      <c r="LWT372" s="582"/>
      <c r="LWU372" s="584"/>
      <c r="LWV372" s="584"/>
      <c r="LWW372" s="585"/>
      <c r="LWX372" s="586"/>
      <c r="LWY372" s="587"/>
      <c r="LWZ372" s="682"/>
      <c r="LXA372" s="148"/>
      <c r="LXB372" s="148"/>
      <c r="LXC372" s="582"/>
      <c r="LXD372" s="584"/>
      <c r="LXE372" s="584"/>
      <c r="LXF372" s="585"/>
      <c r="LXG372" s="586"/>
      <c r="LXH372" s="587"/>
      <c r="LXI372" s="682"/>
      <c r="LXJ372" s="148"/>
      <c r="LXK372" s="148"/>
      <c r="LXL372" s="582"/>
      <c r="LXM372" s="584"/>
      <c r="LXN372" s="584"/>
      <c r="LXO372" s="585"/>
      <c r="LXP372" s="586"/>
      <c r="LXQ372" s="587"/>
      <c r="LXR372" s="682"/>
      <c r="LXS372" s="148"/>
      <c r="LXT372" s="148"/>
      <c r="LXU372" s="582"/>
      <c r="LXV372" s="584"/>
      <c r="LXW372" s="584"/>
      <c r="LXX372" s="585"/>
      <c r="LXY372" s="586"/>
      <c r="LXZ372" s="587"/>
      <c r="LYA372" s="682"/>
      <c r="LYB372" s="148"/>
      <c r="LYC372" s="148"/>
      <c r="LYD372" s="582"/>
      <c r="LYE372" s="584"/>
      <c r="LYF372" s="584"/>
      <c r="LYG372" s="585"/>
      <c r="LYH372" s="586"/>
      <c r="LYI372" s="587"/>
      <c r="LYJ372" s="682"/>
      <c r="LYK372" s="148"/>
      <c r="LYL372" s="148"/>
      <c r="LYM372" s="582"/>
      <c r="LYN372" s="584"/>
      <c r="LYO372" s="584"/>
      <c r="LYP372" s="585"/>
      <c r="LYQ372" s="586"/>
      <c r="LYR372" s="587"/>
      <c r="LYS372" s="682"/>
      <c r="LYT372" s="148"/>
      <c r="LYU372" s="148"/>
      <c r="LYV372" s="582"/>
      <c r="LYW372" s="584"/>
      <c r="LYX372" s="584"/>
      <c r="LYY372" s="585"/>
      <c r="LYZ372" s="586"/>
      <c r="LZA372" s="587"/>
      <c r="LZB372" s="682"/>
      <c r="LZC372" s="148"/>
      <c r="LZD372" s="148"/>
      <c r="LZE372" s="582"/>
      <c r="LZF372" s="584"/>
      <c r="LZG372" s="584"/>
      <c r="LZH372" s="585"/>
      <c r="LZI372" s="586"/>
      <c r="LZJ372" s="587"/>
      <c r="LZK372" s="682"/>
      <c r="LZL372" s="148"/>
      <c r="LZM372" s="148"/>
      <c r="LZN372" s="582"/>
      <c r="LZO372" s="584"/>
      <c r="LZP372" s="584"/>
      <c r="LZQ372" s="585"/>
      <c r="LZR372" s="586"/>
      <c r="LZS372" s="587"/>
      <c r="LZT372" s="682"/>
      <c r="LZU372" s="148"/>
      <c r="LZV372" s="148"/>
      <c r="LZW372" s="582"/>
      <c r="LZX372" s="584"/>
      <c r="LZY372" s="584"/>
      <c r="LZZ372" s="585"/>
      <c r="MAA372" s="586"/>
      <c r="MAB372" s="587"/>
      <c r="MAC372" s="682"/>
      <c r="MAD372" s="148"/>
      <c r="MAE372" s="148"/>
      <c r="MAF372" s="582"/>
      <c r="MAG372" s="584"/>
      <c r="MAH372" s="584"/>
      <c r="MAI372" s="585"/>
      <c r="MAJ372" s="586"/>
      <c r="MAK372" s="587"/>
      <c r="MAL372" s="682"/>
      <c r="MAM372" s="148"/>
      <c r="MAN372" s="148"/>
      <c r="MAO372" s="582"/>
      <c r="MAP372" s="584"/>
      <c r="MAQ372" s="584"/>
      <c r="MAR372" s="585"/>
      <c r="MAS372" s="586"/>
      <c r="MAT372" s="587"/>
      <c r="MAU372" s="682"/>
      <c r="MAV372" s="148"/>
      <c r="MAW372" s="148"/>
      <c r="MAX372" s="582"/>
      <c r="MAY372" s="584"/>
      <c r="MAZ372" s="584"/>
      <c r="MBA372" s="585"/>
      <c r="MBB372" s="586"/>
      <c r="MBC372" s="587"/>
      <c r="MBD372" s="682"/>
      <c r="MBE372" s="148"/>
      <c r="MBF372" s="148"/>
      <c r="MBG372" s="582"/>
      <c r="MBH372" s="584"/>
      <c r="MBI372" s="584"/>
      <c r="MBJ372" s="585"/>
      <c r="MBK372" s="586"/>
      <c r="MBL372" s="587"/>
      <c r="MBM372" s="682"/>
      <c r="MBN372" s="148"/>
      <c r="MBO372" s="148"/>
      <c r="MBP372" s="582"/>
      <c r="MBQ372" s="584"/>
      <c r="MBR372" s="584"/>
      <c r="MBS372" s="585"/>
      <c r="MBT372" s="586"/>
      <c r="MBU372" s="587"/>
      <c r="MBV372" s="682"/>
      <c r="MBW372" s="148"/>
      <c r="MBX372" s="148"/>
      <c r="MBY372" s="582"/>
      <c r="MBZ372" s="584"/>
      <c r="MCA372" s="584"/>
      <c r="MCB372" s="585"/>
      <c r="MCC372" s="586"/>
      <c r="MCD372" s="587"/>
      <c r="MCE372" s="682"/>
      <c r="MCF372" s="148"/>
      <c r="MCG372" s="148"/>
      <c r="MCH372" s="582"/>
      <c r="MCI372" s="584"/>
      <c r="MCJ372" s="584"/>
      <c r="MCK372" s="585"/>
      <c r="MCL372" s="586"/>
      <c r="MCM372" s="587"/>
      <c r="MCN372" s="682"/>
      <c r="MCO372" s="148"/>
      <c r="MCP372" s="148"/>
      <c r="MCQ372" s="582"/>
      <c r="MCR372" s="584"/>
      <c r="MCS372" s="584"/>
      <c r="MCT372" s="585"/>
      <c r="MCU372" s="586"/>
      <c r="MCV372" s="587"/>
      <c r="MCW372" s="682"/>
      <c r="MCX372" s="148"/>
      <c r="MCY372" s="148"/>
      <c r="MCZ372" s="582"/>
      <c r="MDA372" s="584"/>
      <c r="MDB372" s="584"/>
      <c r="MDC372" s="585"/>
      <c r="MDD372" s="586"/>
      <c r="MDE372" s="587"/>
      <c r="MDF372" s="682"/>
      <c r="MDG372" s="148"/>
      <c r="MDH372" s="148"/>
      <c r="MDI372" s="582"/>
      <c r="MDJ372" s="584"/>
      <c r="MDK372" s="584"/>
      <c r="MDL372" s="585"/>
      <c r="MDM372" s="586"/>
      <c r="MDN372" s="587"/>
      <c r="MDO372" s="682"/>
      <c r="MDP372" s="148"/>
      <c r="MDQ372" s="148"/>
      <c r="MDR372" s="582"/>
      <c r="MDS372" s="584"/>
      <c r="MDT372" s="584"/>
      <c r="MDU372" s="585"/>
      <c r="MDV372" s="586"/>
      <c r="MDW372" s="587"/>
      <c r="MDX372" s="682"/>
      <c r="MDY372" s="148"/>
      <c r="MDZ372" s="148"/>
      <c r="MEA372" s="582"/>
      <c r="MEB372" s="584"/>
      <c r="MEC372" s="584"/>
      <c r="MED372" s="585"/>
      <c r="MEE372" s="586"/>
      <c r="MEF372" s="587"/>
      <c r="MEG372" s="682"/>
      <c r="MEH372" s="148"/>
      <c r="MEI372" s="148"/>
      <c r="MEJ372" s="582"/>
      <c r="MEK372" s="584"/>
      <c r="MEL372" s="584"/>
      <c r="MEM372" s="585"/>
      <c r="MEN372" s="586"/>
      <c r="MEO372" s="587"/>
      <c r="MEP372" s="682"/>
      <c r="MEQ372" s="148"/>
      <c r="MER372" s="148"/>
      <c r="MES372" s="582"/>
      <c r="MET372" s="584"/>
      <c r="MEU372" s="584"/>
      <c r="MEV372" s="585"/>
      <c r="MEW372" s="586"/>
      <c r="MEX372" s="587"/>
      <c r="MEY372" s="682"/>
      <c r="MEZ372" s="148"/>
      <c r="MFA372" s="148"/>
      <c r="MFB372" s="582"/>
      <c r="MFC372" s="584"/>
      <c r="MFD372" s="584"/>
      <c r="MFE372" s="585"/>
      <c r="MFF372" s="586"/>
      <c r="MFG372" s="587"/>
      <c r="MFH372" s="682"/>
      <c r="MFI372" s="148"/>
      <c r="MFJ372" s="148"/>
      <c r="MFK372" s="582"/>
      <c r="MFL372" s="584"/>
      <c r="MFM372" s="584"/>
      <c r="MFN372" s="585"/>
      <c r="MFO372" s="586"/>
      <c r="MFP372" s="587"/>
      <c r="MFQ372" s="682"/>
      <c r="MFR372" s="148"/>
      <c r="MFS372" s="148"/>
      <c r="MFT372" s="582"/>
      <c r="MFU372" s="584"/>
      <c r="MFV372" s="584"/>
      <c r="MFW372" s="585"/>
      <c r="MFX372" s="586"/>
      <c r="MFY372" s="587"/>
      <c r="MFZ372" s="682"/>
      <c r="MGA372" s="148"/>
      <c r="MGB372" s="148"/>
      <c r="MGC372" s="582"/>
      <c r="MGD372" s="584"/>
      <c r="MGE372" s="584"/>
      <c r="MGF372" s="585"/>
      <c r="MGG372" s="586"/>
      <c r="MGH372" s="587"/>
      <c r="MGI372" s="682"/>
      <c r="MGJ372" s="148"/>
      <c r="MGK372" s="148"/>
      <c r="MGL372" s="582"/>
      <c r="MGM372" s="584"/>
      <c r="MGN372" s="584"/>
      <c r="MGO372" s="585"/>
      <c r="MGP372" s="586"/>
      <c r="MGQ372" s="587"/>
      <c r="MGR372" s="682"/>
      <c r="MGS372" s="148"/>
      <c r="MGT372" s="148"/>
      <c r="MGU372" s="582"/>
      <c r="MGV372" s="584"/>
      <c r="MGW372" s="584"/>
      <c r="MGX372" s="585"/>
      <c r="MGY372" s="586"/>
      <c r="MGZ372" s="587"/>
      <c r="MHA372" s="682"/>
      <c r="MHB372" s="148"/>
      <c r="MHC372" s="148"/>
      <c r="MHD372" s="582"/>
      <c r="MHE372" s="584"/>
      <c r="MHF372" s="584"/>
      <c r="MHG372" s="585"/>
      <c r="MHH372" s="586"/>
      <c r="MHI372" s="587"/>
      <c r="MHJ372" s="682"/>
      <c r="MHK372" s="148"/>
      <c r="MHL372" s="148"/>
      <c r="MHM372" s="582"/>
      <c r="MHN372" s="584"/>
      <c r="MHO372" s="584"/>
      <c r="MHP372" s="585"/>
      <c r="MHQ372" s="586"/>
      <c r="MHR372" s="587"/>
      <c r="MHS372" s="682"/>
      <c r="MHT372" s="148"/>
      <c r="MHU372" s="148"/>
      <c r="MHV372" s="582"/>
      <c r="MHW372" s="584"/>
      <c r="MHX372" s="584"/>
      <c r="MHY372" s="585"/>
      <c r="MHZ372" s="586"/>
      <c r="MIA372" s="587"/>
      <c r="MIB372" s="682"/>
      <c r="MIC372" s="148"/>
      <c r="MID372" s="148"/>
      <c r="MIE372" s="582"/>
      <c r="MIF372" s="584"/>
      <c r="MIG372" s="584"/>
      <c r="MIH372" s="585"/>
      <c r="MII372" s="586"/>
      <c r="MIJ372" s="587"/>
      <c r="MIK372" s="682"/>
      <c r="MIL372" s="148"/>
      <c r="MIM372" s="148"/>
      <c r="MIN372" s="582"/>
      <c r="MIO372" s="584"/>
      <c r="MIP372" s="584"/>
      <c r="MIQ372" s="585"/>
      <c r="MIR372" s="586"/>
      <c r="MIS372" s="587"/>
      <c r="MIT372" s="682"/>
      <c r="MIU372" s="148"/>
      <c r="MIV372" s="148"/>
      <c r="MIW372" s="582"/>
      <c r="MIX372" s="584"/>
      <c r="MIY372" s="584"/>
      <c r="MIZ372" s="585"/>
      <c r="MJA372" s="586"/>
      <c r="MJB372" s="587"/>
      <c r="MJC372" s="682"/>
      <c r="MJD372" s="148"/>
      <c r="MJE372" s="148"/>
      <c r="MJF372" s="582"/>
      <c r="MJG372" s="584"/>
      <c r="MJH372" s="584"/>
      <c r="MJI372" s="585"/>
      <c r="MJJ372" s="586"/>
      <c r="MJK372" s="587"/>
      <c r="MJL372" s="682"/>
      <c r="MJM372" s="148"/>
      <c r="MJN372" s="148"/>
      <c r="MJO372" s="582"/>
      <c r="MJP372" s="584"/>
      <c r="MJQ372" s="584"/>
      <c r="MJR372" s="585"/>
      <c r="MJS372" s="586"/>
      <c r="MJT372" s="587"/>
      <c r="MJU372" s="682"/>
      <c r="MJV372" s="148"/>
      <c r="MJW372" s="148"/>
      <c r="MJX372" s="582"/>
      <c r="MJY372" s="584"/>
      <c r="MJZ372" s="584"/>
      <c r="MKA372" s="585"/>
      <c r="MKB372" s="586"/>
      <c r="MKC372" s="587"/>
      <c r="MKD372" s="682"/>
      <c r="MKE372" s="148"/>
      <c r="MKF372" s="148"/>
      <c r="MKG372" s="582"/>
      <c r="MKH372" s="584"/>
      <c r="MKI372" s="584"/>
      <c r="MKJ372" s="585"/>
      <c r="MKK372" s="586"/>
      <c r="MKL372" s="587"/>
      <c r="MKM372" s="682"/>
      <c r="MKN372" s="148"/>
      <c r="MKO372" s="148"/>
      <c r="MKP372" s="582"/>
      <c r="MKQ372" s="584"/>
      <c r="MKR372" s="584"/>
      <c r="MKS372" s="585"/>
      <c r="MKT372" s="586"/>
      <c r="MKU372" s="587"/>
      <c r="MKV372" s="682"/>
      <c r="MKW372" s="148"/>
      <c r="MKX372" s="148"/>
      <c r="MKY372" s="582"/>
      <c r="MKZ372" s="584"/>
      <c r="MLA372" s="584"/>
      <c r="MLB372" s="585"/>
      <c r="MLC372" s="586"/>
      <c r="MLD372" s="587"/>
      <c r="MLE372" s="682"/>
      <c r="MLF372" s="148"/>
      <c r="MLG372" s="148"/>
      <c r="MLH372" s="582"/>
      <c r="MLI372" s="584"/>
      <c r="MLJ372" s="584"/>
      <c r="MLK372" s="585"/>
      <c r="MLL372" s="586"/>
      <c r="MLM372" s="587"/>
      <c r="MLN372" s="682"/>
      <c r="MLO372" s="148"/>
      <c r="MLP372" s="148"/>
      <c r="MLQ372" s="582"/>
      <c r="MLR372" s="584"/>
      <c r="MLS372" s="584"/>
      <c r="MLT372" s="585"/>
      <c r="MLU372" s="586"/>
      <c r="MLV372" s="587"/>
      <c r="MLW372" s="682"/>
      <c r="MLX372" s="148"/>
      <c r="MLY372" s="148"/>
      <c r="MLZ372" s="582"/>
      <c r="MMA372" s="584"/>
      <c r="MMB372" s="584"/>
      <c r="MMC372" s="585"/>
      <c r="MMD372" s="586"/>
      <c r="MME372" s="587"/>
      <c r="MMF372" s="682"/>
      <c r="MMG372" s="148"/>
      <c r="MMH372" s="148"/>
      <c r="MMI372" s="582"/>
      <c r="MMJ372" s="584"/>
      <c r="MMK372" s="584"/>
      <c r="MML372" s="585"/>
      <c r="MMM372" s="586"/>
      <c r="MMN372" s="587"/>
      <c r="MMO372" s="682"/>
      <c r="MMP372" s="148"/>
      <c r="MMQ372" s="148"/>
      <c r="MMR372" s="582"/>
      <c r="MMS372" s="584"/>
      <c r="MMT372" s="584"/>
      <c r="MMU372" s="585"/>
      <c r="MMV372" s="586"/>
      <c r="MMW372" s="587"/>
      <c r="MMX372" s="682"/>
      <c r="MMY372" s="148"/>
      <c r="MMZ372" s="148"/>
      <c r="MNA372" s="582"/>
      <c r="MNB372" s="584"/>
      <c r="MNC372" s="584"/>
      <c r="MND372" s="585"/>
      <c r="MNE372" s="586"/>
      <c r="MNF372" s="587"/>
      <c r="MNG372" s="682"/>
      <c r="MNH372" s="148"/>
      <c r="MNI372" s="148"/>
      <c r="MNJ372" s="582"/>
      <c r="MNK372" s="584"/>
      <c r="MNL372" s="584"/>
      <c r="MNM372" s="585"/>
      <c r="MNN372" s="586"/>
      <c r="MNO372" s="587"/>
      <c r="MNP372" s="682"/>
      <c r="MNQ372" s="148"/>
      <c r="MNR372" s="148"/>
      <c r="MNS372" s="582"/>
      <c r="MNT372" s="584"/>
      <c r="MNU372" s="584"/>
      <c r="MNV372" s="585"/>
      <c r="MNW372" s="586"/>
      <c r="MNX372" s="587"/>
      <c r="MNY372" s="682"/>
      <c r="MNZ372" s="148"/>
      <c r="MOA372" s="148"/>
      <c r="MOB372" s="582"/>
      <c r="MOC372" s="584"/>
      <c r="MOD372" s="584"/>
      <c r="MOE372" s="585"/>
      <c r="MOF372" s="586"/>
      <c r="MOG372" s="587"/>
      <c r="MOH372" s="682"/>
      <c r="MOI372" s="148"/>
      <c r="MOJ372" s="148"/>
      <c r="MOK372" s="582"/>
      <c r="MOL372" s="584"/>
      <c r="MOM372" s="584"/>
      <c r="MON372" s="585"/>
      <c r="MOO372" s="586"/>
      <c r="MOP372" s="587"/>
      <c r="MOQ372" s="682"/>
      <c r="MOR372" s="148"/>
      <c r="MOS372" s="148"/>
      <c r="MOT372" s="582"/>
      <c r="MOU372" s="584"/>
      <c r="MOV372" s="584"/>
      <c r="MOW372" s="585"/>
      <c r="MOX372" s="586"/>
      <c r="MOY372" s="587"/>
      <c r="MOZ372" s="682"/>
      <c r="MPA372" s="148"/>
      <c r="MPB372" s="148"/>
      <c r="MPC372" s="582"/>
      <c r="MPD372" s="584"/>
      <c r="MPE372" s="584"/>
      <c r="MPF372" s="585"/>
      <c r="MPG372" s="586"/>
      <c r="MPH372" s="587"/>
      <c r="MPI372" s="682"/>
      <c r="MPJ372" s="148"/>
      <c r="MPK372" s="148"/>
      <c r="MPL372" s="582"/>
      <c r="MPM372" s="584"/>
      <c r="MPN372" s="584"/>
      <c r="MPO372" s="585"/>
      <c r="MPP372" s="586"/>
      <c r="MPQ372" s="587"/>
      <c r="MPR372" s="682"/>
      <c r="MPS372" s="148"/>
      <c r="MPT372" s="148"/>
      <c r="MPU372" s="582"/>
      <c r="MPV372" s="584"/>
      <c r="MPW372" s="584"/>
      <c r="MPX372" s="585"/>
      <c r="MPY372" s="586"/>
      <c r="MPZ372" s="587"/>
      <c r="MQA372" s="682"/>
      <c r="MQB372" s="148"/>
      <c r="MQC372" s="148"/>
      <c r="MQD372" s="582"/>
      <c r="MQE372" s="584"/>
      <c r="MQF372" s="584"/>
      <c r="MQG372" s="585"/>
      <c r="MQH372" s="586"/>
      <c r="MQI372" s="587"/>
      <c r="MQJ372" s="682"/>
      <c r="MQK372" s="148"/>
      <c r="MQL372" s="148"/>
      <c r="MQM372" s="582"/>
      <c r="MQN372" s="584"/>
      <c r="MQO372" s="584"/>
      <c r="MQP372" s="585"/>
      <c r="MQQ372" s="586"/>
      <c r="MQR372" s="587"/>
      <c r="MQS372" s="682"/>
      <c r="MQT372" s="148"/>
      <c r="MQU372" s="148"/>
      <c r="MQV372" s="582"/>
      <c r="MQW372" s="584"/>
      <c r="MQX372" s="584"/>
      <c r="MQY372" s="585"/>
      <c r="MQZ372" s="586"/>
      <c r="MRA372" s="587"/>
      <c r="MRB372" s="682"/>
      <c r="MRC372" s="148"/>
      <c r="MRD372" s="148"/>
      <c r="MRE372" s="582"/>
      <c r="MRF372" s="584"/>
      <c r="MRG372" s="584"/>
      <c r="MRH372" s="585"/>
      <c r="MRI372" s="586"/>
      <c r="MRJ372" s="587"/>
      <c r="MRK372" s="682"/>
      <c r="MRL372" s="148"/>
      <c r="MRM372" s="148"/>
      <c r="MRN372" s="582"/>
      <c r="MRO372" s="584"/>
      <c r="MRP372" s="584"/>
      <c r="MRQ372" s="585"/>
      <c r="MRR372" s="586"/>
      <c r="MRS372" s="587"/>
      <c r="MRT372" s="682"/>
      <c r="MRU372" s="148"/>
      <c r="MRV372" s="148"/>
      <c r="MRW372" s="582"/>
      <c r="MRX372" s="584"/>
      <c r="MRY372" s="584"/>
      <c r="MRZ372" s="585"/>
      <c r="MSA372" s="586"/>
      <c r="MSB372" s="587"/>
      <c r="MSC372" s="682"/>
      <c r="MSD372" s="148"/>
      <c r="MSE372" s="148"/>
      <c r="MSF372" s="582"/>
      <c r="MSG372" s="584"/>
      <c r="MSH372" s="584"/>
      <c r="MSI372" s="585"/>
      <c r="MSJ372" s="586"/>
      <c r="MSK372" s="587"/>
      <c r="MSL372" s="682"/>
      <c r="MSM372" s="148"/>
      <c r="MSN372" s="148"/>
      <c r="MSO372" s="582"/>
      <c r="MSP372" s="584"/>
      <c r="MSQ372" s="584"/>
      <c r="MSR372" s="585"/>
      <c r="MSS372" s="586"/>
      <c r="MST372" s="587"/>
      <c r="MSU372" s="682"/>
      <c r="MSV372" s="148"/>
      <c r="MSW372" s="148"/>
      <c r="MSX372" s="582"/>
      <c r="MSY372" s="584"/>
      <c r="MSZ372" s="584"/>
      <c r="MTA372" s="585"/>
      <c r="MTB372" s="586"/>
      <c r="MTC372" s="587"/>
      <c r="MTD372" s="682"/>
      <c r="MTE372" s="148"/>
      <c r="MTF372" s="148"/>
      <c r="MTG372" s="582"/>
      <c r="MTH372" s="584"/>
      <c r="MTI372" s="584"/>
      <c r="MTJ372" s="585"/>
      <c r="MTK372" s="586"/>
      <c r="MTL372" s="587"/>
      <c r="MTM372" s="682"/>
      <c r="MTN372" s="148"/>
      <c r="MTO372" s="148"/>
      <c r="MTP372" s="582"/>
      <c r="MTQ372" s="584"/>
      <c r="MTR372" s="584"/>
      <c r="MTS372" s="585"/>
      <c r="MTT372" s="586"/>
      <c r="MTU372" s="587"/>
      <c r="MTV372" s="682"/>
      <c r="MTW372" s="148"/>
      <c r="MTX372" s="148"/>
      <c r="MTY372" s="582"/>
      <c r="MTZ372" s="584"/>
      <c r="MUA372" s="584"/>
      <c r="MUB372" s="585"/>
      <c r="MUC372" s="586"/>
      <c r="MUD372" s="587"/>
      <c r="MUE372" s="682"/>
      <c r="MUF372" s="148"/>
      <c r="MUG372" s="148"/>
      <c r="MUH372" s="582"/>
      <c r="MUI372" s="584"/>
      <c r="MUJ372" s="584"/>
      <c r="MUK372" s="585"/>
      <c r="MUL372" s="586"/>
      <c r="MUM372" s="587"/>
      <c r="MUN372" s="682"/>
      <c r="MUO372" s="148"/>
      <c r="MUP372" s="148"/>
      <c r="MUQ372" s="582"/>
      <c r="MUR372" s="584"/>
      <c r="MUS372" s="584"/>
      <c r="MUT372" s="585"/>
      <c r="MUU372" s="586"/>
      <c r="MUV372" s="587"/>
      <c r="MUW372" s="682"/>
      <c r="MUX372" s="148"/>
      <c r="MUY372" s="148"/>
      <c r="MUZ372" s="582"/>
      <c r="MVA372" s="584"/>
      <c r="MVB372" s="584"/>
      <c r="MVC372" s="585"/>
      <c r="MVD372" s="586"/>
      <c r="MVE372" s="587"/>
      <c r="MVF372" s="682"/>
      <c r="MVG372" s="148"/>
      <c r="MVH372" s="148"/>
      <c r="MVI372" s="582"/>
      <c r="MVJ372" s="584"/>
      <c r="MVK372" s="584"/>
      <c r="MVL372" s="585"/>
      <c r="MVM372" s="586"/>
      <c r="MVN372" s="587"/>
      <c r="MVO372" s="682"/>
      <c r="MVP372" s="148"/>
      <c r="MVQ372" s="148"/>
      <c r="MVR372" s="582"/>
      <c r="MVS372" s="584"/>
      <c r="MVT372" s="584"/>
      <c r="MVU372" s="585"/>
      <c r="MVV372" s="586"/>
      <c r="MVW372" s="587"/>
      <c r="MVX372" s="682"/>
      <c r="MVY372" s="148"/>
      <c r="MVZ372" s="148"/>
      <c r="MWA372" s="582"/>
      <c r="MWB372" s="584"/>
      <c r="MWC372" s="584"/>
      <c r="MWD372" s="585"/>
      <c r="MWE372" s="586"/>
      <c r="MWF372" s="587"/>
      <c r="MWG372" s="682"/>
      <c r="MWH372" s="148"/>
      <c r="MWI372" s="148"/>
      <c r="MWJ372" s="582"/>
      <c r="MWK372" s="584"/>
      <c r="MWL372" s="584"/>
      <c r="MWM372" s="585"/>
      <c r="MWN372" s="586"/>
      <c r="MWO372" s="587"/>
      <c r="MWP372" s="682"/>
      <c r="MWQ372" s="148"/>
      <c r="MWR372" s="148"/>
      <c r="MWS372" s="582"/>
      <c r="MWT372" s="584"/>
      <c r="MWU372" s="584"/>
      <c r="MWV372" s="585"/>
      <c r="MWW372" s="586"/>
      <c r="MWX372" s="587"/>
      <c r="MWY372" s="682"/>
      <c r="MWZ372" s="148"/>
      <c r="MXA372" s="148"/>
      <c r="MXB372" s="582"/>
      <c r="MXC372" s="584"/>
      <c r="MXD372" s="584"/>
      <c r="MXE372" s="585"/>
      <c r="MXF372" s="586"/>
      <c r="MXG372" s="587"/>
      <c r="MXH372" s="682"/>
      <c r="MXI372" s="148"/>
      <c r="MXJ372" s="148"/>
      <c r="MXK372" s="582"/>
      <c r="MXL372" s="584"/>
      <c r="MXM372" s="584"/>
      <c r="MXN372" s="585"/>
      <c r="MXO372" s="586"/>
      <c r="MXP372" s="587"/>
      <c r="MXQ372" s="682"/>
      <c r="MXR372" s="148"/>
      <c r="MXS372" s="148"/>
      <c r="MXT372" s="582"/>
      <c r="MXU372" s="584"/>
      <c r="MXV372" s="584"/>
      <c r="MXW372" s="585"/>
      <c r="MXX372" s="586"/>
      <c r="MXY372" s="587"/>
      <c r="MXZ372" s="682"/>
      <c r="MYA372" s="148"/>
      <c r="MYB372" s="148"/>
      <c r="MYC372" s="582"/>
      <c r="MYD372" s="584"/>
      <c r="MYE372" s="584"/>
      <c r="MYF372" s="585"/>
      <c r="MYG372" s="586"/>
      <c r="MYH372" s="587"/>
      <c r="MYI372" s="682"/>
      <c r="MYJ372" s="148"/>
      <c r="MYK372" s="148"/>
      <c r="MYL372" s="582"/>
      <c r="MYM372" s="584"/>
      <c r="MYN372" s="584"/>
      <c r="MYO372" s="585"/>
      <c r="MYP372" s="586"/>
      <c r="MYQ372" s="587"/>
      <c r="MYR372" s="682"/>
      <c r="MYS372" s="148"/>
      <c r="MYT372" s="148"/>
      <c r="MYU372" s="582"/>
      <c r="MYV372" s="584"/>
      <c r="MYW372" s="584"/>
      <c r="MYX372" s="585"/>
      <c r="MYY372" s="586"/>
      <c r="MYZ372" s="587"/>
      <c r="MZA372" s="682"/>
      <c r="MZB372" s="148"/>
      <c r="MZC372" s="148"/>
      <c r="MZD372" s="582"/>
      <c r="MZE372" s="584"/>
      <c r="MZF372" s="584"/>
      <c r="MZG372" s="585"/>
      <c r="MZH372" s="586"/>
      <c r="MZI372" s="587"/>
      <c r="MZJ372" s="682"/>
      <c r="MZK372" s="148"/>
      <c r="MZL372" s="148"/>
      <c r="MZM372" s="582"/>
      <c r="MZN372" s="584"/>
      <c r="MZO372" s="584"/>
      <c r="MZP372" s="585"/>
      <c r="MZQ372" s="586"/>
      <c r="MZR372" s="587"/>
      <c r="MZS372" s="682"/>
      <c r="MZT372" s="148"/>
      <c r="MZU372" s="148"/>
      <c r="MZV372" s="582"/>
      <c r="MZW372" s="584"/>
      <c r="MZX372" s="584"/>
      <c r="MZY372" s="585"/>
      <c r="MZZ372" s="586"/>
      <c r="NAA372" s="587"/>
      <c r="NAB372" s="682"/>
      <c r="NAC372" s="148"/>
      <c r="NAD372" s="148"/>
      <c r="NAE372" s="582"/>
      <c r="NAF372" s="584"/>
      <c r="NAG372" s="584"/>
      <c r="NAH372" s="585"/>
      <c r="NAI372" s="586"/>
      <c r="NAJ372" s="587"/>
      <c r="NAK372" s="682"/>
      <c r="NAL372" s="148"/>
      <c r="NAM372" s="148"/>
      <c r="NAN372" s="582"/>
      <c r="NAO372" s="584"/>
      <c r="NAP372" s="584"/>
      <c r="NAQ372" s="585"/>
      <c r="NAR372" s="586"/>
      <c r="NAS372" s="587"/>
      <c r="NAT372" s="682"/>
      <c r="NAU372" s="148"/>
      <c r="NAV372" s="148"/>
      <c r="NAW372" s="582"/>
      <c r="NAX372" s="584"/>
      <c r="NAY372" s="584"/>
      <c r="NAZ372" s="585"/>
      <c r="NBA372" s="586"/>
      <c r="NBB372" s="587"/>
      <c r="NBC372" s="682"/>
      <c r="NBD372" s="148"/>
      <c r="NBE372" s="148"/>
      <c r="NBF372" s="582"/>
      <c r="NBG372" s="584"/>
      <c r="NBH372" s="584"/>
      <c r="NBI372" s="585"/>
      <c r="NBJ372" s="586"/>
      <c r="NBK372" s="587"/>
      <c r="NBL372" s="682"/>
      <c r="NBM372" s="148"/>
      <c r="NBN372" s="148"/>
      <c r="NBO372" s="582"/>
      <c r="NBP372" s="584"/>
      <c r="NBQ372" s="584"/>
      <c r="NBR372" s="585"/>
      <c r="NBS372" s="586"/>
      <c r="NBT372" s="587"/>
      <c r="NBU372" s="682"/>
      <c r="NBV372" s="148"/>
      <c r="NBW372" s="148"/>
      <c r="NBX372" s="582"/>
      <c r="NBY372" s="584"/>
      <c r="NBZ372" s="584"/>
      <c r="NCA372" s="585"/>
      <c r="NCB372" s="586"/>
      <c r="NCC372" s="587"/>
      <c r="NCD372" s="682"/>
      <c r="NCE372" s="148"/>
      <c r="NCF372" s="148"/>
      <c r="NCG372" s="582"/>
      <c r="NCH372" s="584"/>
      <c r="NCI372" s="584"/>
      <c r="NCJ372" s="585"/>
      <c r="NCK372" s="586"/>
      <c r="NCL372" s="587"/>
      <c r="NCM372" s="682"/>
      <c r="NCN372" s="148"/>
      <c r="NCO372" s="148"/>
      <c r="NCP372" s="582"/>
      <c r="NCQ372" s="584"/>
      <c r="NCR372" s="584"/>
      <c r="NCS372" s="585"/>
      <c r="NCT372" s="586"/>
      <c r="NCU372" s="587"/>
      <c r="NCV372" s="682"/>
      <c r="NCW372" s="148"/>
      <c r="NCX372" s="148"/>
      <c r="NCY372" s="582"/>
      <c r="NCZ372" s="584"/>
      <c r="NDA372" s="584"/>
      <c r="NDB372" s="585"/>
      <c r="NDC372" s="586"/>
      <c r="NDD372" s="587"/>
      <c r="NDE372" s="682"/>
      <c r="NDF372" s="148"/>
      <c r="NDG372" s="148"/>
      <c r="NDH372" s="582"/>
      <c r="NDI372" s="584"/>
      <c r="NDJ372" s="584"/>
      <c r="NDK372" s="585"/>
      <c r="NDL372" s="586"/>
      <c r="NDM372" s="587"/>
      <c r="NDN372" s="682"/>
      <c r="NDO372" s="148"/>
      <c r="NDP372" s="148"/>
      <c r="NDQ372" s="582"/>
      <c r="NDR372" s="584"/>
      <c r="NDS372" s="584"/>
      <c r="NDT372" s="585"/>
      <c r="NDU372" s="586"/>
      <c r="NDV372" s="587"/>
      <c r="NDW372" s="682"/>
      <c r="NDX372" s="148"/>
      <c r="NDY372" s="148"/>
      <c r="NDZ372" s="582"/>
      <c r="NEA372" s="584"/>
      <c r="NEB372" s="584"/>
      <c r="NEC372" s="585"/>
      <c r="NED372" s="586"/>
      <c r="NEE372" s="587"/>
      <c r="NEF372" s="682"/>
      <c r="NEG372" s="148"/>
      <c r="NEH372" s="148"/>
      <c r="NEI372" s="582"/>
      <c r="NEJ372" s="584"/>
      <c r="NEK372" s="584"/>
      <c r="NEL372" s="585"/>
      <c r="NEM372" s="586"/>
      <c r="NEN372" s="587"/>
      <c r="NEO372" s="682"/>
      <c r="NEP372" s="148"/>
      <c r="NEQ372" s="148"/>
      <c r="NER372" s="582"/>
      <c r="NES372" s="584"/>
      <c r="NET372" s="584"/>
      <c r="NEU372" s="585"/>
      <c r="NEV372" s="586"/>
      <c r="NEW372" s="587"/>
      <c r="NEX372" s="682"/>
      <c r="NEY372" s="148"/>
      <c r="NEZ372" s="148"/>
      <c r="NFA372" s="582"/>
      <c r="NFB372" s="584"/>
      <c r="NFC372" s="584"/>
      <c r="NFD372" s="585"/>
      <c r="NFE372" s="586"/>
      <c r="NFF372" s="587"/>
      <c r="NFG372" s="682"/>
      <c r="NFH372" s="148"/>
      <c r="NFI372" s="148"/>
      <c r="NFJ372" s="582"/>
      <c r="NFK372" s="584"/>
      <c r="NFL372" s="584"/>
      <c r="NFM372" s="585"/>
      <c r="NFN372" s="586"/>
      <c r="NFO372" s="587"/>
      <c r="NFP372" s="682"/>
      <c r="NFQ372" s="148"/>
      <c r="NFR372" s="148"/>
      <c r="NFS372" s="582"/>
      <c r="NFT372" s="584"/>
      <c r="NFU372" s="584"/>
      <c r="NFV372" s="585"/>
      <c r="NFW372" s="586"/>
      <c r="NFX372" s="587"/>
      <c r="NFY372" s="682"/>
      <c r="NFZ372" s="148"/>
      <c r="NGA372" s="148"/>
      <c r="NGB372" s="582"/>
      <c r="NGC372" s="584"/>
      <c r="NGD372" s="584"/>
      <c r="NGE372" s="585"/>
      <c r="NGF372" s="586"/>
      <c r="NGG372" s="587"/>
      <c r="NGH372" s="682"/>
      <c r="NGI372" s="148"/>
      <c r="NGJ372" s="148"/>
      <c r="NGK372" s="582"/>
      <c r="NGL372" s="584"/>
      <c r="NGM372" s="584"/>
      <c r="NGN372" s="585"/>
      <c r="NGO372" s="586"/>
      <c r="NGP372" s="587"/>
      <c r="NGQ372" s="682"/>
      <c r="NGR372" s="148"/>
      <c r="NGS372" s="148"/>
      <c r="NGT372" s="582"/>
      <c r="NGU372" s="584"/>
      <c r="NGV372" s="584"/>
      <c r="NGW372" s="585"/>
      <c r="NGX372" s="586"/>
      <c r="NGY372" s="587"/>
      <c r="NGZ372" s="682"/>
      <c r="NHA372" s="148"/>
      <c r="NHB372" s="148"/>
      <c r="NHC372" s="582"/>
      <c r="NHD372" s="584"/>
      <c r="NHE372" s="584"/>
      <c r="NHF372" s="585"/>
      <c r="NHG372" s="586"/>
      <c r="NHH372" s="587"/>
      <c r="NHI372" s="682"/>
      <c r="NHJ372" s="148"/>
      <c r="NHK372" s="148"/>
      <c r="NHL372" s="582"/>
      <c r="NHM372" s="584"/>
      <c r="NHN372" s="584"/>
      <c r="NHO372" s="585"/>
      <c r="NHP372" s="586"/>
      <c r="NHQ372" s="587"/>
      <c r="NHR372" s="682"/>
      <c r="NHS372" s="148"/>
      <c r="NHT372" s="148"/>
      <c r="NHU372" s="582"/>
      <c r="NHV372" s="584"/>
      <c r="NHW372" s="584"/>
      <c r="NHX372" s="585"/>
      <c r="NHY372" s="586"/>
      <c r="NHZ372" s="587"/>
      <c r="NIA372" s="682"/>
      <c r="NIB372" s="148"/>
      <c r="NIC372" s="148"/>
      <c r="NID372" s="582"/>
      <c r="NIE372" s="584"/>
      <c r="NIF372" s="584"/>
      <c r="NIG372" s="585"/>
      <c r="NIH372" s="586"/>
      <c r="NII372" s="587"/>
      <c r="NIJ372" s="682"/>
      <c r="NIK372" s="148"/>
      <c r="NIL372" s="148"/>
      <c r="NIM372" s="582"/>
      <c r="NIN372" s="584"/>
      <c r="NIO372" s="584"/>
      <c r="NIP372" s="585"/>
      <c r="NIQ372" s="586"/>
      <c r="NIR372" s="587"/>
      <c r="NIS372" s="682"/>
      <c r="NIT372" s="148"/>
      <c r="NIU372" s="148"/>
      <c r="NIV372" s="582"/>
      <c r="NIW372" s="584"/>
      <c r="NIX372" s="584"/>
      <c r="NIY372" s="585"/>
      <c r="NIZ372" s="586"/>
      <c r="NJA372" s="587"/>
      <c r="NJB372" s="682"/>
      <c r="NJC372" s="148"/>
      <c r="NJD372" s="148"/>
      <c r="NJE372" s="582"/>
      <c r="NJF372" s="584"/>
      <c r="NJG372" s="584"/>
      <c r="NJH372" s="585"/>
      <c r="NJI372" s="586"/>
      <c r="NJJ372" s="587"/>
      <c r="NJK372" s="682"/>
      <c r="NJL372" s="148"/>
      <c r="NJM372" s="148"/>
      <c r="NJN372" s="582"/>
      <c r="NJO372" s="584"/>
      <c r="NJP372" s="584"/>
      <c r="NJQ372" s="585"/>
      <c r="NJR372" s="586"/>
      <c r="NJS372" s="587"/>
      <c r="NJT372" s="682"/>
      <c r="NJU372" s="148"/>
      <c r="NJV372" s="148"/>
      <c r="NJW372" s="582"/>
      <c r="NJX372" s="584"/>
      <c r="NJY372" s="584"/>
      <c r="NJZ372" s="585"/>
      <c r="NKA372" s="586"/>
      <c r="NKB372" s="587"/>
      <c r="NKC372" s="682"/>
      <c r="NKD372" s="148"/>
      <c r="NKE372" s="148"/>
      <c r="NKF372" s="582"/>
      <c r="NKG372" s="584"/>
      <c r="NKH372" s="584"/>
      <c r="NKI372" s="585"/>
      <c r="NKJ372" s="586"/>
      <c r="NKK372" s="587"/>
      <c r="NKL372" s="682"/>
      <c r="NKM372" s="148"/>
      <c r="NKN372" s="148"/>
      <c r="NKO372" s="582"/>
      <c r="NKP372" s="584"/>
      <c r="NKQ372" s="584"/>
      <c r="NKR372" s="585"/>
      <c r="NKS372" s="586"/>
      <c r="NKT372" s="587"/>
      <c r="NKU372" s="682"/>
      <c r="NKV372" s="148"/>
      <c r="NKW372" s="148"/>
      <c r="NKX372" s="582"/>
      <c r="NKY372" s="584"/>
      <c r="NKZ372" s="584"/>
      <c r="NLA372" s="585"/>
      <c r="NLB372" s="586"/>
      <c r="NLC372" s="587"/>
      <c r="NLD372" s="682"/>
      <c r="NLE372" s="148"/>
      <c r="NLF372" s="148"/>
      <c r="NLG372" s="582"/>
      <c r="NLH372" s="584"/>
      <c r="NLI372" s="584"/>
      <c r="NLJ372" s="585"/>
      <c r="NLK372" s="586"/>
      <c r="NLL372" s="587"/>
      <c r="NLM372" s="682"/>
      <c r="NLN372" s="148"/>
      <c r="NLO372" s="148"/>
      <c r="NLP372" s="582"/>
      <c r="NLQ372" s="584"/>
      <c r="NLR372" s="584"/>
      <c r="NLS372" s="585"/>
      <c r="NLT372" s="586"/>
      <c r="NLU372" s="587"/>
      <c r="NLV372" s="682"/>
      <c r="NLW372" s="148"/>
      <c r="NLX372" s="148"/>
      <c r="NLY372" s="582"/>
      <c r="NLZ372" s="584"/>
      <c r="NMA372" s="584"/>
      <c r="NMB372" s="585"/>
      <c r="NMC372" s="586"/>
      <c r="NMD372" s="587"/>
      <c r="NME372" s="682"/>
      <c r="NMF372" s="148"/>
      <c r="NMG372" s="148"/>
      <c r="NMH372" s="582"/>
      <c r="NMI372" s="584"/>
      <c r="NMJ372" s="584"/>
      <c r="NMK372" s="585"/>
      <c r="NML372" s="586"/>
      <c r="NMM372" s="587"/>
      <c r="NMN372" s="682"/>
      <c r="NMO372" s="148"/>
      <c r="NMP372" s="148"/>
      <c r="NMQ372" s="582"/>
      <c r="NMR372" s="584"/>
      <c r="NMS372" s="584"/>
      <c r="NMT372" s="585"/>
      <c r="NMU372" s="586"/>
      <c r="NMV372" s="587"/>
      <c r="NMW372" s="682"/>
      <c r="NMX372" s="148"/>
      <c r="NMY372" s="148"/>
      <c r="NMZ372" s="582"/>
      <c r="NNA372" s="584"/>
      <c r="NNB372" s="584"/>
      <c r="NNC372" s="585"/>
      <c r="NND372" s="586"/>
      <c r="NNE372" s="587"/>
      <c r="NNF372" s="682"/>
      <c r="NNG372" s="148"/>
      <c r="NNH372" s="148"/>
      <c r="NNI372" s="582"/>
      <c r="NNJ372" s="584"/>
      <c r="NNK372" s="584"/>
      <c r="NNL372" s="585"/>
      <c r="NNM372" s="586"/>
      <c r="NNN372" s="587"/>
      <c r="NNO372" s="682"/>
      <c r="NNP372" s="148"/>
      <c r="NNQ372" s="148"/>
      <c r="NNR372" s="582"/>
      <c r="NNS372" s="584"/>
      <c r="NNT372" s="584"/>
      <c r="NNU372" s="585"/>
      <c r="NNV372" s="586"/>
      <c r="NNW372" s="587"/>
      <c r="NNX372" s="682"/>
      <c r="NNY372" s="148"/>
      <c r="NNZ372" s="148"/>
      <c r="NOA372" s="582"/>
      <c r="NOB372" s="584"/>
      <c r="NOC372" s="584"/>
      <c r="NOD372" s="585"/>
      <c r="NOE372" s="586"/>
      <c r="NOF372" s="587"/>
      <c r="NOG372" s="682"/>
      <c r="NOH372" s="148"/>
      <c r="NOI372" s="148"/>
      <c r="NOJ372" s="582"/>
      <c r="NOK372" s="584"/>
      <c r="NOL372" s="584"/>
      <c r="NOM372" s="585"/>
      <c r="NON372" s="586"/>
      <c r="NOO372" s="587"/>
      <c r="NOP372" s="682"/>
      <c r="NOQ372" s="148"/>
      <c r="NOR372" s="148"/>
      <c r="NOS372" s="582"/>
      <c r="NOT372" s="584"/>
      <c r="NOU372" s="584"/>
      <c r="NOV372" s="585"/>
      <c r="NOW372" s="586"/>
      <c r="NOX372" s="587"/>
      <c r="NOY372" s="682"/>
      <c r="NOZ372" s="148"/>
      <c r="NPA372" s="148"/>
      <c r="NPB372" s="582"/>
      <c r="NPC372" s="584"/>
      <c r="NPD372" s="584"/>
      <c r="NPE372" s="585"/>
      <c r="NPF372" s="586"/>
      <c r="NPG372" s="587"/>
      <c r="NPH372" s="682"/>
      <c r="NPI372" s="148"/>
      <c r="NPJ372" s="148"/>
      <c r="NPK372" s="582"/>
      <c r="NPL372" s="584"/>
      <c r="NPM372" s="584"/>
      <c r="NPN372" s="585"/>
      <c r="NPO372" s="586"/>
      <c r="NPP372" s="587"/>
      <c r="NPQ372" s="682"/>
      <c r="NPR372" s="148"/>
      <c r="NPS372" s="148"/>
      <c r="NPT372" s="582"/>
      <c r="NPU372" s="584"/>
      <c r="NPV372" s="584"/>
      <c r="NPW372" s="585"/>
      <c r="NPX372" s="586"/>
      <c r="NPY372" s="587"/>
      <c r="NPZ372" s="682"/>
      <c r="NQA372" s="148"/>
      <c r="NQB372" s="148"/>
      <c r="NQC372" s="582"/>
      <c r="NQD372" s="584"/>
      <c r="NQE372" s="584"/>
      <c r="NQF372" s="585"/>
      <c r="NQG372" s="586"/>
      <c r="NQH372" s="587"/>
      <c r="NQI372" s="682"/>
      <c r="NQJ372" s="148"/>
      <c r="NQK372" s="148"/>
      <c r="NQL372" s="582"/>
      <c r="NQM372" s="584"/>
      <c r="NQN372" s="584"/>
      <c r="NQO372" s="585"/>
      <c r="NQP372" s="586"/>
      <c r="NQQ372" s="587"/>
      <c r="NQR372" s="682"/>
      <c r="NQS372" s="148"/>
      <c r="NQT372" s="148"/>
      <c r="NQU372" s="582"/>
      <c r="NQV372" s="584"/>
      <c r="NQW372" s="584"/>
      <c r="NQX372" s="585"/>
      <c r="NQY372" s="586"/>
      <c r="NQZ372" s="587"/>
      <c r="NRA372" s="682"/>
      <c r="NRB372" s="148"/>
      <c r="NRC372" s="148"/>
      <c r="NRD372" s="582"/>
      <c r="NRE372" s="584"/>
      <c r="NRF372" s="584"/>
      <c r="NRG372" s="585"/>
      <c r="NRH372" s="586"/>
      <c r="NRI372" s="587"/>
      <c r="NRJ372" s="682"/>
      <c r="NRK372" s="148"/>
      <c r="NRL372" s="148"/>
      <c r="NRM372" s="582"/>
      <c r="NRN372" s="584"/>
      <c r="NRO372" s="584"/>
      <c r="NRP372" s="585"/>
      <c r="NRQ372" s="586"/>
      <c r="NRR372" s="587"/>
      <c r="NRS372" s="682"/>
      <c r="NRT372" s="148"/>
      <c r="NRU372" s="148"/>
      <c r="NRV372" s="582"/>
      <c r="NRW372" s="584"/>
      <c r="NRX372" s="584"/>
      <c r="NRY372" s="585"/>
      <c r="NRZ372" s="586"/>
      <c r="NSA372" s="587"/>
      <c r="NSB372" s="682"/>
      <c r="NSC372" s="148"/>
      <c r="NSD372" s="148"/>
      <c r="NSE372" s="582"/>
      <c r="NSF372" s="584"/>
      <c r="NSG372" s="584"/>
      <c r="NSH372" s="585"/>
      <c r="NSI372" s="586"/>
      <c r="NSJ372" s="587"/>
      <c r="NSK372" s="682"/>
      <c r="NSL372" s="148"/>
      <c r="NSM372" s="148"/>
      <c r="NSN372" s="582"/>
      <c r="NSO372" s="584"/>
      <c r="NSP372" s="584"/>
      <c r="NSQ372" s="585"/>
      <c r="NSR372" s="586"/>
      <c r="NSS372" s="587"/>
      <c r="NST372" s="682"/>
      <c r="NSU372" s="148"/>
      <c r="NSV372" s="148"/>
      <c r="NSW372" s="582"/>
      <c r="NSX372" s="584"/>
      <c r="NSY372" s="584"/>
      <c r="NSZ372" s="585"/>
      <c r="NTA372" s="586"/>
      <c r="NTB372" s="587"/>
      <c r="NTC372" s="682"/>
      <c r="NTD372" s="148"/>
      <c r="NTE372" s="148"/>
      <c r="NTF372" s="582"/>
      <c r="NTG372" s="584"/>
      <c r="NTH372" s="584"/>
      <c r="NTI372" s="585"/>
      <c r="NTJ372" s="586"/>
      <c r="NTK372" s="587"/>
      <c r="NTL372" s="682"/>
      <c r="NTM372" s="148"/>
      <c r="NTN372" s="148"/>
      <c r="NTO372" s="582"/>
      <c r="NTP372" s="584"/>
      <c r="NTQ372" s="584"/>
      <c r="NTR372" s="585"/>
      <c r="NTS372" s="586"/>
      <c r="NTT372" s="587"/>
      <c r="NTU372" s="682"/>
      <c r="NTV372" s="148"/>
      <c r="NTW372" s="148"/>
      <c r="NTX372" s="582"/>
      <c r="NTY372" s="584"/>
      <c r="NTZ372" s="584"/>
      <c r="NUA372" s="585"/>
      <c r="NUB372" s="586"/>
      <c r="NUC372" s="587"/>
      <c r="NUD372" s="682"/>
      <c r="NUE372" s="148"/>
      <c r="NUF372" s="148"/>
      <c r="NUG372" s="582"/>
      <c r="NUH372" s="584"/>
      <c r="NUI372" s="584"/>
      <c r="NUJ372" s="585"/>
      <c r="NUK372" s="586"/>
      <c r="NUL372" s="587"/>
      <c r="NUM372" s="682"/>
      <c r="NUN372" s="148"/>
      <c r="NUO372" s="148"/>
      <c r="NUP372" s="582"/>
      <c r="NUQ372" s="584"/>
      <c r="NUR372" s="584"/>
      <c r="NUS372" s="585"/>
      <c r="NUT372" s="586"/>
      <c r="NUU372" s="587"/>
      <c r="NUV372" s="682"/>
      <c r="NUW372" s="148"/>
      <c r="NUX372" s="148"/>
      <c r="NUY372" s="582"/>
      <c r="NUZ372" s="584"/>
      <c r="NVA372" s="584"/>
      <c r="NVB372" s="585"/>
      <c r="NVC372" s="586"/>
      <c r="NVD372" s="587"/>
      <c r="NVE372" s="682"/>
      <c r="NVF372" s="148"/>
      <c r="NVG372" s="148"/>
      <c r="NVH372" s="582"/>
      <c r="NVI372" s="584"/>
      <c r="NVJ372" s="584"/>
      <c r="NVK372" s="585"/>
      <c r="NVL372" s="586"/>
      <c r="NVM372" s="587"/>
      <c r="NVN372" s="682"/>
      <c r="NVO372" s="148"/>
      <c r="NVP372" s="148"/>
      <c r="NVQ372" s="582"/>
      <c r="NVR372" s="584"/>
      <c r="NVS372" s="584"/>
      <c r="NVT372" s="585"/>
      <c r="NVU372" s="586"/>
      <c r="NVV372" s="587"/>
      <c r="NVW372" s="682"/>
      <c r="NVX372" s="148"/>
      <c r="NVY372" s="148"/>
      <c r="NVZ372" s="582"/>
      <c r="NWA372" s="584"/>
      <c r="NWB372" s="584"/>
      <c r="NWC372" s="585"/>
      <c r="NWD372" s="586"/>
      <c r="NWE372" s="587"/>
      <c r="NWF372" s="682"/>
      <c r="NWG372" s="148"/>
      <c r="NWH372" s="148"/>
      <c r="NWI372" s="582"/>
      <c r="NWJ372" s="584"/>
      <c r="NWK372" s="584"/>
      <c r="NWL372" s="585"/>
      <c r="NWM372" s="586"/>
      <c r="NWN372" s="587"/>
      <c r="NWO372" s="682"/>
      <c r="NWP372" s="148"/>
      <c r="NWQ372" s="148"/>
      <c r="NWR372" s="582"/>
      <c r="NWS372" s="584"/>
      <c r="NWT372" s="584"/>
      <c r="NWU372" s="585"/>
      <c r="NWV372" s="586"/>
      <c r="NWW372" s="587"/>
      <c r="NWX372" s="682"/>
      <c r="NWY372" s="148"/>
      <c r="NWZ372" s="148"/>
      <c r="NXA372" s="582"/>
      <c r="NXB372" s="584"/>
      <c r="NXC372" s="584"/>
      <c r="NXD372" s="585"/>
      <c r="NXE372" s="586"/>
      <c r="NXF372" s="587"/>
      <c r="NXG372" s="682"/>
      <c r="NXH372" s="148"/>
      <c r="NXI372" s="148"/>
      <c r="NXJ372" s="582"/>
      <c r="NXK372" s="584"/>
      <c r="NXL372" s="584"/>
      <c r="NXM372" s="585"/>
      <c r="NXN372" s="586"/>
      <c r="NXO372" s="587"/>
      <c r="NXP372" s="682"/>
      <c r="NXQ372" s="148"/>
      <c r="NXR372" s="148"/>
      <c r="NXS372" s="582"/>
      <c r="NXT372" s="584"/>
      <c r="NXU372" s="584"/>
      <c r="NXV372" s="585"/>
      <c r="NXW372" s="586"/>
      <c r="NXX372" s="587"/>
      <c r="NXY372" s="682"/>
      <c r="NXZ372" s="148"/>
      <c r="NYA372" s="148"/>
      <c r="NYB372" s="582"/>
      <c r="NYC372" s="584"/>
      <c r="NYD372" s="584"/>
      <c r="NYE372" s="585"/>
      <c r="NYF372" s="586"/>
      <c r="NYG372" s="587"/>
      <c r="NYH372" s="682"/>
      <c r="NYI372" s="148"/>
      <c r="NYJ372" s="148"/>
      <c r="NYK372" s="582"/>
      <c r="NYL372" s="584"/>
      <c r="NYM372" s="584"/>
      <c r="NYN372" s="585"/>
      <c r="NYO372" s="586"/>
      <c r="NYP372" s="587"/>
      <c r="NYQ372" s="682"/>
      <c r="NYR372" s="148"/>
      <c r="NYS372" s="148"/>
      <c r="NYT372" s="582"/>
      <c r="NYU372" s="584"/>
      <c r="NYV372" s="584"/>
      <c r="NYW372" s="585"/>
      <c r="NYX372" s="586"/>
      <c r="NYY372" s="587"/>
      <c r="NYZ372" s="682"/>
      <c r="NZA372" s="148"/>
      <c r="NZB372" s="148"/>
      <c r="NZC372" s="582"/>
      <c r="NZD372" s="584"/>
      <c r="NZE372" s="584"/>
      <c r="NZF372" s="585"/>
      <c r="NZG372" s="586"/>
      <c r="NZH372" s="587"/>
      <c r="NZI372" s="682"/>
      <c r="NZJ372" s="148"/>
      <c r="NZK372" s="148"/>
      <c r="NZL372" s="582"/>
      <c r="NZM372" s="584"/>
      <c r="NZN372" s="584"/>
      <c r="NZO372" s="585"/>
      <c r="NZP372" s="586"/>
      <c r="NZQ372" s="587"/>
      <c r="NZR372" s="682"/>
      <c r="NZS372" s="148"/>
      <c r="NZT372" s="148"/>
      <c r="NZU372" s="582"/>
      <c r="NZV372" s="584"/>
      <c r="NZW372" s="584"/>
      <c r="NZX372" s="585"/>
      <c r="NZY372" s="586"/>
      <c r="NZZ372" s="587"/>
      <c r="OAA372" s="682"/>
      <c r="OAB372" s="148"/>
      <c r="OAC372" s="148"/>
      <c r="OAD372" s="582"/>
      <c r="OAE372" s="584"/>
      <c r="OAF372" s="584"/>
      <c r="OAG372" s="585"/>
      <c r="OAH372" s="586"/>
      <c r="OAI372" s="587"/>
      <c r="OAJ372" s="682"/>
      <c r="OAK372" s="148"/>
      <c r="OAL372" s="148"/>
      <c r="OAM372" s="582"/>
      <c r="OAN372" s="584"/>
      <c r="OAO372" s="584"/>
      <c r="OAP372" s="585"/>
      <c r="OAQ372" s="586"/>
      <c r="OAR372" s="587"/>
      <c r="OAS372" s="682"/>
      <c r="OAT372" s="148"/>
      <c r="OAU372" s="148"/>
      <c r="OAV372" s="582"/>
      <c r="OAW372" s="584"/>
      <c r="OAX372" s="584"/>
      <c r="OAY372" s="585"/>
      <c r="OAZ372" s="586"/>
      <c r="OBA372" s="587"/>
      <c r="OBB372" s="682"/>
      <c r="OBC372" s="148"/>
      <c r="OBD372" s="148"/>
      <c r="OBE372" s="582"/>
      <c r="OBF372" s="584"/>
      <c r="OBG372" s="584"/>
      <c r="OBH372" s="585"/>
      <c r="OBI372" s="586"/>
      <c r="OBJ372" s="587"/>
      <c r="OBK372" s="682"/>
      <c r="OBL372" s="148"/>
      <c r="OBM372" s="148"/>
      <c r="OBN372" s="582"/>
      <c r="OBO372" s="584"/>
      <c r="OBP372" s="584"/>
      <c r="OBQ372" s="585"/>
      <c r="OBR372" s="586"/>
      <c r="OBS372" s="587"/>
      <c r="OBT372" s="682"/>
      <c r="OBU372" s="148"/>
      <c r="OBV372" s="148"/>
      <c r="OBW372" s="582"/>
      <c r="OBX372" s="584"/>
      <c r="OBY372" s="584"/>
      <c r="OBZ372" s="585"/>
      <c r="OCA372" s="586"/>
      <c r="OCB372" s="587"/>
      <c r="OCC372" s="682"/>
      <c r="OCD372" s="148"/>
      <c r="OCE372" s="148"/>
      <c r="OCF372" s="582"/>
      <c r="OCG372" s="584"/>
      <c r="OCH372" s="584"/>
      <c r="OCI372" s="585"/>
      <c r="OCJ372" s="586"/>
      <c r="OCK372" s="587"/>
      <c r="OCL372" s="682"/>
      <c r="OCM372" s="148"/>
      <c r="OCN372" s="148"/>
      <c r="OCO372" s="582"/>
      <c r="OCP372" s="584"/>
      <c r="OCQ372" s="584"/>
      <c r="OCR372" s="585"/>
      <c r="OCS372" s="586"/>
      <c r="OCT372" s="587"/>
      <c r="OCU372" s="682"/>
      <c r="OCV372" s="148"/>
      <c r="OCW372" s="148"/>
      <c r="OCX372" s="582"/>
      <c r="OCY372" s="584"/>
      <c r="OCZ372" s="584"/>
      <c r="ODA372" s="585"/>
      <c r="ODB372" s="586"/>
      <c r="ODC372" s="587"/>
      <c r="ODD372" s="682"/>
      <c r="ODE372" s="148"/>
      <c r="ODF372" s="148"/>
      <c r="ODG372" s="582"/>
      <c r="ODH372" s="584"/>
      <c r="ODI372" s="584"/>
      <c r="ODJ372" s="585"/>
      <c r="ODK372" s="586"/>
      <c r="ODL372" s="587"/>
      <c r="ODM372" s="682"/>
      <c r="ODN372" s="148"/>
      <c r="ODO372" s="148"/>
      <c r="ODP372" s="582"/>
      <c r="ODQ372" s="584"/>
      <c r="ODR372" s="584"/>
      <c r="ODS372" s="585"/>
      <c r="ODT372" s="586"/>
      <c r="ODU372" s="587"/>
      <c r="ODV372" s="682"/>
      <c r="ODW372" s="148"/>
      <c r="ODX372" s="148"/>
      <c r="ODY372" s="582"/>
      <c r="ODZ372" s="584"/>
      <c r="OEA372" s="584"/>
      <c r="OEB372" s="585"/>
      <c r="OEC372" s="586"/>
      <c r="OED372" s="587"/>
      <c r="OEE372" s="682"/>
      <c r="OEF372" s="148"/>
      <c r="OEG372" s="148"/>
      <c r="OEH372" s="582"/>
      <c r="OEI372" s="584"/>
      <c r="OEJ372" s="584"/>
      <c r="OEK372" s="585"/>
      <c r="OEL372" s="586"/>
      <c r="OEM372" s="587"/>
      <c r="OEN372" s="682"/>
      <c r="OEO372" s="148"/>
      <c r="OEP372" s="148"/>
      <c r="OEQ372" s="582"/>
      <c r="OER372" s="584"/>
      <c r="OES372" s="584"/>
      <c r="OET372" s="585"/>
      <c r="OEU372" s="586"/>
      <c r="OEV372" s="587"/>
      <c r="OEW372" s="682"/>
      <c r="OEX372" s="148"/>
      <c r="OEY372" s="148"/>
      <c r="OEZ372" s="582"/>
      <c r="OFA372" s="584"/>
      <c r="OFB372" s="584"/>
      <c r="OFC372" s="585"/>
      <c r="OFD372" s="586"/>
      <c r="OFE372" s="587"/>
      <c r="OFF372" s="682"/>
      <c r="OFG372" s="148"/>
      <c r="OFH372" s="148"/>
      <c r="OFI372" s="582"/>
      <c r="OFJ372" s="584"/>
      <c r="OFK372" s="584"/>
      <c r="OFL372" s="585"/>
      <c r="OFM372" s="586"/>
      <c r="OFN372" s="587"/>
      <c r="OFO372" s="682"/>
      <c r="OFP372" s="148"/>
      <c r="OFQ372" s="148"/>
      <c r="OFR372" s="582"/>
      <c r="OFS372" s="584"/>
      <c r="OFT372" s="584"/>
      <c r="OFU372" s="585"/>
      <c r="OFV372" s="586"/>
      <c r="OFW372" s="587"/>
      <c r="OFX372" s="682"/>
      <c r="OFY372" s="148"/>
      <c r="OFZ372" s="148"/>
      <c r="OGA372" s="582"/>
      <c r="OGB372" s="584"/>
      <c r="OGC372" s="584"/>
      <c r="OGD372" s="585"/>
      <c r="OGE372" s="586"/>
      <c r="OGF372" s="587"/>
      <c r="OGG372" s="682"/>
      <c r="OGH372" s="148"/>
      <c r="OGI372" s="148"/>
      <c r="OGJ372" s="582"/>
      <c r="OGK372" s="584"/>
      <c r="OGL372" s="584"/>
      <c r="OGM372" s="585"/>
      <c r="OGN372" s="586"/>
      <c r="OGO372" s="587"/>
      <c r="OGP372" s="682"/>
      <c r="OGQ372" s="148"/>
      <c r="OGR372" s="148"/>
      <c r="OGS372" s="582"/>
      <c r="OGT372" s="584"/>
      <c r="OGU372" s="584"/>
      <c r="OGV372" s="585"/>
      <c r="OGW372" s="586"/>
      <c r="OGX372" s="587"/>
      <c r="OGY372" s="682"/>
      <c r="OGZ372" s="148"/>
      <c r="OHA372" s="148"/>
      <c r="OHB372" s="582"/>
      <c r="OHC372" s="584"/>
      <c r="OHD372" s="584"/>
      <c r="OHE372" s="585"/>
      <c r="OHF372" s="586"/>
      <c r="OHG372" s="587"/>
      <c r="OHH372" s="682"/>
      <c r="OHI372" s="148"/>
      <c r="OHJ372" s="148"/>
      <c r="OHK372" s="582"/>
      <c r="OHL372" s="584"/>
      <c r="OHM372" s="584"/>
      <c r="OHN372" s="585"/>
      <c r="OHO372" s="586"/>
      <c r="OHP372" s="587"/>
      <c r="OHQ372" s="682"/>
      <c r="OHR372" s="148"/>
      <c r="OHS372" s="148"/>
      <c r="OHT372" s="582"/>
      <c r="OHU372" s="584"/>
      <c r="OHV372" s="584"/>
      <c r="OHW372" s="585"/>
      <c r="OHX372" s="586"/>
      <c r="OHY372" s="587"/>
      <c r="OHZ372" s="682"/>
      <c r="OIA372" s="148"/>
      <c r="OIB372" s="148"/>
      <c r="OIC372" s="582"/>
      <c r="OID372" s="584"/>
      <c r="OIE372" s="584"/>
      <c r="OIF372" s="585"/>
      <c r="OIG372" s="586"/>
      <c r="OIH372" s="587"/>
      <c r="OII372" s="682"/>
      <c r="OIJ372" s="148"/>
      <c r="OIK372" s="148"/>
      <c r="OIL372" s="582"/>
      <c r="OIM372" s="584"/>
      <c r="OIN372" s="584"/>
      <c r="OIO372" s="585"/>
      <c r="OIP372" s="586"/>
      <c r="OIQ372" s="587"/>
      <c r="OIR372" s="682"/>
      <c r="OIS372" s="148"/>
      <c r="OIT372" s="148"/>
      <c r="OIU372" s="582"/>
      <c r="OIV372" s="584"/>
      <c r="OIW372" s="584"/>
      <c r="OIX372" s="585"/>
      <c r="OIY372" s="586"/>
      <c r="OIZ372" s="587"/>
      <c r="OJA372" s="682"/>
      <c r="OJB372" s="148"/>
      <c r="OJC372" s="148"/>
      <c r="OJD372" s="582"/>
      <c r="OJE372" s="584"/>
      <c r="OJF372" s="584"/>
      <c r="OJG372" s="585"/>
      <c r="OJH372" s="586"/>
      <c r="OJI372" s="587"/>
      <c r="OJJ372" s="682"/>
      <c r="OJK372" s="148"/>
      <c r="OJL372" s="148"/>
      <c r="OJM372" s="582"/>
      <c r="OJN372" s="584"/>
      <c r="OJO372" s="584"/>
      <c r="OJP372" s="585"/>
      <c r="OJQ372" s="586"/>
      <c r="OJR372" s="587"/>
      <c r="OJS372" s="682"/>
      <c r="OJT372" s="148"/>
      <c r="OJU372" s="148"/>
      <c r="OJV372" s="582"/>
      <c r="OJW372" s="584"/>
      <c r="OJX372" s="584"/>
      <c r="OJY372" s="585"/>
      <c r="OJZ372" s="586"/>
      <c r="OKA372" s="587"/>
      <c r="OKB372" s="682"/>
      <c r="OKC372" s="148"/>
      <c r="OKD372" s="148"/>
      <c r="OKE372" s="582"/>
      <c r="OKF372" s="584"/>
      <c r="OKG372" s="584"/>
      <c r="OKH372" s="585"/>
      <c r="OKI372" s="586"/>
      <c r="OKJ372" s="587"/>
      <c r="OKK372" s="682"/>
      <c r="OKL372" s="148"/>
      <c r="OKM372" s="148"/>
      <c r="OKN372" s="582"/>
      <c r="OKO372" s="584"/>
      <c r="OKP372" s="584"/>
      <c r="OKQ372" s="585"/>
      <c r="OKR372" s="586"/>
      <c r="OKS372" s="587"/>
      <c r="OKT372" s="682"/>
      <c r="OKU372" s="148"/>
      <c r="OKV372" s="148"/>
      <c r="OKW372" s="582"/>
      <c r="OKX372" s="584"/>
      <c r="OKY372" s="584"/>
      <c r="OKZ372" s="585"/>
      <c r="OLA372" s="586"/>
      <c r="OLB372" s="587"/>
      <c r="OLC372" s="682"/>
      <c r="OLD372" s="148"/>
      <c r="OLE372" s="148"/>
      <c r="OLF372" s="582"/>
      <c r="OLG372" s="584"/>
      <c r="OLH372" s="584"/>
      <c r="OLI372" s="585"/>
      <c r="OLJ372" s="586"/>
      <c r="OLK372" s="587"/>
      <c r="OLL372" s="682"/>
      <c r="OLM372" s="148"/>
      <c r="OLN372" s="148"/>
      <c r="OLO372" s="582"/>
      <c r="OLP372" s="584"/>
      <c r="OLQ372" s="584"/>
      <c r="OLR372" s="585"/>
      <c r="OLS372" s="586"/>
      <c r="OLT372" s="587"/>
      <c r="OLU372" s="682"/>
      <c r="OLV372" s="148"/>
      <c r="OLW372" s="148"/>
      <c r="OLX372" s="582"/>
      <c r="OLY372" s="584"/>
      <c r="OLZ372" s="584"/>
      <c r="OMA372" s="585"/>
      <c r="OMB372" s="586"/>
      <c r="OMC372" s="587"/>
      <c r="OMD372" s="682"/>
      <c r="OME372" s="148"/>
      <c r="OMF372" s="148"/>
      <c r="OMG372" s="582"/>
      <c r="OMH372" s="584"/>
      <c r="OMI372" s="584"/>
      <c r="OMJ372" s="585"/>
      <c r="OMK372" s="586"/>
      <c r="OML372" s="587"/>
      <c r="OMM372" s="682"/>
      <c r="OMN372" s="148"/>
      <c r="OMO372" s="148"/>
      <c r="OMP372" s="582"/>
      <c r="OMQ372" s="584"/>
      <c r="OMR372" s="584"/>
      <c r="OMS372" s="585"/>
      <c r="OMT372" s="586"/>
      <c r="OMU372" s="587"/>
      <c r="OMV372" s="682"/>
      <c r="OMW372" s="148"/>
      <c r="OMX372" s="148"/>
      <c r="OMY372" s="582"/>
      <c r="OMZ372" s="584"/>
      <c r="ONA372" s="584"/>
      <c r="ONB372" s="585"/>
      <c r="ONC372" s="586"/>
      <c r="OND372" s="587"/>
      <c r="ONE372" s="682"/>
      <c r="ONF372" s="148"/>
      <c r="ONG372" s="148"/>
      <c r="ONH372" s="582"/>
      <c r="ONI372" s="584"/>
      <c r="ONJ372" s="584"/>
      <c r="ONK372" s="585"/>
      <c r="ONL372" s="586"/>
      <c r="ONM372" s="587"/>
      <c r="ONN372" s="682"/>
      <c r="ONO372" s="148"/>
      <c r="ONP372" s="148"/>
      <c r="ONQ372" s="582"/>
      <c r="ONR372" s="584"/>
      <c r="ONS372" s="584"/>
      <c r="ONT372" s="585"/>
      <c r="ONU372" s="586"/>
      <c r="ONV372" s="587"/>
      <c r="ONW372" s="682"/>
      <c r="ONX372" s="148"/>
      <c r="ONY372" s="148"/>
      <c r="ONZ372" s="582"/>
      <c r="OOA372" s="584"/>
      <c r="OOB372" s="584"/>
      <c r="OOC372" s="585"/>
      <c r="OOD372" s="586"/>
      <c r="OOE372" s="587"/>
      <c r="OOF372" s="682"/>
      <c r="OOG372" s="148"/>
      <c r="OOH372" s="148"/>
      <c r="OOI372" s="582"/>
      <c r="OOJ372" s="584"/>
      <c r="OOK372" s="584"/>
      <c r="OOL372" s="585"/>
      <c r="OOM372" s="586"/>
      <c r="OON372" s="587"/>
      <c r="OOO372" s="682"/>
      <c r="OOP372" s="148"/>
      <c r="OOQ372" s="148"/>
      <c r="OOR372" s="582"/>
      <c r="OOS372" s="584"/>
      <c r="OOT372" s="584"/>
      <c r="OOU372" s="585"/>
      <c r="OOV372" s="586"/>
      <c r="OOW372" s="587"/>
      <c r="OOX372" s="682"/>
      <c r="OOY372" s="148"/>
      <c r="OOZ372" s="148"/>
      <c r="OPA372" s="582"/>
      <c r="OPB372" s="584"/>
      <c r="OPC372" s="584"/>
      <c r="OPD372" s="585"/>
      <c r="OPE372" s="586"/>
      <c r="OPF372" s="587"/>
      <c r="OPG372" s="682"/>
      <c r="OPH372" s="148"/>
      <c r="OPI372" s="148"/>
      <c r="OPJ372" s="582"/>
      <c r="OPK372" s="584"/>
      <c r="OPL372" s="584"/>
      <c r="OPM372" s="585"/>
      <c r="OPN372" s="586"/>
      <c r="OPO372" s="587"/>
      <c r="OPP372" s="682"/>
      <c r="OPQ372" s="148"/>
      <c r="OPR372" s="148"/>
      <c r="OPS372" s="582"/>
      <c r="OPT372" s="584"/>
      <c r="OPU372" s="584"/>
      <c r="OPV372" s="585"/>
      <c r="OPW372" s="586"/>
      <c r="OPX372" s="587"/>
      <c r="OPY372" s="682"/>
      <c r="OPZ372" s="148"/>
      <c r="OQA372" s="148"/>
      <c r="OQB372" s="582"/>
      <c r="OQC372" s="584"/>
      <c r="OQD372" s="584"/>
      <c r="OQE372" s="585"/>
      <c r="OQF372" s="586"/>
      <c r="OQG372" s="587"/>
      <c r="OQH372" s="682"/>
      <c r="OQI372" s="148"/>
      <c r="OQJ372" s="148"/>
      <c r="OQK372" s="582"/>
      <c r="OQL372" s="584"/>
      <c r="OQM372" s="584"/>
      <c r="OQN372" s="585"/>
      <c r="OQO372" s="586"/>
      <c r="OQP372" s="587"/>
      <c r="OQQ372" s="682"/>
      <c r="OQR372" s="148"/>
      <c r="OQS372" s="148"/>
      <c r="OQT372" s="582"/>
      <c r="OQU372" s="584"/>
      <c r="OQV372" s="584"/>
      <c r="OQW372" s="585"/>
      <c r="OQX372" s="586"/>
      <c r="OQY372" s="587"/>
      <c r="OQZ372" s="682"/>
      <c r="ORA372" s="148"/>
      <c r="ORB372" s="148"/>
      <c r="ORC372" s="582"/>
      <c r="ORD372" s="584"/>
      <c r="ORE372" s="584"/>
      <c r="ORF372" s="585"/>
      <c r="ORG372" s="586"/>
      <c r="ORH372" s="587"/>
      <c r="ORI372" s="682"/>
      <c r="ORJ372" s="148"/>
      <c r="ORK372" s="148"/>
      <c r="ORL372" s="582"/>
      <c r="ORM372" s="584"/>
      <c r="ORN372" s="584"/>
      <c r="ORO372" s="585"/>
      <c r="ORP372" s="586"/>
      <c r="ORQ372" s="587"/>
      <c r="ORR372" s="682"/>
      <c r="ORS372" s="148"/>
      <c r="ORT372" s="148"/>
      <c r="ORU372" s="582"/>
      <c r="ORV372" s="584"/>
      <c r="ORW372" s="584"/>
      <c r="ORX372" s="585"/>
      <c r="ORY372" s="586"/>
      <c r="ORZ372" s="587"/>
      <c r="OSA372" s="682"/>
      <c r="OSB372" s="148"/>
      <c r="OSC372" s="148"/>
      <c r="OSD372" s="582"/>
      <c r="OSE372" s="584"/>
      <c r="OSF372" s="584"/>
      <c r="OSG372" s="585"/>
      <c r="OSH372" s="586"/>
      <c r="OSI372" s="587"/>
      <c r="OSJ372" s="682"/>
      <c r="OSK372" s="148"/>
      <c r="OSL372" s="148"/>
      <c r="OSM372" s="582"/>
      <c r="OSN372" s="584"/>
      <c r="OSO372" s="584"/>
      <c r="OSP372" s="585"/>
      <c r="OSQ372" s="586"/>
      <c r="OSR372" s="587"/>
      <c r="OSS372" s="682"/>
      <c r="OST372" s="148"/>
      <c r="OSU372" s="148"/>
      <c r="OSV372" s="582"/>
      <c r="OSW372" s="584"/>
      <c r="OSX372" s="584"/>
      <c r="OSY372" s="585"/>
      <c r="OSZ372" s="586"/>
      <c r="OTA372" s="587"/>
      <c r="OTB372" s="682"/>
      <c r="OTC372" s="148"/>
      <c r="OTD372" s="148"/>
      <c r="OTE372" s="582"/>
      <c r="OTF372" s="584"/>
      <c r="OTG372" s="584"/>
      <c r="OTH372" s="585"/>
      <c r="OTI372" s="586"/>
      <c r="OTJ372" s="587"/>
      <c r="OTK372" s="682"/>
      <c r="OTL372" s="148"/>
      <c r="OTM372" s="148"/>
      <c r="OTN372" s="582"/>
      <c r="OTO372" s="584"/>
      <c r="OTP372" s="584"/>
      <c r="OTQ372" s="585"/>
      <c r="OTR372" s="586"/>
      <c r="OTS372" s="587"/>
      <c r="OTT372" s="682"/>
      <c r="OTU372" s="148"/>
      <c r="OTV372" s="148"/>
      <c r="OTW372" s="582"/>
      <c r="OTX372" s="584"/>
      <c r="OTY372" s="584"/>
      <c r="OTZ372" s="585"/>
      <c r="OUA372" s="586"/>
      <c r="OUB372" s="587"/>
      <c r="OUC372" s="682"/>
      <c r="OUD372" s="148"/>
      <c r="OUE372" s="148"/>
      <c r="OUF372" s="582"/>
      <c r="OUG372" s="584"/>
      <c r="OUH372" s="584"/>
      <c r="OUI372" s="585"/>
      <c r="OUJ372" s="586"/>
      <c r="OUK372" s="587"/>
      <c r="OUL372" s="682"/>
      <c r="OUM372" s="148"/>
      <c r="OUN372" s="148"/>
      <c r="OUO372" s="582"/>
      <c r="OUP372" s="584"/>
      <c r="OUQ372" s="584"/>
      <c r="OUR372" s="585"/>
      <c r="OUS372" s="586"/>
      <c r="OUT372" s="587"/>
      <c r="OUU372" s="682"/>
      <c r="OUV372" s="148"/>
      <c r="OUW372" s="148"/>
      <c r="OUX372" s="582"/>
      <c r="OUY372" s="584"/>
      <c r="OUZ372" s="584"/>
      <c r="OVA372" s="585"/>
      <c r="OVB372" s="586"/>
      <c r="OVC372" s="587"/>
      <c r="OVD372" s="682"/>
      <c r="OVE372" s="148"/>
      <c r="OVF372" s="148"/>
      <c r="OVG372" s="582"/>
      <c r="OVH372" s="584"/>
      <c r="OVI372" s="584"/>
      <c r="OVJ372" s="585"/>
      <c r="OVK372" s="586"/>
      <c r="OVL372" s="587"/>
      <c r="OVM372" s="682"/>
      <c r="OVN372" s="148"/>
      <c r="OVO372" s="148"/>
      <c r="OVP372" s="582"/>
      <c r="OVQ372" s="584"/>
      <c r="OVR372" s="584"/>
      <c r="OVS372" s="585"/>
      <c r="OVT372" s="586"/>
      <c r="OVU372" s="587"/>
      <c r="OVV372" s="682"/>
      <c r="OVW372" s="148"/>
      <c r="OVX372" s="148"/>
      <c r="OVY372" s="582"/>
      <c r="OVZ372" s="584"/>
      <c r="OWA372" s="584"/>
      <c r="OWB372" s="585"/>
      <c r="OWC372" s="586"/>
      <c r="OWD372" s="587"/>
      <c r="OWE372" s="682"/>
      <c r="OWF372" s="148"/>
      <c r="OWG372" s="148"/>
      <c r="OWH372" s="582"/>
      <c r="OWI372" s="584"/>
      <c r="OWJ372" s="584"/>
      <c r="OWK372" s="585"/>
      <c r="OWL372" s="586"/>
      <c r="OWM372" s="587"/>
      <c r="OWN372" s="682"/>
      <c r="OWO372" s="148"/>
      <c r="OWP372" s="148"/>
      <c r="OWQ372" s="582"/>
      <c r="OWR372" s="584"/>
      <c r="OWS372" s="584"/>
      <c r="OWT372" s="585"/>
      <c r="OWU372" s="586"/>
      <c r="OWV372" s="587"/>
      <c r="OWW372" s="682"/>
      <c r="OWX372" s="148"/>
      <c r="OWY372" s="148"/>
      <c r="OWZ372" s="582"/>
      <c r="OXA372" s="584"/>
      <c r="OXB372" s="584"/>
      <c r="OXC372" s="585"/>
      <c r="OXD372" s="586"/>
      <c r="OXE372" s="587"/>
      <c r="OXF372" s="682"/>
      <c r="OXG372" s="148"/>
      <c r="OXH372" s="148"/>
      <c r="OXI372" s="582"/>
      <c r="OXJ372" s="584"/>
      <c r="OXK372" s="584"/>
      <c r="OXL372" s="585"/>
      <c r="OXM372" s="586"/>
      <c r="OXN372" s="587"/>
      <c r="OXO372" s="682"/>
      <c r="OXP372" s="148"/>
      <c r="OXQ372" s="148"/>
      <c r="OXR372" s="582"/>
      <c r="OXS372" s="584"/>
      <c r="OXT372" s="584"/>
      <c r="OXU372" s="585"/>
      <c r="OXV372" s="586"/>
      <c r="OXW372" s="587"/>
      <c r="OXX372" s="682"/>
      <c r="OXY372" s="148"/>
      <c r="OXZ372" s="148"/>
      <c r="OYA372" s="582"/>
      <c r="OYB372" s="584"/>
      <c r="OYC372" s="584"/>
      <c r="OYD372" s="585"/>
      <c r="OYE372" s="586"/>
      <c r="OYF372" s="587"/>
      <c r="OYG372" s="682"/>
      <c r="OYH372" s="148"/>
      <c r="OYI372" s="148"/>
      <c r="OYJ372" s="582"/>
      <c r="OYK372" s="584"/>
      <c r="OYL372" s="584"/>
      <c r="OYM372" s="585"/>
      <c r="OYN372" s="586"/>
      <c r="OYO372" s="587"/>
      <c r="OYP372" s="682"/>
      <c r="OYQ372" s="148"/>
      <c r="OYR372" s="148"/>
      <c r="OYS372" s="582"/>
      <c r="OYT372" s="584"/>
      <c r="OYU372" s="584"/>
      <c r="OYV372" s="585"/>
      <c r="OYW372" s="586"/>
      <c r="OYX372" s="587"/>
      <c r="OYY372" s="682"/>
      <c r="OYZ372" s="148"/>
      <c r="OZA372" s="148"/>
      <c r="OZB372" s="582"/>
      <c r="OZC372" s="584"/>
      <c r="OZD372" s="584"/>
      <c r="OZE372" s="585"/>
      <c r="OZF372" s="586"/>
      <c r="OZG372" s="587"/>
      <c r="OZH372" s="682"/>
      <c r="OZI372" s="148"/>
      <c r="OZJ372" s="148"/>
      <c r="OZK372" s="582"/>
      <c r="OZL372" s="584"/>
      <c r="OZM372" s="584"/>
      <c r="OZN372" s="585"/>
      <c r="OZO372" s="586"/>
      <c r="OZP372" s="587"/>
      <c r="OZQ372" s="682"/>
      <c r="OZR372" s="148"/>
      <c r="OZS372" s="148"/>
      <c r="OZT372" s="582"/>
      <c r="OZU372" s="584"/>
      <c r="OZV372" s="584"/>
      <c r="OZW372" s="585"/>
      <c r="OZX372" s="586"/>
      <c r="OZY372" s="587"/>
      <c r="OZZ372" s="682"/>
      <c r="PAA372" s="148"/>
      <c r="PAB372" s="148"/>
      <c r="PAC372" s="582"/>
      <c r="PAD372" s="584"/>
      <c r="PAE372" s="584"/>
      <c r="PAF372" s="585"/>
      <c r="PAG372" s="586"/>
      <c r="PAH372" s="587"/>
      <c r="PAI372" s="682"/>
      <c r="PAJ372" s="148"/>
      <c r="PAK372" s="148"/>
      <c r="PAL372" s="582"/>
      <c r="PAM372" s="584"/>
      <c r="PAN372" s="584"/>
      <c r="PAO372" s="585"/>
      <c r="PAP372" s="586"/>
      <c r="PAQ372" s="587"/>
      <c r="PAR372" s="682"/>
      <c r="PAS372" s="148"/>
      <c r="PAT372" s="148"/>
      <c r="PAU372" s="582"/>
      <c r="PAV372" s="584"/>
      <c r="PAW372" s="584"/>
      <c r="PAX372" s="585"/>
      <c r="PAY372" s="586"/>
      <c r="PAZ372" s="587"/>
      <c r="PBA372" s="682"/>
      <c r="PBB372" s="148"/>
      <c r="PBC372" s="148"/>
      <c r="PBD372" s="582"/>
      <c r="PBE372" s="584"/>
      <c r="PBF372" s="584"/>
      <c r="PBG372" s="585"/>
      <c r="PBH372" s="586"/>
      <c r="PBI372" s="587"/>
      <c r="PBJ372" s="682"/>
      <c r="PBK372" s="148"/>
      <c r="PBL372" s="148"/>
      <c r="PBM372" s="582"/>
      <c r="PBN372" s="584"/>
      <c r="PBO372" s="584"/>
      <c r="PBP372" s="585"/>
      <c r="PBQ372" s="586"/>
      <c r="PBR372" s="587"/>
      <c r="PBS372" s="682"/>
      <c r="PBT372" s="148"/>
      <c r="PBU372" s="148"/>
      <c r="PBV372" s="582"/>
      <c r="PBW372" s="584"/>
      <c r="PBX372" s="584"/>
      <c r="PBY372" s="585"/>
      <c r="PBZ372" s="586"/>
      <c r="PCA372" s="587"/>
      <c r="PCB372" s="682"/>
      <c r="PCC372" s="148"/>
      <c r="PCD372" s="148"/>
      <c r="PCE372" s="582"/>
      <c r="PCF372" s="584"/>
      <c r="PCG372" s="584"/>
      <c r="PCH372" s="585"/>
      <c r="PCI372" s="586"/>
      <c r="PCJ372" s="587"/>
      <c r="PCK372" s="682"/>
      <c r="PCL372" s="148"/>
      <c r="PCM372" s="148"/>
      <c r="PCN372" s="582"/>
      <c r="PCO372" s="584"/>
      <c r="PCP372" s="584"/>
      <c r="PCQ372" s="585"/>
      <c r="PCR372" s="586"/>
      <c r="PCS372" s="587"/>
      <c r="PCT372" s="682"/>
      <c r="PCU372" s="148"/>
      <c r="PCV372" s="148"/>
      <c r="PCW372" s="582"/>
      <c r="PCX372" s="584"/>
      <c r="PCY372" s="584"/>
      <c r="PCZ372" s="585"/>
      <c r="PDA372" s="586"/>
      <c r="PDB372" s="587"/>
      <c r="PDC372" s="682"/>
      <c r="PDD372" s="148"/>
      <c r="PDE372" s="148"/>
      <c r="PDF372" s="582"/>
      <c r="PDG372" s="584"/>
      <c r="PDH372" s="584"/>
      <c r="PDI372" s="585"/>
      <c r="PDJ372" s="586"/>
      <c r="PDK372" s="587"/>
      <c r="PDL372" s="682"/>
      <c r="PDM372" s="148"/>
      <c r="PDN372" s="148"/>
      <c r="PDO372" s="582"/>
      <c r="PDP372" s="584"/>
      <c r="PDQ372" s="584"/>
      <c r="PDR372" s="585"/>
      <c r="PDS372" s="586"/>
      <c r="PDT372" s="587"/>
      <c r="PDU372" s="682"/>
      <c r="PDV372" s="148"/>
      <c r="PDW372" s="148"/>
      <c r="PDX372" s="582"/>
      <c r="PDY372" s="584"/>
      <c r="PDZ372" s="584"/>
      <c r="PEA372" s="585"/>
      <c r="PEB372" s="586"/>
      <c r="PEC372" s="587"/>
      <c r="PED372" s="682"/>
      <c r="PEE372" s="148"/>
      <c r="PEF372" s="148"/>
      <c r="PEG372" s="582"/>
      <c r="PEH372" s="584"/>
      <c r="PEI372" s="584"/>
      <c r="PEJ372" s="585"/>
      <c r="PEK372" s="586"/>
      <c r="PEL372" s="587"/>
      <c r="PEM372" s="682"/>
      <c r="PEN372" s="148"/>
      <c r="PEO372" s="148"/>
      <c r="PEP372" s="582"/>
      <c r="PEQ372" s="584"/>
      <c r="PER372" s="584"/>
      <c r="PES372" s="585"/>
      <c r="PET372" s="586"/>
      <c r="PEU372" s="587"/>
      <c r="PEV372" s="682"/>
      <c r="PEW372" s="148"/>
      <c r="PEX372" s="148"/>
      <c r="PEY372" s="582"/>
      <c r="PEZ372" s="584"/>
      <c r="PFA372" s="584"/>
      <c r="PFB372" s="585"/>
      <c r="PFC372" s="586"/>
      <c r="PFD372" s="587"/>
      <c r="PFE372" s="682"/>
      <c r="PFF372" s="148"/>
      <c r="PFG372" s="148"/>
      <c r="PFH372" s="582"/>
      <c r="PFI372" s="584"/>
      <c r="PFJ372" s="584"/>
      <c r="PFK372" s="585"/>
      <c r="PFL372" s="586"/>
      <c r="PFM372" s="587"/>
      <c r="PFN372" s="682"/>
      <c r="PFO372" s="148"/>
      <c r="PFP372" s="148"/>
      <c r="PFQ372" s="582"/>
      <c r="PFR372" s="584"/>
      <c r="PFS372" s="584"/>
      <c r="PFT372" s="585"/>
      <c r="PFU372" s="586"/>
      <c r="PFV372" s="587"/>
      <c r="PFW372" s="682"/>
      <c r="PFX372" s="148"/>
      <c r="PFY372" s="148"/>
      <c r="PFZ372" s="582"/>
      <c r="PGA372" s="584"/>
      <c r="PGB372" s="584"/>
      <c r="PGC372" s="585"/>
      <c r="PGD372" s="586"/>
      <c r="PGE372" s="587"/>
      <c r="PGF372" s="682"/>
      <c r="PGG372" s="148"/>
      <c r="PGH372" s="148"/>
      <c r="PGI372" s="582"/>
      <c r="PGJ372" s="584"/>
      <c r="PGK372" s="584"/>
      <c r="PGL372" s="585"/>
      <c r="PGM372" s="586"/>
      <c r="PGN372" s="587"/>
      <c r="PGO372" s="682"/>
      <c r="PGP372" s="148"/>
      <c r="PGQ372" s="148"/>
      <c r="PGR372" s="582"/>
      <c r="PGS372" s="584"/>
      <c r="PGT372" s="584"/>
      <c r="PGU372" s="585"/>
      <c r="PGV372" s="586"/>
      <c r="PGW372" s="587"/>
      <c r="PGX372" s="682"/>
      <c r="PGY372" s="148"/>
      <c r="PGZ372" s="148"/>
      <c r="PHA372" s="582"/>
      <c r="PHB372" s="584"/>
      <c r="PHC372" s="584"/>
      <c r="PHD372" s="585"/>
      <c r="PHE372" s="586"/>
      <c r="PHF372" s="587"/>
      <c r="PHG372" s="682"/>
      <c r="PHH372" s="148"/>
      <c r="PHI372" s="148"/>
      <c r="PHJ372" s="582"/>
      <c r="PHK372" s="584"/>
      <c r="PHL372" s="584"/>
      <c r="PHM372" s="585"/>
      <c r="PHN372" s="586"/>
      <c r="PHO372" s="587"/>
      <c r="PHP372" s="682"/>
      <c r="PHQ372" s="148"/>
      <c r="PHR372" s="148"/>
      <c r="PHS372" s="582"/>
      <c r="PHT372" s="584"/>
      <c r="PHU372" s="584"/>
      <c r="PHV372" s="585"/>
      <c r="PHW372" s="586"/>
      <c r="PHX372" s="587"/>
      <c r="PHY372" s="682"/>
      <c r="PHZ372" s="148"/>
      <c r="PIA372" s="148"/>
      <c r="PIB372" s="582"/>
      <c r="PIC372" s="584"/>
      <c r="PID372" s="584"/>
      <c r="PIE372" s="585"/>
      <c r="PIF372" s="586"/>
      <c r="PIG372" s="587"/>
      <c r="PIH372" s="682"/>
      <c r="PII372" s="148"/>
      <c r="PIJ372" s="148"/>
      <c r="PIK372" s="582"/>
      <c r="PIL372" s="584"/>
      <c r="PIM372" s="584"/>
      <c r="PIN372" s="585"/>
      <c r="PIO372" s="586"/>
      <c r="PIP372" s="587"/>
      <c r="PIQ372" s="682"/>
      <c r="PIR372" s="148"/>
      <c r="PIS372" s="148"/>
      <c r="PIT372" s="582"/>
      <c r="PIU372" s="584"/>
      <c r="PIV372" s="584"/>
      <c r="PIW372" s="585"/>
      <c r="PIX372" s="586"/>
      <c r="PIY372" s="587"/>
      <c r="PIZ372" s="682"/>
      <c r="PJA372" s="148"/>
      <c r="PJB372" s="148"/>
      <c r="PJC372" s="582"/>
      <c r="PJD372" s="584"/>
      <c r="PJE372" s="584"/>
      <c r="PJF372" s="585"/>
      <c r="PJG372" s="586"/>
      <c r="PJH372" s="587"/>
      <c r="PJI372" s="682"/>
      <c r="PJJ372" s="148"/>
      <c r="PJK372" s="148"/>
      <c r="PJL372" s="582"/>
      <c r="PJM372" s="584"/>
      <c r="PJN372" s="584"/>
      <c r="PJO372" s="585"/>
      <c r="PJP372" s="586"/>
      <c r="PJQ372" s="587"/>
      <c r="PJR372" s="682"/>
      <c r="PJS372" s="148"/>
      <c r="PJT372" s="148"/>
      <c r="PJU372" s="582"/>
      <c r="PJV372" s="584"/>
      <c r="PJW372" s="584"/>
      <c r="PJX372" s="585"/>
      <c r="PJY372" s="586"/>
      <c r="PJZ372" s="587"/>
      <c r="PKA372" s="682"/>
      <c r="PKB372" s="148"/>
      <c r="PKC372" s="148"/>
      <c r="PKD372" s="582"/>
      <c r="PKE372" s="584"/>
      <c r="PKF372" s="584"/>
      <c r="PKG372" s="585"/>
      <c r="PKH372" s="586"/>
      <c r="PKI372" s="587"/>
      <c r="PKJ372" s="682"/>
      <c r="PKK372" s="148"/>
      <c r="PKL372" s="148"/>
      <c r="PKM372" s="582"/>
      <c r="PKN372" s="584"/>
      <c r="PKO372" s="584"/>
      <c r="PKP372" s="585"/>
      <c r="PKQ372" s="586"/>
      <c r="PKR372" s="587"/>
      <c r="PKS372" s="682"/>
      <c r="PKT372" s="148"/>
      <c r="PKU372" s="148"/>
      <c r="PKV372" s="582"/>
      <c r="PKW372" s="584"/>
      <c r="PKX372" s="584"/>
      <c r="PKY372" s="585"/>
      <c r="PKZ372" s="586"/>
      <c r="PLA372" s="587"/>
      <c r="PLB372" s="682"/>
      <c r="PLC372" s="148"/>
      <c r="PLD372" s="148"/>
      <c r="PLE372" s="582"/>
      <c r="PLF372" s="584"/>
      <c r="PLG372" s="584"/>
      <c r="PLH372" s="585"/>
      <c r="PLI372" s="586"/>
      <c r="PLJ372" s="587"/>
      <c r="PLK372" s="682"/>
      <c r="PLL372" s="148"/>
      <c r="PLM372" s="148"/>
      <c r="PLN372" s="582"/>
      <c r="PLO372" s="584"/>
      <c r="PLP372" s="584"/>
      <c r="PLQ372" s="585"/>
      <c r="PLR372" s="586"/>
      <c r="PLS372" s="587"/>
      <c r="PLT372" s="682"/>
      <c r="PLU372" s="148"/>
      <c r="PLV372" s="148"/>
      <c r="PLW372" s="582"/>
      <c r="PLX372" s="584"/>
      <c r="PLY372" s="584"/>
      <c r="PLZ372" s="585"/>
      <c r="PMA372" s="586"/>
      <c r="PMB372" s="587"/>
      <c r="PMC372" s="682"/>
      <c r="PMD372" s="148"/>
      <c r="PME372" s="148"/>
      <c r="PMF372" s="582"/>
      <c r="PMG372" s="584"/>
      <c r="PMH372" s="584"/>
      <c r="PMI372" s="585"/>
      <c r="PMJ372" s="586"/>
      <c r="PMK372" s="587"/>
      <c r="PML372" s="682"/>
      <c r="PMM372" s="148"/>
      <c r="PMN372" s="148"/>
      <c r="PMO372" s="582"/>
      <c r="PMP372" s="584"/>
      <c r="PMQ372" s="584"/>
      <c r="PMR372" s="585"/>
      <c r="PMS372" s="586"/>
      <c r="PMT372" s="587"/>
      <c r="PMU372" s="682"/>
      <c r="PMV372" s="148"/>
      <c r="PMW372" s="148"/>
      <c r="PMX372" s="582"/>
      <c r="PMY372" s="584"/>
      <c r="PMZ372" s="584"/>
      <c r="PNA372" s="585"/>
      <c r="PNB372" s="586"/>
      <c r="PNC372" s="587"/>
      <c r="PND372" s="682"/>
      <c r="PNE372" s="148"/>
      <c r="PNF372" s="148"/>
      <c r="PNG372" s="582"/>
      <c r="PNH372" s="584"/>
      <c r="PNI372" s="584"/>
      <c r="PNJ372" s="585"/>
      <c r="PNK372" s="586"/>
      <c r="PNL372" s="587"/>
      <c r="PNM372" s="682"/>
      <c r="PNN372" s="148"/>
      <c r="PNO372" s="148"/>
      <c r="PNP372" s="582"/>
      <c r="PNQ372" s="584"/>
      <c r="PNR372" s="584"/>
      <c r="PNS372" s="585"/>
      <c r="PNT372" s="586"/>
      <c r="PNU372" s="587"/>
      <c r="PNV372" s="682"/>
      <c r="PNW372" s="148"/>
      <c r="PNX372" s="148"/>
      <c r="PNY372" s="582"/>
      <c r="PNZ372" s="584"/>
      <c r="POA372" s="584"/>
      <c r="POB372" s="585"/>
      <c r="POC372" s="586"/>
      <c r="POD372" s="587"/>
      <c r="POE372" s="682"/>
      <c r="POF372" s="148"/>
      <c r="POG372" s="148"/>
      <c r="POH372" s="582"/>
      <c r="POI372" s="584"/>
      <c r="POJ372" s="584"/>
      <c r="POK372" s="585"/>
      <c r="POL372" s="586"/>
      <c r="POM372" s="587"/>
      <c r="PON372" s="682"/>
      <c r="POO372" s="148"/>
      <c r="POP372" s="148"/>
      <c r="POQ372" s="582"/>
      <c r="POR372" s="584"/>
      <c r="POS372" s="584"/>
      <c r="POT372" s="585"/>
      <c r="POU372" s="586"/>
      <c r="POV372" s="587"/>
      <c r="POW372" s="682"/>
      <c r="POX372" s="148"/>
      <c r="POY372" s="148"/>
      <c r="POZ372" s="582"/>
      <c r="PPA372" s="584"/>
      <c r="PPB372" s="584"/>
      <c r="PPC372" s="585"/>
      <c r="PPD372" s="586"/>
      <c r="PPE372" s="587"/>
      <c r="PPF372" s="682"/>
      <c r="PPG372" s="148"/>
      <c r="PPH372" s="148"/>
      <c r="PPI372" s="582"/>
      <c r="PPJ372" s="584"/>
      <c r="PPK372" s="584"/>
      <c r="PPL372" s="585"/>
      <c r="PPM372" s="586"/>
      <c r="PPN372" s="587"/>
      <c r="PPO372" s="682"/>
      <c r="PPP372" s="148"/>
      <c r="PPQ372" s="148"/>
      <c r="PPR372" s="582"/>
      <c r="PPS372" s="584"/>
      <c r="PPT372" s="584"/>
      <c r="PPU372" s="585"/>
      <c r="PPV372" s="586"/>
      <c r="PPW372" s="587"/>
      <c r="PPX372" s="682"/>
      <c r="PPY372" s="148"/>
      <c r="PPZ372" s="148"/>
      <c r="PQA372" s="582"/>
      <c r="PQB372" s="584"/>
      <c r="PQC372" s="584"/>
      <c r="PQD372" s="585"/>
      <c r="PQE372" s="586"/>
      <c r="PQF372" s="587"/>
      <c r="PQG372" s="682"/>
      <c r="PQH372" s="148"/>
      <c r="PQI372" s="148"/>
      <c r="PQJ372" s="582"/>
      <c r="PQK372" s="584"/>
      <c r="PQL372" s="584"/>
      <c r="PQM372" s="585"/>
      <c r="PQN372" s="586"/>
      <c r="PQO372" s="587"/>
      <c r="PQP372" s="682"/>
      <c r="PQQ372" s="148"/>
      <c r="PQR372" s="148"/>
      <c r="PQS372" s="582"/>
      <c r="PQT372" s="584"/>
      <c r="PQU372" s="584"/>
      <c r="PQV372" s="585"/>
      <c r="PQW372" s="586"/>
      <c r="PQX372" s="587"/>
      <c r="PQY372" s="682"/>
      <c r="PQZ372" s="148"/>
      <c r="PRA372" s="148"/>
      <c r="PRB372" s="582"/>
      <c r="PRC372" s="584"/>
      <c r="PRD372" s="584"/>
      <c r="PRE372" s="585"/>
      <c r="PRF372" s="586"/>
      <c r="PRG372" s="587"/>
      <c r="PRH372" s="682"/>
      <c r="PRI372" s="148"/>
      <c r="PRJ372" s="148"/>
      <c r="PRK372" s="582"/>
      <c r="PRL372" s="584"/>
      <c r="PRM372" s="584"/>
      <c r="PRN372" s="585"/>
      <c r="PRO372" s="586"/>
      <c r="PRP372" s="587"/>
      <c r="PRQ372" s="682"/>
      <c r="PRR372" s="148"/>
      <c r="PRS372" s="148"/>
      <c r="PRT372" s="582"/>
      <c r="PRU372" s="584"/>
      <c r="PRV372" s="584"/>
      <c r="PRW372" s="585"/>
      <c r="PRX372" s="586"/>
      <c r="PRY372" s="587"/>
      <c r="PRZ372" s="682"/>
      <c r="PSA372" s="148"/>
      <c r="PSB372" s="148"/>
      <c r="PSC372" s="582"/>
      <c r="PSD372" s="584"/>
      <c r="PSE372" s="584"/>
      <c r="PSF372" s="585"/>
      <c r="PSG372" s="586"/>
      <c r="PSH372" s="587"/>
      <c r="PSI372" s="682"/>
      <c r="PSJ372" s="148"/>
      <c r="PSK372" s="148"/>
      <c r="PSL372" s="582"/>
      <c r="PSM372" s="584"/>
      <c r="PSN372" s="584"/>
      <c r="PSO372" s="585"/>
      <c r="PSP372" s="586"/>
      <c r="PSQ372" s="587"/>
      <c r="PSR372" s="682"/>
      <c r="PSS372" s="148"/>
      <c r="PST372" s="148"/>
      <c r="PSU372" s="582"/>
      <c r="PSV372" s="584"/>
      <c r="PSW372" s="584"/>
      <c r="PSX372" s="585"/>
      <c r="PSY372" s="586"/>
      <c r="PSZ372" s="587"/>
      <c r="PTA372" s="682"/>
      <c r="PTB372" s="148"/>
      <c r="PTC372" s="148"/>
      <c r="PTD372" s="582"/>
      <c r="PTE372" s="584"/>
      <c r="PTF372" s="584"/>
      <c r="PTG372" s="585"/>
      <c r="PTH372" s="586"/>
      <c r="PTI372" s="587"/>
      <c r="PTJ372" s="682"/>
      <c r="PTK372" s="148"/>
      <c r="PTL372" s="148"/>
      <c r="PTM372" s="582"/>
      <c r="PTN372" s="584"/>
      <c r="PTO372" s="584"/>
      <c r="PTP372" s="585"/>
      <c r="PTQ372" s="586"/>
      <c r="PTR372" s="587"/>
      <c r="PTS372" s="682"/>
      <c r="PTT372" s="148"/>
      <c r="PTU372" s="148"/>
      <c r="PTV372" s="582"/>
      <c r="PTW372" s="584"/>
      <c r="PTX372" s="584"/>
      <c r="PTY372" s="585"/>
      <c r="PTZ372" s="586"/>
      <c r="PUA372" s="587"/>
      <c r="PUB372" s="682"/>
      <c r="PUC372" s="148"/>
      <c r="PUD372" s="148"/>
      <c r="PUE372" s="582"/>
      <c r="PUF372" s="584"/>
      <c r="PUG372" s="584"/>
      <c r="PUH372" s="585"/>
      <c r="PUI372" s="586"/>
      <c r="PUJ372" s="587"/>
      <c r="PUK372" s="682"/>
      <c r="PUL372" s="148"/>
      <c r="PUM372" s="148"/>
      <c r="PUN372" s="582"/>
      <c r="PUO372" s="584"/>
      <c r="PUP372" s="584"/>
      <c r="PUQ372" s="585"/>
      <c r="PUR372" s="586"/>
      <c r="PUS372" s="587"/>
      <c r="PUT372" s="682"/>
      <c r="PUU372" s="148"/>
      <c r="PUV372" s="148"/>
      <c r="PUW372" s="582"/>
      <c r="PUX372" s="584"/>
      <c r="PUY372" s="584"/>
      <c r="PUZ372" s="585"/>
      <c r="PVA372" s="586"/>
      <c r="PVB372" s="587"/>
      <c r="PVC372" s="682"/>
      <c r="PVD372" s="148"/>
      <c r="PVE372" s="148"/>
      <c r="PVF372" s="582"/>
      <c r="PVG372" s="584"/>
      <c r="PVH372" s="584"/>
      <c r="PVI372" s="585"/>
      <c r="PVJ372" s="586"/>
      <c r="PVK372" s="587"/>
      <c r="PVL372" s="682"/>
      <c r="PVM372" s="148"/>
      <c r="PVN372" s="148"/>
      <c r="PVO372" s="582"/>
      <c r="PVP372" s="584"/>
      <c r="PVQ372" s="584"/>
      <c r="PVR372" s="585"/>
      <c r="PVS372" s="586"/>
      <c r="PVT372" s="587"/>
      <c r="PVU372" s="682"/>
      <c r="PVV372" s="148"/>
      <c r="PVW372" s="148"/>
      <c r="PVX372" s="582"/>
      <c r="PVY372" s="584"/>
      <c r="PVZ372" s="584"/>
      <c r="PWA372" s="585"/>
      <c r="PWB372" s="586"/>
      <c r="PWC372" s="587"/>
      <c r="PWD372" s="682"/>
      <c r="PWE372" s="148"/>
      <c r="PWF372" s="148"/>
      <c r="PWG372" s="582"/>
      <c r="PWH372" s="584"/>
      <c r="PWI372" s="584"/>
      <c r="PWJ372" s="585"/>
      <c r="PWK372" s="586"/>
      <c r="PWL372" s="587"/>
      <c r="PWM372" s="682"/>
      <c r="PWN372" s="148"/>
      <c r="PWO372" s="148"/>
      <c r="PWP372" s="582"/>
      <c r="PWQ372" s="584"/>
      <c r="PWR372" s="584"/>
      <c r="PWS372" s="585"/>
      <c r="PWT372" s="586"/>
      <c r="PWU372" s="587"/>
      <c r="PWV372" s="682"/>
      <c r="PWW372" s="148"/>
      <c r="PWX372" s="148"/>
      <c r="PWY372" s="582"/>
      <c r="PWZ372" s="584"/>
      <c r="PXA372" s="584"/>
      <c r="PXB372" s="585"/>
      <c r="PXC372" s="586"/>
      <c r="PXD372" s="587"/>
      <c r="PXE372" s="682"/>
      <c r="PXF372" s="148"/>
      <c r="PXG372" s="148"/>
      <c r="PXH372" s="582"/>
      <c r="PXI372" s="584"/>
      <c r="PXJ372" s="584"/>
      <c r="PXK372" s="585"/>
      <c r="PXL372" s="586"/>
      <c r="PXM372" s="587"/>
      <c r="PXN372" s="682"/>
      <c r="PXO372" s="148"/>
      <c r="PXP372" s="148"/>
      <c r="PXQ372" s="582"/>
      <c r="PXR372" s="584"/>
      <c r="PXS372" s="584"/>
      <c r="PXT372" s="585"/>
      <c r="PXU372" s="586"/>
      <c r="PXV372" s="587"/>
      <c r="PXW372" s="682"/>
      <c r="PXX372" s="148"/>
      <c r="PXY372" s="148"/>
      <c r="PXZ372" s="582"/>
      <c r="PYA372" s="584"/>
      <c r="PYB372" s="584"/>
      <c r="PYC372" s="585"/>
      <c r="PYD372" s="586"/>
      <c r="PYE372" s="587"/>
      <c r="PYF372" s="682"/>
      <c r="PYG372" s="148"/>
      <c r="PYH372" s="148"/>
      <c r="PYI372" s="582"/>
      <c r="PYJ372" s="584"/>
      <c r="PYK372" s="584"/>
      <c r="PYL372" s="585"/>
      <c r="PYM372" s="586"/>
      <c r="PYN372" s="587"/>
      <c r="PYO372" s="682"/>
      <c r="PYP372" s="148"/>
      <c r="PYQ372" s="148"/>
      <c r="PYR372" s="582"/>
      <c r="PYS372" s="584"/>
      <c r="PYT372" s="584"/>
      <c r="PYU372" s="585"/>
      <c r="PYV372" s="586"/>
      <c r="PYW372" s="587"/>
      <c r="PYX372" s="682"/>
      <c r="PYY372" s="148"/>
      <c r="PYZ372" s="148"/>
      <c r="PZA372" s="582"/>
      <c r="PZB372" s="584"/>
      <c r="PZC372" s="584"/>
      <c r="PZD372" s="585"/>
      <c r="PZE372" s="586"/>
      <c r="PZF372" s="587"/>
      <c r="PZG372" s="682"/>
      <c r="PZH372" s="148"/>
      <c r="PZI372" s="148"/>
      <c r="PZJ372" s="582"/>
      <c r="PZK372" s="584"/>
      <c r="PZL372" s="584"/>
      <c r="PZM372" s="585"/>
      <c r="PZN372" s="586"/>
      <c r="PZO372" s="587"/>
      <c r="PZP372" s="682"/>
      <c r="PZQ372" s="148"/>
      <c r="PZR372" s="148"/>
      <c r="PZS372" s="582"/>
      <c r="PZT372" s="584"/>
      <c r="PZU372" s="584"/>
      <c r="PZV372" s="585"/>
      <c r="PZW372" s="586"/>
      <c r="PZX372" s="587"/>
      <c r="PZY372" s="682"/>
      <c r="PZZ372" s="148"/>
      <c r="QAA372" s="148"/>
      <c r="QAB372" s="582"/>
      <c r="QAC372" s="584"/>
      <c r="QAD372" s="584"/>
      <c r="QAE372" s="585"/>
      <c r="QAF372" s="586"/>
      <c r="QAG372" s="587"/>
      <c r="QAH372" s="682"/>
      <c r="QAI372" s="148"/>
      <c r="QAJ372" s="148"/>
      <c r="QAK372" s="582"/>
      <c r="QAL372" s="584"/>
      <c r="QAM372" s="584"/>
      <c r="QAN372" s="585"/>
      <c r="QAO372" s="586"/>
      <c r="QAP372" s="587"/>
      <c r="QAQ372" s="682"/>
      <c r="QAR372" s="148"/>
      <c r="QAS372" s="148"/>
      <c r="QAT372" s="582"/>
      <c r="QAU372" s="584"/>
      <c r="QAV372" s="584"/>
      <c r="QAW372" s="585"/>
      <c r="QAX372" s="586"/>
      <c r="QAY372" s="587"/>
      <c r="QAZ372" s="682"/>
      <c r="QBA372" s="148"/>
      <c r="QBB372" s="148"/>
      <c r="QBC372" s="582"/>
      <c r="QBD372" s="584"/>
      <c r="QBE372" s="584"/>
      <c r="QBF372" s="585"/>
      <c r="QBG372" s="586"/>
      <c r="QBH372" s="587"/>
      <c r="QBI372" s="682"/>
      <c r="QBJ372" s="148"/>
      <c r="QBK372" s="148"/>
      <c r="QBL372" s="582"/>
      <c r="QBM372" s="584"/>
      <c r="QBN372" s="584"/>
      <c r="QBO372" s="585"/>
      <c r="QBP372" s="586"/>
      <c r="QBQ372" s="587"/>
      <c r="QBR372" s="682"/>
      <c r="QBS372" s="148"/>
      <c r="QBT372" s="148"/>
      <c r="QBU372" s="582"/>
      <c r="QBV372" s="584"/>
      <c r="QBW372" s="584"/>
      <c r="QBX372" s="585"/>
      <c r="QBY372" s="586"/>
      <c r="QBZ372" s="587"/>
      <c r="QCA372" s="682"/>
      <c r="QCB372" s="148"/>
      <c r="QCC372" s="148"/>
      <c r="QCD372" s="582"/>
      <c r="QCE372" s="584"/>
      <c r="QCF372" s="584"/>
      <c r="QCG372" s="585"/>
      <c r="QCH372" s="586"/>
      <c r="QCI372" s="587"/>
      <c r="QCJ372" s="682"/>
      <c r="QCK372" s="148"/>
      <c r="QCL372" s="148"/>
      <c r="QCM372" s="582"/>
      <c r="QCN372" s="584"/>
      <c r="QCO372" s="584"/>
      <c r="QCP372" s="585"/>
      <c r="QCQ372" s="586"/>
      <c r="QCR372" s="587"/>
      <c r="QCS372" s="682"/>
      <c r="QCT372" s="148"/>
      <c r="QCU372" s="148"/>
      <c r="QCV372" s="582"/>
      <c r="QCW372" s="584"/>
      <c r="QCX372" s="584"/>
      <c r="QCY372" s="585"/>
      <c r="QCZ372" s="586"/>
      <c r="QDA372" s="587"/>
      <c r="QDB372" s="682"/>
      <c r="QDC372" s="148"/>
      <c r="QDD372" s="148"/>
      <c r="QDE372" s="582"/>
      <c r="QDF372" s="584"/>
      <c r="QDG372" s="584"/>
      <c r="QDH372" s="585"/>
      <c r="QDI372" s="586"/>
      <c r="QDJ372" s="587"/>
      <c r="QDK372" s="682"/>
      <c r="QDL372" s="148"/>
      <c r="QDM372" s="148"/>
      <c r="QDN372" s="582"/>
      <c r="QDO372" s="584"/>
      <c r="QDP372" s="584"/>
      <c r="QDQ372" s="585"/>
      <c r="QDR372" s="586"/>
      <c r="QDS372" s="587"/>
      <c r="QDT372" s="682"/>
      <c r="QDU372" s="148"/>
      <c r="QDV372" s="148"/>
      <c r="QDW372" s="582"/>
      <c r="QDX372" s="584"/>
      <c r="QDY372" s="584"/>
      <c r="QDZ372" s="585"/>
      <c r="QEA372" s="586"/>
      <c r="QEB372" s="587"/>
      <c r="QEC372" s="682"/>
      <c r="QED372" s="148"/>
      <c r="QEE372" s="148"/>
      <c r="QEF372" s="582"/>
      <c r="QEG372" s="584"/>
      <c r="QEH372" s="584"/>
      <c r="QEI372" s="585"/>
      <c r="QEJ372" s="586"/>
      <c r="QEK372" s="587"/>
      <c r="QEL372" s="682"/>
      <c r="QEM372" s="148"/>
      <c r="QEN372" s="148"/>
      <c r="QEO372" s="582"/>
      <c r="QEP372" s="584"/>
      <c r="QEQ372" s="584"/>
      <c r="QER372" s="585"/>
      <c r="QES372" s="586"/>
      <c r="QET372" s="587"/>
      <c r="QEU372" s="682"/>
      <c r="QEV372" s="148"/>
      <c r="QEW372" s="148"/>
      <c r="QEX372" s="582"/>
      <c r="QEY372" s="584"/>
      <c r="QEZ372" s="584"/>
      <c r="QFA372" s="585"/>
      <c r="QFB372" s="586"/>
      <c r="QFC372" s="587"/>
      <c r="QFD372" s="682"/>
      <c r="QFE372" s="148"/>
      <c r="QFF372" s="148"/>
      <c r="QFG372" s="582"/>
      <c r="QFH372" s="584"/>
      <c r="QFI372" s="584"/>
      <c r="QFJ372" s="585"/>
      <c r="QFK372" s="586"/>
      <c r="QFL372" s="587"/>
      <c r="QFM372" s="682"/>
      <c r="QFN372" s="148"/>
      <c r="QFO372" s="148"/>
      <c r="QFP372" s="582"/>
      <c r="QFQ372" s="584"/>
      <c r="QFR372" s="584"/>
      <c r="QFS372" s="585"/>
      <c r="QFT372" s="586"/>
      <c r="QFU372" s="587"/>
      <c r="QFV372" s="682"/>
      <c r="QFW372" s="148"/>
      <c r="QFX372" s="148"/>
      <c r="QFY372" s="582"/>
      <c r="QFZ372" s="584"/>
      <c r="QGA372" s="584"/>
      <c r="QGB372" s="585"/>
      <c r="QGC372" s="586"/>
      <c r="QGD372" s="587"/>
      <c r="QGE372" s="682"/>
      <c r="QGF372" s="148"/>
      <c r="QGG372" s="148"/>
      <c r="QGH372" s="582"/>
      <c r="QGI372" s="584"/>
      <c r="QGJ372" s="584"/>
      <c r="QGK372" s="585"/>
      <c r="QGL372" s="586"/>
      <c r="QGM372" s="587"/>
      <c r="QGN372" s="682"/>
      <c r="QGO372" s="148"/>
      <c r="QGP372" s="148"/>
      <c r="QGQ372" s="582"/>
      <c r="QGR372" s="584"/>
      <c r="QGS372" s="584"/>
      <c r="QGT372" s="585"/>
      <c r="QGU372" s="586"/>
      <c r="QGV372" s="587"/>
      <c r="QGW372" s="682"/>
      <c r="QGX372" s="148"/>
      <c r="QGY372" s="148"/>
      <c r="QGZ372" s="582"/>
      <c r="QHA372" s="584"/>
      <c r="QHB372" s="584"/>
      <c r="QHC372" s="585"/>
      <c r="QHD372" s="586"/>
      <c r="QHE372" s="587"/>
      <c r="QHF372" s="682"/>
      <c r="QHG372" s="148"/>
      <c r="QHH372" s="148"/>
      <c r="QHI372" s="582"/>
      <c r="QHJ372" s="584"/>
      <c r="QHK372" s="584"/>
      <c r="QHL372" s="585"/>
      <c r="QHM372" s="586"/>
      <c r="QHN372" s="587"/>
      <c r="QHO372" s="682"/>
      <c r="QHP372" s="148"/>
      <c r="QHQ372" s="148"/>
      <c r="QHR372" s="582"/>
      <c r="QHS372" s="584"/>
      <c r="QHT372" s="584"/>
      <c r="QHU372" s="585"/>
      <c r="QHV372" s="586"/>
      <c r="QHW372" s="587"/>
      <c r="QHX372" s="682"/>
      <c r="QHY372" s="148"/>
      <c r="QHZ372" s="148"/>
      <c r="QIA372" s="582"/>
      <c r="QIB372" s="584"/>
      <c r="QIC372" s="584"/>
      <c r="QID372" s="585"/>
      <c r="QIE372" s="586"/>
      <c r="QIF372" s="587"/>
      <c r="QIG372" s="682"/>
      <c r="QIH372" s="148"/>
      <c r="QII372" s="148"/>
      <c r="QIJ372" s="582"/>
      <c r="QIK372" s="584"/>
      <c r="QIL372" s="584"/>
      <c r="QIM372" s="585"/>
      <c r="QIN372" s="586"/>
      <c r="QIO372" s="587"/>
      <c r="QIP372" s="682"/>
      <c r="QIQ372" s="148"/>
      <c r="QIR372" s="148"/>
      <c r="QIS372" s="582"/>
      <c r="QIT372" s="584"/>
      <c r="QIU372" s="584"/>
      <c r="QIV372" s="585"/>
      <c r="QIW372" s="586"/>
      <c r="QIX372" s="587"/>
      <c r="QIY372" s="682"/>
      <c r="QIZ372" s="148"/>
      <c r="QJA372" s="148"/>
      <c r="QJB372" s="582"/>
      <c r="QJC372" s="584"/>
      <c r="QJD372" s="584"/>
      <c r="QJE372" s="585"/>
      <c r="QJF372" s="586"/>
      <c r="QJG372" s="587"/>
      <c r="QJH372" s="682"/>
      <c r="QJI372" s="148"/>
      <c r="QJJ372" s="148"/>
      <c r="QJK372" s="582"/>
      <c r="QJL372" s="584"/>
      <c r="QJM372" s="584"/>
      <c r="QJN372" s="585"/>
      <c r="QJO372" s="586"/>
      <c r="QJP372" s="587"/>
      <c r="QJQ372" s="682"/>
      <c r="QJR372" s="148"/>
      <c r="QJS372" s="148"/>
      <c r="QJT372" s="582"/>
      <c r="QJU372" s="584"/>
      <c r="QJV372" s="584"/>
      <c r="QJW372" s="585"/>
      <c r="QJX372" s="586"/>
      <c r="QJY372" s="587"/>
      <c r="QJZ372" s="682"/>
      <c r="QKA372" s="148"/>
      <c r="QKB372" s="148"/>
      <c r="QKC372" s="582"/>
      <c r="QKD372" s="584"/>
      <c r="QKE372" s="584"/>
      <c r="QKF372" s="585"/>
      <c r="QKG372" s="586"/>
      <c r="QKH372" s="587"/>
      <c r="QKI372" s="682"/>
      <c r="QKJ372" s="148"/>
      <c r="QKK372" s="148"/>
      <c r="QKL372" s="582"/>
      <c r="QKM372" s="584"/>
      <c r="QKN372" s="584"/>
      <c r="QKO372" s="585"/>
      <c r="QKP372" s="586"/>
      <c r="QKQ372" s="587"/>
      <c r="QKR372" s="682"/>
      <c r="QKS372" s="148"/>
      <c r="QKT372" s="148"/>
      <c r="QKU372" s="582"/>
      <c r="QKV372" s="584"/>
      <c r="QKW372" s="584"/>
      <c r="QKX372" s="585"/>
      <c r="QKY372" s="586"/>
      <c r="QKZ372" s="587"/>
      <c r="QLA372" s="682"/>
      <c r="QLB372" s="148"/>
      <c r="QLC372" s="148"/>
      <c r="QLD372" s="582"/>
      <c r="QLE372" s="584"/>
      <c r="QLF372" s="584"/>
      <c r="QLG372" s="585"/>
      <c r="QLH372" s="586"/>
      <c r="QLI372" s="587"/>
      <c r="QLJ372" s="682"/>
      <c r="QLK372" s="148"/>
      <c r="QLL372" s="148"/>
      <c r="QLM372" s="582"/>
      <c r="QLN372" s="584"/>
      <c r="QLO372" s="584"/>
      <c r="QLP372" s="585"/>
      <c r="QLQ372" s="586"/>
      <c r="QLR372" s="587"/>
      <c r="QLS372" s="682"/>
      <c r="QLT372" s="148"/>
      <c r="QLU372" s="148"/>
      <c r="QLV372" s="582"/>
      <c r="QLW372" s="584"/>
      <c r="QLX372" s="584"/>
      <c r="QLY372" s="585"/>
      <c r="QLZ372" s="586"/>
      <c r="QMA372" s="587"/>
      <c r="QMB372" s="682"/>
      <c r="QMC372" s="148"/>
      <c r="QMD372" s="148"/>
      <c r="QME372" s="582"/>
      <c r="QMF372" s="584"/>
      <c r="QMG372" s="584"/>
      <c r="QMH372" s="585"/>
      <c r="QMI372" s="586"/>
      <c r="QMJ372" s="587"/>
      <c r="QMK372" s="682"/>
      <c r="QML372" s="148"/>
      <c r="QMM372" s="148"/>
      <c r="QMN372" s="582"/>
      <c r="QMO372" s="584"/>
      <c r="QMP372" s="584"/>
      <c r="QMQ372" s="585"/>
      <c r="QMR372" s="586"/>
      <c r="QMS372" s="587"/>
      <c r="QMT372" s="682"/>
      <c r="QMU372" s="148"/>
      <c r="QMV372" s="148"/>
      <c r="QMW372" s="582"/>
      <c r="QMX372" s="584"/>
      <c r="QMY372" s="584"/>
      <c r="QMZ372" s="585"/>
      <c r="QNA372" s="586"/>
      <c r="QNB372" s="587"/>
      <c r="QNC372" s="682"/>
      <c r="QND372" s="148"/>
      <c r="QNE372" s="148"/>
      <c r="QNF372" s="582"/>
      <c r="QNG372" s="584"/>
      <c r="QNH372" s="584"/>
      <c r="QNI372" s="585"/>
      <c r="QNJ372" s="586"/>
      <c r="QNK372" s="587"/>
      <c r="QNL372" s="682"/>
      <c r="QNM372" s="148"/>
      <c r="QNN372" s="148"/>
      <c r="QNO372" s="582"/>
      <c r="QNP372" s="584"/>
      <c r="QNQ372" s="584"/>
      <c r="QNR372" s="585"/>
      <c r="QNS372" s="586"/>
      <c r="QNT372" s="587"/>
      <c r="QNU372" s="682"/>
      <c r="QNV372" s="148"/>
      <c r="QNW372" s="148"/>
      <c r="QNX372" s="582"/>
      <c r="QNY372" s="584"/>
      <c r="QNZ372" s="584"/>
      <c r="QOA372" s="585"/>
      <c r="QOB372" s="586"/>
      <c r="QOC372" s="587"/>
      <c r="QOD372" s="682"/>
      <c r="QOE372" s="148"/>
      <c r="QOF372" s="148"/>
      <c r="QOG372" s="582"/>
      <c r="QOH372" s="584"/>
      <c r="QOI372" s="584"/>
      <c r="QOJ372" s="585"/>
      <c r="QOK372" s="586"/>
      <c r="QOL372" s="587"/>
      <c r="QOM372" s="682"/>
      <c r="QON372" s="148"/>
      <c r="QOO372" s="148"/>
      <c r="QOP372" s="582"/>
      <c r="QOQ372" s="584"/>
      <c r="QOR372" s="584"/>
      <c r="QOS372" s="585"/>
      <c r="QOT372" s="586"/>
      <c r="QOU372" s="587"/>
      <c r="QOV372" s="682"/>
      <c r="QOW372" s="148"/>
      <c r="QOX372" s="148"/>
      <c r="QOY372" s="582"/>
      <c r="QOZ372" s="584"/>
      <c r="QPA372" s="584"/>
      <c r="QPB372" s="585"/>
      <c r="QPC372" s="586"/>
      <c r="QPD372" s="587"/>
      <c r="QPE372" s="682"/>
      <c r="QPF372" s="148"/>
      <c r="QPG372" s="148"/>
      <c r="QPH372" s="582"/>
      <c r="QPI372" s="584"/>
      <c r="QPJ372" s="584"/>
      <c r="QPK372" s="585"/>
      <c r="QPL372" s="586"/>
      <c r="QPM372" s="587"/>
      <c r="QPN372" s="682"/>
      <c r="QPO372" s="148"/>
      <c r="QPP372" s="148"/>
      <c r="QPQ372" s="582"/>
      <c r="QPR372" s="584"/>
      <c r="QPS372" s="584"/>
      <c r="QPT372" s="585"/>
      <c r="QPU372" s="586"/>
      <c r="QPV372" s="587"/>
      <c r="QPW372" s="682"/>
      <c r="QPX372" s="148"/>
      <c r="QPY372" s="148"/>
      <c r="QPZ372" s="582"/>
      <c r="QQA372" s="584"/>
      <c r="QQB372" s="584"/>
      <c r="QQC372" s="585"/>
      <c r="QQD372" s="586"/>
      <c r="QQE372" s="587"/>
      <c r="QQF372" s="682"/>
      <c r="QQG372" s="148"/>
      <c r="QQH372" s="148"/>
      <c r="QQI372" s="582"/>
      <c r="QQJ372" s="584"/>
      <c r="QQK372" s="584"/>
      <c r="QQL372" s="585"/>
      <c r="QQM372" s="586"/>
      <c r="QQN372" s="587"/>
      <c r="QQO372" s="682"/>
      <c r="QQP372" s="148"/>
      <c r="QQQ372" s="148"/>
      <c r="QQR372" s="582"/>
      <c r="QQS372" s="584"/>
      <c r="QQT372" s="584"/>
      <c r="QQU372" s="585"/>
      <c r="QQV372" s="586"/>
      <c r="QQW372" s="587"/>
      <c r="QQX372" s="682"/>
      <c r="QQY372" s="148"/>
      <c r="QQZ372" s="148"/>
      <c r="QRA372" s="582"/>
      <c r="QRB372" s="584"/>
      <c r="QRC372" s="584"/>
      <c r="QRD372" s="585"/>
      <c r="QRE372" s="586"/>
      <c r="QRF372" s="587"/>
      <c r="QRG372" s="682"/>
      <c r="QRH372" s="148"/>
      <c r="QRI372" s="148"/>
      <c r="QRJ372" s="582"/>
      <c r="QRK372" s="584"/>
      <c r="QRL372" s="584"/>
      <c r="QRM372" s="585"/>
      <c r="QRN372" s="586"/>
      <c r="QRO372" s="587"/>
      <c r="QRP372" s="682"/>
      <c r="QRQ372" s="148"/>
      <c r="QRR372" s="148"/>
      <c r="QRS372" s="582"/>
      <c r="QRT372" s="584"/>
      <c r="QRU372" s="584"/>
      <c r="QRV372" s="585"/>
      <c r="QRW372" s="586"/>
      <c r="QRX372" s="587"/>
      <c r="QRY372" s="682"/>
      <c r="QRZ372" s="148"/>
      <c r="QSA372" s="148"/>
      <c r="QSB372" s="582"/>
      <c r="QSC372" s="584"/>
      <c r="QSD372" s="584"/>
      <c r="QSE372" s="585"/>
      <c r="QSF372" s="586"/>
      <c r="QSG372" s="587"/>
      <c r="QSH372" s="682"/>
      <c r="QSI372" s="148"/>
      <c r="QSJ372" s="148"/>
      <c r="QSK372" s="582"/>
      <c r="QSL372" s="584"/>
      <c r="QSM372" s="584"/>
      <c r="QSN372" s="585"/>
      <c r="QSO372" s="586"/>
      <c r="QSP372" s="587"/>
      <c r="QSQ372" s="682"/>
      <c r="QSR372" s="148"/>
      <c r="QSS372" s="148"/>
      <c r="QST372" s="582"/>
      <c r="QSU372" s="584"/>
      <c r="QSV372" s="584"/>
      <c r="QSW372" s="585"/>
      <c r="QSX372" s="586"/>
      <c r="QSY372" s="587"/>
      <c r="QSZ372" s="682"/>
      <c r="QTA372" s="148"/>
      <c r="QTB372" s="148"/>
      <c r="QTC372" s="582"/>
      <c r="QTD372" s="584"/>
      <c r="QTE372" s="584"/>
      <c r="QTF372" s="585"/>
      <c r="QTG372" s="586"/>
      <c r="QTH372" s="587"/>
      <c r="QTI372" s="682"/>
      <c r="QTJ372" s="148"/>
      <c r="QTK372" s="148"/>
      <c r="QTL372" s="582"/>
      <c r="QTM372" s="584"/>
      <c r="QTN372" s="584"/>
      <c r="QTO372" s="585"/>
      <c r="QTP372" s="586"/>
      <c r="QTQ372" s="587"/>
      <c r="QTR372" s="682"/>
      <c r="QTS372" s="148"/>
      <c r="QTT372" s="148"/>
      <c r="QTU372" s="582"/>
      <c r="QTV372" s="584"/>
      <c r="QTW372" s="584"/>
      <c r="QTX372" s="585"/>
      <c r="QTY372" s="586"/>
      <c r="QTZ372" s="587"/>
      <c r="QUA372" s="682"/>
      <c r="QUB372" s="148"/>
      <c r="QUC372" s="148"/>
      <c r="QUD372" s="582"/>
      <c r="QUE372" s="584"/>
      <c r="QUF372" s="584"/>
      <c r="QUG372" s="585"/>
      <c r="QUH372" s="586"/>
      <c r="QUI372" s="587"/>
      <c r="QUJ372" s="682"/>
      <c r="QUK372" s="148"/>
      <c r="QUL372" s="148"/>
      <c r="QUM372" s="582"/>
      <c r="QUN372" s="584"/>
      <c r="QUO372" s="584"/>
      <c r="QUP372" s="585"/>
      <c r="QUQ372" s="586"/>
      <c r="QUR372" s="587"/>
      <c r="QUS372" s="682"/>
      <c r="QUT372" s="148"/>
      <c r="QUU372" s="148"/>
      <c r="QUV372" s="582"/>
      <c r="QUW372" s="584"/>
      <c r="QUX372" s="584"/>
      <c r="QUY372" s="585"/>
      <c r="QUZ372" s="586"/>
      <c r="QVA372" s="587"/>
      <c r="QVB372" s="682"/>
      <c r="QVC372" s="148"/>
      <c r="QVD372" s="148"/>
      <c r="QVE372" s="582"/>
      <c r="QVF372" s="584"/>
      <c r="QVG372" s="584"/>
      <c r="QVH372" s="585"/>
      <c r="QVI372" s="586"/>
      <c r="QVJ372" s="587"/>
      <c r="QVK372" s="682"/>
      <c r="QVL372" s="148"/>
      <c r="QVM372" s="148"/>
      <c r="QVN372" s="582"/>
      <c r="QVO372" s="584"/>
      <c r="QVP372" s="584"/>
      <c r="QVQ372" s="585"/>
      <c r="QVR372" s="586"/>
      <c r="QVS372" s="587"/>
      <c r="QVT372" s="682"/>
      <c r="QVU372" s="148"/>
      <c r="QVV372" s="148"/>
      <c r="QVW372" s="582"/>
      <c r="QVX372" s="584"/>
      <c r="QVY372" s="584"/>
      <c r="QVZ372" s="585"/>
      <c r="QWA372" s="586"/>
      <c r="QWB372" s="587"/>
      <c r="QWC372" s="682"/>
      <c r="QWD372" s="148"/>
      <c r="QWE372" s="148"/>
      <c r="QWF372" s="582"/>
      <c r="QWG372" s="584"/>
      <c r="QWH372" s="584"/>
      <c r="QWI372" s="585"/>
      <c r="QWJ372" s="586"/>
      <c r="QWK372" s="587"/>
      <c r="QWL372" s="682"/>
      <c r="QWM372" s="148"/>
      <c r="QWN372" s="148"/>
      <c r="QWO372" s="582"/>
      <c r="QWP372" s="584"/>
      <c r="QWQ372" s="584"/>
      <c r="QWR372" s="585"/>
      <c r="QWS372" s="586"/>
      <c r="QWT372" s="587"/>
      <c r="QWU372" s="682"/>
      <c r="QWV372" s="148"/>
      <c r="QWW372" s="148"/>
      <c r="QWX372" s="582"/>
      <c r="QWY372" s="584"/>
      <c r="QWZ372" s="584"/>
      <c r="QXA372" s="585"/>
      <c r="QXB372" s="586"/>
      <c r="QXC372" s="587"/>
      <c r="QXD372" s="682"/>
      <c r="QXE372" s="148"/>
      <c r="QXF372" s="148"/>
      <c r="QXG372" s="582"/>
      <c r="QXH372" s="584"/>
      <c r="QXI372" s="584"/>
      <c r="QXJ372" s="585"/>
      <c r="QXK372" s="586"/>
      <c r="QXL372" s="587"/>
      <c r="QXM372" s="682"/>
      <c r="QXN372" s="148"/>
      <c r="QXO372" s="148"/>
      <c r="QXP372" s="582"/>
      <c r="QXQ372" s="584"/>
      <c r="QXR372" s="584"/>
      <c r="QXS372" s="585"/>
      <c r="QXT372" s="586"/>
      <c r="QXU372" s="587"/>
      <c r="QXV372" s="682"/>
      <c r="QXW372" s="148"/>
      <c r="QXX372" s="148"/>
      <c r="QXY372" s="582"/>
      <c r="QXZ372" s="584"/>
      <c r="QYA372" s="584"/>
      <c r="QYB372" s="585"/>
      <c r="QYC372" s="586"/>
      <c r="QYD372" s="587"/>
      <c r="QYE372" s="682"/>
      <c r="QYF372" s="148"/>
      <c r="QYG372" s="148"/>
      <c r="QYH372" s="582"/>
      <c r="QYI372" s="584"/>
      <c r="QYJ372" s="584"/>
      <c r="QYK372" s="585"/>
      <c r="QYL372" s="586"/>
      <c r="QYM372" s="587"/>
      <c r="QYN372" s="682"/>
      <c r="QYO372" s="148"/>
      <c r="QYP372" s="148"/>
      <c r="QYQ372" s="582"/>
      <c r="QYR372" s="584"/>
      <c r="QYS372" s="584"/>
      <c r="QYT372" s="585"/>
      <c r="QYU372" s="586"/>
      <c r="QYV372" s="587"/>
      <c r="QYW372" s="682"/>
      <c r="QYX372" s="148"/>
      <c r="QYY372" s="148"/>
      <c r="QYZ372" s="582"/>
      <c r="QZA372" s="584"/>
      <c r="QZB372" s="584"/>
      <c r="QZC372" s="585"/>
      <c r="QZD372" s="586"/>
      <c r="QZE372" s="587"/>
      <c r="QZF372" s="682"/>
      <c r="QZG372" s="148"/>
      <c r="QZH372" s="148"/>
      <c r="QZI372" s="582"/>
      <c r="QZJ372" s="584"/>
      <c r="QZK372" s="584"/>
      <c r="QZL372" s="585"/>
      <c r="QZM372" s="586"/>
      <c r="QZN372" s="587"/>
      <c r="QZO372" s="682"/>
      <c r="QZP372" s="148"/>
      <c r="QZQ372" s="148"/>
      <c r="QZR372" s="582"/>
      <c r="QZS372" s="584"/>
      <c r="QZT372" s="584"/>
      <c r="QZU372" s="585"/>
      <c r="QZV372" s="586"/>
      <c r="QZW372" s="587"/>
      <c r="QZX372" s="682"/>
      <c r="QZY372" s="148"/>
      <c r="QZZ372" s="148"/>
      <c r="RAA372" s="582"/>
      <c r="RAB372" s="584"/>
      <c r="RAC372" s="584"/>
      <c r="RAD372" s="585"/>
      <c r="RAE372" s="586"/>
      <c r="RAF372" s="587"/>
      <c r="RAG372" s="682"/>
      <c r="RAH372" s="148"/>
      <c r="RAI372" s="148"/>
      <c r="RAJ372" s="582"/>
      <c r="RAK372" s="584"/>
      <c r="RAL372" s="584"/>
      <c r="RAM372" s="585"/>
      <c r="RAN372" s="586"/>
      <c r="RAO372" s="587"/>
      <c r="RAP372" s="682"/>
      <c r="RAQ372" s="148"/>
      <c r="RAR372" s="148"/>
      <c r="RAS372" s="582"/>
      <c r="RAT372" s="584"/>
      <c r="RAU372" s="584"/>
      <c r="RAV372" s="585"/>
      <c r="RAW372" s="586"/>
      <c r="RAX372" s="587"/>
      <c r="RAY372" s="682"/>
      <c r="RAZ372" s="148"/>
      <c r="RBA372" s="148"/>
      <c r="RBB372" s="582"/>
      <c r="RBC372" s="584"/>
      <c r="RBD372" s="584"/>
      <c r="RBE372" s="585"/>
      <c r="RBF372" s="586"/>
      <c r="RBG372" s="587"/>
      <c r="RBH372" s="682"/>
      <c r="RBI372" s="148"/>
      <c r="RBJ372" s="148"/>
      <c r="RBK372" s="582"/>
      <c r="RBL372" s="584"/>
      <c r="RBM372" s="584"/>
      <c r="RBN372" s="585"/>
      <c r="RBO372" s="586"/>
      <c r="RBP372" s="587"/>
      <c r="RBQ372" s="682"/>
      <c r="RBR372" s="148"/>
      <c r="RBS372" s="148"/>
      <c r="RBT372" s="582"/>
      <c r="RBU372" s="584"/>
      <c r="RBV372" s="584"/>
      <c r="RBW372" s="585"/>
      <c r="RBX372" s="586"/>
      <c r="RBY372" s="587"/>
      <c r="RBZ372" s="682"/>
      <c r="RCA372" s="148"/>
      <c r="RCB372" s="148"/>
      <c r="RCC372" s="582"/>
      <c r="RCD372" s="584"/>
      <c r="RCE372" s="584"/>
      <c r="RCF372" s="585"/>
      <c r="RCG372" s="586"/>
      <c r="RCH372" s="587"/>
      <c r="RCI372" s="682"/>
      <c r="RCJ372" s="148"/>
      <c r="RCK372" s="148"/>
      <c r="RCL372" s="582"/>
      <c r="RCM372" s="584"/>
      <c r="RCN372" s="584"/>
      <c r="RCO372" s="585"/>
      <c r="RCP372" s="586"/>
      <c r="RCQ372" s="587"/>
      <c r="RCR372" s="682"/>
      <c r="RCS372" s="148"/>
      <c r="RCT372" s="148"/>
      <c r="RCU372" s="582"/>
      <c r="RCV372" s="584"/>
      <c r="RCW372" s="584"/>
      <c r="RCX372" s="585"/>
      <c r="RCY372" s="586"/>
      <c r="RCZ372" s="587"/>
      <c r="RDA372" s="682"/>
      <c r="RDB372" s="148"/>
      <c r="RDC372" s="148"/>
      <c r="RDD372" s="582"/>
      <c r="RDE372" s="584"/>
      <c r="RDF372" s="584"/>
      <c r="RDG372" s="585"/>
      <c r="RDH372" s="586"/>
      <c r="RDI372" s="587"/>
      <c r="RDJ372" s="682"/>
      <c r="RDK372" s="148"/>
      <c r="RDL372" s="148"/>
      <c r="RDM372" s="582"/>
      <c r="RDN372" s="584"/>
      <c r="RDO372" s="584"/>
      <c r="RDP372" s="585"/>
      <c r="RDQ372" s="586"/>
      <c r="RDR372" s="587"/>
      <c r="RDS372" s="682"/>
      <c r="RDT372" s="148"/>
      <c r="RDU372" s="148"/>
      <c r="RDV372" s="582"/>
      <c r="RDW372" s="584"/>
      <c r="RDX372" s="584"/>
      <c r="RDY372" s="585"/>
      <c r="RDZ372" s="586"/>
      <c r="REA372" s="587"/>
      <c r="REB372" s="682"/>
      <c r="REC372" s="148"/>
      <c r="RED372" s="148"/>
      <c r="REE372" s="582"/>
      <c r="REF372" s="584"/>
      <c r="REG372" s="584"/>
      <c r="REH372" s="585"/>
      <c r="REI372" s="586"/>
      <c r="REJ372" s="587"/>
      <c r="REK372" s="682"/>
      <c r="REL372" s="148"/>
      <c r="REM372" s="148"/>
      <c r="REN372" s="582"/>
      <c r="REO372" s="584"/>
      <c r="REP372" s="584"/>
      <c r="REQ372" s="585"/>
      <c r="RER372" s="586"/>
      <c r="RES372" s="587"/>
      <c r="RET372" s="682"/>
      <c r="REU372" s="148"/>
      <c r="REV372" s="148"/>
      <c r="REW372" s="582"/>
      <c r="REX372" s="584"/>
      <c r="REY372" s="584"/>
      <c r="REZ372" s="585"/>
      <c r="RFA372" s="586"/>
      <c r="RFB372" s="587"/>
      <c r="RFC372" s="682"/>
      <c r="RFD372" s="148"/>
      <c r="RFE372" s="148"/>
      <c r="RFF372" s="582"/>
      <c r="RFG372" s="584"/>
      <c r="RFH372" s="584"/>
      <c r="RFI372" s="585"/>
      <c r="RFJ372" s="586"/>
      <c r="RFK372" s="587"/>
      <c r="RFL372" s="682"/>
      <c r="RFM372" s="148"/>
      <c r="RFN372" s="148"/>
      <c r="RFO372" s="582"/>
      <c r="RFP372" s="584"/>
      <c r="RFQ372" s="584"/>
      <c r="RFR372" s="585"/>
      <c r="RFS372" s="586"/>
      <c r="RFT372" s="587"/>
      <c r="RFU372" s="682"/>
      <c r="RFV372" s="148"/>
      <c r="RFW372" s="148"/>
      <c r="RFX372" s="582"/>
      <c r="RFY372" s="584"/>
      <c r="RFZ372" s="584"/>
      <c r="RGA372" s="585"/>
      <c r="RGB372" s="586"/>
      <c r="RGC372" s="587"/>
      <c r="RGD372" s="682"/>
      <c r="RGE372" s="148"/>
      <c r="RGF372" s="148"/>
      <c r="RGG372" s="582"/>
      <c r="RGH372" s="584"/>
      <c r="RGI372" s="584"/>
      <c r="RGJ372" s="585"/>
      <c r="RGK372" s="586"/>
      <c r="RGL372" s="587"/>
      <c r="RGM372" s="682"/>
      <c r="RGN372" s="148"/>
      <c r="RGO372" s="148"/>
      <c r="RGP372" s="582"/>
      <c r="RGQ372" s="584"/>
      <c r="RGR372" s="584"/>
      <c r="RGS372" s="585"/>
      <c r="RGT372" s="586"/>
      <c r="RGU372" s="587"/>
      <c r="RGV372" s="682"/>
      <c r="RGW372" s="148"/>
      <c r="RGX372" s="148"/>
      <c r="RGY372" s="582"/>
      <c r="RGZ372" s="584"/>
      <c r="RHA372" s="584"/>
      <c r="RHB372" s="585"/>
      <c r="RHC372" s="586"/>
      <c r="RHD372" s="587"/>
      <c r="RHE372" s="682"/>
      <c r="RHF372" s="148"/>
      <c r="RHG372" s="148"/>
      <c r="RHH372" s="582"/>
      <c r="RHI372" s="584"/>
      <c r="RHJ372" s="584"/>
      <c r="RHK372" s="585"/>
      <c r="RHL372" s="586"/>
      <c r="RHM372" s="587"/>
      <c r="RHN372" s="682"/>
      <c r="RHO372" s="148"/>
      <c r="RHP372" s="148"/>
      <c r="RHQ372" s="582"/>
      <c r="RHR372" s="584"/>
      <c r="RHS372" s="584"/>
      <c r="RHT372" s="585"/>
      <c r="RHU372" s="586"/>
      <c r="RHV372" s="587"/>
      <c r="RHW372" s="682"/>
      <c r="RHX372" s="148"/>
      <c r="RHY372" s="148"/>
      <c r="RHZ372" s="582"/>
      <c r="RIA372" s="584"/>
      <c r="RIB372" s="584"/>
      <c r="RIC372" s="585"/>
      <c r="RID372" s="586"/>
      <c r="RIE372" s="587"/>
      <c r="RIF372" s="682"/>
      <c r="RIG372" s="148"/>
      <c r="RIH372" s="148"/>
      <c r="RII372" s="582"/>
      <c r="RIJ372" s="584"/>
      <c r="RIK372" s="584"/>
      <c r="RIL372" s="585"/>
      <c r="RIM372" s="586"/>
      <c r="RIN372" s="587"/>
      <c r="RIO372" s="682"/>
      <c r="RIP372" s="148"/>
      <c r="RIQ372" s="148"/>
      <c r="RIR372" s="582"/>
      <c r="RIS372" s="584"/>
      <c r="RIT372" s="584"/>
      <c r="RIU372" s="585"/>
      <c r="RIV372" s="586"/>
      <c r="RIW372" s="587"/>
      <c r="RIX372" s="682"/>
      <c r="RIY372" s="148"/>
      <c r="RIZ372" s="148"/>
      <c r="RJA372" s="582"/>
      <c r="RJB372" s="584"/>
      <c r="RJC372" s="584"/>
      <c r="RJD372" s="585"/>
      <c r="RJE372" s="586"/>
      <c r="RJF372" s="587"/>
      <c r="RJG372" s="682"/>
      <c r="RJH372" s="148"/>
      <c r="RJI372" s="148"/>
      <c r="RJJ372" s="582"/>
      <c r="RJK372" s="584"/>
      <c r="RJL372" s="584"/>
      <c r="RJM372" s="585"/>
      <c r="RJN372" s="586"/>
      <c r="RJO372" s="587"/>
      <c r="RJP372" s="682"/>
      <c r="RJQ372" s="148"/>
      <c r="RJR372" s="148"/>
      <c r="RJS372" s="582"/>
      <c r="RJT372" s="584"/>
      <c r="RJU372" s="584"/>
      <c r="RJV372" s="585"/>
      <c r="RJW372" s="586"/>
      <c r="RJX372" s="587"/>
      <c r="RJY372" s="682"/>
      <c r="RJZ372" s="148"/>
      <c r="RKA372" s="148"/>
      <c r="RKB372" s="582"/>
      <c r="RKC372" s="584"/>
      <c r="RKD372" s="584"/>
      <c r="RKE372" s="585"/>
      <c r="RKF372" s="586"/>
      <c r="RKG372" s="587"/>
      <c r="RKH372" s="682"/>
      <c r="RKI372" s="148"/>
      <c r="RKJ372" s="148"/>
      <c r="RKK372" s="582"/>
      <c r="RKL372" s="584"/>
      <c r="RKM372" s="584"/>
      <c r="RKN372" s="585"/>
      <c r="RKO372" s="586"/>
      <c r="RKP372" s="587"/>
      <c r="RKQ372" s="682"/>
      <c r="RKR372" s="148"/>
      <c r="RKS372" s="148"/>
      <c r="RKT372" s="582"/>
      <c r="RKU372" s="584"/>
      <c r="RKV372" s="584"/>
      <c r="RKW372" s="585"/>
      <c r="RKX372" s="586"/>
      <c r="RKY372" s="587"/>
      <c r="RKZ372" s="682"/>
      <c r="RLA372" s="148"/>
      <c r="RLB372" s="148"/>
      <c r="RLC372" s="582"/>
      <c r="RLD372" s="584"/>
      <c r="RLE372" s="584"/>
      <c r="RLF372" s="585"/>
      <c r="RLG372" s="586"/>
      <c r="RLH372" s="587"/>
      <c r="RLI372" s="682"/>
      <c r="RLJ372" s="148"/>
      <c r="RLK372" s="148"/>
      <c r="RLL372" s="582"/>
      <c r="RLM372" s="584"/>
      <c r="RLN372" s="584"/>
      <c r="RLO372" s="585"/>
      <c r="RLP372" s="586"/>
      <c r="RLQ372" s="587"/>
      <c r="RLR372" s="682"/>
      <c r="RLS372" s="148"/>
      <c r="RLT372" s="148"/>
      <c r="RLU372" s="582"/>
      <c r="RLV372" s="584"/>
      <c r="RLW372" s="584"/>
      <c r="RLX372" s="585"/>
      <c r="RLY372" s="586"/>
      <c r="RLZ372" s="587"/>
      <c r="RMA372" s="682"/>
      <c r="RMB372" s="148"/>
      <c r="RMC372" s="148"/>
      <c r="RMD372" s="582"/>
      <c r="RME372" s="584"/>
      <c r="RMF372" s="584"/>
      <c r="RMG372" s="585"/>
      <c r="RMH372" s="586"/>
      <c r="RMI372" s="587"/>
      <c r="RMJ372" s="682"/>
      <c r="RMK372" s="148"/>
      <c r="RML372" s="148"/>
      <c r="RMM372" s="582"/>
      <c r="RMN372" s="584"/>
      <c r="RMO372" s="584"/>
      <c r="RMP372" s="585"/>
      <c r="RMQ372" s="586"/>
      <c r="RMR372" s="587"/>
      <c r="RMS372" s="682"/>
      <c r="RMT372" s="148"/>
      <c r="RMU372" s="148"/>
      <c r="RMV372" s="582"/>
      <c r="RMW372" s="584"/>
      <c r="RMX372" s="584"/>
      <c r="RMY372" s="585"/>
      <c r="RMZ372" s="586"/>
      <c r="RNA372" s="587"/>
      <c r="RNB372" s="682"/>
      <c r="RNC372" s="148"/>
      <c r="RND372" s="148"/>
      <c r="RNE372" s="582"/>
      <c r="RNF372" s="584"/>
      <c r="RNG372" s="584"/>
      <c r="RNH372" s="585"/>
      <c r="RNI372" s="586"/>
      <c r="RNJ372" s="587"/>
      <c r="RNK372" s="682"/>
      <c r="RNL372" s="148"/>
      <c r="RNM372" s="148"/>
      <c r="RNN372" s="582"/>
      <c r="RNO372" s="584"/>
      <c r="RNP372" s="584"/>
      <c r="RNQ372" s="585"/>
      <c r="RNR372" s="586"/>
      <c r="RNS372" s="587"/>
      <c r="RNT372" s="682"/>
      <c r="RNU372" s="148"/>
      <c r="RNV372" s="148"/>
      <c r="RNW372" s="582"/>
      <c r="RNX372" s="584"/>
      <c r="RNY372" s="584"/>
      <c r="RNZ372" s="585"/>
      <c r="ROA372" s="586"/>
      <c r="ROB372" s="587"/>
      <c r="ROC372" s="682"/>
      <c r="ROD372" s="148"/>
      <c r="ROE372" s="148"/>
      <c r="ROF372" s="582"/>
      <c r="ROG372" s="584"/>
      <c r="ROH372" s="584"/>
      <c r="ROI372" s="585"/>
      <c r="ROJ372" s="586"/>
      <c r="ROK372" s="587"/>
      <c r="ROL372" s="682"/>
      <c r="ROM372" s="148"/>
      <c r="RON372" s="148"/>
      <c r="ROO372" s="582"/>
      <c r="ROP372" s="584"/>
      <c r="ROQ372" s="584"/>
      <c r="ROR372" s="585"/>
      <c r="ROS372" s="586"/>
      <c r="ROT372" s="587"/>
      <c r="ROU372" s="682"/>
      <c r="ROV372" s="148"/>
      <c r="ROW372" s="148"/>
      <c r="ROX372" s="582"/>
      <c r="ROY372" s="584"/>
      <c r="ROZ372" s="584"/>
      <c r="RPA372" s="585"/>
      <c r="RPB372" s="586"/>
      <c r="RPC372" s="587"/>
      <c r="RPD372" s="682"/>
      <c r="RPE372" s="148"/>
      <c r="RPF372" s="148"/>
      <c r="RPG372" s="582"/>
      <c r="RPH372" s="584"/>
      <c r="RPI372" s="584"/>
      <c r="RPJ372" s="585"/>
      <c r="RPK372" s="586"/>
      <c r="RPL372" s="587"/>
      <c r="RPM372" s="682"/>
      <c r="RPN372" s="148"/>
      <c r="RPO372" s="148"/>
      <c r="RPP372" s="582"/>
      <c r="RPQ372" s="584"/>
      <c r="RPR372" s="584"/>
      <c r="RPS372" s="585"/>
      <c r="RPT372" s="586"/>
      <c r="RPU372" s="587"/>
      <c r="RPV372" s="682"/>
      <c r="RPW372" s="148"/>
      <c r="RPX372" s="148"/>
      <c r="RPY372" s="582"/>
      <c r="RPZ372" s="584"/>
      <c r="RQA372" s="584"/>
      <c r="RQB372" s="585"/>
      <c r="RQC372" s="586"/>
      <c r="RQD372" s="587"/>
      <c r="RQE372" s="682"/>
      <c r="RQF372" s="148"/>
      <c r="RQG372" s="148"/>
      <c r="RQH372" s="582"/>
      <c r="RQI372" s="584"/>
      <c r="RQJ372" s="584"/>
      <c r="RQK372" s="585"/>
      <c r="RQL372" s="586"/>
      <c r="RQM372" s="587"/>
      <c r="RQN372" s="682"/>
      <c r="RQO372" s="148"/>
      <c r="RQP372" s="148"/>
      <c r="RQQ372" s="582"/>
      <c r="RQR372" s="584"/>
      <c r="RQS372" s="584"/>
      <c r="RQT372" s="585"/>
      <c r="RQU372" s="586"/>
      <c r="RQV372" s="587"/>
      <c r="RQW372" s="682"/>
      <c r="RQX372" s="148"/>
      <c r="RQY372" s="148"/>
      <c r="RQZ372" s="582"/>
      <c r="RRA372" s="584"/>
      <c r="RRB372" s="584"/>
      <c r="RRC372" s="585"/>
      <c r="RRD372" s="586"/>
      <c r="RRE372" s="587"/>
      <c r="RRF372" s="682"/>
      <c r="RRG372" s="148"/>
      <c r="RRH372" s="148"/>
      <c r="RRI372" s="582"/>
      <c r="RRJ372" s="584"/>
      <c r="RRK372" s="584"/>
      <c r="RRL372" s="585"/>
      <c r="RRM372" s="586"/>
      <c r="RRN372" s="587"/>
      <c r="RRO372" s="682"/>
      <c r="RRP372" s="148"/>
      <c r="RRQ372" s="148"/>
      <c r="RRR372" s="582"/>
      <c r="RRS372" s="584"/>
      <c r="RRT372" s="584"/>
      <c r="RRU372" s="585"/>
      <c r="RRV372" s="586"/>
      <c r="RRW372" s="587"/>
      <c r="RRX372" s="682"/>
      <c r="RRY372" s="148"/>
      <c r="RRZ372" s="148"/>
      <c r="RSA372" s="582"/>
      <c r="RSB372" s="584"/>
      <c r="RSC372" s="584"/>
      <c r="RSD372" s="585"/>
      <c r="RSE372" s="586"/>
      <c r="RSF372" s="587"/>
      <c r="RSG372" s="682"/>
      <c r="RSH372" s="148"/>
      <c r="RSI372" s="148"/>
      <c r="RSJ372" s="582"/>
      <c r="RSK372" s="584"/>
      <c r="RSL372" s="584"/>
      <c r="RSM372" s="585"/>
      <c r="RSN372" s="586"/>
      <c r="RSO372" s="587"/>
      <c r="RSP372" s="682"/>
      <c r="RSQ372" s="148"/>
      <c r="RSR372" s="148"/>
      <c r="RSS372" s="582"/>
      <c r="RST372" s="584"/>
      <c r="RSU372" s="584"/>
      <c r="RSV372" s="585"/>
      <c r="RSW372" s="586"/>
      <c r="RSX372" s="587"/>
      <c r="RSY372" s="682"/>
      <c r="RSZ372" s="148"/>
      <c r="RTA372" s="148"/>
      <c r="RTB372" s="582"/>
      <c r="RTC372" s="584"/>
      <c r="RTD372" s="584"/>
      <c r="RTE372" s="585"/>
      <c r="RTF372" s="586"/>
      <c r="RTG372" s="587"/>
      <c r="RTH372" s="682"/>
      <c r="RTI372" s="148"/>
      <c r="RTJ372" s="148"/>
      <c r="RTK372" s="582"/>
      <c r="RTL372" s="584"/>
      <c r="RTM372" s="584"/>
      <c r="RTN372" s="585"/>
      <c r="RTO372" s="586"/>
      <c r="RTP372" s="587"/>
      <c r="RTQ372" s="682"/>
      <c r="RTR372" s="148"/>
      <c r="RTS372" s="148"/>
      <c r="RTT372" s="582"/>
      <c r="RTU372" s="584"/>
      <c r="RTV372" s="584"/>
      <c r="RTW372" s="585"/>
      <c r="RTX372" s="586"/>
      <c r="RTY372" s="587"/>
      <c r="RTZ372" s="682"/>
      <c r="RUA372" s="148"/>
      <c r="RUB372" s="148"/>
      <c r="RUC372" s="582"/>
      <c r="RUD372" s="584"/>
      <c r="RUE372" s="584"/>
      <c r="RUF372" s="585"/>
      <c r="RUG372" s="586"/>
      <c r="RUH372" s="587"/>
      <c r="RUI372" s="682"/>
      <c r="RUJ372" s="148"/>
      <c r="RUK372" s="148"/>
      <c r="RUL372" s="582"/>
      <c r="RUM372" s="584"/>
      <c r="RUN372" s="584"/>
      <c r="RUO372" s="585"/>
      <c r="RUP372" s="586"/>
      <c r="RUQ372" s="587"/>
      <c r="RUR372" s="682"/>
      <c r="RUS372" s="148"/>
      <c r="RUT372" s="148"/>
      <c r="RUU372" s="582"/>
      <c r="RUV372" s="584"/>
      <c r="RUW372" s="584"/>
      <c r="RUX372" s="585"/>
      <c r="RUY372" s="586"/>
      <c r="RUZ372" s="587"/>
      <c r="RVA372" s="682"/>
      <c r="RVB372" s="148"/>
      <c r="RVC372" s="148"/>
      <c r="RVD372" s="582"/>
      <c r="RVE372" s="584"/>
      <c r="RVF372" s="584"/>
      <c r="RVG372" s="585"/>
      <c r="RVH372" s="586"/>
      <c r="RVI372" s="587"/>
      <c r="RVJ372" s="682"/>
      <c r="RVK372" s="148"/>
      <c r="RVL372" s="148"/>
      <c r="RVM372" s="582"/>
      <c r="RVN372" s="584"/>
      <c r="RVO372" s="584"/>
      <c r="RVP372" s="585"/>
      <c r="RVQ372" s="586"/>
      <c r="RVR372" s="587"/>
      <c r="RVS372" s="682"/>
      <c r="RVT372" s="148"/>
      <c r="RVU372" s="148"/>
      <c r="RVV372" s="582"/>
      <c r="RVW372" s="584"/>
      <c r="RVX372" s="584"/>
      <c r="RVY372" s="585"/>
      <c r="RVZ372" s="586"/>
      <c r="RWA372" s="587"/>
      <c r="RWB372" s="682"/>
      <c r="RWC372" s="148"/>
      <c r="RWD372" s="148"/>
      <c r="RWE372" s="582"/>
      <c r="RWF372" s="584"/>
      <c r="RWG372" s="584"/>
      <c r="RWH372" s="585"/>
      <c r="RWI372" s="586"/>
      <c r="RWJ372" s="587"/>
      <c r="RWK372" s="682"/>
      <c r="RWL372" s="148"/>
      <c r="RWM372" s="148"/>
      <c r="RWN372" s="582"/>
      <c r="RWO372" s="584"/>
      <c r="RWP372" s="584"/>
      <c r="RWQ372" s="585"/>
      <c r="RWR372" s="586"/>
      <c r="RWS372" s="587"/>
      <c r="RWT372" s="682"/>
      <c r="RWU372" s="148"/>
      <c r="RWV372" s="148"/>
      <c r="RWW372" s="582"/>
      <c r="RWX372" s="584"/>
      <c r="RWY372" s="584"/>
      <c r="RWZ372" s="585"/>
      <c r="RXA372" s="586"/>
      <c r="RXB372" s="587"/>
      <c r="RXC372" s="682"/>
      <c r="RXD372" s="148"/>
      <c r="RXE372" s="148"/>
      <c r="RXF372" s="582"/>
      <c r="RXG372" s="584"/>
      <c r="RXH372" s="584"/>
      <c r="RXI372" s="585"/>
      <c r="RXJ372" s="586"/>
      <c r="RXK372" s="587"/>
      <c r="RXL372" s="682"/>
      <c r="RXM372" s="148"/>
      <c r="RXN372" s="148"/>
      <c r="RXO372" s="582"/>
      <c r="RXP372" s="584"/>
      <c r="RXQ372" s="584"/>
      <c r="RXR372" s="585"/>
      <c r="RXS372" s="586"/>
      <c r="RXT372" s="587"/>
      <c r="RXU372" s="682"/>
      <c r="RXV372" s="148"/>
      <c r="RXW372" s="148"/>
      <c r="RXX372" s="582"/>
      <c r="RXY372" s="584"/>
      <c r="RXZ372" s="584"/>
      <c r="RYA372" s="585"/>
      <c r="RYB372" s="586"/>
      <c r="RYC372" s="587"/>
      <c r="RYD372" s="682"/>
      <c r="RYE372" s="148"/>
      <c r="RYF372" s="148"/>
      <c r="RYG372" s="582"/>
      <c r="RYH372" s="584"/>
      <c r="RYI372" s="584"/>
      <c r="RYJ372" s="585"/>
      <c r="RYK372" s="586"/>
      <c r="RYL372" s="587"/>
      <c r="RYM372" s="682"/>
      <c r="RYN372" s="148"/>
      <c r="RYO372" s="148"/>
      <c r="RYP372" s="582"/>
      <c r="RYQ372" s="584"/>
      <c r="RYR372" s="584"/>
      <c r="RYS372" s="585"/>
      <c r="RYT372" s="586"/>
      <c r="RYU372" s="587"/>
      <c r="RYV372" s="682"/>
      <c r="RYW372" s="148"/>
      <c r="RYX372" s="148"/>
      <c r="RYY372" s="582"/>
      <c r="RYZ372" s="584"/>
      <c r="RZA372" s="584"/>
      <c r="RZB372" s="585"/>
      <c r="RZC372" s="586"/>
      <c r="RZD372" s="587"/>
      <c r="RZE372" s="682"/>
      <c r="RZF372" s="148"/>
      <c r="RZG372" s="148"/>
      <c r="RZH372" s="582"/>
      <c r="RZI372" s="584"/>
      <c r="RZJ372" s="584"/>
      <c r="RZK372" s="585"/>
      <c r="RZL372" s="586"/>
      <c r="RZM372" s="587"/>
      <c r="RZN372" s="682"/>
      <c r="RZO372" s="148"/>
      <c r="RZP372" s="148"/>
      <c r="RZQ372" s="582"/>
      <c r="RZR372" s="584"/>
      <c r="RZS372" s="584"/>
      <c r="RZT372" s="585"/>
      <c r="RZU372" s="586"/>
      <c r="RZV372" s="587"/>
      <c r="RZW372" s="682"/>
      <c r="RZX372" s="148"/>
      <c r="RZY372" s="148"/>
      <c r="RZZ372" s="582"/>
      <c r="SAA372" s="584"/>
      <c r="SAB372" s="584"/>
      <c r="SAC372" s="585"/>
      <c r="SAD372" s="586"/>
      <c r="SAE372" s="587"/>
      <c r="SAF372" s="682"/>
      <c r="SAG372" s="148"/>
      <c r="SAH372" s="148"/>
      <c r="SAI372" s="582"/>
      <c r="SAJ372" s="584"/>
      <c r="SAK372" s="584"/>
      <c r="SAL372" s="585"/>
      <c r="SAM372" s="586"/>
      <c r="SAN372" s="587"/>
      <c r="SAO372" s="682"/>
      <c r="SAP372" s="148"/>
      <c r="SAQ372" s="148"/>
      <c r="SAR372" s="582"/>
      <c r="SAS372" s="584"/>
      <c r="SAT372" s="584"/>
      <c r="SAU372" s="585"/>
      <c r="SAV372" s="586"/>
      <c r="SAW372" s="587"/>
      <c r="SAX372" s="682"/>
      <c r="SAY372" s="148"/>
      <c r="SAZ372" s="148"/>
      <c r="SBA372" s="582"/>
      <c r="SBB372" s="584"/>
      <c r="SBC372" s="584"/>
      <c r="SBD372" s="585"/>
      <c r="SBE372" s="586"/>
      <c r="SBF372" s="587"/>
      <c r="SBG372" s="682"/>
      <c r="SBH372" s="148"/>
      <c r="SBI372" s="148"/>
      <c r="SBJ372" s="582"/>
      <c r="SBK372" s="584"/>
      <c r="SBL372" s="584"/>
      <c r="SBM372" s="585"/>
      <c r="SBN372" s="586"/>
      <c r="SBO372" s="587"/>
      <c r="SBP372" s="682"/>
      <c r="SBQ372" s="148"/>
      <c r="SBR372" s="148"/>
      <c r="SBS372" s="582"/>
      <c r="SBT372" s="584"/>
      <c r="SBU372" s="584"/>
      <c r="SBV372" s="585"/>
      <c r="SBW372" s="586"/>
      <c r="SBX372" s="587"/>
      <c r="SBY372" s="682"/>
      <c r="SBZ372" s="148"/>
      <c r="SCA372" s="148"/>
      <c r="SCB372" s="582"/>
      <c r="SCC372" s="584"/>
      <c r="SCD372" s="584"/>
      <c r="SCE372" s="585"/>
      <c r="SCF372" s="586"/>
      <c r="SCG372" s="587"/>
      <c r="SCH372" s="682"/>
      <c r="SCI372" s="148"/>
      <c r="SCJ372" s="148"/>
      <c r="SCK372" s="582"/>
      <c r="SCL372" s="584"/>
      <c r="SCM372" s="584"/>
      <c r="SCN372" s="585"/>
      <c r="SCO372" s="586"/>
      <c r="SCP372" s="587"/>
      <c r="SCQ372" s="682"/>
      <c r="SCR372" s="148"/>
      <c r="SCS372" s="148"/>
      <c r="SCT372" s="582"/>
      <c r="SCU372" s="584"/>
      <c r="SCV372" s="584"/>
      <c r="SCW372" s="585"/>
      <c r="SCX372" s="586"/>
      <c r="SCY372" s="587"/>
      <c r="SCZ372" s="682"/>
      <c r="SDA372" s="148"/>
      <c r="SDB372" s="148"/>
      <c r="SDC372" s="582"/>
      <c r="SDD372" s="584"/>
      <c r="SDE372" s="584"/>
      <c r="SDF372" s="585"/>
      <c r="SDG372" s="586"/>
      <c r="SDH372" s="587"/>
      <c r="SDI372" s="682"/>
      <c r="SDJ372" s="148"/>
      <c r="SDK372" s="148"/>
      <c r="SDL372" s="582"/>
      <c r="SDM372" s="584"/>
      <c r="SDN372" s="584"/>
      <c r="SDO372" s="585"/>
      <c r="SDP372" s="586"/>
      <c r="SDQ372" s="587"/>
      <c r="SDR372" s="682"/>
      <c r="SDS372" s="148"/>
      <c r="SDT372" s="148"/>
      <c r="SDU372" s="582"/>
      <c r="SDV372" s="584"/>
      <c r="SDW372" s="584"/>
      <c r="SDX372" s="585"/>
      <c r="SDY372" s="586"/>
      <c r="SDZ372" s="587"/>
      <c r="SEA372" s="682"/>
      <c r="SEB372" s="148"/>
      <c r="SEC372" s="148"/>
      <c r="SED372" s="582"/>
      <c r="SEE372" s="584"/>
      <c r="SEF372" s="584"/>
      <c r="SEG372" s="585"/>
      <c r="SEH372" s="586"/>
      <c r="SEI372" s="587"/>
      <c r="SEJ372" s="682"/>
      <c r="SEK372" s="148"/>
      <c r="SEL372" s="148"/>
      <c r="SEM372" s="582"/>
      <c r="SEN372" s="584"/>
      <c r="SEO372" s="584"/>
      <c r="SEP372" s="585"/>
      <c r="SEQ372" s="586"/>
      <c r="SER372" s="587"/>
      <c r="SES372" s="682"/>
      <c r="SET372" s="148"/>
      <c r="SEU372" s="148"/>
      <c r="SEV372" s="582"/>
      <c r="SEW372" s="584"/>
      <c r="SEX372" s="584"/>
      <c r="SEY372" s="585"/>
      <c r="SEZ372" s="586"/>
      <c r="SFA372" s="587"/>
      <c r="SFB372" s="682"/>
      <c r="SFC372" s="148"/>
      <c r="SFD372" s="148"/>
      <c r="SFE372" s="582"/>
      <c r="SFF372" s="584"/>
      <c r="SFG372" s="584"/>
      <c r="SFH372" s="585"/>
      <c r="SFI372" s="586"/>
      <c r="SFJ372" s="587"/>
      <c r="SFK372" s="682"/>
      <c r="SFL372" s="148"/>
      <c r="SFM372" s="148"/>
      <c r="SFN372" s="582"/>
      <c r="SFO372" s="584"/>
      <c r="SFP372" s="584"/>
      <c r="SFQ372" s="585"/>
      <c r="SFR372" s="586"/>
      <c r="SFS372" s="587"/>
      <c r="SFT372" s="682"/>
      <c r="SFU372" s="148"/>
      <c r="SFV372" s="148"/>
      <c r="SFW372" s="582"/>
      <c r="SFX372" s="584"/>
      <c r="SFY372" s="584"/>
      <c r="SFZ372" s="585"/>
      <c r="SGA372" s="586"/>
      <c r="SGB372" s="587"/>
      <c r="SGC372" s="682"/>
      <c r="SGD372" s="148"/>
      <c r="SGE372" s="148"/>
      <c r="SGF372" s="582"/>
      <c r="SGG372" s="584"/>
      <c r="SGH372" s="584"/>
      <c r="SGI372" s="585"/>
      <c r="SGJ372" s="586"/>
      <c r="SGK372" s="587"/>
      <c r="SGL372" s="682"/>
      <c r="SGM372" s="148"/>
      <c r="SGN372" s="148"/>
      <c r="SGO372" s="582"/>
      <c r="SGP372" s="584"/>
      <c r="SGQ372" s="584"/>
      <c r="SGR372" s="585"/>
      <c r="SGS372" s="586"/>
      <c r="SGT372" s="587"/>
      <c r="SGU372" s="682"/>
      <c r="SGV372" s="148"/>
      <c r="SGW372" s="148"/>
      <c r="SGX372" s="582"/>
      <c r="SGY372" s="584"/>
      <c r="SGZ372" s="584"/>
      <c r="SHA372" s="585"/>
      <c r="SHB372" s="586"/>
      <c r="SHC372" s="587"/>
      <c r="SHD372" s="682"/>
      <c r="SHE372" s="148"/>
      <c r="SHF372" s="148"/>
      <c r="SHG372" s="582"/>
      <c r="SHH372" s="584"/>
      <c r="SHI372" s="584"/>
      <c r="SHJ372" s="585"/>
      <c r="SHK372" s="586"/>
      <c r="SHL372" s="587"/>
      <c r="SHM372" s="682"/>
      <c r="SHN372" s="148"/>
      <c r="SHO372" s="148"/>
      <c r="SHP372" s="582"/>
      <c r="SHQ372" s="584"/>
      <c r="SHR372" s="584"/>
      <c r="SHS372" s="585"/>
      <c r="SHT372" s="586"/>
      <c r="SHU372" s="587"/>
      <c r="SHV372" s="682"/>
      <c r="SHW372" s="148"/>
      <c r="SHX372" s="148"/>
      <c r="SHY372" s="582"/>
      <c r="SHZ372" s="584"/>
      <c r="SIA372" s="584"/>
      <c r="SIB372" s="585"/>
      <c r="SIC372" s="586"/>
      <c r="SID372" s="587"/>
      <c r="SIE372" s="682"/>
      <c r="SIF372" s="148"/>
      <c r="SIG372" s="148"/>
      <c r="SIH372" s="582"/>
      <c r="SII372" s="584"/>
      <c r="SIJ372" s="584"/>
      <c r="SIK372" s="585"/>
      <c r="SIL372" s="586"/>
      <c r="SIM372" s="587"/>
      <c r="SIN372" s="682"/>
      <c r="SIO372" s="148"/>
      <c r="SIP372" s="148"/>
      <c r="SIQ372" s="582"/>
      <c r="SIR372" s="584"/>
      <c r="SIS372" s="584"/>
      <c r="SIT372" s="585"/>
      <c r="SIU372" s="586"/>
      <c r="SIV372" s="587"/>
      <c r="SIW372" s="682"/>
      <c r="SIX372" s="148"/>
      <c r="SIY372" s="148"/>
      <c r="SIZ372" s="582"/>
      <c r="SJA372" s="584"/>
      <c r="SJB372" s="584"/>
      <c r="SJC372" s="585"/>
      <c r="SJD372" s="586"/>
      <c r="SJE372" s="587"/>
      <c r="SJF372" s="682"/>
      <c r="SJG372" s="148"/>
      <c r="SJH372" s="148"/>
      <c r="SJI372" s="582"/>
      <c r="SJJ372" s="584"/>
      <c r="SJK372" s="584"/>
      <c r="SJL372" s="585"/>
      <c r="SJM372" s="586"/>
      <c r="SJN372" s="587"/>
      <c r="SJO372" s="682"/>
      <c r="SJP372" s="148"/>
      <c r="SJQ372" s="148"/>
      <c r="SJR372" s="582"/>
      <c r="SJS372" s="584"/>
      <c r="SJT372" s="584"/>
      <c r="SJU372" s="585"/>
      <c r="SJV372" s="586"/>
      <c r="SJW372" s="587"/>
      <c r="SJX372" s="682"/>
      <c r="SJY372" s="148"/>
      <c r="SJZ372" s="148"/>
      <c r="SKA372" s="582"/>
      <c r="SKB372" s="584"/>
      <c r="SKC372" s="584"/>
      <c r="SKD372" s="585"/>
      <c r="SKE372" s="586"/>
      <c r="SKF372" s="587"/>
      <c r="SKG372" s="682"/>
      <c r="SKH372" s="148"/>
      <c r="SKI372" s="148"/>
      <c r="SKJ372" s="582"/>
      <c r="SKK372" s="584"/>
      <c r="SKL372" s="584"/>
      <c r="SKM372" s="585"/>
      <c r="SKN372" s="586"/>
      <c r="SKO372" s="587"/>
      <c r="SKP372" s="682"/>
      <c r="SKQ372" s="148"/>
      <c r="SKR372" s="148"/>
      <c r="SKS372" s="582"/>
      <c r="SKT372" s="584"/>
      <c r="SKU372" s="584"/>
      <c r="SKV372" s="585"/>
      <c r="SKW372" s="586"/>
      <c r="SKX372" s="587"/>
      <c r="SKY372" s="682"/>
      <c r="SKZ372" s="148"/>
      <c r="SLA372" s="148"/>
      <c r="SLB372" s="582"/>
      <c r="SLC372" s="584"/>
      <c r="SLD372" s="584"/>
      <c r="SLE372" s="585"/>
      <c r="SLF372" s="586"/>
      <c r="SLG372" s="587"/>
      <c r="SLH372" s="682"/>
      <c r="SLI372" s="148"/>
      <c r="SLJ372" s="148"/>
      <c r="SLK372" s="582"/>
      <c r="SLL372" s="584"/>
      <c r="SLM372" s="584"/>
      <c r="SLN372" s="585"/>
      <c r="SLO372" s="586"/>
      <c r="SLP372" s="587"/>
      <c r="SLQ372" s="682"/>
      <c r="SLR372" s="148"/>
      <c r="SLS372" s="148"/>
      <c r="SLT372" s="582"/>
      <c r="SLU372" s="584"/>
      <c r="SLV372" s="584"/>
      <c r="SLW372" s="585"/>
      <c r="SLX372" s="586"/>
      <c r="SLY372" s="587"/>
      <c r="SLZ372" s="682"/>
      <c r="SMA372" s="148"/>
      <c r="SMB372" s="148"/>
      <c r="SMC372" s="582"/>
      <c r="SMD372" s="584"/>
      <c r="SME372" s="584"/>
      <c r="SMF372" s="585"/>
      <c r="SMG372" s="586"/>
      <c r="SMH372" s="587"/>
      <c r="SMI372" s="682"/>
      <c r="SMJ372" s="148"/>
      <c r="SMK372" s="148"/>
      <c r="SML372" s="582"/>
      <c r="SMM372" s="584"/>
      <c r="SMN372" s="584"/>
      <c r="SMO372" s="585"/>
      <c r="SMP372" s="586"/>
      <c r="SMQ372" s="587"/>
      <c r="SMR372" s="682"/>
      <c r="SMS372" s="148"/>
      <c r="SMT372" s="148"/>
      <c r="SMU372" s="582"/>
      <c r="SMV372" s="584"/>
      <c r="SMW372" s="584"/>
      <c r="SMX372" s="585"/>
      <c r="SMY372" s="586"/>
      <c r="SMZ372" s="587"/>
      <c r="SNA372" s="682"/>
      <c r="SNB372" s="148"/>
      <c r="SNC372" s="148"/>
      <c r="SND372" s="582"/>
      <c r="SNE372" s="584"/>
      <c r="SNF372" s="584"/>
      <c r="SNG372" s="585"/>
      <c r="SNH372" s="586"/>
      <c r="SNI372" s="587"/>
      <c r="SNJ372" s="682"/>
      <c r="SNK372" s="148"/>
      <c r="SNL372" s="148"/>
      <c r="SNM372" s="582"/>
      <c r="SNN372" s="584"/>
      <c r="SNO372" s="584"/>
      <c r="SNP372" s="585"/>
      <c r="SNQ372" s="586"/>
      <c r="SNR372" s="587"/>
      <c r="SNS372" s="682"/>
      <c r="SNT372" s="148"/>
      <c r="SNU372" s="148"/>
      <c r="SNV372" s="582"/>
      <c r="SNW372" s="584"/>
      <c r="SNX372" s="584"/>
      <c r="SNY372" s="585"/>
      <c r="SNZ372" s="586"/>
      <c r="SOA372" s="587"/>
      <c r="SOB372" s="682"/>
      <c r="SOC372" s="148"/>
      <c r="SOD372" s="148"/>
      <c r="SOE372" s="582"/>
      <c r="SOF372" s="584"/>
      <c r="SOG372" s="584"/>
      <c r="SOH372" s="585"/>
      <c r="SOI372" s="586"/>
      <c r="SOJ372" s="587"/>
      <c r="SOK372" s="682"/>
      <c r="SOL372" s="148"/>
      <c r="SOM372" s="148"/>
      <c r="SON372" s="582"/>
      <c r="SOO372" s="584"/>
      <c r="SOP372" s="584"/>
      <c r="SOQ372" s="585"/>
      <c r="SOR372" s="586"/>
      <c r="SOS372" s="587"/>
      <c r="SOT372" s="682"/>
      <c r="SOU372" s="148"/>
      <c r="SOV372" s="148"/>
      <c r="SOW372" s="582"/>
      <c r="SOX372" s="584"/>
      <c r="SOY372" s="584"/>
      <c r="SOZ372" s="585"/>
      <c r="SPA372" s="586"/>
      <c r="SPB372" s="587"/>
      <c r="SPC372" s="682"/>
      <c r="SPD372" s="148"/>
      <c r="SPE372" s="148"/>
      <c r="SPF372" s="582"/>
      <c r="SPG372" s="584"/>
      <c r="SPH372" s="584"/>
      <c r="SPI372" s="585"/>
      <c r="SPJ372" s="586"/>
      <c r="SPK372" s="587"/>
      <c r="SPL372" s="682"/>
      <c r="SPM372" s="148"/>
      <c r="SPN372" s="148"/>
      <c r="SPO372" s="582"/>
      <c r="SPP372" s="584"/>
      <c r="SPQ372" s="584"/>
      <c r="SPR372" s="585"/>
      <c r="SPS372" s="586"/>
      <c r="SPT372" s="587"/>
      <c r="SPU372" s="682"/>
      <c r="SPV372" s="148"/>
      <c r="SPW372" s="148"/>
      <c r="SPX372" s="582"/>
      <c r="SPY372" s="584"/>
      <c r="SPZ372" s="584"/>
      <c r="SQA372" s="585"/>
      <c r="SQB372" s="586"/>
      <c r="SQC372" s="587"/>
      <c r="SQD372" s="682"/>
      <c r="SQE372" s="148"/>
      <c r="SQF372" s="148"/>
      <c r="SQG372" s="582"/>
      <c r="SQH372" s="584"/>
      <c r="SQI372" s="584"/>
      <c r="SQJ372" s="585"/>
      <c r="SQK372" s="586"/>
      <c r="SQL372" s="587"/>
      <c r="SQM372" s="682"/>
      <c r="SQN372" s="148"/>
      <c r="SQO372" s="148"/>
      <c r="SQP372" s="582"/>
      <c r="SQQ372" s="584"/>
      <c r="SQR372" s="584"/>
      <c r="SQS372" s="585"/>
      <c r="SQT372" s="586"/>
      <c r="SQU372" s="587"/>
      <c r="SQV372" s="682"/>
      <c r="SQW372" s="148"/>
      <c r="SQX372" s="148"/>
      <c r="SQY372" s="582"/>
      <c r="SQZ372" s="584"/>
      <c r="SRA372" s="584"/>
      <c r="SRB372" s="585"/>
      <c r="SRC372" s="586"/>
      <c r="SRD372" s="587"/>
      <c r="SRE372" s="682"/>
      <c r="SRF372" s="148"/>
      <c r="SRG372" s="148"/>
      <c r="SRH372" s="582"/>
      <c r="SRI372" s="584"/>
      <c r="SRJ372" s="584"/>
      <c r="SRK372" s="585"/>
      <c r="SRL372" s="586"/>
      <c r="SRM372" s="587"/>
      <c r="SRN372" s="682"/>
      <c r="SRO372" s="148"/>
      <c r="SRP372" s="148"/>
      <c r="SRQ372" s="582"/>
      <c r="SRR372" s="584"/>
      <c r="SRS372" s="584"/>
      <c r="SRT372" s="585"/>
      <c r="SRU372" s="586"/>
      <c r="SRV372" s="587"/>
      <c r="SRW372" s="682"/>
      <c r="SRX372" s="148"/>
      <c r="SRY372" s="148"/>
      <c r="SRZ372" s="582"/>
      <c r="SSA372" s="584"/>
      <c r="SSB372" s="584"/>
      <c r="SSC372" s="585"/>
      <c r="SSD372" s="586"/>
      <c r="SSE372" s="587"/>
      <c r="SSF372" s="682"/>
      <c r="SSG372" s="148"/>
      <c r="SSH372" s="148"/>
      <c r="SSI372" s="582"/>
      <c r="SSJ372" s="584"/>
      <c r="SSK372" s="584"/>
      <c r="SSL372" s="585"/>
      <c r="SSM372" s="586"/>
      <c r="SSN372" s="587"/>
      <c r="SSO372" s="682"/>
      <c r="SSP372" s="148"/>
      <c r="SSQ372" s="148"/>
      <c r="SSR372" s="582"/>
      <c r="SSS372" s="584"/>
      <c r="SST372" s="584"/>
      <c r="SSU372" s="585"/>
      <c r="SSV372" s="586"/>
      <c r="SSW372" s="587"/>
      <c r="SSX372" s="682"/>
      <c r="SSY372" s="148"/>
      <c r="SSZ372" s="148"/>
      <c r="STA372" s="582"/>
      <c r="STB372" s="584"/>
      <c r="STC372" s="584"/>
      <c r="STD372" s="585"/>
      <c r="STE372" s="586"/>
      <c r="STF372" s="587"/>
      <c r="STG372" s="682"/>
      <c r="STH372" s="148"/>
      <c r="STI372" s="148"/>
      <c r="STJ372" s="582"/>
      <c r="STK372" s="584"/>
      <c r="STL372" s="584"/>
      <c r="STM372" s="585"/>
      <c r="STN372" s="586"/>
      <c r="STO372" s="587"/>
      <c r="STP372" s="682"/>
      <c r="STQ372" s="148"/>
      <c r="STR372" s="148"/>
      <c r="STS372" s="582"/>
      <c r="STT372" s="584"/>
      <c r="STU372" s="584"/>
      <c r="STV372" s="585"/>
      <c r="STW372" s="586"/>
      <c r="STX372" s="587"/>
      <c r="STY372" s="682"/>
      <c r="STZ372" s="148"/>
      <c r="SUA372" s="148"/>
      <c r="SUB372" s="582"/>
      <c r="SUC372" s="584"/>
      <c r="SUD372" s="584"/>
      <c r="SUE372" s="585"/>
      <c r="SUF372" s="586"/>
      <c r="SUG372" s="587"/>
      <c r="SUH372" s="682"/>
      <c r="SUI372" s="148"/>
      <c r="SUJ372" s="148"/>
      <c r="SUK372" s="582"/>
      <c r="SUL372" s="584"/>
      <c r="SUM372" s="584"/>
      <c r="SUN372" s="585"/>
      <c r="SUO372" s="586"/>
      <c r="SUP372" s="587"/>
      <c r="SUQ372" s="682"/>
      <c r="SUR372" s="148"/>
      <c r="SUS372" s="148"/>
      <c r="SUT372" s="582"/>
      <c r="SUU372" s="584"/>
      <c r="SUV372" s="584"/>
      <c r="SUW372" s="585"/>
      <c r="SUX372" s="586"/>
      <c r="SUY372" s="587"/>
      <c r="SUZ372" s="682"/>
      <c r="SVA372" s="148"/>
      <c r="SVB372" s="148"/>
      <c r="SVC372" s="582"/>
      <c r="SVD372" s="584"/>
      <c r="SVE372" s="584"/>
      <c r="SVF372" s="585"/>
      <c r="SVG372" s="586"/>
      <c r="SVH372" s="587"/>
      <c r="SVI372" s="682"/>
      <c r="SVJ372" s="148"/>
      <c r="SVK372" s="148"/>
      <c r="SVL372" s="582"/>
      <c r="SVM372" s="584"/>
      <c r="SVN372" s="584"/>
      <c r="SVO372" s="585"/>
      <c r="SVP372" s="586"/>
      <c r="SVQ372" s="587"/>
      <c r="SVR372" s="682"/>
      <c r="SVS372" s="148"/>
      <c r="SVT372" s="148"/>
      <c r="SVU372" s="582"/>
      <c r="SVV372" s="584"/>
      <c r="SVW372" s="584"/>
      <c r="SVX372" s="585"/>
      <c r="SVY372" s="586"/>
      <c r="SVZ372" s="587"/>
      <c r="SWA372" s="682"/>
      <c r="SWB372" s="148"/>
      <c r="SWC372" s="148"/>
      <c r="SWD372" s="582"/>
      <c r="SWE372" s="584"/>
      <c r="SWF372" s="584"/>
      <c r="SWG372" s="585"/>
      <c r="SWH372" s="586"/>
      <c r="SWI372" s="587"/>
      <c r="SWJ372" s="682"/>
      <c r="SWK372" s="148"/>
      <c r="SWL372" s="148"/>
      <c r="SWM372" s="582"/>
      <c r="SWN372" s="584"/>
      <c r="SWO372" s="584"/>
      <c r="SWP372" s="585"/>
      <c r="SWQ372" s="586"/>
      <c r="SWR372" s="587"/>
      <c r="SWS372" s="682"/>
      <c r="SWT372" s="148"/>
      <c r="SWU372" s="148"/>
      <c r="SWV372" s="582"/>
      <c r="SWW372" s="584"/>
      <c r="SWX372" s="584"/>
      <c r="SWY372" s="585"/>
      <c r="SWZ372" s="586"/>
      <c r="SXA372" s="587"/>
      <c r="SXB372" s="682"/>
      <c r="SXC372" s="148"/>
      <c r="SXD372" s="148"/>
      <c r="SXE372" s="582"/>
      <c r="SXF372" s="584"/>
      <c r="SXG372" s="584"/>
      <c r="SXH372" s="585"/>
      <c r="SXI372" s="586"/>
      <c r="SXJ372" s="587"/>
      <c r="SXK372" s="682"/>
      <c r="SXL372" s="148"/>
      <c r="SXM372" s="148"/>
      <c r="SXN372" s="582"/>
      <c r="SXO372" s="584"/>
      <c r="SXP372" s="584"/>
      <c r="SXQ372" s="585"/>
      <c r="SXR372" s="586"/>
      <c r="SXS372" s="587"/>
      <c r="SXT372" s="682"/>
      <c r="SXU372" s="148"/>
      <c r="SXV372" s="148"/>
      <c r="SXW372" s="582"/>
      <c r="SXX372" s="584"/>
      <c r="SXY372" s="584"/>
      <c r="SXZ372" s="585"/>
      <c r="SYA372" s="586"/>
      <c r="SYB372" s="587"/>
      <c r="SYC372" s="682"/>
      <c r="SYD372" s="148"/>
      <c r="SYE372" s="148"/>
      <c r="SYF372" s="582"/>
      <c r="SYG372" s="584"/>
      <c r="SYH372" s="584"/>
      <c r="SYI372" s="585"/>
      <c r="SYJ372" s="586"/>
      <c r="SYK372" s="587"/>
      <c r="SYL372" s="682"/>
      <c r="SYM372" s="148"/>
      <c r="SYN372" s="148"/>
      <c r="SYO372" s="582"/>
      <c r="SYP372" s="584"/>
      <c r="SYQ372" s="584"/>
      <c r="SYR372" s="585"/>
      <c r="SYS372" s="586"/>
      <c r="SYT372" s="587"/>
      <c r="SYU372" s="682"/>
      <c r="SYV372" s="148"/>
      <c r="SYW372" s="148"/>
      <c r="SYX372" s="582"/>
      <c r="SYY372" s="584"/>
      <c r="SYZ372" s="584"/>
      <c r="SZA372" s="585"/>
      <c r="SZB372" s="586"/>
      <c r="SZC372" s="587"/>
      <c r="SZD372" s="682"/>
      <c r="SZE372" s="148"/>
      <c r="SZF372" s="148"/>
      <c r="SZG372" s="582"/>
      <c r="SZH372" s="584"/>
      <c r="SZI372" s="584"/>
      <c r="SZJ372" s="585"/>
      <c r="SZK372" s="586"/>
      <c r="SZL372" s="587"/>
      <c r="SZM372" s="682"/>
      <c r="SZN372" s="148"/>
      <c r="SZO372" s="148"/>
      <c r="SZP372" s="582"/>
      <c r="SZQ372" s="584"/>
      <c r="SZR372" s="584"/>
      <c r="SZS372" s="585"/>
      <c r="SZT372" s="586"/>
      <c r="SZU372" s="587"/>
      <c r="SZV372" s="682"/>
      <c r="SZW372" s="148"/>
      <c r="SZX372" s="148"/>
      <c r="SZY372" s="582"/>
      <c r="SZZ372" s="584"/>
      <c r="TAA372" s="584"/>
      <c r="TAB372" s="585"/>
      <c r="TAC372" s="586"/>
      <c r="TAD372" s="587"/>
      <c r="TAE372" s="682"/>
      <c r="TAF372" s="148"/>
      <c r="TAG372" s="148"/>
      <c r="TAH372" s="582"/>
      <c r="TAI372" s="584"/>
      <c r="TAJ372" s="584"/>
      <c r="TAK372" s="585"/>
      <c r="TAL372" s="586"/>
      <c r="TAM372" s="587"/>
      <c r="TAN372" s="682"/>
      <c r="TAO372" s="148"/>
      <c r="TAP372" s="148"/>
      <c r="TAQ372" s="582"/>
      <c r="TAR372" s="584"/>
      <c r="TAS372" s="584"/>
      <c r="TAT372" s="585"/>
      <c r="TAU372" s="586"/>
      <c r="TAV372" s="587"/>
      <c r="TAW372" s="682"/>
      <c r="TAX372" s="148"/>
      <c r="TAY372" s="148"/>
      <c r="TAZ372" s="582"/>
      <c r="TBA372" s="584"/>
      <c r="TBB372" s="584"/>
      <c r="TBC372" s="585"/>
      <c r="TBD372" s="586"/>
      <c r="TBE372" s="587"/>
      <c r="TBF372" s="682"/>
      <c r="TBG372" s="148"/>
      <c r="TBH372" s="148"/>
      <c r="TBI372" s="582"/>
      <c r="TBJ372" s="584"/>
      <c r="TBK372" s="584"/>
      <c r="TBL372" s="585"/>
      <c r="TBM372" s="586"/>
      <c r="TBN372" s="587"/>
      <c r="TBO372" s="682"/>
      <c r="TBP372" s="148"/>
      <c r="TBQ372" s="148"/>
      <c r="TBR372" s="582"/>
      <c r="TBS372" s="584"/>
      <c r="TBT372" s="584"/>
      <c r="TBU372" s="585"/>
      <c r="TBV372" s="586"/>
      <c r="TBW372" s="587"/>
      <c r="TBX372" s="682"/>
      <c r="TBY372" s="148"/>
      <c r="TBZ372" s="148"/>
      <c r="TCA372" s="582"/>
      <c r="TCB372" s="584"/>
      <c r="TCC372" s="584"/>
      <c r="TCD372" s="585"/>
      <c r="TCE372" s="586"/>
      <c r="TCF372" s="587"/>
      <c r="TCG372" s="682"/>
      <c r="TCH372" s="148"/>
      <c r="TCI372" s="148"/>
      <c r="TCJ372" s="582"/>
      <c r="TCK372" s="584"/>
      <c r="TCL372" s="584"/>
      <c r="TCM372" s="585"/>
      <c r="TCN372" s="586"/>
      <c r="TCO372" s="587"/>
      <c r="TCP372" s="682"/>
      <c r="TCQ372" s="148"/>
      <c r="TCR372" s="148"/>
      <c r="TCS372" s="582"/>
      <c r="TCT372" s="584"/>
      <c r="TCU372" s="584"/>
      <c r="TCV372" s="585"/>
      <c r="TCW372" s="586"/>
      <c r="TCX372" s="587"/>
      <c r="TCY372" s="682"/>
      <c r="TCZ372" s="148"/>
      <c r="TDA372" s="148"/>
      <c r="TDB372" s="582"/>
      <c r="TDC372" s="584"/>
      <c r="TDD372" s="584"/>
      <c r="TDE372" s="585"/>
      <c r="TDF372" s="586"/>
      <c r="TDG372" s="587"/>
      <c r="TDH372" s="682"/>
      <c r="TDI372" s="148"/>
      <c r="TDJ372" s="148"/>
      <c r="TDK372" s="582"/>
      <c r="TDL372" s="584"/>
      <c r="TDM372" s="584"/>
      <c r="TDN372" s="585"/>
      <c r="TDO372" s="586"/>
      <c r="TDP372" s="587"/>
      <c r="TDQ372" s="682"/>
      <c r="TDR372" s="148"/>
      <c r="TDS372" s="148"/>
      <c r="TDT372" s="582"/>
      <c r="TDU372" s="584"/>
      <c r="TDV372" s="584"/>
      <c r="TDW372" s="585"/>
      <c r="TDX372" s="586"/>
      <c r="TDY372" s="587"/>
      <c r="TDZ372" s="682"/>
      <c r="TEA372" s="148"/>
      <c r="TEB372" s="148"/>
      <c r="TEC372" s="582"/>
      <c r="TED372" s="584"/>
      <c r="TEE372" s="584"/>
      <c r="TEF372" s="585"/>
      <c r="TEG372" s="586"/>
      <c r="TEH372" s="587"/>
      <c r="TEI372" s="682"/>
      <c r="TEJ372" s="148"/>
      <c r="TEK372" s="148"/>
      <c r="TEL372" s="582"/>
      <c r="TEM372" s="584"/>
      <c r="TEN372" s="584"/>
      <c r="TEO372" s="585"/>
      <c r="TEP372" s="586"/>
      <c r="TEQ372" s="587"/>
      <c r="TER372" s="682"/>
      <c r="TES372" s="148"/>
      <c r="TET372" s="148"/>
      <c r="TEU372" s="582"/>
      <c r="TEV372" s="584"/>
      <c r="TEW372" s="584"/>
      <c r="TEX372" s="585"/>
      <c r="TEY372" s="586"/>
      <c r="TEZ372" s="587"/>
      <c r="TFA372" s="682"/>
      <c r="TFB372" s="148"/>
      <c r="TFC372" s="148"/>
      <c r="TFD372" s="582"/>
      <c r="TFE372" s="584"/>
      <c r="TFF372" s="584"/>
      <c r="TFG372" s="585"/>
      <c r="TFH372" s="586"/>
      <c r="TFI372" s="587"/>
      <c r="TFJ372" s="682"/>
      <c r="TFK372" s="148"/>
      <c r="TFL372" s="148"/>
      <c r="TFM372" s="582"/>
      <c r="TFN372" s="584"/>
      <c r="TFO372" s="584"/>
      <c r="TFP372" s="585"/>
      <c r="TFQ372" s="586"/>
      <c r="TFR372" s="587"/>
      <c r="TFS372" s="682"/>
      <c r="TFT372" s="148"/>
      <c r="TFU372" s="148"/>
      <c r="TFV372" s="582"/>
      <c r="TFW372" s="584"/>
      <c r="TFX372" s="584"/>
      <c r="TFY372" s="585"/>
      <c r="TFZ372" s="586"/>
      <c r="TGA372" s="587"/>
      <c r="TGB372" s="682"/>
      <c r="TGC372" s="148"/>
      <c r="TGD372" s="148"/>
      <c r="TGE372" s="582"/>
      <c r="TGF372" s="584"/>
      <c r="TGG372" s="584"/>
      <c r="TGH372" s="585"/>
      <c r="TGI372" s="586"/>
      <c r="TGJ372" s="587"/>
      <c r="TGK372" s="682"/>
      <c r="TGL372" s="148"/>
      <c r="TGM372" s="148"/>
      <c r="TGN372" s="582"/>
      <c r="TGO372" s="584"/>
      <c r="TGP372" s="584"/>
      <c r="TGQ372" s="585"/>
      <c r="TGR372" s="586"/>
      <c r="TGS372" s="587"/>
      <c r="TGT372" s="682"/>
      <c r="TGU372" s="148"/>
      <c r="TGV372" s="148"/>
      <c r="TGW372" s="582"/>
      <c r="TGX372" s="584"/>
      <c r="TGY372" s="584"/>
      <c r="TGZ372" s="585"/>
      <c r="THA372" s="586"/>
      <c r="THB372" s="587"/>
      <c r="THC372" s="682"/>
      <c r="THD372" s="148"/>
      <c r="THE372" s="148"/>
      <c r="THF372" s="582"/>
      <c r="THG372" s="584"/>
      <c r="THH372" s="584"/>
      <c r="THI372" s="585"/>
      <c r="THJ372" s="586"/>
      <c r="THK372" s="587"/>
      <c r="THL372" s="682"/>
      <c r="THM372" s="148"/>
      <c r="THN372" s="148"/>
      <c r="THO372" s="582"/>
      <c r="THP372" s="584"/>
      <c r="THQ372" s="584"/>
      <c r="THR372" s="585"/>
      <c r="THS372" s="586"/>
      <c r="THT372" s="587"/>
      <c r="THU372" s="682"/>
      <c r="THV372" s="148"/>
      <c r="THW372" s="148"/>
      <c r="THX372" s="582"/>
      <c r="THY372" s="584"/>
      <c r="THZ372" s="584"/>
      <c r="TIA372" s="585"/>
      <c r="TIB372" s="586"/>
      <c r="TIC372" s="587"/>
      <c r="TID372" s="682"/>
      <c r="TIE372" s="148"/>
      <c r="TIF372" s="148"/>
      <c r="TIG372" s="582"/>
      <c r="TIH372" s="584"/>
      <c r="TII372" s="584"/>
      <c r="TIJ372" s="585"/>
      <c r="TIK372" s="586"/>
      <c r="TIL372" s="587"/>
      <c r="TIM372" s="682"/>
      <c r="TIN372" s="148"/>
      <c r="TIO372" s="148"/>
      <c r="TIP372" s="582"/>
      <c r="TIQ372" s="584"/>
      <c r="TIR372" s="584"/>
      <c r="TIS372" s="585"/>
      <c r="TIT372" s="586"/>
      <c r="TIU372" s="587"/>
      <c r="TIV372" s="682"/>
      <c r="TIW372" s="148"/>
      <c r="TIX372" s="148"/>
      <c r="TIY372" s="582"/>
      <c r="TIZ372" s="584"/>
      <c r="TJA372" s="584"/>
      <c r="TJB372" s="585"/>
      <c r="TJC372" s="586"/>
      <c r="TJD372" s="587"/>
      <c r="TJE372" s="682"/>
      <c r="TJF372" s="148"/>
      <c r="TJG372" s="148"/>
      <c r="TJH372" s="582"/>
      <c r="TJI372" s="584"/>
      <c r="TJJ372" s="584"/>
      <c r="TJK372" s="585"/>
      <c r="TJL372" s="586"/>
      <c r="TJM372" s="587"/>
      <c r="TJN372" s="682"/>
      <c r="TJO372" s="148"/>
      <c r="TJP372" s="148"/>
      <c r="TJQ372" s="582"/>
      <c r="TJR372" s="584"/>
      <c r="TJS372" s="584"/>
      <c r="TJT372" s="585"/>
      <c r="TJU372" s="586"/>
      <c r="TJV372" s="587"/>
      <c r="TJW372" s="682"/>
      <c r="TJX372" s="148"/>
      <c r="TJY372" s="148"/>
      <c r="TJZ372" s="582"/>
      <c r="TKA372" s="584"/>
      <c r="TKB372" s="584"/>
      <c r="TKC372" s="585"/>
      <c r="TKD372" s="586"/>
      <c r="TKE372" s="587"/>
      <c r="TKF372" s="682"/>
      <c r="TKG372" s="148"/>
      <c r="TKH372" s="148"/>
      <c r="TKI372" s="582"/>
      <c r="TKJ372" s="584"/>
      <c r="TKK372" s="584"/>
      <c r="TKL372" s="585"/>
      <c r="TKM372" s="586"/>
      <c r="TKN372" s="587"/>
      <c r="TKO372" s="682"/>
      <c r="TKP372" s="148"/>
      <c r="TKQ372" s="148"/>
      <c r="TKR372" s="582"/>
      <c r="TKS372" s="584"/>
      <c r="TKT372" s="584"/>
      <c r="TKU372" s="585"/>
      <c r="TKV372" s="586"/>
      <c r="TKW372" s="587"/>
      <c r="TKX372" s="682"/>
      <c r="TKY372" s="148"/>
      <c r="TKZ372" s="148"/>
      <c r="TLA372" s="582"/>
      <c r="TLB372" s="584"/>
      <c r="TLC372" s="584"/>
      <c r="TLD372" s="585"/>
      <c r="TLE372" s="586"/>
      <c r="TLF372" s="587"/>
      <c r="TLG372" s="682"/>
      <c r="TLH372" s="148"/>
      <c r="TLI372" s="148"/>
      <c r="TLJ372" s="582"/>
      <c r="TLK372" s="584"/>
      <c r="TLL372" s="584"/>
      <c r="TLM372" s="585"/>
      <c r="TLN372" s="586"/>
      <c r="TLO372" s="587"/>
      <c r="TLP372" s="682"/>
      <c r="TLQ372" s="148"/>
      <c r="TLR372" s="148"/>
      <c r="TLS372" s="582"/>
      <c r="TLT372" s="584"/>
      <c r="TLU372" s="584"/>
      <c r="TLV372" s="585"/>
      <c r="TLW372" s="586"/>
      <c r="TLX372" s="587"/>
      <c r="TLY372" s="682"/>
      <c r="TLZ372" s="148"/>
      <c r="TMA372" s="148"/>
      <c r="TMB372" s="582"/>
      <c r="TMC372" s="584"/>
      <c r="TMD372" s="584"/>
      <c r="TME372" s="585"/>
      <c r="TMF372" s="586"/>
      <c r="TMG372" s="587"/>
      <c r="TMH372" s="682"/>
      <c r="TMI372" s="148"/>
      <c r="TMJ372" s="148"/>
      <c r="TMK372" s="582"/>
      <c r="TML372" s="584"/>
      <c r="TMM372" s="584"/>
      <c r="TMN372" s="585"/>
      <c r="TMO372" s="586"/>
      <c r="TMP372" s="587"/>
      <c r="TMQ372" s="682"/>
      <c r="TMR372" s="148"/>
      <c r="TMS372" s="148"/>
      <c r="TMT372" s="582"/>
      <c r="TMU372" s="584"/>
      <c r="TMV372" s="584"/>
      <c r="TMW372" s="585"/>
      <c r="TMX372" s="586"/>
      <c r="TMY372" s="587"/>
      <c r="TMZ372" s="682"/>
      <c r="TNA372" s="148"/>
      <c r="TNB372" s="148"/>
      <c r="TNC372" s="582"/>
      <c r="TND372" s="584"/>
      <c r="TNE372" s="584"/>
      <c r="TNF372" s="585"/>
      <c r="TNG372" s="586"/>
      <c r="TNH372" s="587"/>
      <c r="TNI372" s="682"/>
      <c r="TNJ372" s="148"/>
      <c r="TNK372" s="148"/>
      <c r="TNL372" s="582"/>
      <c r="TNM372" s="584"/>
      <c r="TNN372" s="584"/>
      <c r="TNO372" s="585"/>
      <c r="TNP372" s="586"/>
      <c r="TNQ372" s="587"/>
      <c r="TNR372" s="682"/>
      <c r="TNS372" s="148"/>
      <c r="TNT372" s="148"/>
      <c r="TNU372" s="582"/>
      <c r="TNV372" s="584"/>
      <c r="TNW372" s="584"/>
      <c r="TNX372" s="585"/>
      <c r="TNY372" s="586"/>
      <c r="TNZ372" s="587"/>
      <c r="TOA372" s="682"/>
      <c r="TOB372" s="148"/>
      <c r="TOC372" s="148"/>
      <c r="TOD372" s="582"/>
      <c r="TOE372" s="584"/>
      <c r="TOF372" s="584"/>
      <c r="TOG372" s="585"/>
      <c r="TOH372" s="586"/>
      <c r="TOI372" s="587"/>
      <c r="TOJ372" s="682"/>
      <c r="TOK372" s="148"/>
      <c r="TOL372" s="148"/>
      <c r="TOM372" s="582"/>
      <c r="TON372" s="584"/>
      <c r="TOO372" s="584"/>
      <c r="TOP372" s="585"/>
      <c r="TOQ372" s="586"/>
      <c r="TOR372" s="587"/>
      <c r="TOS372" s="682"/>
      <c r="TOT372" s="148"/>
      <c r="TOU372" s="148"/>
      <c r="TOV372" s="582"/>
      <c r="TOW372" s="584"/>
      <c r="TOX372" s="584"/>
      <c r="TOY372" s="585"/>
      <c r="TOZ372" s="586"/>
      <c r="TPA372" s="587"/>
      <c r="TPB372" s="682"/>
      <c r="TPC372" s="148"/>
      <c r="TPD372" s="148"/>
      <c r="TPE372" s="582"/>
      <c r="TPF372" s="584"/>
      <c r="TPG372" s="584"/>
      <c r="TPH372" s="585"/>
      <c r="TPI372" s="586"/>
      <c r="TPJ372" s="587"/>
      <c r="TPK372" s="682"/>
      <c r="TPL372" s="148"/>
      <c r="TPM372" s="148"/>
      <c r="TPN372" s="582"/>
      <c r="TPO372" s="584"/>
      <c r="TPP372" s="584"/>
      <c r="TPQ372" s="585"/>
      <c r="TPR372" s="586"/>
      <c r="TPS372" s="587"/>
      <c r="TPT372" s="682"/>
      <c r="TPU372" s="148"/>
      <c r="TPV372" s="148"/>
      <c r="TPW372" s="582"/>
      <c r="TPX372" s="584"/>
      <c r="TPY372" s="584"/>
      <c r="TPZ372" s="585"/>
      <c r="TQA372" s="586"/>
      <c r="TQB372" s="587"/>
      <c r="TQC372" s="682"/>
      <c r="TQD372" s="148"/>
      <c r="TQE372" s="148"/>
      <c r="TQF372" s="582"/>
      <c r="TQG372" s="584"/>
      <c r="TQH372" s="584"/>
      <c r="TQI372" s="585"/>
      <c r="TQJ372" s="586"/>
      <c r="TQK372" s="587"/>
      <c r="TQL372" s="682"/>
      <c r="TQM372" s="148"/>
      <c r="TQN372" s="148"/>
      <c r="TQO372" s="582"/>
      <c r="TQP372" s="584"/>
      <c r="TQQ372" s="584"/>
      <c r="TQR372" s="585"/>
      <c r="TQS372" s="586"/>
      <c r="TQT372" s="587"/>
      <c r="TQU372" s="682"/>
      <c r="TQV372" s="148"/>
      <c r="TQW372" s="148"/>
      <c r="TQX372" s="582"/>
      <c r="TQY372" s="584"/>
      <c r="TQZ372" s="584"/>
      <c r="TRA372" s="585"/>
      <c r="TRB372" s="586"/>
      <c r="TRC372" s="587"/>
      <c r="TRD372" s="682"/>
      <c r="TRE372" s="148"/>
      <c r="TRF372" s="148"/>
      <c r="TRG372" s="582"/>
      <c r="TRH372" s="584"/>
      <c r="TRI372" s="584"/>
      <c r="TRJ372" s="585"/>
      <c r="TRK372" s="586"/>
      <c r="TRL372" s="587"/>
      <c r="TRM372" s="682"/>
      <c r="TRN372" s="148"/>
      <c r="TRO372" s="148"/>
      <c r="TRP372" s="582"/>
      <c r="TRQ372" s="584"/>
      <c r="TRR372" s="584"/>
      <c r="TRS372" s="585"/>
      <c r="TRT372" s="586"/>
      <c r="TRU372" s="587"/>
      <c r="TRV372" s="682"/>
      <c r="TRW372" s="148"/>
      <c r="TRX372" s="148"/>
      <c r="TRY372" s="582"/>
      <c r="TRZ372" s="584"/>
      <c r="TSA372" s="584"/>
      <c r="TSB372" s="585"/>
      <c r="TSC372" s="586"/>
      <c r="TSD372" s="587"/>
      <c r="TSE372" s="682"/>
      <c r="TSF372" s="148"/>
      <c r="TSG372" s="148"/>
      <c r="TSH372" s="582"/>
      <c r="TSI372" s="584"/>
      <c r="TSJ372" s="584"/>
      <c r="TSK372" s="585"/>
      <c r="TSL372" s="586"/>
      <c r="TSM372" s="587"/>
      <c r="TSN372" s="682"/>
      <c r="TSO372" s="148"/>
      <c r="TSP372" s="148"/>
      <c r="TSQ372" s="582"/>
      <c r="TSR372" s="584"/>
      <c r="TSS372" s="584"/>
      <c r="TST372" s="585"/>
      <c r="TSU372" s="586"/>
      <c r="TSV372" s="587"/>
      <c r="TSW372" s="682"/>
      <c r="TSX372" s="148"/>
      <c r="TSY372" s="148"/>
      <c r="TSZ372" s="582"/>
      <c r="TTA372" s="584"/>
      <c r="TTB372" s="584"/>
      <c r="TTC372" s="585"/>
      <c r="TTD372" s="586"/>
      <c r="TTE372" s="587"/>
      <c r="TTF372" s="682"/>
      <c r="TTG372" s="148"/>
      <c r="TTH372" s="148"/>
      <c r="TTI372" s="582"/>
      <c r="TTJ372" s="584"/>
      <c r="TTK372" s="584"/>
      <c r="TTL372" s="585"/>
      <c r="TTM372" s="586"/>
      <c r="TTN372" s="587"/>
      <c r="TTO372" s="682"/>
      <c r="TTP372" s="148"/>
      <c r="TTQ372" s="148"/>
      <c r="TTR372" s="582"/>
      <c r="TTS372" s="584"/>
      <c r="TTT372" s="584"/>
      <c r="TTU372" s="585"/>
      <c r="TTV372" s="586"/>
      <c r="TTW372" s="587"/>
      <c r="TTX372" s="682"/>
      <c r="TTY372" s="148"/>
      <c r="TTZ372" s="148"/>
      <c r="TUA372" s="582"/>
      <c r="TUB372" s="584"/>
      <c r="TUC372" s="584"/>
      <c r="TUD372" s="585"/>
      <c r="TUE372" s="586"/>
      <c r="TUF372" s="587"/>
      <c r="TUG372" s="682"/>
      <c r="TUH372" s="148"/>
      <c r="TUI372" s="148"/>
      <c r="TUJ372" s="582"/>
      <c r="TUK372" s="584"/>
      <c r="TUL372" s="584"/>
      <c r="TUM372" s="585"/>
      <c r="TUN372" s="586"/>
      <c r="TUO372" s="587"/>
      <c r="TUP372" s="682"/>
      <c r="TUQ372" s="148"/>
      <c r="TUR372" s="148"/>
      <c r="TUS372" s="582"/>
      <c r="TUT372" s="584"/>
      <c r="TUU372" s="584"/>
      <c r="TUV372" s="585"/>
      <c r="TUW372" s="586"/>
      <c r="TUX372" s="587"/>
      <c r="TUY372" s="682"/>
      <c r="TUZ372" s="148"/>
      <c r="TVA372" s="148"/>
      <c r="TVB372" s="582"/>
      <c r="TVC372" s="584"/>
      <c r="TVD372" s="584"/>
      <c r="TVE372" s="585"/>
      <c r="TVF372" s="586"/>
      <c r="TVG372" s="587"/>
      <c r="TVH372" s="682"/>
      <c r="TVI372" s="148"/>
      <c r="TVJ372" s="148"/>
      <c r="TVK372" s="582"/>
      <c r="TVL372" s="584"/>
      <c r="TVM372" s="584"/>
      <c r="TVN372" s="585"/>
      <c r="TVO372" s="586"/>
      <c r="TVP372" s="587"/>
      <c r="TVQ372" s="682"/>
      <c r="TVR372" s="148"/>
      <c r="TVS372" s="148"/>
      <c r="TVT372" s="582"/>
      <c r="TVU372" s="584"/>
      <c r="TVV372" s="584"/>
      <c r="TVW372" s="585"/>
      <c r="TVX372" s="586"/>
      <c r="TVY372" s="587"/>
      <c r="TVZ372" s="682"/>
      <c r="TWA372" s="148"/>
      <c r="TWB372" s="148"/>
      <c r="TWC372" s="582"/>
      <c r="TWD372" s="584"/>
      <c r="TWE372" s="584"/>
      <c r="TWF372" s="585"/>
      <c r="TWG372" s="586"/>
      <c r="TWH372" s="587"/>
      <c r="TWI372" s="682"/>
      <c r="TWJ372" s="148"/>
      <c r="TWK372" s="148"/>
      <c r="TWL372" s="582"/>
      <c r="TWM372" s="584"/>
      <c r="TWN372" s="584"/>
      <c r="TWO372" s="585"/>
      <c r="TWP372" s="586"/>
      <c r="TWQ372" s="587"/>
      <c r="TWR372" s="682"/>
      <c r="TWS372" s="148"/>
      <c r="TWT372" s="148"/>
      <c r="TWU372" s="582"/>
      <c r="TWV372" s="584"/>
      <c r="TWW372" s="584"/>
      <c r="TWX372" s="585"/>
      <c r="TWY372" s="586"/>
      <c r="TWZ372" s="587"/>
      <c r="TXA372" s="682"/>
      <c r="TXB372" s="148"/>
      <c r="TXC372" s="148"/>
      <c r="TXD372" s="582"/>
      <c r="TXE372" s="584"/>
      <c r="TXF372" s="584"/>
      <c r="TXG372" s="585"/>
      <c r="TXH372" s="586"/>
      <c r="TXI372" s="587"/>
      <c r="TXJ372" s="682"/>
      <c r="TXK372" s="148"/>
      <c r="TXL372" s="148"/>
      <c r="TXM372" s="582"/>
      <c r="TXN372" s="584"/>
      <c r="TXO372" s="584"/>
      <c r="TXP372" s="585"/>
      <c r="TXQ372" s="586"/>
      <c r="TXR372" s="587"/>
      <c r="TXS372" s="682"/>
      <c r="TXT372" s="148"/>
      <c r="TXU372" s="148"/>
      <c r="TXV372" s="582"/>
      <c r="TXW372" s="584"/>
      <c r="TXX372" s="584"/>
      <c r="TXY372" s="585"/>
      <c r="TXZ372" s="586"/>
      <c r="TYA372" s="587"/>
      <c r="TYB372" s="682"/>
      <c r="TYC372" s="148"/>
      <c r="TYD372" s="148"/>
      <c r="TYE372" s="582"/>
      <c r="TYF372" s="584"/>
      <c r="TYG372" s="584"/>
      <c r="TYH372" s="585"/>
      <c r="TYI372" s="586"/>
      <c r="TYJ372" s="587"/>
      <c r="TYK372" s="682"/>
      <c r="TYL372" s="148"/>
      <c r="TYM372" s="148"/>
      <c r="TYN372" s="582"/>
      <c r="TYO372" s="584"/>
      <c r="TYP372" s="584"/>
      <c r="TYQ372" s="585"/>
      <c r="TYR372" s="586"/>
      <c r="TYS372" s="587"/>
      <c r="TYT372" s="682"/>
      <c r="TYU372" s="148"/>
      <c r="TYV372" s="148"/>
      <c r="TYW372" s="582"/>
      <c r="TYX372" s="584"/>
      <c r="TYY372" s="584"/>
      <c r="TYZ372" s="585"/>
      <c r="TZA372" s="586"/>
      <c r="TZB372" s="587"/>
      <c r="TZC372" s="682"/>
      <c r="TZD372" s="148"/>
      <c r="TZE372" s="148"/>
      <c r="TZF372" s="582"/>
      <c r="TZG372" s="584"/>
      <c r="TZH372" s="584"/>
      <c r="TZI372" s="585"/>
      <c r="TZJ372" s="586"/>
      <c r="TZK372" s="587"/>
      <c r="TZL372" s="682"/>
      <c r="TZM372" s="148"/>
      <c r="TZN372" s="148"/>
      <c r="TZO372" s="582"/>
      <c r="TZP372" s="584"/>
      <c r="TZQ372" s="584"/>
      <c r="TZR372" s="585"/>
      <c r="TZS372" s="586"/>
      <c r="TZT372" s="587"/>
      <c r="TZU372" s="682"/>
      <c r="TZV372" s="148"/>
      <c r="TZW372" s="148"/>
      <c r="TZX372" s="582"/>
      <c r="TZY372" s="584"/>
      <c r="TZZ372" s="584"/>
      <c r="UAA372" s="585"/>
      <c r="UAB372" s="586"/>
      <c r="UAC372" s="587"/>
      <c r="UAD372" s="682"/>
      <c r="UAE372" s="148"/>
      <c r="UAF372" s="148"/>
      <c r="UAG372" s="582"/>
      <c r="UAH372" s="584"/>
      <c r="UAI372" s="584"/>
      <c r="UAJ372" s="585"/>
      <c r="UAK372" s="586"/>
      <c r="UAL372" s="587"/>
      <c r="UAM372" s="682"/>
      <c r="UAN372" s="148"/>
      <c r="UAO372" s="148"/>
      <c r="UAP372" s="582"/>
      <c r="UAQ372" s="584"/>
      <c r="UAR372" s="584"/>
      <c r="UAS372" s="585"/>
      <c r="UAT372" s="586"/>
      <c r="UAU372" s="587"/>
      <c r="UAV372" s="682"/>
      <c r="UAW372" s="148"/>
      <c r="UAX372" s="148"/>
      <c r="UAY372" s="582"/>
      <c r="UAZ372" s="584"/>
      <c r="UBA372" s="584"/>
      <c r="UBB372" s="585"/>
      <c r="UBC372" s="586"/>
      <c r="UBD372" s="587"/>
      <c r="UBE372" s="682"/>
      <c r="UBF372" s="148"/>
      <c r="UBG372" s="148"/>
      <c r="UBH372" s="582"/>
      <c r="UBI372" s="584"/>
      <c r="UBJ372" s="584"/>
      <c r="UBK372" s="585"/>
      <c r="UBL372" s="586"/>
      <c r="UBM372" s="587"/>
      <c r="UBN372" s="682"/>
      <c r="UBO372" s="148"/>
      <c r="UBP372" s="148"/>
      <c r="UBQ372" s="582"/>
      <c r="UBR372" s="584"/>
      <c r="UBS372" s="584"/>
      <c r="UBT372" s="585"/>
      <c r="UBU372" s="586"/>
      <c r="UBV372" s="587"/>
      <c r="UBW372" s="682"/>
      <c r="UBX372" s="148"/>
      <c r="UBY372" s="148"/>
      <c r="UBZ372" s="582"/>
      <c r="UCA372" s="584"/>
      <c r="UCB372" s="584"/>
      <c r="UCC372" s="585"/>
      <c r="UCD372" s="586"/>
      <c r="UCE372" s="587"/>
      <c r="UCF372" s="682"/>
      <c r="UCG372" s="148"/>
      <c r="UCH372" s="148"/>
      <c r="UCI372" s="582"/>
      <c r="UCJ372" s="584"/>
      <c r="UCK372" s="584"/>
      <c r="UCL372" s="585"/>
      <c r="UCM372" s="586"/>
      <c r="UCN372" s="587"/>
      <c r="UCO372" s="682"/>
      <c r="UCP372" s="148"/>
      <c r="UCQ372" s="148"/>
      <c r="UCR372" s="582"/>
      <c r="UCS372" s="584"/>
      <c r="UCT372" s="584"/>
      <c r="UCU372" s="585"/>
      <c r="UCV372" s="586"/>
      <c r="UCW372" s="587"/>
      <c r="UCX372" s="682"/>
      <c r="UCY372" s="148"/>
      <c r="UCZ372" s="148"/>
      <c r="UDA372" s="582"/>
      <c r="UDB372" s="584"/>
      <c r="UDC372" s="584"/>
      <c r="UDD372" s="585"/>
      <c r="UDE372" s="586"/>
      <c r="UDF372" s="587"/>
      <c r="UDG372" s="682"/>
      <c r="UDH372" s="148"/>
      <c r="UDI372" s="148"/>
      <c r="UDJ372" s="582"/>
      <c r="UDK372" s="584"/>
      <c r="UDL372" s="584"/>
      <c r="UDM372" s="585"/>
      <c r="UDN372" s="586"/>
      <c r="UDO372" s="587"/>
      <c r="UDP372" s="682"/>
      <c r="UDQ372" s="148"/>
      <c r="UDR372" s="148"/>
      <c r="UDS372" s="582"/>
      <c r="UDT372" s="584"/>
      <c r="UDU372" s="584"/>
      <c r="UDV372" s="585"/>
      <c r="UDW372" s="586"/>
      <c r="UDX372" s="587"/>
      <c r="UDY372" s="682"/>
      <c r="UDZ372" s="148"/>
      <c r="UEA372" s="148"/>
      <c r="UEB372" s="582"/>
      <c r="UEC372" s="584"/>
      <c r="UED372" s="584"/>
      <c r="UEE372" s="585"/>
      <c r="UEF372" s="586"/>
      <c r="UEG372" s="587"/>
      <c r="UEH372" s="682"/>
      <c r="UEI372" s="148"/>
      <c r="UEJ372" s="148"/>
      <c r="UEK372" s="582"/>
      <c r="UEL372" s="584"/>
      <c r="UEM372" s="584"/>
      <c r="UEN372" s="585"/>
      <c r="UEO372" s="586"/>
      <c r="UEP372" s="587"/>
      <c r="UEQ372" s="682"/>
      <c r="UER372" s="148"/>
      <c r="UES372" s="148"/>
      <c r="UET372" s="582"/>
      <c r="UEU372" s="584"/>
      <c r="UEV372" s="584"/>
      <c r="UEW372" s="585"/>
      <c r="UEX372" s="586"/>
      <c r="UEY372" s="587"/>
      <c r="UEZ372" s="682"/>
      <c r="UFA372" s="148"/>
      <c r="UFB372" s="148"/>
      <c r="UFC372" s="582"/>
      <c r="UFD372" s="584"/>
      <c r="UFE372" s="584"/>
      <c r="UFF372" s="585"/>
      <c r="UFG372" s="586"/>
      <c r="UFH372" s="587"/>
      <c r="UFI372" s="682"/>
      <c r="UFJ372" s="148"/>
      <c r="UFK372" s="148"/>
      <c r="UFL372" s="582"/>
      <c r="UFM372" s="584"/>
      <c r="UFN372" s="584"/>
      <c r="UFO372" s="585"/>
      <c r="UFP372" s="586"/>
      <c r="UFQ372" s="587"/>
      <c r="UFR372" s="682"/>
      <c r="UFS372" s="148"/>
      <c r="UFT372" s="148"/>
      <c r="UFU372" s="582"/>
      <c r="UFV372" s="584"/>
      <c r="UFW372" s="584"/>
      <c r="UFX372" s="585"/>
      <c r="UFY372" s="586"/>
      <c r="UFZ372" s="587"/>
      <c r="UGA372" s="682"/>
      <c r="UGB372" s="148"/>
      <c r="UGC372" s="148"/>
      <c r="UGD372" s="582"/>
      <c r="UGE372" s="584"/>
      <c r="UGF372" s="584"/>
      <c r="UGG372" s="585"/>
      <c r="UGH372" s="586"/>
      <c r="UGI372" s="587"/>
      <c r="UGJ372" s="682"/>
      <c r="UGK372" s="148"/>
      <c r="UGL372" s="148"/>
      <c r="UGM372" s="582"/>
      <c r="UGN372" s="584"/>
      <c r="UGO372" s="584"/>
      <c r="UGP372" s="585"/>
      <c r="UGQ372" s="586"/>
      <c r="UGR372" s="587"/>
      <c r="UGS372" s="682"/>
      <c r="UGT372" s="148"/>
      <c r="UGU372" s="148"/>
      <c r="UGV372" s="582"/>
      <c r="UGW372" s="584"/>
      <c r="UGX372" s="584"/>
      <c r="UGY372" s="585"/>
      <c r="UGZ372" s="586"/>
      <c r="UHA372" s="587"/>
      <c r="UHB372" s="682"/>
      <c r="UHC372" s="148"/>
      <c r="UHD372" s="148"/>
      <c r="UHE372" s="582"/>
      <c r="UHF372" s="584"/>
      <c r="UHG372" s="584"/>
      <c r="UHH372" s="585"/>
      <c r="UHI372" s="586"/>
      <c r="UHJ372" s="587"/>
      <c r="UHK372" s="682"/>
      <c r="UHL372" s="148"/>
      <c r="UHM372" s="148"/>
      <c r="UHN372" s="582"/>
      <c r="UHO372" s="584"/>
      <c r="UHP372" s="584"/>
      <c r="UHQ372" s="585"/>
      <c r="UHR372" s="586"/>
      <c r="UHS372" s="587"/>
      <c r="UHT372" s="682"/>
      <c r="UHU372" s="148"/>
      <c r="UHV372" s="148"/>
      <c r="UHW372" s="582"/>
      <c r="UHX372" s="584"/>
      <c r="UHY372" s="584"/>
      <c r="UHZ372" s="585"/>
      <c r="UIA372" s="586"/>
      <c r="UIB372" s="587"/>
      <c r="UIC372" s="682"/>
      <c r="UID372" s="148"/>
      <c r="UIE372" s="148"/>
      <c r="UIF372" s="582"/>
      <c r="UIG372" s="584"/>
      <c r="UIH372" s="584"/>
      <c r="UII372" s="585"/>
      <c r="UIJ372" s="586"/>
      <c r="UIK372" s="587"/>
      <c r="UIL372" s="682"/>
      <c r="UIM372" s="148"/>
      <c r="UIN372" s="148"/>
      <c r="UIO372" s="582"/>
      <c r="UIP372" s="584"/>
      <c r="UIQ372" s="584"/>
      <c r="UIR372" s="585"/>
      <c r="UIS372" s="586"/>
      <c r="UIT372" s="587"/>
      <c r="UIU372" s="682"/>
      <c r="UIV372" s="148"/>
      <c r="UIW372" s="148"/>
      <c r="UIX372" s="582"/>
      <c r="UIY372" s="584"/>
      <c r="UIZ372" s="584"/>
      <c r="UJA372" s="585"/>
      <c r="UJB372" s="586"/>
      <c r="UJC372" s="587"/>
      <c r="UJD372" s="682"/>
      <c r="UJE372" s="148"/>
      <c r="UJF372" s="148"/>
      <c r="UJG372" s="582"/>
      <c r="UJH372" s="584"/>
      <c r="UJI372" s="584"/>
      <c r="UJJ372" s="585"/>
      <c r="UJK372" s="586"/>
      <c r="UJL372" s="587"/>
      <c r="UJM372" s="682"/>
      <c r="UJN372" s="148"/>
      <c r="UJO372" s="148"/>
      <c r="UJP372" s="582"/>
      <c r="UJQ372" s="584"/>
      <c r="UJR372" s="584"/>
      <c r="UJS372" s="585"/>
      <c r="UJT372" s="586"/>
      <c r="UJU372" s="587"/>
      <c r="UJV372" s="682"/>
      <c r="UJW372" s="148"/>
      <c r="UJX372" s="148"/>
      <c r="UJY372" s="582"/>
      <c r="UJZ372" s="584"/>
      <c r="UKA372" s="584"/>
      <c r="UKB372" s="585"/>
      <c r="UKC372" s="586"/>
      <c r="UKD372" s="587"/>
      <c r="UKE372" s="682"/>
      <c r="UKF372" s="148"/>
      <c r="UKG372" s="148"/>
      <c r="UKH372" s="582"/>
      <c r="UKI372" s="584"/>
      <c r="UKJ372" s="584"/>
      <c r="UKK372" s="585"/>
      <c r="UKL372" s="586"/>
      <c r="UKM372" s="587"/>
      <c r="UKN372" s="682"/>
      <c r="UKO372" s="148"/>
      <c r="UKP372" s="148"/>
      <c r="UKQ372" s="582"/>
      <c r="UKR372" s="584"/>
      <c r="UKS372" s="584"/>
      <c r="UKT372" s="585"/>
      <c r="UKU372" s="586"/>
      <c r="UKV372" s="587"/>
      <c r="UKW372" s="682"/>
      <c r="UKX372" s="148"/>
      <c r="UKY372" s="148"/>
      <c r="UKZ372" s="582"/>
      <c r="ULA372" s="584"/>
      <c r="ULB372" s="584"/>
      <c r="ULC372" s="585"/>
      <c r="ULD372" s="586"/>
      <c r="ULE372" s="587"/>
      <c r="ULF372" s="682"/>
      <c r="ULG372" s="148"/>
      <c r="ULH372" s="148"/>
      <c r="ULI372" s="582"/>
      <c r="ULJ372" s="584"/>
      <c r="ULK372" s="584"/>
      <c r="ULL372" s="585"/>
      <c r="ULM372" s="586"/>
      <c r="ULN372" s="587"/>
      <c r="ULO372" s="682"/>
      <c r="ULP372" s="148"/>
      <c r="ULQ372" s="148"/>
      <c r="ULR372" s="582"/>
      <c r="ULS372" s="584"/>
      <c r="ULT372" s="584"/>
      <c r="ULU372" s="585"/>
      <c r="ULV372" s="586"/>
      <c r="ULW372" s="587"/>
      <c r="ULX372" s="682"/>
      <c r="ULY372" s="148"/>
      <c r="ULZ372" s="148"/>
      <c r="UMA372" s="582"/>
      <c r="UMB372" s="584"/>
      <c r="UMC372" s="584"/>
      <c r="UMD372" s="585"/>
      <c r="UME372" s="586"/>
      <c r="UMF372" s="587"/>
      <c r="UMG372" s="682"/>
      <c r="UMH372" s="148"/>
      <c r="UMI372" s="148"/>
      <c r="UMJ372" s="582"/>
      <c r="UMK372" s="584"/>
      <c r="UML372" s="584"/>
      <c r="UMM372" s="585"/>
      <c r="UMN372" s="586"/>
      <c r="UMO372" s="587"/>
      <c r="UMP372" s="682"/>
      <c r="UMQ372" s="148"/>
      <c r="UMR372" s="148"/>
      <c r="UMS372" s="582"/>
      <c r="UMT372" s="584"/>
      <c r="UMU372" s="584"/>
      <c r="UMV372" s="585"/>
      <c r="UMW372" s="586"/>
      <c r="UMX372" s="587"/>
      <c r="UMY372" s="682"/>
      <c r="UMZ372" s="148"/>
      <c r="UNA372" s="148"/>
      <c r="UNB372" s="582"/>
      <c r="UNC372" s="584"/>
      <c r="UND372" s="584"/>
      <c r="UNE372" s="585"/>
      <c r="UNF372" s="586"/>
      <c r="UNG372" s="587"/>
      <c r="UNH372" s="682"/>
      <c r="UNI372" s="148"/>
      <c r="UNJ372" s="148"/>
      <c r="UNK372" s="582"/>
      <c r="UNL372" s="584"/>
      <c r="UNM372" s="584"/>
      <c r="UNN372" s="585"/>
      <c r="UNO372" s="586"/>
      <c r="UNP372" s="587"/>
      <c r="UNQ372" s="682"/>
      <c r="UNR372" s="148"/>
      <c r="UNS372" s="148"/>
      <c r="UNT372" s="582"/>
      <c r="UNU372" s="584"/>
      <c r="UNV372" s="584"/>
      <c r="UNW372" s="585"/>
      <c r="UNX372" s="586"/>
      <c r="UNY372" s="587"/>
      <c r="UNZ372" s="682"/>
      <c r="UOA372" s="148"/>
      <c r="UOB372" s="148"/>
      <c r="UOC372" s="582"/>
      <c r="UOD372" s="584"/>
      <c r="UOE372" s="584"/>
      <c r="UOF372" s="585"/>
      <c r="UOG372" s="586"/>
      <c r="UOH372" s="587"/>
      <c r="UOI372" s="682"/>
      <c r="UOJ372" s="148"/>
      <c r="UOK372" s="148"/>
      <c r="UOL372" s="582"/>
      <c r="UOM372" s="584"/>
      <c r="UON372" s="584"/>
      <c r="UOO372" s="585"/>
      <c r="UOP372" s="586"/>
      <c r="UOQ372" s="587"/>
      <c r="UOR372" s="682"/>
      <c r="UOS372" s="148"/>
      <c r="UOT372" s="148"/>
      <c r="UOU372" s="582"/>
      <c r="UOV372" s="584"/>
      <c r="UOW372" s="584"/>
      <c r="UOX372" s="585"/>
      <c r="UOY372" s="586"/>
      <c r="UOZ372" s="587"/>
      <c r="UPA372" s="682"/>
      <c r="UPB372" s="148"/>
      <c r="UPC372" s="148"/>
      <c r="UPD372" s="582"/>
      <c r="UPE372" s="584"/>
      <c r="UPF372" s="584"/>
      <c r="UPG372" s="585"/>
      <c r="UPH372" s="586"/>
      <c r="UPI372" s="587"/>
      <c r="UPJ372" s="682"/>
      <c r="UPK372" s="148"/>
      <c r="UPL372" s="148"/>
      <c r="UPM372" s="582"/>
      <c r="UPN372" s="584"/>
      <c r="UPO372" s="584"/>
      <c r="UPP372" s="585"/>
      <c r="UPQ372" s="586"/>
      <c r="UPR372" s="587"/>
      <c r="UPS372" s="682"/>
      <c r="UPT372" s="148"/>
      <c r="UPU372" s="148"/>
      <c r="UPV372" s="582"/>
      <c r="UPW372" s="584"/>
      <c r="UPX372" s="584"/>
      <c r="UPY372" s="585"/>
      <c r="UPZ372" s="586"/>
      <c r="UQA372" s="587"/>
      <c r="UQB372" s="682"/>
      <c r="UQC372" s="148"/>
      <c r="UQD372" s="148"/>
      <c r="UQE372" s="582"/>
      <c r="UQF372" s="584"/>
      <c r="UQG372" s="584"/>
      <c r="UQH372" s="585"/>
      <c r="UQI372" s="586"/>
      <c r="UQJ372" s="587"/>
      <c r="UQK372" s="682"/>
      <c r="UQL372" s="148"/>
      <c r="UQM372" s="148"/>
      <c r="UQN372" s="582"/>
      <c r="UQO372" s="584"/>
      <c r="UQP372" s="584"/>
      <c r="UQQ372" s="585"/>
      <c r="UQR372" s="586"/>
      <c r="UQS372" s="587"/>
      <c r="UQT372" s="682"/>
      <c r="UQU372" s="148"/>
      <c r="UQV372" s="148"/>
      <c r="UQW372" s="582"/>
      <c r="UQX372" s="584"/>
      <c r="UQY372" s="584"/>
      <c r="UQZ372" s="585"/>
      <c r="URA372" s="586"/>
      <c r="URB372" s="587"/>
      <c r="URC372" s="682"/>
      <c r="URD372" s="148"/>
      <c r="URE372" s="148"/>
      <c r="URF372" s="582"/>
      <c r="URG372" s="584"/>
      <c r="URH372" s="584"/>
      <c r="URI372" s="585"/>
      <c r="URJ372" s="586"/>
      <c r="URK372" s="587"/>
      <c r="URL372" s="682"/>
      <c r="URM372" s="148"/>
      <c r="URN372" s="148"/>
      <c r="URO372" s="582"/>
      <c r="URP372" s="584"/>
      <c r="URQ372" s="584"/>
      <c r="URR372" s="585"/>
      <c r="URS372" s="586"/>
      <c r="URT372" s="587"/>
      <c r="URU372" s="682"/>
      <c r="URV372" s="148"/>
      <c r="URW372" s="148"/>
      <c r="URX372" s="582"/>
      <c r="URY372" s="584"/>
      <c r="URZ372" s="584"/>
      <c r="USA372" s="585"/>
      <c r="USB372" s="586"/>
      <c r="USC372" s="587"/>
      <c r="USD372" s="682"/>
      <c r="USE372" s="148"/>
      <c r="USF372" s="148"/>
      <c r="USG372" s="582"/>
      <c r="USH372" s="584"/>
      <c r="USI372" s="584"/>
      <c r="USJ372" s="585"/>
      <c r="USK372" s="586"/>
      <c r="USL372" s="587"/>
      <c r="USM372" s="682"/>
      <c r="USN372" s="148"/>
      <c r="USO372" s="148"/>
      <c r="USP372" s="582"/>
      <c r="USQ372" s="584"/>
      <c r="USR372" s="584"/>
      <c r="USS372" s="585"/>
      <c r="UST372" s="586"/>
      <c r="USU372" s="587"/>
      <c r="USV372" s="682"/>
      <c r="USW372" s="148"/>
      <c r="USX372" s="148"/>
      <c r="USY372" s="582"/>
      <c r="USZ372" s="584"/>
      <c r="UTA372" s="584"/>
      <c r="UTB372" s="585"/>
      <c r="UTC372" s="586"/>
      <c r="UTD372" s="587"/>
      <c r="UTE372" s="682"/>
      <c r="UTF372" s="148"/>
      <c r="UTG372" s="148"/>
      <c r="UTH372" s="582"/>
      <c r="UTI372" s="584"/>
      <c r="UTJ372" s="584"/>
      <c r="UTK372" s="585"/>
      <c r="UTL372" s="586"/>
      <c r="UTM372" s="587"/>
      <c r="UTN372" s="682"/>
      <c r="UTO372" s="148"/>
      <c r="UTP372" s="148"/>
      <c r="UTQ372" s="582"/>
      <c r="UTR372" s="584"/>
      <c r="UTS372" s="584"/>
      <c r="UTT372" s="585"/>
      <c r="UTU372" s="586"/>
      <c r="UTV372" s="587"/>
      <c r="UTW372" s="682"/>
      <c r="UTX372" s="148"/>
      <c r="UTY372" s="148"/>
      <c r="UTZ372" s="582"/>
      <c r="UUA372" s="584"/>
      <c r="UUB372" s="584"/>
      <c r="UUC372" s="585"/>
      <c r="UUD372" s="586"/>
      <c r="UUE372" s="587"/>
      <c r="UUF372" s="682"/>
      <c r="UUG372" s="148"/>
      <c r="UUH372" s="148"/>
      <c r="UUI372" s="582"/>
      <c r="UUJ372" s="584"/>
      <c r="UUK372" s="584"/>
      <c r="UUL372" s="585"/>
      <c r="UUM372" s="586"/>
      <c r="UUN372" s="587"/>
      <c r="UUO372" s="682"/>
      <c r="UUP372" s="148"/>
      <c r="UUQ372" s="148"/>
      <c r="UUR372" s="582"/>
      <c r="UUS372" s="584"/>
      <c r="UUT372" s="584"/>
      <c r="UUU372" s="585"/>
      <c r="UUV372" s="586"/>
      <c r="UUW372" s="587"/>
      <c r="UUX372" s="682"/>
      <c r="UUY372" s="148"/>
      <c r="UUZ372" s="148"/>
      <c r="UVA372" s="582"/>
      <c r="UVB372" s="584"/>
      <c r="UVC372" s="584"/>
      <c r="UVD372" s="585"/>
      <c r="UVE372" s="586"/>
      <c r="UVF372" s="587"/>
      <c r="UVG372" s="682"/>
      <c r="UVH372" s="148"/>
      <c r="UVI372" s="148"/>
      <c r="UVJ372" s="582"/>
      <c r="UVK372" s="584"/>
      <c r="UVL372" s="584"/>
      <c r="UVM372" s="585"/>
      <c r="UVN372" s="586"/>
      <c r="UVO372" s="587"/>
      <c r="UVP372" s="682"/>
      <c r="UVQ372" s="148"/>
      <c r="UVR372" s="148"/>
      <c r="UVS372" s="582"/>
      <c r="UVT372" s="584"/>
      <c r="UVU372" s="584"/>
      <c r="UVV372" s="585"/>
      <c r="UVW372" s="586"/>
      <c r="UVX372" s="587"/>
      <c r="UVY372" s="682"/>
      <c r="UVZ372" s="148"/>
      <c r="UWA372" s="148"/>
      <c r="UWB372" s="582"/>
      <c r="UWC372" s="584"/>
      <c r="UWD372" s="584"/>
      <c r="UWE372" s="585"/>
      <c r="UWF372" s="586"/>
      <c r="UWG372" s="587"/>
      <c r="UWH372" s="682"/>
      <c r="UWI372" s="148"/>
      <c r="UWJ372" s="148"/>
      <c r="UWK372" s="582"/>
      <c r="UWL372" s="584"/>
      <c r="UWM372" s="584"/>
      <c r="UWN372" s="585"/>
      <c r="UWO372" s="586"/>
      <c r="UWP372" s="587"/>
      <c r="UWQ372" s="682"/>
      <c r="UWR372" s="148"/>
      <c r="UWS372" s="148"/>
      <c r="UWT372" s="582"/>
      <c r="UWU372" s="584"/>
      <c r="UWV372" s="584"/>
      <c r="UWW372" s="585"/>
      <c r="UWX372" s="586"/>
      <c r="UWY372" s="587"/>
      <c r="UWZ372" s="682"/>
      <c r="UXA372" s="148"/>
      <c r="UXB372" s="148"/>
      <c r="UXC372" s="582"/>
      <c r="UXD372" s="584"/>
      <c r="UXE372" s="584"/>
      <c r="UXF372" s="585"/>
      <c r="UXG372" s="586"/>
      <c r="UXH372" s="587"/>
      <c r="UXI372" s="682"/>
      <c r="UXJ372" s="148"/>
      <c r="UXK372" s="148"/>
      <c r="UXL372" s="582"/>
      <c r="UXM372" s="584"/>
      <c r="UXN372" s="584"/>
      <c r="UXO372" s="585"/>
      <c r="UXP372" s="586"/>
      <c r="UXQ372" s="587"/>
      <c r="UXR372" s="682"/>
      <c r="UXS372" s="148"/>
      <c r="UXT372" s="148"/>
      <c r="UXU372" s="582"/>
      <c r="UXV372" s="584"/>
      <c r="UXW372" s="584"/>
      <c r="UXX372" s="585"/>
      <c r="UXY372" s="586"/>
      <c r="UXZ372" s="587"/>
      <c r="UYA372" s="682"/>
      <c r="UYB372" s="148"/>
      <c r="UYC372" s="148"/>
      <c r="UYD372" s="582"/>
      <c r="UYE372" s="584"/>
      <c r="UYF372" s="584"/>
      <c r="UYG372" s="585"/>
      <c r="UYH372" s="586"/>
      <c r="UYI372" s="587"/>
      <c r="UYJ372" s="682"/>
      <c r="UYK372" s="148"/>
      <c r="UYL372" s="148"/>
      <c r="UYM372" s="582"/>
      <c r="UYN372" s="584"/>
      <c r="UYO372" s="584"/>
      <c r="UYP372" s="585"/>
      <c r="UYQ372" s="586"/>
      <c r="UYR372" s="587"/>
      <c r="UYS372" s="682"/>
      <c r="UYT372" s="148"/>
      <c r="UYU372" s="148"/>
      <c r="UYV372" s="582"/>
      <c r="UYW372" s="584"/>
      <c r="UYX372" s="584"/>
      <c r="UYY372" s="585"/>
      <c r="UYZ372" s="586"/>
      <c r="UZA372" s="587"/>
      <c r="UZB372" s="682"/>
      <c r="UZC372" s="148"/>
      <c r="UZD372" s="148"/>
      <c r="UZE372" s="582"/>
      <c r="UZF372" s="584"/>
      <c r="UZG372" s="584"/>
      <c r="UZH372" s="585"/>
      <c r="UZI372" s="586"/>
      <c r="UZJ372" s="587"/>
      <c r="UZK372" s="682"/>
      <c r="UZL372" s="148"/>
      <c r="UZM372" s="148"/>
      <c r="UZN372" s="582"/>
      <c r="UZO372" s="584"/>
      <c r="UZP372" s="584"/>
      <c r="UZQ372" s="585"/>
      <c r="UZR372" s="586"/>
      <c r="UZS372" s="587"/>
      <c r="UZT372" s="682"/>
      <c r="UZU372" s="148"/>
      <c r="UZV372" s="148"/>
      <c r="UZW372" s="582"/>
      <c r="UZX372" s="584"/>
      <c r="UZY372" s="584"/>
      <c r="UZZ372" s="585"/>
      <c r="VAA372" s="586"/>
      <c r="VAB372" s="587"/>
      <c r="VAC372" s="682"/>
      <c r="VAD372" s="148"/>
      <c r="VAE372" s="148"/>
      <c r="VAF372" s="582"/>
      <c r="VAG372" s="584"/>
      <c r="VAH372" s="584"/>
      <c r="VAI372" s="585"/>
      <c r="VAJ372" s="586"/>
      <c r="VAK372" s="587"/>
      <c r="VAL372" s="682"/>
      <c r="VAM372" s="148"/>
      <c r="VAN372" s="148"/>
      <c r="VAO372" s="582"/>
      <c r="VAP372" s="584"/>
      <c r="VAQ372" s="584"/>
      <c r="VAR372" s="585"/>
      <c r="VAS372" s="586"/>
      <c r="VAT372" s="587"/>
      <c r="VAU372" s="682"/>
      <c r="VAV372" s="148"/>
      <c r="VAW372" s="148"/>
      <c r="VAX372" s="582"/>
      <c r="VAY372" s="584"/>
      <c r="VAZ372" s="584"/>
      <c r="VBA372" s="585"/>
      <c r="VBB372" s="586"/>
      <c r="VBC372" s="587"/>
      <c r="VBD372" s="682"/>
      <c r="VBE372" s="148"/>
      <c r="VBF372" s="148"/>
      <c r="VBG372" s="582"/>
      <c r="VBH372" s="584"/>
      <c r="VBI372" s="584"/>
      <c r="VBJ372" s="585"/>
      <c r="VBK372" s="586"/>
      <c r="VBL372" s="587"/>
      <c r="VBM372" s="682"/>
      <c r="VBN372" s="148"/>
      <c r="VBO372" s="148"/>
      <c r="VBP372" s="582"/>
      <c r="VBQ372" s="584"/>
      <c r="VBR372" s="584"/>
      <c r="VBS372" s="585"/>
      <c r="VBT372" s="586"/>
      <c r="VBU372" s="587"/>
      <c r="VBV372" s="682"/>
      <c r="VBW372" s="148"/>
      <c r="VBX372" s="148"/>
      <c r="VBY372" s="582"/>
      <c r="VBZ372" s="584"/>
      <c r="VCA372" s="584"/>
      <c r="VCB372" s="585"/>
      <c r="VCC372" s="586"/>
      <c r="VCD372" s="587"/>
      <c r="VCE372" s="682"/>
      <c r="VCF372" s="148"/>
      <c r="VCG372" s="148"/>
      <c r="VCH372" s="582"/>
      <c r="VCI372" s="584"/>
      <c r="VCJ372" s="584"/>
      <c r="VCK372" s="585"/>
      <c r="VCL372" s="586"/>
      <c r="VCM372" s="587"/>
      <c r="VCN372" s="682"/>
      <c r="VCO372" s="148"/>
      <c r="VCP372" s="148"/>
      <c r="VCQ372" s="582"/>
      <c r="VCR372" s="584"/>
      <c r="VCS372" s="584"/>
      <c r="VCT372" s="585"/>
      <c r="VCU372" s="586"/>
      <c r="VCV372" s="587"/>
      <c r="VCW372" s="682"/>
      <c r="VCX372" s="148"/>
      <c r="VCY372" s="148"/>
      <c r="VCZ372" s="582"/>
      <c r="VDA372" s="584"/>
      <c r="VDB372" s="584"/>
      <c r="VDC372" s="585"/>
      <c r="VDD372" s="586"/>
      <c r="VDE372" s="587"/>
      <c r="VDF372" s="682"/>
      <c r="VDG372" s="148"/>
      <c r="VDH372" s="148"/>
      <c r="VDI372" s="582"/>
      <c r="VDJ372" s="584"/>
      <c r="VDK372" s="584"/>
      <c r="VDL372" s="585"/>
      <c r="VDM372" s="586"/>
      <c r="VDN372" s="587"/>
      <c r="VDO372" s="682"/>
      <c r="VDP372" s="148"/>
      <c r="VDQ372" s="148"/>
      <c r="VDR372" s="582"/>
      <c r="VDS372" s="584"/>
      <c r="VDT372" s="584"/>
      <c r="VDU372" s="585"/>
      <c r="VDV372" s="586"/>
      <c r="VDW372" s="587"/>
      <c r="VDX372" s="682"/>
      <c r="VDY372" s="148"/>
      <c r="VDZ372" s="148"/>
      <c r="VEA372" s="582"/>
      <c r="VEB372" s="584"/>
      <c r="VEC372" s="584"/>
      <c r="VED372" s="585"/>
      <c r="VEE372" s="586"/>
      <c r="VEF372" s="587"/>
      <c r="VEG372" s="682"/>
      <c r="VEH372" s="148"/>
      <c r="VEI372" s="148"/>
      <c r="VEJ372" s="582"/>
      <c r="VEK372" s="584"/>
      <c r="VEL372" s="584"/>
      <c r="VEM372" s="585"/>
      <c r="VEN372" s="586"/>
      <c r="VEO372" s="587"/>
      <c r="VEP372" s="682"/>
      <c r="VEQ372" s="148"/>
      <c r="VER372" s="148"/>
      <c r="VES372" s="582"/>
      <c r="VET372" s="584"/>
      <c r="VEU372" s="584"/>
      <c r="VEV372" s="585"/>
      <c r="VEW372" s="586"/>
      <c r="VEX372" s="587"/>
      <c r="VEY372" s="682"/>
      <c r="VEZ372" s="148"/>
      <c r="VFA372" s="148"/>
      <c r="VFB372" s="582"/>
      <c r="VFC372" s="584"/>
      <c r="VFD372" s="584"/>
      <c r="VFE372" s="585"/>
      <c r="VFF372" s="586"/>
      <c r="VFG372" s="587"/>
      <c r="VFH372" s="682"/>
      <c r="VFI372" s="148"/>
      <c r="VFJ372" s="148"/>
      <c r="VFK372" s="582"/>
      <c r="VFL372" s="584"/>
      <c r="VFM372" s="584"/>
      <c r="VFN372" s="585"/>
      <c r="VFO372" s="586"/>
      <c r="VFP372" s="587"/>
      <c r="VFQ372" s="682"/>
      <c r="VFR372" s="148"/>
      <c r="VFS372" s="148"/>
      <c r="VFT372" s="582"/>
      <c r="VFU372" s="584"/>
      <c r="VFV372" s="584"/>
      <c r="VFW372" s="585"/>
      <c r="VFX372" s="586"/>
      <c r="VFY372" s="587"/>
      <c r="VFZ372" s="682"/>
      <c r="VGA372" s="148"/>
      <c r="VGB372" s="148"/>
      <c r="VGC372" s="582"/>
      <c r="VGD372" s="584"/>
      <c r="VGE372" s="584"/>
      <c r="VGF372" s="585"/>
      <c r="VGG372" s="586"/>
      <c r="VGH372" s="587"/>
      <c r="VGI372" s="682"/>
      <c r="VGJ372" s="148"/>
      <c r="VGK372" s="148"/>
      <c r="VGL372" s="582"/>
      <c r="VGM372" s="584"/>
      <c r="VGN372" s="584"/>
      <c r="VGO372" s="585"/>
      <c r="VGP372" s="586"/>
      <c r="VGQ372" s="587"/>
      <c r="VGR372" s="682"/>
      <c r="VGS372" s="148"/>
      <c r="VGT372" s="148"/>
      <c r="VGU372" s="582"/>
      <c r="VGV372" s="584"/>
      <c r="VGW372" s="584"/>
      <c r="VGX372" s="585"/>
      <c r="VGY372" s="586"/>
      <c r="VGZ372" s="587"/>
      <c r="VHA372" s="682"/>
      <c r="VHB372" s="148"/>
      <c r="VHC372" s="148"/>
      <c r="VHD372" s="582"/>
      <c r="VHE372" s="584"/>
      <c r="VHF372" s="584"/>
      <c r="VHG372" s="585"/>
      <c r="VHH372" s="586"/>
      <c r="VHI372" s="587"/>
      <c r="VHJ372" s="682"/>
      <c r="VHK372" s="148"/>
      <c r="VHL372" s="148"/>
      <c r="VHM372" s="582"/>
      <c r="VHN372" s="584"/>
      <c r="VHO372" s="584"/>
      <c r="VHP372" s="585"/>
      <c r="VHQ372" s="586"/>
      <c r="VHR372" s="587"/>
      <c r="VHS372" s="682"/>
      <c r="VHT372" s="148"/>
      <c r="VHU372" s="148"/>
      <c r="VHV372" s="582"/>
      <c r="VHW372" s="584"/>
      <c r="VHX372" s="584"/>
      <c r="VHY372" s="585"/>
      <c r="VHZ372" s="586"/>
      <c r="VIA372" s="587"/>
      <c r="VIB372" s="682"/>
      <c r="VIC372" s="148"/>
      <c r="VID372" s="148"/>
      <c r="VIE372" s="582"/>
      <c r="VIF372" s="584"/>
      <c r="VIG372" s="584"/>
      <c r="VIH372" s="585"/>
      <c r="VII372" s="586"/>
      <c r="VIJ372" s="587"/>
      <c r="VIK372" s="682"/>
      <c r="VIL372" s="148"/>
      <c r="VIM372" s="148"/>
      <c r="VIN372" s="582"/>
      <c r="VIO372" s="584"/>
      <c r="VIP372" s="584"/>
      <c r="VIQ372" s="585"/>
      <c r="VIR372" s="586"/>
      <c r="VIS372" s="587"/>
      <c r="VIT372" s="682"/>
      <c r="VIU372" s="148"/>
      <c r="VIV372" s="148"/>
      <c r="VIW372" s="582"/>
      <c r="VIX372" s="584"/>
      <c r="VIY372" s="584"/>
      <c r="VIZ372" s="585"/>
      <c r="VJA372" s="586"/>
      <c r="VJB372" s="587"/>
      <c r="VJC372" s="682"/>
      <c r="VJD372" s="148"/>
      <c r="VJE372" s="148"/>
      <c r="VJF372" s="582"/>
      <c r="VJG372" s="584"/>
      <c r="VJH372" s="584"/>
      <c r="VJI372" s="585"/>
      <c r="VJJ372" s="586"/>
      <c r="VJK372" s="587"/>
      <c r="VJL372" s="682"/>
      <c r="VJM372" s="148"/>
      <c r="VJN372" s="148"/>
      <c r="VJO372" s="582"/>
      <c r="VJP372" s="584"/>
      <c r="VJQ372" s="584"/>
      <c r="VJR372" s="585"/>
      <c r="VJS372" s="586"/>
      <c r="VJT372" s="587"/>
      <c r="VJU372" s="682"/>
      <c r="VJV372" s="148"/>
      <c r="VJW372" s="148"/>
      <c r="VJX372" s="582"/>
      <c r="VJY372" s="584"/>
      <c r="VJZ372" s="584"/>
      <c r="VKA372" s="585"/>
      <c r="VKB372" s="586"/>
      <c r="VKC372" s="587"/>
      <c r="VKD372" s="682"/>
      <c r="VKE372" s="148"/>
      <c r="VKF372" s="148"/>
      <c r="VKG372" s="582"/>
      <c r="VKH372" s="584"/>
      <c r="VKI372" s="584"/>
      <c r="VKJ372" s="585"/>
      <c r="VKK372" s="586"/>
      <c r="VKL372" s="587"/>
      <c r="VKM372" s="682"/>
      <c r="VKN372" s="148"/>
      <c r="VKO372" s="148"/>
      <c r="VKP372" s="582"/>
      <c r="VKQ372" s="584"/>
      <c r="VKR372" s="584"/>
      <c r="VKS372" s="585"/>
      <c r="VKT372" s="586"/>
      <c r="VKU372" s="587"/>
      <c r="VKV372" s="682"/>
      <c r="VKW372" s="148"/>
      <c r="VKX372" s="148"/>
      <c r="VKY372" s="582"/>
      <c r="VKZ372" s="584"/>
      <c r="VLA372" s="584"/>
      <c r="VLB372" s="585"/>
      <c r="VLC372" s="586"/>
      <c r="VLD372" s="587"/>
      <c r="VLE372" s="682"/>
      <c r="VLF372" s="148"/>
      <c r="VLG372" s="148"/>
      <c r="VLH372" s="582"/>
      <c r="VLI372" s="584"/>
      <c r="VLJ372" s="584"/>
      <c r="VLK372" s="585"/>
      <c r="VLL372" s="586"/>
      <c r="VLM372" s="587"/>
      <c r="VLN372" s="682"/>
      <c r="VLO372" s="148"/>
      <c r="VLP372" s="148"/>
      <c r="VLQ372" s="582"/>
      <c r="VLR372" s="584"/>
      <c r="VLS372" s="584"/>
      <c r="VLT372" s="585"/>
      <c r="VLU372" s="586"/>
      <c r="VLV372" s="587"/>
      <c r="VLW372" s="682"/>
      <c r="VLX372" s="148"/>
      <c r="VLY372" s="148"/>
      <c r="VLZ372" s="582"/>
      <c r="VMA372" s="584"/>
      <c r="VMB372" s="584"/>
      <c r="VMC372" s="585"/>
      <c r="VMD372" s="586"/>
      <c r="VME372" s="587"/>
      <c r="VMF372" s="682"/>
      <c r="VMG372" s="148"/>
      <c r="VMH372" s="148"/>
      <c r="VMI372" s="582"/>
      <c r="VMJ372" s="584"/>
      <c r="VMK372" s="584"/>
      <c r="VML372" s="585"/>
      <c r="VMM372" s="586"/>
      <c r="VMN372" s="587"/>
      <c r="VMO372" s="682"/>
      <c r="VMP372" s="148"/>
      <c r="VMQ372" s="148"/>
      <c r="VMR372" s="582"/>
      <c r="VMS372" s="584"/>
      <c r="VMT372" s="584"/>
      <c r="VMU372" s="585"/>
      <c r="VMV372" s="586"/>
      <c r="VMW372" s="587"/>
      <c r="VMX372" s="682"/>
      <c r="VMY372" s="148"/>
      <c r="VMZ372" s="148"/>
      <c r="VNA372" s="582"/>
      <c r="VNB372" s="584"/>
      <c r="VNC372" s="584"/>
      <c r="VND372" s="585"/>
      <c r="VNE372" s="586"/>
      <c r="VNF372" s="587"/>
      <c r="VNG372" s="682"/>
      <c r="VNH372" s="148"/>
      <c r="VNI372" s="148"/>
      <c r="VNJ372" s="582"/>
      <c r="VNK372" s="584"/>
      <c r="VNL372" s="584"/>
      <c r="VNM372" s="585"/>
      <c r="VNN372" s="586"/>
      <c r="VNO372" s="587"/>
      <c r="VNP372" s="682"/>
      <c r="VNQ372" s="148"/>
      <c r="VNR372" s="148"/>
      <c r="VNS372" s="582"/>
      <c r="VNT372" s="584"/>
      <c r="VNU372" s="584"/>
      <c r="VNV372" s="585"/>
      <c r="VNW372" s="586"/>
      <c r="VNX372" s="587"/>
      <c r="VNY372" s="682"/>
      <c r="VNZ372" s="148"/>
      <c r="VOA372" s="148"/>
      <c r="VOB372" s="582"/>
      <c r="VOC372" s="584"/>
      <c r="VOD372" s="584"/>
      <c r="VOE372" s="585"/>
      <c r="VOF372" s="586"/>
      <c r="VOG372" s="587"/>
      <c r="VOH372" s="682"/>
      <c r="VOI372" s="148"/>
      <c r="VOJ372" s="148"/>
      <c r="VOK372" s="582"/>
      <c r="VOL372" s="584"/>
      <c r="VOM372" s="584"/>
      <c r="VON372" s="585"/>
      <c r="VOO372" s="586"/>
      <c r="VOP372" s="587"/>
      <c r="VOQ372" s="682"/>
      <c r="VOR372" s="148"/>
      <c r="VOS372" s="148"/>
      <c r="VOT372" s="582"/>
      <c r="VOU372" s="584"/>
      <c r="VOV372" s="584"/>
      <c r="VOW372" s="585"/>
      <c r="VOX372" s="586"/>
      <c r="VOY372" s="587"/>
      <c r="VOZ372" s="682"/>
      <c r="VPA372" s="148"/>
      <c r="VPB372" s="148"/>
      <c r="VPC372" s="582"/>
      <c r="VPD372" s="584"/>
      <c r="VPE372" s="584"/>
      <c r="VPF372" s="585"/>
      <c r="VPG372" s="586"/>
      <c r="VPH372" s="587"/>
      <c r="VPI372" s="682"/>
      <c r="VPJ372" s="148"/>
      <c r="VPK372" s="148"/>
      <c r="VPL372" s="582"/>
      <c r="VPM372" s="584"/>
      <c r="VPN372" s="584"/>
      <c r="VPO372" s="585"/>
      <c r="VPP372" s="586"/>
      <c r="VPQ372" s="587"/>
      <c r="VPR372" s="682"/>
      <c r="VPS372" s="148"/>
      <c r="VPT372" s="148"/>
      <c r="VPU372" s="582"/>
      <c r="VPV372" s="584"/>
      <c r="VPW372" s="584"/>
      <c r="VPX372" s="585"/>
      <c r="VPY372" s="586"/>
      <c r="VPZ372" s="587"/>
      <c r="VQA372" s="682"/>
      <c r="VQB372" s="148"/>
      <c r="VQC372" s="148"/>
      <c r="VQD372" s="582"/>
      <c r="VQE372" s="584"/>
      <c r="VQF372" s="584"/>
      <c r="VQG372" s="585"/>
      <c r="VQH372" s="586"/>
      <c r="VQI372" s="587"/>
      <c r="VQJ372" s="682"/>
      <c r="VQK372" s="148"/>
      <c r="VQL372" s="148"/>
      <c r="VQM372" s="582"/>
      <c r="VQN372" s="584"/>
      <c r="VQO372" s="584"/>
      <c r="VQP372" s="585"/>
      <c r="VQQ372" s="586"/>
      <c r="VQR372" s="587"/>
      <c r="VQS372" s="682"/>
      <c r="VQT372" s="148"/>
      <c r="VQU372" s="148"/>
      <c r="VQV372" s="582"/>
      <c r="VQW372" s="584"/>
      <c r="VQX372" s="584"/>
      <c r="VQY372" s="585"/>
      <c r="VQZ372" s="586"/>
      <c r="VRA372" s="587"/>
      <c r="VRB372" s="682"/>
      <c r="VRC372" s="148"/>
      <c r="VRD372" s="148"/>
      <c r="VRE372" s="582"/>
      <c r="VRF372" s="584"/>
      <c r="VRG372" s="584"/>
      <c r="VRH372" s="585"/>
      <c r="VRI372" s="586"/>
      <c r="VRJ372" s="587"/>
      <c r="VRK372" s="682"/>
      <c r="VRL372" s="148"/>
      <c r="VRM372" s="148"/>
      <c r="VRN372" s="582"/>
      <c r="VRO372" s="584"/>
      <c r="VRP372" s="584"/>
      <c r="VRQ372" s="585"/>
      <c r="VRR372" s="586"/>
      <c r="VRS372" s="587"/>
      <c r="VRT372" s="682"/>
      <c r="VRU372" s="148"/>
      <c r="VRV372" s="148"/>
      <c r="VRW372" s="582"/>
      <c r="VRX372" s="584"/>
      <c r="VRY372" s="584"/>
      <c r="VRZ372" s="585"/>
      <c r="VSA372" s="586"/>
      <c r="VSB372" s="587"/>
      <c r="VSC372" s="682"/>
      <c r="VSD372" s="148"/>
      <c r="VSE372" s="148"/>
      <c r="VSF372" s="582"/>
      <c r="VSG372" s="584"/>
      <c r="VSH372" s="584"/>
      <c r="VSI372" s="585"/>
      <c r="VSJ372" s="586"/>
      <c r="VSK372" s="587"/>
      <c r="VSL372" s="682"/>
      <c r="VSM372" s="148"/>
      <c r="VSN372" s="148"/>
      <c r="VSO372" s="582"/>
      <c r="VSP372" s="584"/>
      <c r="VSQ372" s="584"/>
      <c r="VSR372" s="585"/>
      <c r="VSS372" s="586"/>
      <c r="VST372" s="587"/>
      <c r="VSU372" s="682"/>
      <c r="VSV372" s="148"/>
      <c r="VSW372" s="148"/>
      <c r="VSX372" s="582"/>
      <c r="VSY372" s="584"/>
      <c r="VSZ372" s="584"/>
      <c r="VTA372" s="585"/>
      <c r="VTB372" s="586"/>
      <c r="VTC372" s="587"/>
      <c r="VTD372" s="682"/>
      <c r="VTE372" s="148"/>
      <c r="VTF372" s="148"/>
      <c r="VTG372" s="582"/>
      <c r="VTH372" s="584"/>
      <c r="VTI372" s="584"/>
      <c r="VTJ372" s="585"/>
      <c r="VTK372" s="586"/>
      <c r="VTL372" s="587"/>
      <c r="VTM372" s="682"/>
      <c r="VTN372" s="148"/>
      <c r="VTO372" s="148"/>
      <c r="VTP372" s="582"/>
      <c r="VTQ372" s="584"/>
      <c r="VTR372" s="584"/>
      <c r="VTS372" s="585"/>
      <c r="VTT372" s="586"/>
      <c r="VTU372" s="587"/>
      <c r="VTV372" s="682"/>
      <c r="VTW372" s="148"/>
      <c r="VTX372" s="148"/>
      <c r="VTY372" s="582"/>
      <c r="VTZ372" s="584"/>
      <c r="VUA372" s="584"/>
      <c r="VUB372" s="585"/>
      <c r="VUC372" s="586"/>
      <c r="VUD372" s="587"/>
      <c r="VUE372" s="682"/>
      <c r="VUF372" s="148"/>
      <c r="VUG372" s="148"/>
      <c r="VUH372" s="582"/>
      <c r="VUI372" s="584"/>
      <c r="VUJ372" s="584"/>
      <c r="VUK372" s="585"/>
      <c r="VUL372" s="586"/>
      <c r="VUM372" s="587"/>
      <c r="VUN372" s="682"/>
      <c r="VUO372" s="148"/>
      <c r="VUP372" s="148"/>
      <c r="VUQ372" s="582"/>
      <c r="VUR372" s="584"/>
      <c r="VUS372" s="584"/>
      <c r="VUT372" s="585"/>
      <c r="VUU372" s="586"/>
      <c r="VUV372" s="587"/>
      <c r="VUW372" s="682"/>
      <c r="VUX372" s="148"/>
      <c r="VUY372" s="148"/>
      <c r="VUZ372" s="582"/>
      <c r="VVA372" s="584"/>
      <c r="VVB372" s="584"/>
      <c r="VVC372" s="585"/>
      <c r="VVD372" s="586"/>
      <c r="VVE372" s="587"/>
      <c r="VVF372" s="682"/>
      <c r="VVG372" s="148"/>
      <c r="VVH372" s="148"/>
      <c r="VVI372" s="582"/>
      <c r="VVJ372" s="584"/>
      <c r="VVK372" s="584"/>
      <c r="VVL372" s="585"/>
      <c r="VVM372" s="586"/>
      <c r="VVN372" s="587"/>
      <c r="VVO372" s="682"/>
      <c r="VVP372" s="148"/>
      <c r="VVQ372" s="148"/>
      <c r="VVR372" s="582"/>
      <c r="VVS372" s="584"/>
      <c r="VVT372" s="584"/>
      <c r="VVU372" s="585"/>
      <c r="VVV372" s="586"/>
      <c r="VVW372" s="587"/>
      <c r="VVX372" s="682"/>
      <c r="VVY372" s="148"/>
      <c r="VVZ372" s="148"/>
      <c r="VWA372" s="582"/>
      <c r="VWB372" s="584"/>
      <c r="VWC372" s="584"/>
      <c r="VWD372" s="585"/>
      <c r="VWE372" s="586"/>
      <c r="VWF372" s="587"/>
      <c r="VWG372" s="682"/>
      <c r="VWH372" s="148"/>
      <c r="VWI372" s="148"/>
      <c r="VWJ372" s="582"/>
      <c r="VWK372" s="584"/>
      <c r="VWL372" s="584"/>
      <c r="VWM372" s="585"/>
      <c r="VWN372" s="586"/>
      <c r="VWO372" s="587"/>
      <c r="VWP372" s="682"/>
      <c r="VWQ372" s="148"/>
      <c r="VWR372" s="148"/>
      <c r="VWS372" s="582"/>
      <c r="VWT372" s="584"/>
      <c r="VWU372" s="584"/>
      <c r="VWV372" s="585"/>
      <c r="VWW372" s="586"/>
      <c r="VWX372" s="587"/>
      <c r="VWY372" s="682"/>
      <c r="VWZ372" s="148"/>
      <c r="VXA372" s="148"/>
      <c r="VXB372" s="582"/>
      <c r="VXC372" s="584"/>
      <c r="VXD372" s="584"/>
      <c r="VXE372" s="585"/>
      <c r="VXF372" s="586"/>
      <c r="VXG372" s="587"/>
      <c r="VXH372" s="682"/>
      <c r="VXI372" s="148"/>
      <c r="VXJ372" s="148"/>
      <c r="VXK372" s="582"/>
      <c r="VXL372" s="584"/>
      <c r="VXM372" s="584"/>
      <c r="VXN372" s="585"/>
      <c r="VXO372" s="586"/>
      <c r="VXP372" s="587"/>
      <c r="VXQ372" s="682"/>
      <c r="VXR372" s="148"/>
      <c r="VXS372" s="148"/>
      <c r="VXT372" s="582"/>
      <c r="VXU372" s="584"/>
      <c r="VXV372" s="584"/>
      <c r="VXW372" s="585"/>
      <c r="VXX372" s="586"/>
      <c r="VXY372" s="587"/>
      <c r="VXZ372" s="682"/>
      <c r="VYA372" s="148"/>
      <c r="VYB372" s="148"/>
      <c r="VYC372" s="582"/>
      <c r="VYD372" s="584"/>
      <c r="VYE372" s="584"/>
      <c r="VYF372" s="585"/>
      <c r="VYG372" s="586"/>
      <c r="VYH372" s="587"/>
      <c r="VYI372" s="682"/>
      <c r="VYJ372" s="148"/>
      <c r="VYK372" s="148"/>
      <c r="VYL372" s="582"/>
      <c r="VYM372" s="584"/>
      <c r="VYN372" s="584"/>
      <c r="VYO372" s="585"/>
      <c r="VYP372" s="586"/>
      <c r="VYQ372" s="587"/>
      <c r="VYR372" s="682"/>
      <c r="VYS372" s="148"/>
      <c r="VYT372" s="148"/>
      <c r="VYU372" s="582"/>
      <c r="VYV372" s="584"/>
      <c r="VYW372" s="584"/>
      <c r="VYX372" s="585"/>
      <c r="VYY372" s="586"/>
      <c r="VYZ372" s="587"/>
      <c r="VZA372" s="682"/>
      <c r="VZB372" s="148"/>
      <c r="VZC372" s="148"/>
      <c r="VZD372" s="582"/>
      <c r="VZE372" s="584"/>
      <c r="VZF372" s="584"/>
      <c r="VZG372" s="585"/>
      <c r="VZH372" s="586"/>
      <c r="VZI372" s="587"/>
      <c r="VZJ372" s="682"/>
      <c r="VZK372" s="148"/>
      <c r="VZL372" s="148"/>
      <c r="VZM372" s="582"/>
      <c r="VZN372" s="584"/>
      <c r="VZO372" s="584"/>
      <c r="VZP372" s="585"/>
      <c r="VZQ372" s="586"/>
      <c r="VZR372" s="587"/>
      <c r="VZS372" s="682"/>
      <c r="VZT372" s="148"/>
      <c r="VZU372" s="148"/>
      <c r="VZV372" s="582"/>
      <c r="VZW372" s="584"/>
      <c r="VZX372" s="584"/>
      <c r="VZY372" s="585"/>
      <c r="VZZ372" s="586"/>
      <c r="WAA372" s="587"/>
      <c r="WAB372" s="682"/>
      <c r="WAC372" s="148"/>
      <c r="WAD372" s="148"/>
      <c r="WAE372" s="582"/>
      <c r="WAF372" s="584"/>
      <c r="WAG372" s="584"/>
      <c r="WAH372" s="585"/>
      <c r="WAI372" s="586"/>
      <c r="WAJ372" s="587"/>
      <c r="WAK372" s="682"/>
      <c r="WAL372" s="148"/>
      <c r="WAM372" s="148"/>
      <c r="WAN372" s="582"/>
      <c r="WAO372" s="584"/>
      <c r="WAP372" s="584"/>
      <c r="WAQ372" s="585"/>
      <c r="WAR372" s="586"/>
      <c r="WAS372" s="587"/>
      <c r="WAT372" s="682"/>
      <c r="WAU372" s="148"/>
      <c r="WAV372" s="148"/>
      <c r="WAW372" s="582"/>
      <c r="WAX372" s="584"/>
      <c r="WAY372" s="584"/>
      <c r="WAZ372" s="585"/>
      <c r="WBA372" s="586"/>
      <c r="WBB372" s="587"/>
      <c r="WBC372" s="682"/>
      <c r="WBD372" s="148"/>
      <c r="WBE372" s="148"/>
      <c r="WBF372" s="582"/>
      <c r="WBG372" s="584"/>
      <c r="WBH372" s="584"/>
      <c r="WBI372" s="585"/>
      <c r="WBJ372" s="586"/>
      <c r="WBK372" s="587"/>
      <c r="WBL372" s="682"/>
      <c r="WBM372" s="148"/>
      <c r="WBN372" s="148"/>
      <c r="WBO372" s="582"/>
      <c r="WBP372" s="584"/>
      <c r="WBQ372" s="584"/>
      <c r="WBR372" s="585"/>
      <c r="WBS372" s="586"/>
      <c r="WBT372" s="587"/>
      <c r="WBU372" s="682"/>
      <c r="WBV372" s="148"/>
      <c r="WBW372" s="148"/>
      <c r="WBX372" s="582"/>
      <c r="WBY372" s="584"/>
      <c r="WBZ372" s="584"/>
      <c r="WCA372" s="585"/>
      <c r="WCB372" s="586"/>
      <c r="WCC372" s="587"/>
      <c r="WCD372" s="682"/>
      <c r="WCE372" s="148"/>
      <c r="WCF372" s="148"/>
      <c r="WCG372" s="582"/>
      <c r="WCH372" s="584"/>
      <c r="WCI372" s="584"/>
      <c r="WCJ372" s="585"/>
      <c r="WCK372" s="586"/>
      <c r="WCL372" s="587"/>
      <c r="WCM372" s="682"/>
      <c r="WCN372" s="148"/>
      <c r="WCO372" s="148"/>
      <c r="WCP372" s="582"/>
      <c r="WCQ372" s="584"/>
      <c r="WCR372" s="584"/>
      <c r="WCS372" s="585"/>
      <c r="WCT372" s="586"/>
      <c r="WCU372" s="587"/>
      <c r="WCV372" s="682"/>
      <c r="WCW372" s="148"/>
      <c r="WCX372" s="148"/>
      <c r="WCY372" s="582"/>
      <c r="WCZ372" s="584"/>
      <c r="WDA372" s="584"/>
      <c r="WDB372" s="585"/>
      <c r="WDC372" s="586"/>
      <c r="WDD372" s="587"/>
      <c r="WDE372" s="682"/>
      <c r="WDF372" s="148"/>
      <c r="WDG372" s="148"/>
      <c r="WDH372" s="582"/>
      <c r="WDI372" s="584"/>
      <c r="WDJ372" s="584"/>
      <c r="WDK372" s="585"/>
      <c r="WDL372" s="586"/>
      <c r="WDM372" s="587"/>
      <c r="WDN372" s="682"/>
      <c r="WDO372" s="148"/>
      <c r="WDP372" s="148"/>
      <c r="WDQ372" s="582"/>
      <c r="WDR372" s="584"/>
      <c r="WDS372" s="584"/>
      <c r="WDT372" s="585"/>
      <c r="WDU372" s="586"/>
      <c r="WDV372" s="587"/>
      <c r="WDW372" s="682"/>
      <c r="WDX372" s="148"/>
      <c r="WDY372" s="148"/>
      <c r="WDZ372" s="582"/>
      <c r="WEA372" s="584"/>
      <c r="WEB372" s="584"/>
      <c r="WEC372" s="585"/>
      <c r="WED372" s="586"/>
      <c r="WEE372" s="587"/>
      <c r="WEF372" s="682"/>
      <c r="WEG372" s="148"/>
      <c r="WEH372" s="148"/>
      <c r="WEI372" s="582"/>
      <c r="WEJ372" s="584"/>
      <c r="WEK372" s="584"/>
      <c r="WEL372" s="585"/>
      <c r="WEM372" s="586"/>
      <c r="WEN372" s="587"/>
      <c r="WEO372" s="682"/>
      <c r="WEP372" s="148"/>
      <c r="WEQ372" s="148"/>
      <c r="WER372" s="582"/>
      <c r="WES372" s="584"/>
      <c r="WET372" s="584"/>
      <c r="WEU372" s="585"/>
      <c r="WEV372" s="586"/>
      <c r="WEW372" s="587"/>
      <c r="WEX372" s="682"/>
      <c r="WEY372" s="148"/>
      <c r="WEZ372" s="148"/>
      <c r="WFA372" s="582"/>
      <c r="WFB372" s="584"/>
      <c r="WFC372" s="584"/>
      <c r="WFD372" s="585"/>
      <c r="WFE372" s="586"/>
      <c r="WFF372" s="587"/>
      <c r="WFG372" s="682"/>
      <c r="WFH372" s="148"/>
      <c r="WFI372" s="148"/>
      <c r="WFJ372" s="582"/>
      <c r="WFK372" s="584"/>
      <c r="WFL372" s="584"/>
      <c r="WFM372" s="585"/>
      <c r="WFN372" s="586"/>
      <c r="WFO372" s="587"/>
      <c r="WFP372" s="682"/>
      <c r="WFQ372" s="148"/>
      <c r="WFR372" s="148"/>
      <c r="WFS372" s="582"/>
      <c r="WFT372" s="584"/>
      <c r="WFU372" s="584"/>
      <c r="WFV372" s="585"/>
      <c r="WFW372" s="586"/>
      <c r="WFX372" s="587"/>
      <c r="WFY372" s="682"/>
      <c r="WFZ372" s="148"/>
      <c r="WGA372" s="148"/>
      <c r="WGB372" s="582"/>
      <c r="WGC372" s="584"/>
      <c r="WGD372" s="584"/>
      <c r="WGE372" s="585"/>
      <c r="WGF372" s="586"/>
      <c r="WGG372" s="587"/>
      <c r="WGH372" s="682"/>
      <c r="WGI372" s="148"/>
      <c r="WGJ372" s="148"/>
      <c r="WGK372" s="582"/>
      <c r="WGL372" s="584"/>
      <c r="WGM372" s="584"/>
      <c r="WGN372" s="585"/>
      <c r="WGO372" s="586"/>
      <c r="WGP372" s="587"/>
      <c r="WGQ372" s="682"/>
      <c r="WGR372" s="148"/>
      <c r="WGS372" s="148"/>
      <c r="WGT372" s="582"/>
      <c r="WGU372" s="584"/>
      <c r="WGV372" s="584"/>
      <c r="WGW372" s="585"/>
      <c r="WGX372" s="586"/>
      <c r="WGY372" s="587"/>
      <c r="WGZ372" s="682"/>
      <c r="WHA372" s="148"/>
      <c r="WHB372" s="148"/>
      <c r="WHC372" s="582"/>
      <c r="WHD372" s="584"/>
      <c r="WHE372" s="584"/>
      <c r="WHF372" s="585"/>
      <c r="WHG372" s="586"/>
      <c r="WHH372" s="587"/>
      <c r="WHI372" s="682"/>
      <c r="WHJ372" s="148"/>
      <c r="WHK372" s="148"/>
      <c r="WHL372" s="582"/>
      <c r="WHM372" s="584"/>
      <c r="WHN372" s="584"/>
      <c r="WHO372" s="585"/>
      <c r="WHP372" s="586"/>
      <c r="WHQ372" s="587"/>
      <c r="WHR372" s="682"/>
      <c r="WHS372" s="148"/>
      <c r="WHT372" s="148"/>
      <c r="WHU372" s="582"/>
      <c r="WHV372" s="584"/>
      <c r="WHW372" s="584"/>
      <c r="WHX372" s="585"/>
      <c r="WHY372" s="586"/>
      <c r="WHZ372" s="587"/>
      <c r="WIA372" s="682"/>
      <c r="WIB372" s="148"/>
      <c r="WIC372" s="148"/>
      <c r="WID372" s="582"/>
      <c r="WIE372" s="584"/>
      <c r="WIF372" s="584"/>
      <c r="WIG372" s="585"/>
      <c r="WIH372" s="586"/>
      <c r="WII372" s="587"/>
      <c r="WIJ372" s="682"/>
      <c r="WIK372" s="148"/>
      <c r="WIL372" s="148"/>
      <c r="WIM372" s="582"/>
      <c r="WIN372" s="584"/>
      <c r="WIO372" s="584"/>
      <c r="WIP372" s="585"/>
      <c r="WIQ372" s="586"/>
      <c r="WIR372" s="587"/>
      <c r="WIS372" s="682"/>
      <c r="WIT372" s="148"/>
      <c r="WIU372" s="148"/>
      <c r="WIV372" s="582"/>
      <c r="WIW372" s="584"/>
      <c r="WIX372" s="584"/>
      <c r="WIY372" s="585"/>
      <c r="WIZ372" s="586"/>
      <c r="WJA372" s="587"/>
      <c r="WJB372" s="682"/>
      <c r="WJC372" s="148"/>
      <c r="WJD372" s="148"/>
      <c r="WJE372" s="582"/>
      <c r="WJF372" s="584"/>
      <c r="WJG372" s="584"/>
      <c r="WJH372" s="585"/>
      <c r="WJI372" s="586"/>
      <c r="WJJ372" s="587"/>
      <c r="WJK372" s="682"/>
      <c r="WJL372" s="148"/>
      <c r="WJM372" s="148"/>
      <c r="WJN372" s="582"/>
      <c r="WJO372" s="584"/>
      <c r="WJP372" s="584"/>
      <c r="WJQ372" s="585"/>
      <c r="WJR372" s="586"/>
      <c r="WJS372" s="587"/>
      <c r="WJT372" s="682"/>
      <c r="WJU372" s="148"/>
      <c r="WJV372" s="148"/>
      <c r="WJW372" s="582"/>
      <c r="WJX372" s="584"/>
      <c r="WJY372" s="584"/>
      <c r="WJZ372" s="585"/>
      <c r="WKA372" s="586"/>
      <c r="WKB372" s="587"/>
      <c r="WKC372" s="682"/>
      <c r="WKD372" s="148"/>
      <c r="WKE372" s="148"/>
      <c r="WKF372" s="582"/>
      <c r="WKG372" s="584"/>
      <c r="WKH372" s="584"/>
      <c r="WKI372" s="585"/>
      <c r="WKJ372" s="586"/>
      <c r="WKK372" s="587"/>
      <c r="WKL372" s="682"/>
      <c r="WKM372" s="148"/>
      <c r="WKN372" s="148"/>
      <c r="WKO372" s="582"/>
      <c r="WKP372" s="584"/>
      <c r="WKQ372" s="584"/>
      <c r="WKR372" s="585"/>
      <c r="WKS372" s="586"/>
      <c r="WKT372" s="587"/>
      <c r="WKU372" s="682"/>
      <c r="WKV372" s="148"/>
      <c r="WKW372" s="148"/>
      <c r="WKX372" s="582"/>
      <c r="WKY372" s="584"/>
      <c r="WKZ372" s="584"/>
      <c r="WLA372" s="585"/>
      <c r="WLB372" s="586"/>
      <c r="WLC372" s="587"/>
      <c r="WLD372" s="682"/>
      <c r="WLE372" s="148"/>
      <c r="WLF372" s="148"/>
      <c r="WLG372" s="582"/>
      <c r="WLH372" s="584"/>
      <c r="WLI372" s="584"/>
      <c r="WLJ372" s="585"/>
      <c r="WLK372" s="586"/>
      <c r="WLL372" s="587"/>
      <c r="WLM372" s="682"/>
      <c r="WLN372" s="148"/>
      <c r="WLO372" s="148"/>
      <c r="WLP372" s="582"/>
      <c r="WLQ372" s="584"/>
      <c r="WLR372" s="584"/>
      <c r="WLS372" s="585"/>
      <c r="WLT372" s="586"/>
      <c r="WLU372" s="587"/>
      <c r="WLV372" s="682"/>
      <c r="WLW372" s="148"/>
      <c r="WLX372" s="148"/>
      <c r="WLY372" s="582"/>
      <c r="WLZ372" s="584"/>
      <c r="WMA372" s="584"/>
      <c r="WMB372" s="585"/>
      <c r="WMC372" s="586"/>
      <c r="WMD372" s="587"/>
      <c r="WME372" s="682"/>
      <c r="WMF372" s="148"/>
      <c r="WMG372" s="148"/>
      <c r="WMH372" s="582"/>
      <c r="WMI372" s="584"/>
      <c r="WMJ372" s="584"/>
      <c r="WMK372" s="585"/>
      <c r="WML372" s="586"/>
      <c r="WMM372" s="587"/>
      <c r="WMN372" s="682"/>
      <c r="WMO372" s="148"/>
      <c r="WMP372" s="148"/>
      <c r="WMQ372" s="582"/>
      <c r="WMR372" s="584"/>
      <c r="WMS372" s="584"/>
      <c r="WMT372" s="585"/>
      <c r="WMU372" s="586"/>
      <c r="WMV372" s="587"/>
      <c r="WMW372" s="682"/>
      <c r="WMX372" s="148"/>
      <c r="WMY372" s="148"/>
      <c r="WMZ372" s="582"/>
      <c r="WNA372" s="584"/>
      <c r="WNB372" s="584"/>
      <c r="WNC372" s="585"/>
      <c r="WND372" s="586"/>
      <c r="WNE372" s="587"/>
      <c r="WNF372" s="682"/>
      <c r="WNG372" s="148"/>
      <c r="WNH372" s="148"/>
      <c r="WNI372" s="582"/>
      <c r="WNJ372" s="584"/>
      <c r="WNK372" s="584"/>
      <c r="WNL372" s="585"/>
      <c r="WNM372" s="586"/>
      <c r="WNN372" s="587"/>
      <c r="WNO372" s="682"/>
      <c r="WNP372" s="148"/>
      <c r="WNQ372" s="148"/>
      <c r="WNR372" s="582"/>
      <c r="WNS372" s="584"/>
      <c r="WNT372" s="584"/>
      <c r="WNU372" s="585"/>
      <c r="WNV372" s="586"/>
      <c r="WNW372" s="587"/>
      <c r="WNX372" s="682"/>
      <c r="WNY372" s="148"/>
      <c r="WNZ372" s="148"/>
      <c r="WOA372" s="582"/>
      <c r="WOB372" s="584"/>
      <c r="WOC372" s="584"/>
      <c r="WOD372" s="585"/>
      <c r="WOE372" s="586"/>
      <c r="WOF372" s="587"/>
      <c r="WOG372" s="682"/>
      <c r="WOH372" s="148"/>
      <c r="WOI372" s="148"/>
      <c r="WOJ372" s="582"/>
      <c r="WOK372" s="584"/>
      <c r="WOL372" s="584"/>
      <c r="WOM372" s="585"/>
      <c r="WON372" s="586"/>
      <c r="WOO372" s="587"/>
      <c r="WOP372" s="682"/>
      <c r="WOQ372" s="148"/>
      <c r="WOR372" s="148"/>
      <c r="WOS372" s="582"/>
      <c r="WOT372" s="584"/>
      <c r="WOU372" s="584"/>
      <c r="WOV372" s="585"/>
      <c r="WOW372" s="586"/>
      <c r="WOX372" s="587"/>
      <c r="WOY372" s="682"/>
      <c r="WOZ372" s="148"/>
      <c r="WPA372" s="148"/>
      <c r="WPB372" s="582"/>
      <c r="WPC372" s="584"/>
      <c r="WPD372" s="584"/>
      <c r="WPE372" s="585"/>
      <c r="WPF372" s="586"/>
      <c r="WPG372" s="587"/>
      <c r="WPH372" s="682"/>
      <c r="WPI372" s="148"/>
      <c r="WPJ372" s="148"/>
      <c r="WPK372" s="582"/>
      <c r="WPL372" s="584"/>
      <c r="WPM372" s="584"/>
      <c r="WPN372" s="585"/>
      <c r="WPO372" s="586"/>
      <c r="WPP372" s="587"/>
      <c r="WPQ372" s="682"/>
      <c r="WPR372" s="148"/>
      <c r="WPS372" s="148"/>
      <c r="WPT372" s="582"/>
      <c r="WPU372" s="584"/>
      <c r="WPV372" s="584"/>
      <c r="WPW372" s="585"/>
      <c r="WPX372" s="586"/>
      <c r="WPY372" s="587"/>
      <c r="WPZ372" s="682"/>
      <c r="WQA372" s="148"/>
      <c r="WQB372" s="148"/>
      <c r="WQC372" s="582"/>
      <c r="WQD372" s="584"/>
      <c r="WQE372" s="584"/>
      <c r="WQF372" s="585"/>
      <c r="WQG372" s="586"/>
      <c r="WQH372" s="587"/>
      <c r="WQI372" s="682"/>
      <c r="WQJ372" s="148"/>
      <c r="WQK372" s="148"/>
      <c r="WQL372" s="582"/>
      <c r="WQM372" s="584"/>
      <c r="WQN372" s="584"/>
      <c r="WQO372" s="585"/>
      <c r="WQP372" s="586"/>
      <c r="WQQ372" s="587"/>
      <c r="WQR372" s="682"/>
      <c r="WQS372" s="148"/>
      <c r="WQT372" s="148"/>
      <c r="WQU372" s="582"/>
      <c r="WQV372" s="584"/>
      <c r="WQW372" s="584"/>
      <c r="WQX372" s="585"/>
      <c r="WQY372" s="586"/>
      <c r="WQZ372" s="587"/>
      <c r="WRA372" s="682"/>
      <c r="WRB372" s="148"/>
      <c r="WRC372" s="148"/>
      <c r="WRD372" s="582"/>
      <c r="WRE372" s="584"/>
      <c r="WRF372" s="584"/>
      <c r="WRG372" s="585"/>
      <c r="WRH372" s="586"/>
      <c r="WRI372" s="587"/>
      <c r="WRJ372" s="682"/>
      <c r="WRK372" s="148"/>
      <c r="WRL372" s="148"/>
      <c r="WRM372" s="582"/>
      <c r="WRN372" s="584"/>
      <c r="WRO372" s="584"/>
      <c r="WRP372" s="585"/>
      <c r="WRQ372" s="586"/>
      <c r="WRR372" s="587"/>
      <c r="WRS372" s="682"/>
      <c r="WRT372" s="148"/>
      <c r="WRU372" s="148"/>
      <c r="WRV372" s="582"/>
      <c r="WRW372" s="584"/>
      <c r="WRX372" s="584"/>
      <c r="WRY372" s="585"/>
      <c r="WRZ372" s="586"/>
      <c r="WSA372" s="587"/>
      <c r="WSB372" s="682"/>
      <c r="WSC372" s="148"/>
      <c r="WSD372" s="148"/>
      <c r="WSE372" s="582"/>
      <c r="WSF372" s="584"/>
      <c r="WSG372" s="584"/>
      <c r="WSH372" s="585"/>
      <c r="WSI372" s="586"/>
      <c r="WSJ372" s="587"/>
      <c r="WSK372" s="682"/>
      <c r="WSL372" s="148"/>
      <c r="WSM372" s="148"/>
      <c r="WSN372" s="582"/>
      <c r="WSO372" s="584"/>
      <c r="WSP372" s="584"/>
      <c r="WSQ372" s="585"/>
      <c r="WSR372" s="586"/>
      <c r="WSS372" s="587"/>
      <c r="WST372" s="682"/>
      <c r="WSU372" s="148"/>
      <c r="WSV372" s="148"/>
      <c r="WSW372" s="582"/>
      <c r="WSX372" s="584"/>
      <c r="WSY372" s="584"/>
      <c r="WSZ372" s="585"/>
      <c r="WTA372" s="586"/>
      <c r="WTB372" s="587"/>
      <c r="WTC372" s="682"/>
      <c r="WTD372" s="148"/>
      <c r="WTE372" s="148"/>
      <c r="WTF372" s="582"/>
      <c r="WTG372" s="584"/>
      <c r="WTH372" s="584"/>
      <c r="WTI372" s="585"/>
      <c r="WTJ372" s="586"/>
      <c r="WTK372" s="587"/>
      <c r="WTL372" s="682"/>
      <c r="WTM372" s="148"/>
      <c r="WTN372" s="148"/>
      <c r="WTO372" s="582"/>
      <c r="WTP372" s="584"/>
      <c r="WTQ372" s="584"/>
      <c r="WTR372" s="585"/>
      <c r="WTS372" s="586"/>
      <c r="WTT372" s="587"/>
      <c r="WTU372" s="682"/>
      <c r="WTV372" s="148"/>
      <c r="WTW372" s="148"/>
      <c r="WTX372" s="582"/>
      <c r="WTY372" s="584"/>
      <c r="WTZ372" s="584"/>
      <c r="WUA372" s="585"/>
      <c r="WUB372" s="586"/>
      <c r="WUC372" s="587"/>
      <c r="WUD372" s="682"/>
      <c r="WUE372" s="148"/>
      <c r="WUF372" s="148"/>
      <c r="WUG372" s="582"/>
      <c r="WUH372" s="584"/>
      <c r="WUI372" s="584"/>
      <c r="WUJ372" s="585"/>
      <c r="WUK372" s="586"/>
      <c r="WUL372" s="587"/>
      <c r="WUM372" s="682"/>
      <c r="WUN372" s="148"/>
      <c r="WUO372" s="148"/>
      <c r="WUP372" s="582"/>
      <c r="WUQ372" s="584"/>
      <c r="WUR372" s="584"/>
      <c r="WUS372" s="585"/>
      <c r="WUT372" s="586"/>
      <c r="WUU372" s="587"/>
      <c r="WUV372" s="682"/>
      <c r="WUW372" s="148"/>
      <c r="WUX372" s="148"/>
      <c r="WUY372" s="582"/>
      <c r="WUZ372" s="584"/>
      <c r="WVA372" s="584"/>
      <c r="WVB372" s="585"/>
      <c r="WVC372" s="586"/>
      <c r="WVD372" s="587"/>
      <c r="WVE372" s="682"/>
      <c r="WVF372" s="148"/>
      <c r="WVG372" s="148"/>
      <c r="WVH372" s="582"/>
      <c r="WVI372" s="584"/>
      <c r="WVJ372" s="584"/>
      <c r="WVK372" s="585"/>
      <c r="WVL372" s="586"/>
      <c r="WVM372" s="587"/>
      <c r="WVN372" s="682"/>
      <c r="WVO372" s="148"/>
      <c r="WVP372" s="148"/>
      <c r="WVQ372" s="582"/>
      <c r="WVR372" s="584"/>
      <c r="WVS372" s="584"/>
      <c r="WVT372" s="585"/>
      <c r="WVU372" s="586"/>
      <c r="WVV372" s="587"/>
      <c r="WVW372" s="682"/>
      <c r="WVX372" s="148"/>
      <c r="WVY372" s="148"/>
      <c r="WVZ372" s="582"/>
      <c r="WWA372" s="584"/>
      <c r="WWB372" s="584"/>
      <c r="WWC372" s="585"/>
      <c r="WWD372" s="586"/>
      <c r="WWE372" s="587"/>
      <c r="WWF372" s="682"/>
      <c r="WWG372" s="148"/>
      <c r="WWH372" s="148"/>
      <c r="WWI372" s="582"/>
      <c r="WWJ372" s="584"/>
      <c r="WWK372" s="584"/>
      <c r="WWL372" s="585"/>
      <c r="WWM372" s="586"/>
      <c r="WWN372" s="587"/>
      <c r="WWO372" s="682"/>
      <c r="WWP372" s="148"/>
      <c r="WWQ372" s="148"/>
      <c r="WWR372" s="582"/>
      <c r="WWS372" s="584"/>
      <c r="WWT372" s="584"/>
      <c r="WWU372" s="585"/>
      <c r="WWV372" s="586"/>
      <c r="WWW372" s="587"/>
      <c r="WWX372" s="682"/>
      <c r="WWY372" s="148"/>
      <c r="WWZ372" s="148"/>
      <c r="WXA372" s="582"/>
      <c r="WXB372" s="584"/>
      <c r="WXC372" s="584"/>
      <c r="WXD372" s="585"/>
      <c r="WXE372" s="586"/>
      <c r="WXF372" s="587"/>
      <c r="WXG372" s="682"/>
      <c r="WXH372" s="148"/>
      <c r="WXI372" s="148"/>
      <c r="WXJ372" s="582"/>
      <c r="WXK372" s="584"/>
      <c r="WXL372" s="584"/>
      <c r="WXM372" s="585"/>
      <c r="WXN372" s="586"/>
      <c r="WXO372" s="587"/>
      <c r="WXP372" s="682"/>
      <c r="WXQ372" s="148"/>
      <c r="WXR372" s="148"/>
      <c r="WXS372" s="582"/>
      <c r="WXT372" s="584"/>
      <c r="WXU372" s="584"/>
      <c r="WXV372" s="585"/>
      <c r="WXW372" s="586"/>
      <c r="WXX372" s="587"/>
      <c r="WXY372" s="682"/>
      <c r="WXZ372" s="148"/>
      <c r="WYA372" s="148"/>
      <c r="WYB372" s="582"/>
      <c r="WYC372" s="584"/>
      <c r="WYD372" s="584"/>
      <c r="WYE372" s="585"/>
      <c r="WYF372" s="586"/>
      <c r="WYG372" s="587"/>
      <c r="WYH372" s="682"/>
      <c r="WYI372" s="148"/>
      <c r="WYJ372" s="148"/>
      <c r="WYK372" s="582"/>
      <c r="WYL372" s="584"/>
      <c r="WYM372" s="584"/>
      <c r="WYN372" s="585"/>
      <c r="WYO372" s="586"/>
      <c r="WYP372" s="587"/>
      <c r="WYQ372" s="682"/>
      <c r="WYR372" s="148"/>
      <c r="WYS372" s="148"/>
      <c r="WYT372" s="582"/>
      <c r="WYU372" s="584"/>
      <c r="WYV372" s="584"/>
      <c r="WYW372" s="585"/>
      <c r="WYX372" s="586"/>
      <c r="WYY372" s="587"/>
      <c r="WYZ372" s="682"/>
      <c r="WZA372" s="148"/>
      <c r="WZB372" s="148"/>
      <c r="WZC372" s="582"/>
      <c r="WZD372" s="584"/>
      <c r="WZE372" s="584"/>
      <c r="WZF372" s="585"/>
      <c r="WZG372" s="586"/>
      <c r="WZH372" s="587"/>
      <c r="WZI372" s="682"/>
      <c r="WZJ372" s="148"/>
      <c r="WZK372" s="148"/>
      <c r="WZL372" s="582"/>
      <c r="WZM372" s="584"/>
      <c r="WZN372" s="584"/>
      <c r="WZO372" s="585"/>
      <c r="WZP372" s="586"/>
      <c r="WZQ372" s="587"/>
      <c r="WZR372" s="682"/>
      <c r="WZS372" s="148"/>
      <c r="WZT372" s="148"/>
      <c r="WZU372" s="582"/>
      <c r="WZV372" s="584"/>
      <c r="WZW372" s="584"/>
      <c r="WZX372" s="585"/>
      <c r="WZY372" s="586"/>
      <c r="WZZ372" s="587"/>
      <c r="XAA372" s="682"/>
      <c r="XAB372" s="148"/>
      <c r="XAC372" s="148"/>
      <c r="XAD372" s="582"/>
      <c r="XAE372" s="584"/>
      <c r="XAF372" s="584"/>
      <c r="XAG372" s="585"/>
      <c r="XAH372" s="586"/>
      <c r="XAI372" s="587"/>
      <c r="XAJ372" s="682"/>
      <c r="XAK372" s="148"/>
      <c r="XAL372" s="148"/>
      <c r="XAM372" s="582"/>
      <c r="XAN372" s="584"/>
      <c r="XAO372" s="584"/>
      <c r="XAP372" s="585"/>
      <c r="XAQ372" s="586"/>
      <c r="XAR372" s="587"/>
      <c r="XAS372" s="682"/>
      <c r="XAT372" s="148"/>
      <c r="XAU372" s="148"/>
      <c r="XAV372" s="582"/>
      <c r="XAW372" s="584"/>
      <c r="XAX372" s="584"/>
      <c r="XAY372" s="585"/>
      <c r="XAZ372" s="586"/>
      <c r="XBA372" s="587"/>
      <c r="XBB372" s="682"/>
      <c r="XBC372" s="148"/>
      <c r="XBD372" s="148"/>
      <c r="XBE372" s="582"/>
      <c r="XBF372" s="584"/>
      <c r="XBG372" s="584"/>
      <c r="XBH372" s="585"/>
      <c r="XBI372" s="586"/>
      <c r="XBJ372" s="587"/>
      <c r="XBK372" s="682"/>
      <c r="XBL372" s="148"/>
      <c r="XBM372" s="148"/>
      <c r="XBN372" s="582"/>
      <c r="XBO372" s="584"/>
      <c r="XBP372" s="584"/>
      <c r="XBQ372" s="585"/>
      <c r="XBR372" s="586"/>
      <c r="XBS372" s="587"/>
      <c r="XBT372" s="682"/>
      <c r="XBU372" s="148"/>
      <c r="XBV372" s="148"/>
      <c r="XBW372" s="582"/>
      <c r="XBX372" s="584"/>
      <c r="XBY372" s="584"/>
      <c r="XBZ372" s="585"/>
      <c r="XCA372" s="586"/>
      <c r="XCB372" s="587"/>
      <c r="XCC372" s="682"/>
      <c r="XCD372" s="148"/>
      <c r="XCE372" s="148"/>
      <c r="XCF372" s="582"/>
      <c r="XCG372" s="584"/>
      <c r="XCH372" s="584"/>
      <c r="XCI372" s="585"/>
      <c r="XCJ372" s="586"/>
      <c r="XCK372" s="587"/>
      <c r="XCL372" s="682"/>
      <c r="XCM372" s="148"/>
      <c r="XCN372" s="148"/>
      <c r="XCO372" s="582"/>
      <c r="XCP372" s="584"/>
      <c r="XCQ372" s="584"/>
      <c r="XCR372" s="585"/>
      <c r="XCS372" s="586"/>
      <c r="XCT372" s="587"/>
      <c r="XCU372" s="682"/>
      <c r="XCV372" s="148"/>
      <c r="XCW372" s="148"/>
      <c r="XCX372" s="582"/>
      <c r="XCY372" s="584"/>
      <c r="XCZ372" s="584"/>
      <c r="XDA372" s="585"/>
      <c r="XDB372" s="586"/>
      <c r="XDC372" s="587"/>
      <c r="XDD372" s="682"/>
      <c r="XDE372" s="148"/>
      <c r="XDF372" s="148"/>
      <c r="XDG372" s="582"/>
      <c r="XDH372" s="584"/>
      <c r="XDI372" s="584"/>
      <c r="XDJ372" s="585"/>
      <c r="XDK372" s="586"/>
      <c r="XDL372" s="587"/>
      <c r="XDM372" s="682"/>
      <c r="XDN372" s="148"/>
      <c r="XDO372" s="148"/>
      <c r="XDP372" s="582"/>
      <c r="XDQ372" s="584"/>
      <c r="XDR372" s="584"/>
      <c r="XDS372" s="585"/>
      <c r="XDT372" s="586"/>
      <c r="XDU372" s="587"/>
      <c r="XDV372" s="682"/>
      <c r="XDW372" s="148"/>
      <c r="XDX372" s="148"/>
      <c r="XDY372" s="582"/>
      <c r="XDZ372" s="584"/>
      <c r="XEA372" s="584"/>
      <c r="XEB372" s="585"/>
      <c r="XEC372" s="586"/>
      <c r="XED372" s="587"/>
      <c r="XEE372" s="682"/>
      <c r="XEF372" s="148"/>
      <c r="XEG372" s="148"/>
      <c r="XEH372" s="582"/>
      <c r="XEI372" s="584"/>
      <c r="XEJ372" s="584"/>
      <c r="XEK372" s="585"/>
      <c r="XEL372" s="586"/>
      <c r="XEM372" s="587"/>
      <c r="XEN372" s="682"/>
      <c r="XEO372" s="148"/>
      <c r="XEP372" s="148"/>
      <c r="XEQ372" s="582"/>
      <c r="XER372" s="584"/>
      <c r="XES372" s="584"/>
      <c r="XET372" s="585"/>
      <c r="XEU372" s="586"/>
      <c r="XEV372" s="587"/>
      <c r="XEW372" s="682"/>
      <c r="XEX372" s="148"/>
      <c r="XEY372" s="148"/>
      <c r="XEZ372" s="582"/>
      <c r="XFA372" s="584"/>
      <c r="XFB372" s="584"/>
      <c r="XFC372" s="585"/>
    </row>
    <row r="373" spans="1:16383" hidden="1" outlineLevel="2" x14ac:dyDescent="0.35">
      <c r="J373" s="595"/>
      <c r="K373" s="95"/>
      <c r="L373" s="95"/>
      <c r="M373" s="95"/>
      <c r="N373" s="95"/>
      <c r="O373" s="95"/>
      <c r="P373" s="95"/>
      <c r="Q373" s="95"/>
      <c r="R373" s="95"/>
      <c r="S373" s="95"/>
      <c r="T373" s="95"/>
      <c r="U373" s="95"/>
      <c r="V373" s="95"/>
      <c r="W373" s="95"/>
      <c r="X373" s="95"/>
      <c r="Y373" s="95"/>
      <c r="Z373" s="95"/>
      <c r="AA373" s="95"/>
      <c r="AB373" s="95"/>
      <c r="AC373" s="95"/>
      <c r="AD373" s="95"/>
      <c r="AE373" s="95"/>
      <c r="AF373" s="95"/>
      <c r="AG373" s="95"/>
      <c r="AH373" s="95"/>
      <c r="AI373" s="95"/>
      <c r="AJ373" s="95"/>
      <c r="AK373" s="95"/>
      <c r="AL373" s="95"/>
      <c r="AM373" s="95"/>
      <c r="AN373" s="95"/>
      <c r="AO373" s="95"/>
      <c r="AP373" s="95"/>
      <c r="AQ373" s="95"/>
      <c r="AR373" s="95"/>
      <c r="AS373" s="95"/>
      <c r="AT373" s="95"/>
      <c r="AU373" s="95"/>
      <c r="AV373" s="95"/>
      <c r="AW373" s="95"/>
      <c r="AX373" s="95"/>
      <c r="AY373" s="95"/>
      <c r="AZ373" s="95"/>
      <c r="BA373" s="95"/>
      <c r="BB373" s="95"/>
      <c r="BC373" s="95"/>
      <c r="BD373" s="95"/>
      <c r="BE373" s="95"/>
      <c r="BF373" s="95"/>
      <c r="BG373" s="95"/>
      <c r="BH373" s="95"/>
      <c r="BI373" s="95"/>
      <c r="BJ373" s="95"/>
      <c r="BK373" s="95"/>
      <c r="BL373" s="95"/>
      <c r="BM373" s="95"/>
      <c r="BN373" s="95"/>
      <c r="BO373" s="95"/>
      <c r="BP373" s="95"/>
      <c r="BQ373" s="95"/>
      <c r="BR373" s="95"/>
      <c r="BS373" s="95"/>
      <c r="BT373" s="95"/>
      <c r="BU373" s="95"/>
      <c r="BV373" s="95"/>
      <c r="BW373" s="95"/>
      <c r="BX373" s="95"/>
      <c r="BY373" s="95"/>
      <c r="BZ373" s="95"/>
      <c r="CA373" s="95"/>
      <c r="CB373" s="95"/>
      <c r="CC373" s="95"/>
      <c r="CD373" s="95"/>
      <c r="CE373" s="95"/>
      <c r="CF373" s="95"/>
      <c r="CG373" s="95"/>
      <c r="CH373" s="95"/>
      <c r="CI373" s="95"/>
      <c r="CJ373" s="95"/>
      <c r="CK373" s="95"/>
      <c r="CL373" s="95"/>
      <c r="CM373" s="95"/>
      <c r="CN373" s="95"/>
      <c r="CO373" s="95"/>
      <c r="CP373" s="95"/>
      <c r="CQ373" s="95"/>
      <c r="CR373" s="95"/>
      <c r="CS373" s="95"/>
      <c r="CT373" s="95"/>
      <c r="CU373" s="95"/>
      <c r="CV373" s="95"/>
      <c r="CW373" s="95"/>
      <c r="CX373" s="95"/>
      <c r="CY373" s="95"/>
      <c r="CZ373" s="95"/>
      <c r="DA373" s="95"/>
      <c r="DB373" s="95"/>
      <c r="DC373" s="95"/>
      <c r="DD373" s="95"/>
      <c r="DE373" s="95"/>
      <c r="DF373" s="95"/>
      <c r="DG373" s="95"/>
      <c r="DH373" s="95"/>
      <c r="DI373" s="95"/>
      <c r="DJ373" s="95"/>
      <c r="DK373" s="95"/>
      <c r="DL373" s="95"/>
      <c r="DM373" s="95"/>
      <c r="DN373" s="95"/>
      <c r="DO373" s="95"/>
      <c r="DP373" s="95"/>
      <c r="DQ373" s="95"/>
      <c r="DR373" s="95"/>
      <c r="DS373" s="95"/>
      <c r="DT373" s="95"/>
      <c r="DU373" s="95"/>
      <c r="DV373" s="95"/>
      <c r="DW373" s="95"/>
      <c r="DX373" s="95"/>
      <c r="DY373" s="95"/>
      <c r="DZ373" s="95"/>
      <c r="EA373" s="95"/>
      <c r="EB373" s="95"/>
      <c r="EC373" s="95"/>
      <c r="ED373" s="95"/>
      <c r="EE373" s="95"/>
      <c r="EF373" s="95"/>
      <c r="EG373" s="95"/>
      <c r="EH373" s="95"/>
      <c r="EI373" s="95"/>
      <c r="EJ373" s="95"/>
      <c r="EK373" s="95"/>
      <c r="EL373" s="95"/>
      <c r="EM373" s="95"/>
      <c r="EN373" s="95"/>
      <c r="EO373" s="95"/>
      <c r="EP373" s="95"/>
      <c r="EQ373" s="95"/>
      <c r="ER373" s="95"/>
      <c r="ES373" s="95"/>
      <c r="ET373" s="95"/>
      <c r="EU373" s="95"/>
      <c r="EV373" s="95"/>
      <c r="EW373" s="95"/>
      <c r="EX373" s="95"/>
      <c r="EY373" s="95"/>
      <c r="EZ373" s="95"/>
      <c r="FA373" s="95"/>
      <c r="FB373" s="95"/>
      <c r="FC373" s="95"/>
      <c r="FD373" s="95"/>
      <c r="FE373" s="95"/>
      <c r="FF373" s="95"/>
      <c r="FG373" s="95"/>
      <c r="FH373" s="95"/>
      <c r="FI373" s="95"/>
      <c r="FJ373" s="95"/>
      <c r="FK373" s="95"/>
      <c r="FL373" s="95"/>
      <c r="FM373" s="95"/>
      <c r="FN373" s="95"/>
      <c r="FO373" s="95"/>
      <c r="FP373" s="95"/>
      <c r="FQ373" s="95"/>
      <c r="FR373" s="95"/>
    </row>
    <row r="374" spans="1:16383" hidden="1" outlineLevel="2" x14ac:dyDescent="0.35">
      <c r="A374" s="113" t="s">
        <v>25</v>
      </c>
      <c r="B374" s="248" t="s">
        <v>26</v>
      </c>
      <c r="C374" s="249" t="s">
        <v>27</v>
      </c>
      <c r="D374" s="250">
        <f>D361+7</f>
        <v>43008</v>
      </c>
      <c r="E374" s="321" t="s">
        <v>28</v>
      </c>
      <c r="F374" s="251" t="s">
        <v>101</v>
      </c>
      <c r="G374" s="252">
        <v>17555</v>
      </c>
      <c r="H374" s="253">
        <f>(C375-G374)/G374</f>
        <v>0.27627456565081171</v>
      </c>
      <c r="J374" s="595"/>
      <c r="K374" s="95"/>
      <c r="L374" s="95"/>
      <c r="M374" s="95"/>
      <c r="N374" s="95"/>
      <c r="O374" s="95"/>
      <c r="P374" s="95"/>
      <c r="Q374" s="95"/>
      <c r="R374" s="95"/>
      <c r="S374" s="95"/>
      <c r="T374" s="95"/>
      <c r="U374" s="95"/>
      <c r="V374" s="95"/>
      <c r="W374" s="95"/>
      <c r="X374" s="95"/>
      <c r="Y374" s="95"/>
      <c r="Z374" s="95"/>
      <c r="AA374" s="95"/>
      <c r="AB374" s="95"/>
      <c r="AC374" s="95"/>
      <c r="AD374" s="95"/>
      <c r="AE374" s="95"/>
      <c r="AF374" s="95"/>
      <c r="AG374" s="95"/>
      <c r="AH374" s="95"/>
      <c r="AI374" s="95"/>
      <c r="AJ374" s="95"/>
      <c r="AK374" s="95"/>
      <c r="AL374" s="95"/>
      <c r="AM374" s="95"/>
      <c r="AN374" s="95"/>
      <c r="AO374" s="95"/>
      <c r="AP374" s="95"/>
      <c r="AQ374" s="95"/>
      <c r="AR374" s="95"/>
      <c r="AS374" s="95"/>
      <c r="AT374" s="95"/>
      <c r="AU374" s="95"/>
      <c r="AV374" s="95"/>
      <c r="AW374" s="95"/>
      <c r="AX374" s="95"/>
      <c r="AY374" s="95"/>
      <c r="AZ374" s="95"/>
      <c r="BA374" s="95"/>
      <c r="BB374" s="95"/>
      <c r="BC374" s="95"/>
      <c r="BD374" s="95"/>
      <c r="BE374" s="95"/>
      <c r="BF374" s="95"/>
      <c r="BG374" s="95"/>
      <c r="BH374" s="95"/>
      <c r="BI374" s="95"/>
      <c r="BJ374" s="95"/>
      <c r="BK374" s="95"/>
      <c r="BL374" s="95"/>
      <c r="BM374" s="95"/>
      <c r="BN374" s="95"/>
      <c r="BO374" s="95"/>
      <c r="BP374" s="95"/>
      <c r="BQ374" s="95"/>
      <c r="BR374" s="95"/>
      <c r="BS374" s="95"/>
      <c r="BT374" s="95"/>
      <c r="BU374" s="95"/>
      <c r="BV374" s="95"/>
      <c r="BW374" s="95"/>
      <c r="BX374" s="95"/>
      <c r="BY374" s="95"/>
      <c r="BZ374" s="95"/>
      <c r="CA374" s="95"/>
      <c r="CB374" s="95"/>
      <c r="CC374" s="95"/>
      <c r="CD374" s="95"/>
      <c r="CE374" s="95"/>
      <c r="CF374" s="95"/>
      <c r="CG374" s="95"/>
      <c r="CH374" s="95"/>
      <c r="CI374" s="95"/>
      <c r="CJ374" s="95"/>
      <c r="CK374" s="95"/>
      <c r="CL374" s="95"/>
      <c r="CM374" s="95"/>
      <c r="CN374" s="95"/>
      <c r="CO374" s="95"/>
      <c r="CP374" s="95"/>
      <c r="CQ374" s="95"/>
      <c r="CR374" s="95"/>
      <c r="CS374" s="95"/>
      <c r="CT374" s="95"/>
      <c r="CU374" s="95"/>
      <c r="CV374" s="95"/>
      <c r="CW374" s="95"/>
      <c r="CX374" s="95"/>
      <c r="CY374" s="95"/>
      <c r="CZ374" s="95"/>
      <c r="DA374" s="95"/>
      <c r="DB374" s="95"/>
      <c r="DC374" s="95"/>
      <c r="DD374" s="95"/>
      <c r="DE374" s="95"/>
      <c r="DF374" s="95"/>
      <c r="DG374" s="95"/>
      <c r="DH374" s="95"/>
      <c r="DI374" s="95"/>
      <c r="DJ374" s="95"/>
      <c r="DK374" s="95"/>
      <c r="DL374" s="95"/>
      <c r="DM374" s="95"/>
      <c r="DN374" s="95"/>
      <c r="DO374" s="95"/>
      <c r="DP374" s="95"/>
      <c r="DQ374" s="95"/>
      <c r="DR374" s="95"/>
      <c r="DS374" s="95"/>
      <c r="DT374" s="95"/>
      <c r="DU374" s="95"/>
      <c r="DV374" s="95"/>
      <c r="DW374" s="95"/>
      <c r="DX374" s="95"/>
      <c r="DY374" s="95"/>
      <c r="DZ374" s="95"/>
      <c r="EA374" s="95"/>
      <c r="EB374" s="95"/>
      <c r="EC374" s="95"/>
      <c r="ED374" s="95"/>
      <c r="EE374" s="95"/>
      <c r="EF374" s="95"/>
      <c r="EG374" s="95"/>
      <c r="EH374" s="95"/>
      <c r="EI374" s="95"/>
      <c r="EJ374" s="95"/>
      <c r="EK374" s="95"/>
      <c r="EL374" s="95"/>
      <c r="EM374" s="95"/>
      <c r="EN374" s="95"/>
      <c r="EO374" s="95"/>
      <c r="EP374" s="95"/>
      <c r="EQ374" s="95"/>
      <c r="ER374" s="95"/>
      <c r="ES374" s="95"/>
      <c r="ET374" s="95"/>
      <c r="EU374" s="95"/>
      <c r="EV374" s="95"/>
      <c r="EW374" s="95"/>
      <c r="EX374" s="95"/>
      <c r="EY374" s="95"/>
      <c r="EZ374" s="95"/>
      <c r="FA374" s="95"/>
      <c r="FB374" s="95"/>
      <c r="FC374" s="95"/>
      <c r="FD374" s="95"/>
      <c r="FE374" s="95"/>
      <c r="FF374" s="95"/>
      <c r="FG374" s="95"/>
      <c r="FH374" s="95"/>
      <c r="FI374" s="95"/>
      <c r="FJ374" s="95"/>
      <c r="FK374" s="95"/>
      <c r="FL374" s="95"/>
      <c r="FM374" s="95"/>
      <c r="FN374" s="95"/>
      <c r="FO374" s="95"/>
      <c r="FP374" s="95"/>
      <c r="FQ374" s="95"/>
      <c r="FR374" s="95"/>
    </row>
    <row r="375" spans="1:16383" ht="16" hidden="1" outlineLevel="2" thickBot="1" x14ac:dyDescent="0.4">
      <c r="A375" s="254" t="s">
        <v>32</v>
      </c>
      <c r="B375" s="255" t="str">
        <f ca="1">TEXT(TODAY(),"ddd")</f>
        <v>Sun</v>
      </c>
      <c r="C375" s="256">
        <v>22405</v>
      </c>
      <c r="D375" s="322">
        <f>C375-C362</f>
        <v>55</v>
      </c>
      <c r="E375" s="356"/>
      <c r="F375" s="608"/>
      <c r="G375" s="609">
        <v>4766</v>
      </c>
      <c r="H375" s="260">
        <f>(C376-G375)/G375</f>
        <v>0.36277801091061684</v>
      </c>
    </row>
    <row r="376" spans="1:16383" hidden="1" outlineLevel="2" x14ac:dyDescent="0.35">
      <c r="A376" s="262" t="s">
        <v>36</v>
      </c>
      <c r="B376" s="263"/>
      <c r="C376" s="419">
        <v>6495</v>
      </c>
      <c r="D376" s="223">
        <f>C376-C363</f>
        <v>69</v>
      </c>
      <c r="E376" s="420">
        <f>(C376-C363)/C363</f>
        <v>1.0737628384687208E-2</v>
      </c>
      <c r="F376" s="617" t="s">
        <v>37</v>
      </c>
      <c r="G376" s="618" t="s">
        <v>38</v>
      </c>
      <c r="H376" s="619" t="s">
        <v>102</v>
      </c>
    </row>
    <row r="377" spans="1:16383" hidden="1" outlineLevel="2" x14ac:dyDescent="0.35">
      <c r="A377" s="269" t="s">
        <v>135</v>
      </c>
      <c r="B377" s="270">
        <v>260</v>
      </c>
      <c r="C377" s="271">
        <v>185.04</v>
      </c>
      <c r="D377" s="272">
        <f>C377*B377</f>
        <v>48110.400000000001</v>
      </c>
      <c r="E377" s="273">
        <f>(C377-C364)/C377</f>
        <v>4.4368785127539882E-2</v>
      </c>
      <c r="F377" s="617">
        <f>D377/D384</f>
        <v>0.18474283425167187</v>
      </c>
      <c r="G377" s="516">
        <v>18</v>
      </c>
      <c r="H377" s="517">
        <v>0.51</v>
      </c>
      <c r="I377" s="518">
        <f>D377-D364</f>
        <v>2134.5999999999985</v>
      </c>
    </row>
    <row r="378" spans="1:16383" hidden="1" outlineLevel="2" x14ac:dyDescent="0.35">
      <c r="A378" s="197" t="s">
        <v>49</v>
      </c>
      <c r="B378" s="289">
        <v>267.423</v>
      </c>
      <c r="C378" s="290">
        <v>178.77</v>
      </c>
      <c r="D378" s="291">
        <f>C378*B378</f>
        <v>47807.209710000003</v>
      </c>
      <c r="E378" s="292">
        <f>(C378-C365)/C378</f>
        <v>-1.2865693348995343E-3</v>
      </c>
      <c r="F378" s="645">
        <f>D378/D384</f>
        <v>0.18357859048125663</v>
      </c>
      <c r="G378" s="520">
        <v>48</v>
      </c>
      <c r="H378" s="521">
        <v>0.56000000000000005</v>
      </c>
      <c r="I378" s="542">
        <f>D378-D365</f>
        <v>-61.5072899999941</v>
      </c>
    </row>
    <row r="379" spans="1:16383" hidden="1" outlineLevel="2" x14ac:dyDescent="0.35">
      <c r="A379" s="284" t="s">
        <v>95</v>
      </c>
      <c r="B379" s="285">
        <v>130</v>
      </c>
      <c r="C379" s="286">
        <v>181.35</v>
      </c>
      <c r="D379" s="287">
        <f>C379*B379</f>
        <v>23575.5</v>
      </c>
      <c r="E379" s="296">
        <f>(C379-C366)/C379</f>
        <v>-3.3085194375516956E-2</v>
      </c>
      <c r="F379" s="645">
        <f>D379/D384</f>
        <v>9.0529380111167027E-2</v>
      </c>
      <c r="G379" s="651">
        <v>229</v>
      </c>
      <c r="H379" s="521">
        <v>0.32</v>
      </c>
      <c r="I379" s="400">
        <f>D379-D366</f>
        <v>-780</v>
      </c>
    </row>
    <row r="380" spans="1:16383" hidden="1" outlineLevel="2" x14ac:dyDescent="0.35">
      <c r="A380" s="386" t="s">
        <v>96</v>
      </c>
      <c r="B380" s="387">
        <v>120</v>
      </c>
      <c r="C380" s="388">
        <v>1045.8800000000001</v>
      </c>
      <c r="D380" s="389">
        <f>C380*B380</f>
        <v>125505.60000000001</v>
      </c>
      <c r="E380" s="390">
        <f>(C380-C367)/C380</f>
        <v>1.3730064634566228E-2</v>
      </c>
      <c r="F380" s="645">
        <f>D380/D384</f>
        <v>0.48193862986914743</v>
      </c>
      <c r="G380" s="520">
        <v>50</v>
      </c>
      <c r="H380" s="521">
        <v>0.12</v>
      </c>
      <c r="I380" s="399">
        <f>D380-D367</f>
        <v>1723.2000000000116</v>
      </c>
    </row>
    <row r="381" spans="1:16383" ht="16" hidden="1" outlineLevel="2" thickBot="1" x14ac:dyDescent="0.4">
      <c r="A381" s="295" t="s">
        <v>104</v>
      </c>
      <c r="B381" s="285">
        <v>153</v>
      </c>
      <c r="C381" s="286">
        <v>77.06</v>
      </c>
      <c r="D381" s="287">
        <f>C381*B381</f>
        <v>11790.18</v>
      </c>
      <c r="E381" s="288">
        <f>(C381-C368)/C381</f>
        <v>1.1938749026732438E-2</v>
      </c>
      <c r="F381" s="662">
        <f>D381/D384</f>
        <v>4.5274021199935496E-2</v>
      </c>
      <c r="G381" s="663">
        <v>36</v>
      </c>
      <c r="H381" s="521">
        <v>0.23</v>
      </c>
      <c r="I381" s="399">
        <f>D381-D368</f>
        <v>140.76000000000022</v>
      </c>
    </row>
    <row r="382" spans="1:16383" ht="16" hidden="1" outlineLevel="2" thickBot="1" x14ac:dyDescent="0.4">
      <c r="A382" s="391" t="s">
        <v>7</v>
      </c>
      <c r="B382" s="392"/>
      <c r="C382" s="393"/>
      <c r="D382" s="394">
        <v>1641</v>
      </c>
      <c r="E382" s="593"/>
      <c r="F382" s="665">
        <f>SUM(F377:F381)</f>
        <v>0.98606345591317845</v>
      </c>
      <c r="G382" s="666">
        <f>AVERAGE(G377:G381)</f>
        <v>76.2</v>
      </c>
      <c r="H382" s="330">
        <f>AVERAGE(H377:H381)</f>
        <v>0.34800000000000003</v>
      </c>
      <c r="I382" s="667">
        <f>SUM(I377:I381)</f>
        <v>3157.0527100000163</v>
      </c>
    </row>
    <row r="383" spans="1:16383" ht="16" hidden="1" outlineLevel="2" thickBot="1" x14ac:dyDescent="0.4">
      <c r="A383" s="342" t="s">
        <v>60</v>
      </c>
      <c r="B383" s="350"/>
      <c r="C383" s="351"/>
      <c r="D383" s="352">
        <f>1988.33</f>
        <v>1988.33</v>
      </c>
      <c r="E383" s="332"/>
      <c r="G383" s="93">
        <f>0.423*C378</f>
        <v>75.619709999999998</v>
      </c>
    </row>
    <row r="384" spans="1:16383" s="149" customFormat="1" ht="19" hidden="1" outlineLevel="2" thickBot="1" x14ac:dyDescent="0.5">
      <c r="A384" s="582" t="s">
        <v>62</v>
      </c>
      <c r="B384" s="583"/>
      <c r="C384" s="584"/>
      <c r="D384" s="585">
        <f>SUM(D377:D383)</f>
        <v>260418.21971</v>
      </c>
      <c r="E384" s="586">
        <f>D384-D372</f>
        <v>3101.3227100000076</v>
      </c>
      <c r="F384" s="587">
        <f>(D384-D372)/D372</f>
        <v>1.2052542006209595E-2</v>
      </c>
      <c r="G384" s="574"/>
      <c r="H384" s="148"/>
      <c r="I384" s="148"/>
      <c r="J384" s="148"/>
    </row>
    <row r="385" spans="1:10" hidden="1" outlineLevel="2" x14ac:dyDescent="0.35"/>
    <row r="386" spans="1:10" hidden="1" outlineLevel="2" x14ac:dyDescent="0.35">
      <c r="A386" s="113" t="s">
        <v>25</v>
      </c>
      <c r="B386" s="248" t="s">
        <v>26</v>
      </c>
      <c r="C386" s="249" t="s">
        <v>27</v>
      </c>
      <c r="D386" s="250">
        <f>D374+7</f>
        <v>43015</v>
      </c>
      <c r="E386" s="321" t="s">
        <v>28</v>
      </c>
      <c r="F386" s="251" t="s">
        <v>101</v>
      </c>
      <c r="G386" s="252">
        <v>17555</v>
      </c>
      <c r="H386" s="253">
        <f>(C387-G386)/G386</f>
        <v>0.29729421817146112</v>
      </c>
    </row>
    <row r="387" spans="1:10" ht="16" hidden="1" outlineLevel="2" thickBot="1" x14ac:dyDescent="0.4">
      <c r="A387" s="254" t="s">
        <v>32</v>
      </c>
      <c r="B387" s="255" t="str">
        <f ca="1">TEXT(TODAY(),"ddd")</f>
        <v>Sun</v>
      </c>
      <c r="C387" s="256">
        <v>22774</v>
      </c>
      <c r="D387" s="322">
        <f>C387-C375</f>
        <v>369</v>
      </c>
      <c r="E387" s="356"/>
      <c r="F387" s="608"/>
      <c r="G387" s="609">
        <v>4766</v>
      </c>
      <c r="H387" s="260">
        <f>(C388-G387)/G387</f>
        <v>0.38271086865295845</v>
      </c>
    </row>
    <row r="388" spans="1:10" hidden="1" outlineLevel="2" x14ac:dyDescent="0.35">
      <c r="A388" s="262" t="s">
        <v>36</v>
      </c>
      <c r="B388" s="263"/>
      <c r="C388" s="419">
        <v>6590</v>
      </c>
      <c r="D388" s="223">
        <f>C388-C376</f>
        <v>95</v>
      </c>
      <c r="E388" s="420">
        <f>(C388-C376)/C376</f>
        <v>1.4626635873749037E-2</v>
      </c>
      <c r="F388" s="617" t="s">
        <v>37</v>
      </c>
      <c r="G388" s="618" t="s">
        <v>38</v>
      </c>
      <c r="H388" s="619" t="s">
        <v>102</v>
      </c>
    </row>
    <row r="389" spans="1:10" hidden="1" outlineLevel="2" x14ac:dyDescent="0.35">
      <c r="A389" s="269" t="s">
        <v>135</v>
      </c>
      <c r="B389" s="270">
        <v>260</v>
      </c>
      <c r="C389" s="271">
        <v>184.83</v>
      </c>
      <c r="D389" s="272">
        <f>C389*B389</f>
        <v>48055.8</v>
      </c>
      <c r="E389" s="397">
        <f>(C389-C377)/C389</f>
        <v>-1.13617919168955E-3</v>
      </c>
      <c r="F389" s="630">
        <f>D389/D396</f>
        <v>0.17957253747655239</v>
      </c>
      <c r="G389" s="631">
        <v>18</v>
      </c>
      <c r="H389" s="517">
        <v>0.51</v>
      </c>
      <c r="I389" s="398">
        <f>D389-D377</f>
        <v>-54.599999999998545</v>
      </c>
    </row>
    <row r="390" spans="1:10" hidden="1" outlineLevel="2" x14ac:dyDescent="0.35">
      <c r="A390" s="197" t="s">
        <v>49</v>
      </c>
      <c r="B390" s="289">
        <v>267.423</v>
      </c>
      <c r="C390" s="290">
        <v>181.3</v>
      </c>
      <c r="D390" s="291">
        <f>C390*B390</f>
        <v>48483.789900000003</v>
      </c>
      <c r="E390" s="328">
        <f>(C390-C378)/C390</f>
        <v>1.3954771097628245E-2</v>
      </c>
      <c r="F390" s="645">
        <f>D390/D396</f>
        <v>0.18117182897429743</v>
      </c>
      <c r="G390" s="520">
        <v>48</v>
      </c>
      <c r="H390" s="521">
        <v>0.56000000000000005</v>
      </c>
      <c r="I390" s="399">
        <f>D390-D378</f>
        <v>676.58019000000058</v>
      </c>
    </row>
    <row r="391" spans="1:10" hidden="1" outlineLevel="2" x14ac:dyDescent="0.35">
      <c r="A391" s="284" t="s">
        <v>95</v>
      </c>
      <c r="B391" s="285">
        <v>130</v>
      </c>
      <c r="C391" s="286">
        <v>198.02</v>
      </c>
      <c r="D391" s="287">
        <f>C391*B391</f>
        <v>25742.600000000002</v>
      </c>
      <c r="E391" s="288">
        <f>(C391-C379)/C391</f>
        <v>8.4183415816584256E-2</v>
      </c>
      <c r="F391" s="645">
        <f>D391/D396</f>
        <v>9.6193674920486139E-2</v>
      </c>
      <c r="G391" s="651">
        <v>215</v>
      </c>
      <c r="H391" s="521">
        <v>0.32</v>
      </c>
      <c r="I391" s="523">
        <f>D391-D379</f>
        <v>2167.1000000000022</v>
      </c>
    </row>
    <row r="392" spans="1:10" hidden="1" outlineLevel="2" x14ac:dyDescent="0.35">
      <c r="A392" s="386" t="s">
        <v>96</v>
      </c>
      <c r="B392" s="387">
        <v>360</v>
      </c>
      <c r="C392" s="388">
        <v>361.47</v>
      </c>
      <c r="D392" s="389">
        <f>C392*B392</f>
        <v>130129.20000000001</v>
      </c>
      <c r="E392" s="288">
        <f>(C392-C380)/C392</f>
        <v>-1.8934074750325063</v>
      </c>
      <c r="F392" s="645">
        <f>D392/D396</f>
        <v>0.48626036074300671</v>
      </c>
      <c r="G392" s="520">
        <v>50</v>
      </c>
      <c r="H392" s="521">
        <v>0.12</v>
      </c>
      <c r="I392" s="399">
        <f>D392-D380</f>
        <v>4623.6000000000058</v>
      </c>
      <c r="J392" s="118">
        <f>SUM(I392+I380+I367+I355)</f>
        <v>4729.2000000000116</v>
      </c>
    </row>
    <row r="393" spans="1:10" hidden="1" outlineLevel="2" x14ac:dyDescent="0.35">
      <c r="A393" s="295" t="s">
        <v>104</v>
      </c>
      <c r="B393" s="285">
        <v>153</v>
      </c>
      <c r="C393" s="286">
        <v>75.62</v>
      </c>
      <c r="D393" s="287">
        <f>C393*B393</f>
        <v>11569.86</v>
      </c>
      <c r="E393" s="296">
        <f>(C393-C381)/C393</f>
        <v>-1.9042581327691054E-2</v>
      </c>
      <c r="F393" s="645">
        <f>D393/D396</f>
        <v>4.3233680813730378E-2</v>
      </c>
      <c r="G393" s="659">
        <v>36</v>
      </c>
      <c r="H393" s="521">
        <v>0.23</v>
      </c>
      <c r="I393" s="542">
        <f>D393-D381</f>
        <v>-220.31999999999971</v>
      </c>
      <c r="J393" s="118">
        <f>D392-D343</f>
        <v>4729.2000000000116</v>
      </c>
    </row>
    <row r="394" spans="1:10" ht="16" hidden="1" outlineLevel="2" thickBot="1" x14ac:dyDescent="0.4">
      <c r="A394" s="391" t="s">
        <v>7</v>
      </c>
      <c r="B394" s="392"/>
      <c r="C394" s="393"/>
      <c r="D394" s="394">
        <v>1652.94</v>
      </c>
      <c r="E394" s="593"/>
      <c r="F394" s="665">
        <f>SUM(F389:F393)</f>
        <v>0.98643208292807305</v>
      </c>
      <c r="G394" s="666">
        <f>AVERAGE(G389:G393)</f>
        <v>73.400000000000006</v>
      </c>
      <c r="H394" s="330">
        <f>AVERAGE(H389:H393)</f>
        <v>0.34800000000000003</v>
      </c>
      <c r="I394" s="667">
        <f>SUM(I389:I393)</f>
        <v>7192.3601900000103</v>
      </c>
    </row>
    <row r="395" spans="1:10" ht="16" hidden="1" outlineLevel="2" thickBot="1" x14ac:dyDescent="0.4">
      <c r="A395" s="342" t="s">
        <v>60</v>
      </c>
      <c r="B395" s="350"/>
      <c r="C395" s="351"/>
      <c r="D395" s="352">
        <v>1978</v>
      </c>
      <c r="E395" s="332"/>
      <c r="G395" s="93">
        <f>0.423*C390</f>
        <v>76.689900000000009</v>
      </c>
    </row>
    <row r="396" spans="1:10" s="149" customFormat="1" ht="19" hidden="1" outlineLevel="2" thickBot="1" x14ac:dyDescent="0.5">
      <c r="A396" s="582" t="s">
        <v>62</v>
      </c>
      <c r="B396" s="583"/>
      <c r="C396" s="584"/>
      <c r="D396" s="585">
        <f>SUM(D389:D395)</f>
        <v>267612.1899</v>
      </c>
      <c r="E396" s="586">
        <f>D396-D384</f>
        <v>7193.9701899999927</v>
      </c>
      <c r="F396" s="587">
        <f>(D396-D384)/D384</f>
        <v>2.7624680784666872E-2</v>
      </c>
      <c r="G396" s="574"/>
      <c r="H396" s="148"/>
      <c r="I396" s="148"/>
      <c r="J396" s="148"/>
    </row>
    <row r="397" spans="1:10" hidden="1" outlineLevel="2" x14ac:dyDescent="0.35"/>
    <row r="398" spans="1:10" hidden="1" outlineLevel="2" x14ac:dyDescent="0.35">
      <c r="A398" s="113" t="s">
        <v>25</v>
      </c>
      <c r="B398" s="248" t="s">
        <v>26</v>
      </c>
      <c r="C398" s="249" t="s">
        <v>27</v>
      </c>
      <c r="D398" s="250">
        <f>D386+7</f>
        <v>43022</v>
      </c>
      <c r="E398" s="321" t="s">
        <v>28</v>
      </c>
      <c r="F398" s="251" t="s">
        <v>101</v>
      </c>
      <c r="G398" s="252">
        <v>17555</v>
      </c>
      <c r="H398" s="253">
        <f>(C399-G398)/G398</f>
        <v>0.30287667331244661</v>
      </c>
    </row>
    <row r="399" spans="1:10" ht="16" hidden="1" outlineLevel="2" thickBot="1" x14ac:dyDescent="0.4">
      <c r="A399" s="254" t="s">
        <v>32</v>
      </c>
      <c r="B399" s="255" t="str">
        <f ca="1">TEXT(TODAY(),"ddd")</f>
        <v>Sun</v>
      </c>
      <c r="C399" s="256">
        <v>22872</v>
      </c>
      <c r="D399" s="322">
        <f>C399-C387</f>
        <v>98</v>
      </c>
      <c r="E399" s="356"/>
      <c r="F399" s="608"/>
      <c r="G399" s="609">
        <v>4766</v>
      </c>
      <c r="H399" s="260">
        <f>(C400-G399)/G399</f>
        <v>0.38585816198069661</v>
      </c>
    </row>
    <row r="400" spans="1:10" hidden="1" outlineLevel="2" x14ac:dyDescent="0.35">
      <c r="A400" s="262" t="s">
        <v>36</v>
      </c>
      <c r="B400" s="263"/>
      <c r="C400" s="419">
        <v>6605</v>
      </c>
      <c r="D400" s="223">
        <f>C400-C388</f>
        <v>15</v>
      </c>
      <c r="E400" s="420">
        <f>(C400-C388)/C389</f>
        <v>8.1155656549261476E-2</v>
      </c>
      <c r="F400" s="617" t="s">
        <v>37</v>
      </c>
      <c r="G400" s="618" t="s">
        <v>38</v>
      </c>
      <c r="H400" s="619" t="s">
        <v>102</v>
      </c>
    </row>
    <row r="401" spans="1:10" hidden="1" outlineLevel="2" x14ac:dyDescent="0.35">
      <c r="A401" s="269" t="s">
        <v>135</v>
      </c>
      <c r="B401" s="270">
        <v>260</v>
      </c>
      <c r="C401" s="271">
        <v>189.9</v>
      </c>
      <c r="D401" s="272">
        <f>C401*B401</f>
        <v>49374</v>
      </c>
      <c r="E401" s="273">
        <f>(C401-C389)/C401</f>
        <v>2.6698262243285902E-2</v>
      </c>
      <c r="F401" s="630">
        <f>D401/D408</f>
        <v>0.18196965629725481</v>
      </c>
      <c r="G401" s="631">
        <v>18</v>
      </c>
      <c r="H401" s="517">
        <v>0.51</v>
      </c>
      <c r="I401" s="518">
        <f>D401-D389</f>
        <v>1318.1999999999971</v>
      </c>
    </row>
    <row r="402" spans="1:10" hidden="1" outlineLevel="2" x14ac:dyDescent="0.35">
      <c r="A402" s="197" t="s">
        <v>49</v>
      </c>
      <c r="B402" s="289">
        <v>267.423</v>
      </c>
      <c r="C402" s="290">
        <v>194.59</v>
      </c>
      <c r="D402" s="291">
        <f>C402*B402</f>
        <v>52037.841570000004</v>
      </c>
      <c r="E402" s="328">
        <f>(C402-C390)/C402</f>
        <v>6.8297445911917318E-2</v>
      </c>
      <c r="F402" s="645">
        <f>D402/D408</f>
        <v>0.1917873404006947</v>
      </c>
      <c r="G402" s="520">
        <v>48</v>
      </c>
      <c r="H402" s="521">
        <v>0.56000000000000005</v>
      </c>
      <c r="I402" s="399">
        <f>D402-D390</f>
        <v>3554.0516700000007</v>
      </c>
    </row>
    <row r="403" spans="1:10" hidden="1" outlineLevel="2" x14ac:dyDescent="0.35">
      <c r="A403" s="284" t="s">
        <v>95</v>
      </c>
      <c r="B403" s="285">
        <v>130</v>
      </c>
      <c r="C403" s="286">
        <v>199.49</v>
      </c>
      <c r="D403" s="287">
        <f>C403*B403</f>
        <v>25933.7</v>
      </c>
      <c r="E403" s="288">
        <f>(C403-C391)/C403</f>
        <v>7.3687904155596709E-3</v>
      </c>
      <c r="F403" s="645">
        <f>D403/D408</f>
        <v>9.5579585926117344E-2</v>
      </c>
      <c r="G403" s="651">
        <v>229</v>
      </c>
      <c r="H403" s="521">
        <v>0.32</v>
      </c>
      <c r="I403" s="523">
        <f>D403-D391</f>
        <v>191.09999999999854</v>
      </c>
    </row>
    <row r="404" spans="1:10" hidden="1" outlineLevel="2" x14ac:dyDescent="0.35">
      <c r="A404" s="386" t="s">
        <v>96</v>
      </c>
      <c r="B404" s="387">
        <v>360</v>
      </c>
      <c r="C404" s="388">
        <v>362.29</v>
      </c>
      <c r="D404" s="389">
        <f>C404*B404</f>
        <v>130424.40000000001</v>
      </c>
      <c r="E404" s="390">
        <f>(C404-C392)/C404</f>
        <v>2.2633801650611199E-3</v>
      </c>
      <c r="F404" s="645">
        <f>D404/D408</f>
        <v>0.48068382632105328</v>
      </c>
      <c r="G404" s="520">
        <v>50</v>
      </c>
      <c r="H404" s="521">
        <v>0.12</v>
      </c>
      <c r="I404" s="399">
        <f>D404-D392</f>
        <v>295.19999999999709</v>
      </c>
    </row>
    <row r="405" spans="1:10" hidden="1" outlineLevel="2" x14ac:dyDescent="0.35">
      <c r="A405" s="295" t="s">
        <v>104</v>
      </c>
      <c r="B405" s="285">
        <v>153</v>
      </c>
      <c r="C405" s="286">
        <v>76.62</v>
      </c>
      <c r="D405" s="287">
        <f>C405*B405</f>
        <v>11722.86</v>
      </c>
      <c r="E405" s="288">
        <f>(C405-C393)/C405</f>
        <v>1.305142260506395E-2</v>
      </c>
      <c r="F405" s="645">
        <f>D405/D408</f>
        <v>4.3205022988229369E-2</v>
      </c>
      <c r="G405" s="659">
        <v>36</v>
      </c>
      <c r="H405" s="521">
        <v>0.23</v>
      </c>
      <c r="I405" s="399">
        <f>D405-D393</f>
        <v>153</v>
      </c>
    </row>
    <row r="406" spans="1:10" ht="16" hidden="1" outlineLevel="2" thickBot="1" x14ac:dyDescent="0.4">
      <c r="A406" s="391" t="s">
        <v>7</v>
      </c>
      <c r="B406" s="392"/>
      <c r="C406" s="393"/>
      <c r="D406" s="394">
        <v>1660.15</v>
      </c>
      <c r="E406" s="593"/>
      <c r="F406" s="665">
        <f>SUM(F401:F405)</f>
        <v>0.99322543193334945</v>
      </c>
      <c r="G406" s="666">
        <f>AVERAGE(G401:G405)</f>
        <v>76.2</v>
      </c>
      <c r="H406" s="330">
        <f>AVERAGE(H401:H405)</f>
        <v>0.34800000000000003</v>
      </c>
      <c r="I406" s="667">
        <f>SUM(I401:I405)</f>
        <v>5511.5516699999935</v>
      </c>
    </row>
    <row r="407" spans="1:10" ht="16" hidden="1" outlineLevel="2" thickBot="1" x14ac:dyDescent="0.4">
      <c r="A407" s="342" t="s">
        <v>60</v>
      </c>
      <c r="B407" s="350"/>
      <c r="C407" s="351"/>
      <c r="D407" s="352">
        <v>178</v>
      </c>
      <c r="E407" s="332"/>
      <c r="G407" s="93">
        <f>0.423*C402</f>
        <v>82.311570000000003</v>
      </c>
    </row>
    <row r="408" spans="1:10" s="149" customFormat="1" ht="19" hidden="1" outlineLevel="2" thickBot="1" x14ac:dyDescent="0.5">
      <c r="A408" s="582" t="s">
        <v>62</v>
      </c>
      <c r="B408" s="583"/>
      <c r="C408" s="584"/>
      <c r="D408" s="585">
        <f>SUM(D401:D407)</f>
        <v>271330.95157000003</v>
      </c>
      <c r="E408" s="586">
        <f>D408-D396</f>
        <v>3718.7616700000362</v>
      </c>
      <c r="F408" s="587">
        <f>(D408-D396)/D396</f>
        <v>1.3896084746325064E-2</v>
      </c>
      <c r="G408" s="574"/>
      <c r="H408" s="148"/>
      <c r="I408" s="148"/>
      <c r="J408" s="148"/>
    </row>
    <row r="409" spans="1:10" hidden="1" outlineLevel="2" x14ac:dyDescent="0.35"/>
    <row r="410" spans="1:10" hidden="1" outlineLevel="2" x14ac:dyDescent="0.35">
      <c r="A410" s="113" t="s">
        <v>25</v>
      </c>
      <c r="B410" s="248" t="s">
        <v>26</v>
      </c>
      <c r="C410" s="249" t="s">
        <v>27</v>
      </c>
      <c r="D410" s="250">
        <f>D398+7</f>
        <v>43029</v>
      </c>
      <c r="E410" s="321" t="s">
        <v>28</v>
      </c>
      <c r="F410" s="251" t="s">
        <v>101</v>
      </c>
      <c r="G410" s="252">
        <v>17555</v>
      </c>
      <c r="H410" s="253">
        <f>(C411-G410)/G410</f>
        <v>0.32890914269438909</v>
      </c>
    </row>
    <row r="411" spans="1:10" hidden="1" outlineLevel="2" x14ac:dyDescent="0.35">
      <c r="A411" s="254" t="s">
        <v>32</v>
      </c>
      <c r="B411" s="255" t="str">
        <f ca="1">TEXT(TODAY(),"ddd")</f>
        <v>Sun</v>
      </c>
      <c r="C411" s="256">
        <v>23329</v>
      </c>
      <c r="D411" s="322">
        <f>C411-C399</f>
        <v>457</v>
      </c>
      <c r="E411" s="356"/>
      <c r="F411" s="608"/>
      <c r="G411" s="609">
        <v>4766</v>
      </c>
      <c r="H411" s="685">
        <f>(C412-G411)/G411</f>
        <v>0.39089383130507765</v>
      </c>
    </row>
    <row r="412" spans="1:10" hidden="1" outlineLevel="2" x14ac:dyDescent="0.35">
      <c r="A412" s="262" t="s">
        <v>36</v>
      </c>
      <c r="B412" s="263"/>
      <c r="C412" s="419">
        <v>6629</v>
      </c>
      <c r="D412" s="223">
        <f>C412-C400</f>
        <v>24</v>
      </c>
      <c r="E412" s="420">
        <f>(C412-C400)/C401</f>
        <v>0.1263823064770932</v>
      </c>
      <c r="F412" s="617" t="s">
        <v>37</v>
      </c>
      <c r="G412" s="686" t="s">
        <v>38</v>
      </c>
      <c r="H412" s="687" t="s">
        <v>102</v>
      </c>
    </row>
    <row r="413" spans="1:10" hidden="1" outlineLevel="2" x14ac:dyDescent="0.35">
      <c r="A413" s="269" t="s">
        <v>135</v>
      </c>
      <c r="B413" s="270">
        <v>260</v>
      </c>
      <c r="C413" s="271">
        <v>205.34</v>
      </c>
      <c r="D413" s="272">
        <f t="shared" ref="D413:D418" si="27">C413*B413</f>
        <v>53388.4</v>
      </c>
      <c r="E413" s="273">
        <f>(C413-C401)/C413</f>
        <v>7.5192363884289459E-2</v>
      </c>
      <c r="F413" s="617">
        <f>D413/D421</f>
        <v>0.1921438011803322</v>
      </c>
      <c r="G413" s="688">
        <v>18</v>
      </c>
      <c r="H413" s="689">
        <v>0.51</v>
      </c>
      <c r="I413" s="489">
        <f>D413-D401</f>
        <v>4014.4000000000015</v>
      </c>
    </row>
    <row r="414" spans="1:10" hidden="1" outlineLevel="2" x14ac:dyDescent="0.35">
      <c r="A414" s="197" t="s">
        <v>49</v>
      </c>
      <c r="B414" s="289">
        <v>267.423</v>
      </c>
      <c r="C414" s="290">
        <v>196.9</v>
      </c>
      <c r="D414" s="291">
        <f t="shared" si="27"/>
        <v>52655.5887</v>
      </c>
      <c r="E414" s="328">
        <f>(C414-C402)/C414</f>
        <v>1.1731843575419006E-2</v>
      </c>
      <c r="F414" s="645">
        <f>D414/D421</f>
        <v>0.18950642772973428</v>
      </c>
      <c r="G414" s="690">
        <v>48</v>
      </c>
      <c r="H414" s="492">
        <v>0.56000000000000005</v>
      </c>
      <c r="I414" s="493">
        <f>D414-D402</f>
        <v>617.7471299999961</v>
      </c>
    </row>
    <row r="415" spans="1:10" hidden="1" outlineLevel="2" x14ac:dyDescent="0.35">
      <c r="A415" s="284" t="s">
        <v>95</v>
      </c>
      <c r="B415" s="285">
        <v>130</v>
      </c>
      <c r="C415" s="286">
        <v>194.16</v>
      </c>
      <c r="D415" s="287">
        <f t="shared" si="27"/>
        <v>25240.799999999999</v>
      </c>
      <c r="E415" s="296">
        <f>(C415-C403)/C415</f>
        <v>-2.7451586320560429E-2</v>
      </c>
      <c r="F415" s="645">
        <f>D415/D421</f>
        <v>9.0841142585889975E-2</v>
      </c>
      <c r="G415" s="691">
        <v>229</v>
      </c>
      <c r="H415" s="492">
        <v>0.32</v>
      </c>
      <c r="I415" s="692">
        <f>D415-D403</f>
        <v>-692.90000000000146</v>
      </c>
    </row>
    <row r="416" spans="1:10" hidden="1" outlineLevel="2" x14ac:dyDescent="0.35">
      <c r="A416" s="386" t="s">
        <v>96</v>
      </c>
      <c r="B416" s="387">
        <v>371</v>
      </c>
      <c r="C416" s="388">
        <v>369.58</v>
      </c>
      <c r="D416" s="389">
        <f t="shared" si="27"/>
        <v>137114.18</v>
      </c>
      <c r="E416" s="390">
        <f>(C416-C404)/C416</f>
        <v>1.972509334920711E-2</v>
      </c>
      <c r="F416" s="645">
        <f>D416/D421</f>
        <v>0.49347123609106619</v>
      </c>
      <c r="G416" s="690">
        <v>50</v>
      </c>
      <c r="H416" s="492">
        <v>0.12</v>
      </c>
      <c r="I416" s="493">
        <f>D416-D404</f>
        <v>6689.7799999999843</v>
      </c>
    </row>
    <row r="417" spans="1:18" hidden="1" outlineLevel="2" x14ac:dyDescent="0.35">
      <c r="A417" s="295" t="s">
        <v>104</v>
      </c>
      <c r="B417" s="285">
        <v>77</v>
      </c>
      <c r="C417" s="286">
        <v>76.239999999999995</v>
      </c>
      <c r="D417" s="287">
        <f t="shared" si="27"/>
        <v>5870.48</v>
      </c>
      <c r="E417" s="296">
        <f>(C417-C405)/C417</f>
        <v>-4.9842602308500742E-3</v>
      </c>
      <c r="F417" s="645">
        <f>D417/D421</f>
        <v>2.112774201798736E-2</v>
      </c>
      <c r="G417" s="693">
        <v>36</v>
      </c>
      <c r="H417" s="492">
        <v>0.23</v>
      </c>
      <c r="I417" s="493"/>
    </row>
    <row r="418" spans="1:18" ht="16" hidden="1" outlineLevel="2" thickBot="1" x14ac:dyDescent="0.4">
      <c r="A418" s="694" t="s">
        <v>138</v>
      </c>
      <c r="B418" s="695">
        <v>500</v>
      </c>
      <c r="C418" s="696">
        <v>3.47</v>
      </c>
      <c r="D418" s="697">
        <f t="shared" si="27"/>
        <v>1735</v>
      </c>
      <c r="E418" s="698"/>
      <c r="F418" s="645"/>
      <c r="G418" s="699"/>
      <c r="H418" s="498"/>
      <c r="I418" s="493">
        <f>500*(
C418-2.93)</f>
        <v>270</v>
      </c>
    </row>
    <row r="419" spans="1:18" ht="16" hidden="1" outlineLevel="2" thickBot="1" x14ac:dyDescent="0.4">
      <c r="A419" s="304" t="s">
        <v>7</v>
      </c>
      <c r="B419" s="285"/>
      <c r="C419" s="286"/>
      <c r="D419" s="287">
        <v>1663.03</v>
      </c>
      <c r="E419" s="700"/>
      <c r="F419" s="665">
        <f>SUM(F413:F417)</f>
        <v>0.98709034960501008</v>
      </c>
      <c r="G419" s="666">
        <f>AVERAGE(G413:G417)</f>
        <v>76.2</v>
      </c>
      <c r="H419" s="501">
        <f>AVERAGE(H413:H417)</f>
        <v>0.34800000000000003</v>
      </c>
      <c r="I419" s="667">
        <f>SUM(I413:I417)</f>
        <v>10629.02712999998</v>
      </c>
    </row>
    <row r="420" spans="1:18" ht="16" hidden="1" outlineLevel="2" thickBot="1" x14ac:dyDescent="0.4">
      <c r="A420" s="379" t="s">
        <v>60</v>
      </c>
      <c r="B420" s="380"/>
      <c r="C420" s="381"/>
      <c r="D420" s="382">
        <v>189</v>
      </c>
      <c r="E420" s="383"/>
      <c r="G420" s="93">
        <f>0.423*C414</f>
        <v>83.288700000000006</v>
      </c>
    </row>
    <row r="421" spans="1:18" s="149" customFormat="1" ht="19" hidden="1" outlineLevel="2" thickBot="1" x14ac:dyDescent="0.5">
      <c r="A421" s="582" t="s">
        <v>62</v>
      </c>
      <c r="B421" s="583"/>
      <c r="C421" s="584"/>
      <c r="D421" s="585">
        <f>SUM(D413:D420)</f>
        <v>277856.47869999998</v>
      </c>
      <c r="E421" s="586">
        <f>D421-D408</f>
        <v>6525.527129999944</v>
      </c>
      <c r="F421" s="587">
        <f>(D421-D408)/D408</f>
        <v>2.405006539888406E-2</v>
      </c>
      <c r="G421" s="574"/>
      <c r="H421" s="148"/>
      <c r="I421" s="148"/>
      <c r="J421" s="148"/>
    </row>
    <row r="422" spans="1:18" hidden="1" outlineLevel="2" x14ac:dyDescent="0.35"/>
    <row r="423" spans="1:18" hidden="1" outlineLevel="2" x14ac:dyDescent="0.35">
      <c r="A423" s="701" t="s">
        <v>25</v>
      </c>
      <c r="B423" s="702" t="s">
        <v>26</v>
      </c>
      <c r="C423" s="703" t="s">
        <v>27</v>
      </c>
      <c r="D423" s="704">
        <f>D410+7</f>
        <v>43036</v>
      </c>
      <c r="E423" s="705" t="s">
        <v>28</v>
      </c>
      <c r="F423" s="511" t="s">
        <v>101</v>
      </c>
      <c r="G423" s="252">
        <v>17555</v>
      </c>
      <c r="H423" s="253">
        <f>(C424-G423)/G423</f>
        <v>0.39185417260039873</v>
      </c>
    </row>
    <row r="424" spans="1:18" hidden="1" outlineLevel="2" x14ac:dyDescent="0.35">
      <c r="A424" s="706" t="s">
        <v>32</v>
      </c>
      <c r="B424" s="255" t="str">
        <f ca="1">TEXT(TODAY(),"ddd")</f>
        <v>Sun</v>
      </c>
      <c r="C424" s="256">
        <v>24434</v>
      </c>
      <c r="D424" s="322">
        <f>C424-C411</f>
        <v>1105</v>
      </c>
      <c r="E424" s="707"/>
      <c r="F424" s="708"/>
      <c r="G424" s="609">
        <v>4766</v>
      </c>
      <c r="H424" s="685">
        <f>(C425-G424)/G424</f>
        <v>0.40600083927822073</v>
      </c>
    </row>
    <row r="425" spans="1:18" hidden="1" outlineLevel="2" x14ac:dyDescent="0.35">
      <c r="A425" s="709" t="s">
        <v>36</v>
      </c>
      <c r="B425" s="263"/>
      <c r="C425" s="419">
        <v>6701</v>
      </c>
      <c r="D425" s="223">
        <f>C425-C412</f>
        <v>72</v>
      </c>
      <c r="E425" s="482">
        <f>(C425-C412)/C412</f>
        <v>1.0861366721979182E-2</v>
      </c>
      <c r="F425" s="710" t="s">
        <v>37</v>
      </c>
      <c r="G425" s="686" t="s">
        <v>38</v>
      </c>
      <c r="H425" s="687" t="s">
        <v>102</v>
      </c>
    </row>
    <row r="426" spans="1:18" hidden="1" outlineLevel="2" x14ac:dyDescent="0.35">
      <c r="A426" s="711" t="s">
        <v>135</v>
      </c>
      <c r="B426" s="270">
        <v>260</v>
      </c>
      <c r="C426" s="271">
        <v>208</v>
      </c>
      <c r="D426" s="272">
        <f>C426*B426</f>
        <v>54080</v>
      </c>
      <c r="E426" s="712">
        <f>(C426-C413)/C426</f>
        <v>1.2788461538461523E-2</v>
      </c>
      <c r="F426" s="710">
        <f>D426/D432</f>
        <v>0.1920858588918275</v>
      </c>
      <c r="G426" s="688">
        <v>18</v>
      </c>
      <c r="H426" s="689">
        <v>0.51</v>
      </c>
      <c r="I426" s="489">
        <f>D426-D413</f>
        <v>691.59999999999854</v>
      </c>
    </row>
    <row r="427" spans="1:18" hidden="1" outlineLevel="2" x14ac:dyDescent="0.35">
      <c r="A427" s="713" t="s">
        <v>49</v>
      </c>
      <c r="B427" s="289">
        <v>267.423</v>
      </c>
      <c r="C427" s="290">
        <v>201.86</v>
      </c>
      <c r="D427" s="291">
        <f>C427*B427</f>
        <v>53982.006780000003</v>
      </c>
      <c r="E427" s="714">
        <f>(C427-C414)/C427</f>
        <v>2.4571485187753928E-2</v>
      </c>
      <c r="F427" s="457">
        <f>D427/D432</f>
        <v>0.19173779839202582</v>
      </c>
      <c r="G427" s="690">
        <v>48</v>
      </c>
      <c r="H427" s="492">
        <v>0.56000000000000005</v>
      </c>
      <c r="I427" s="493">
        <f>D427-D414</f>
        <v>1326.4180800000031</v>
      </c>
    </row>
    <row r="428" spans="1:18" hidden="1" outlineLevel="2" x14ac:dyDescent="0.35">
      <c r="A428" s="715" t="s">
        <v>95</v>
      </c>
      <c r="B428" s="285">
        <v>130</v>
      </c>
      <c r="C428" s="286">
        <v>199.54</v>
      </c>
      <c r="D428" s="287">
        <f>C428*B428</f>
        <v>25940.2</v>
      </c>
      <c r="E428" s="495">
        <f>(C428-C415)/C428</f>
        <v>2.6962012629046787E-2</v>
      </c>
      <c r="F428" s="457">
        <f>D428/D432</f>
        <v>9.2136567988642462E-2</v>
      </c>
      <c r="G428" s="691">
        <v>229</v>
      </c>
      <c r="H428" s="492">
        <v>0.32</v>
      </c>
      <c r="I428" s="496">
        <f>D428-D415</f>
        <v>699.40000000000146</v>
      </c>
    </row>
    <row r="429" spans="1:18" hidden="1" outlineLevel="2" x14ac:dyDescent="0.35">
      <c r="A429" s="716" t="s">
        <v>96</v>
      </c>
      <c r="B429" s="387">
        <v>384</v>
      </c>
      <c r="C429" s="388">
        <v>373.78</v>
      </c>
      <c r="D429" s="389">
        <f>C429*B429</f>
        <v>143531.51999999999</v>
      </c>
      <c r="E429" s="717">
        <f>(C429-C416)/C429</f>
        <v>1.1236556263042402E-2</v>
      </c>
      <c r="F429" s="457">
        <f>D429/D432</f>
        <v>0.50980723552606355</v>
      </c>
      <c r="G429" s="690">
        <v>50</v>
      </c>
      <c r="H429" s="492">
        <v>0.12</v>
      </c>
      <c r="I429" s="493">
        <f>D429-D416</f>
        <v>6417.3399999999965</v>
      </c>
    </row>
    <row r="430" spans="1:18" ht="16" hidden="1" outlineLevel="2" thickBot="1" x14ac:dyDescent="0.4">
      <c r="A430" s="718" t="s">
        <v>7</v>
      </c>
      <c r="B430" s="337"/>
      <c r="C430" s="338"/>
      <c r="D430" s="339">
        <v>1660.86</v>
      </c>
      <c r="E430" s="719"/>
      <c r="F430" s="720">
        <f>SUM(F426:F429)</f>
        <v>0.98576746079855937</v>
      </c>
      <c r="G430" s="666">
        <f>AVERAGE(G426:G429)</f>
        <v>86.25</v>
      </c>
      <c r="H430" s="501">
        <f>AVERAGE(H426:H429)</f>
        <v>0.37750000000000006</v>
      </c>
      <c r="I430" s="667">
        <f>SUM(I426:I429)</f>
        <v>9134.7580799999996</v>
      </c>
    </row>
    <row r="431" spans="1:18" ht="16" hidden="1" outlineLevel="2" thickBot="1" x14ac:dyDescent="0.4">
      <c r="A431" s="721" t="s">
        <v>60</v>
      </c>
      <c r="B431" s="722"/>
      <c r="C431" s="723"/>
      <c r="D431" s="724">
        <v>2346.1799999999998</v>
      </c>
      <c r="E431" s="725"/>
      <c r="G431" s="93">
        <f>0.423*C427</f>
        <v>85.386780000000002</v>
      </c>
    </row>
    <row r="432" spans="1:18" s="149" customFormat="1" ht="19" hidden="1" outlineLevel="2" thickBot="1" x14ac:dyDescent="0.5">
      <c r="A432" s="726" t="s">
        <v>62</v>
      </c>
      <c r="B432" s="583"/>
      <c r="C432" s="584"/>
      <c r="D432" s="585">
        <f>SUM(D426:D431)</f>
        <v>281540.76678000001</v>
      </c>
      <c r="E432" s="586">
        <f>D432-D421</f>
        <v>3684.2880800000275</v>
      </c>
      <c r="F432" s="587">
        <f>(D432-D421)/D421</f>
        <v>1.325968031135215E-2</v>
      </c>
      <c r="G432" s="574"/>
      <c r="H432" s="148"/>
      <c r="I432" s="148"/>
      <c r="J432" s="148"/>
      <c r="R432" s="727"/>
    </row>
    <row r="433" spans="1:10" hidden="1" outlineLevel="2" x14ac:dyDescent="0.35"/>
    <row r="434" spans="1:10" hidden="1" outlineLevel="2" x14ac:dyDescent="0.35">
      <c r="A434" s="701" t="s">
        <v>25</v>
      </c>
      <c r="B434" s="702" t="s">
        <v>26</v>
      </c>
      <c r="C434" s="703" t="s">
        <v>27</v>
      </c>
      <c r="D434" s="704">
        <f>D423+7</f>
        <v>43043</v>
      </c>
      <c r="E434" s="705" t="s">
        <v>28</v>
      </c>
      <c r="F434" s="511" t="s">
        <v>101</v>
      </c>
      <c r="G434" s="252">
        <v>17555</v>
      </c>
      <c r="H434" s="253">
        <f>(C435-G434)/G434</f>
        <v>0.34087154656792934</v>
      </c>
    </row>
    <row r="435" spans="1:10" hidden="1" outlineLevel="2" x14ac:dyDescent="0.35">
      <c r="A435" s="706" t="s">
        <v>32</v>
      </c>
      <c r="B435" s="255" t="str">
        <f ca="1">TEXT(TODAY(),"ddd")</f>
        <v>Sun</v>
      </c>
      <c r="C435" s="256">
        <v>23539</v>
      </c>
      <c r="D435" s="257">
        <f>C435-C424</f>
        <v>-895</v>
      </c>
      <c r="E435" s="707"/>
      <c r="F435" s="708"/>
      <c r="G435" s="609">
        <v>4766</v>
      </c>
      <c r="H435" s="685">
        <f>(C436-G435)/G435</f>
        <v>0.41921947125472092</v>
      </c>
    </row>
    <row r="436" spans="1:10" hidden="1" outlineLevel="2" x14ac:dyDescent="0.35">
      <c r="A436" s="709" t="s">
        <v>36</v>
      </c>
      <c r="B436" s="263"/>
      <c r="C436" s="419">
        <v>6764</v>
      </c>
      <c r="D436" s="223">
        <f>C436-C425</f>
        <v>63</v>
      </c>
      <c r="E436" s="482">
        <f>(C436-C425)/C425</f>
        <v>9.4015818534547088E-3</v>
      </c>
      <c r="F436" s="710" t="s">
        <v>37</v>
      </c>
      <c r="G436" s="686" t="s">
        <v>38</v>
      </c>
      <c r="H436" s="687" t="s">
        <v>102</v>
      </c>
    </row>
    <row r="437" spans="1:10" hidden="1" outlineLevel="2" x14ac:dyDescent="0.35">
      <c r="A437" s="711" t="s">
        <v>135</v>
      </c>
      <c r="B437" s="270">
        <v>260</v>
      </c>
      <c r="C437" s="271">
        <v>207.07</v>
      </c>
      <c r="D437" s="272">
        <f>C437*B437</f>
        <v>53838.2</v>
      </c>
      <c r="E437" s="712">
        <f>(C437-C426)/C437</f>
        <v>-4.4912348481190266E-3</v>
      </c>
      <c r="F437" s="710">
        <f>D437/D443</f>
        <v>0.18679903184447028</v>
      </c>
      <c r="G437" s="688">
        <v>18</v>
      </c>
      <c r="H437" s="689">
        <v>0.51</v>
      </c>
      <c r="I437" s="489">
        <f>D437-D426</f>
        <v>-241.80000000000291</v>
      </c>
    </row>
    <row r="438" spans="1:10" hidden="1" outlineLevel="2" x14ac:dyDescent="0.35">
      <c r="A438" s="713" t="s">
        <v>49</v>
      </c>
      <c r="B438" s="289">
        <v>267.423</v>
      </c>
      <c r="C438" s="290">
        <v>208.69</v>
      </c>
      <c r="D438" s="291">
        <f>C438*B438</f>
        <v>55808.505870000001</v>
      </c>
      <c r="E438" s="714">
        <f>(C438-C427)/C438</f>
        <v>3.2727969715846392E-2</v>
      </c>
      <c r="F438" s="457">
        <f>D438/D443</f>
        <v>0.19363527876493711</v>
      </c>
      <c r="G438" s="690">
        <v>48</v>
      </c>
      <c r="H438" s="492">
        <v>0.56000000000000005</v>
      </c>
      <c r="I438" s="493">
        <f>D438-D427</f>
        <v>1826.4990899999975</v>
      </c>
    </row>
    <row r="439" spans="1:10" hidden="1" outlineLevel="2" x14ac:dyDescent="0.35">
      <c r="A439" s="715" t="s">
        <v>137</v>
      </c>
      <c r="B439" s="285">
        <v>264</v>
      </c>
      <c r="C439" s="286">
        <v>194.9</v>
      </c>
      <c r="D439" s="287">
        <f>C439*B439</f>
        <v>51453.599999999999</v>
      </c>
      <c r="E439" s="714">
        <f>(C439-C428)/C439</f>
        <v>-2.3807080554130253E-2</v>
      </c>
      <c r="F439" s="457">
        <f>D439/D443</f>
        <v>0.17852533451921937</v>
      </c>
      <c r="G439" s="691">
        <v>112</v>
      </c>
      <c r="H439" s="492">
        <v>0.32</v>
      </c>
      <c r="I439" s="496">
        <f>(C439-187.63)*B439</f>
        <v>1919.2800000000027</v>
      </c>
    </row>
    <row r="440" spans="1:10" hidden="1" outlineLevel="2" x14ac:dyDescent="0.35">
      <c r="A440" s="716" t="s">
        <v>96</v>
      </c>
      <c r="B440" s="387">
        <v>324</v>
      </c>
      <c r="C440" s="388">
        <v>384.25</v>
      </c>
      <c r="D440" s="389">
        <f>C440*B440</f>
        <v>124497</v>
      </c>
      <c r="E440" s="717">
        <f>(C440-C429)/C440</f>
        <v>2.7247885491216726E-2</v>
      </c>
      <c r="F440" s="457">
        <f>D440/D443</f>
        <v>0.4319594464068453</v>
      </c>
      <c r="G440" s="690">
        <v>50</v>
      </c>
      <c r="H440" s="492">
        <v>0.12</v>
      </c>
      <c r="I440" s="493">
        <f>(C440-C429)*B440</f>
        <v>3392.2800000000088</v>
      </c>
    </row>
    <row r="441" spans="1:10" ht="16" hidden="1" outlineLevel="2" thickBot="1" x14ac:dyDescent="0.4">
      <c r="A441" s="718" t="s">
        <v>7</v>
      </c>
      <c r="B441" s="337"/>
      <c r="C441" s="338"/>
      <c r="D441" s="339">
        <v>1668.03</v>
      </c>
      <c r="E441" s="340"/>
      <c r="F441" s="594">
        <f>SUM(F437:F440)</f>
        <v>0.99091909153547197</v>
      </c>
      <c r="G441" s="728">
        <f>AVERAGE(G437:G440)</f>
        <v>57</v>
      </c>
      <c r="H441" s="729">
        <f>AVERAGE(H437:H440)</f>
        <v>0.37750000000000006</v>
      </c>
      <c r="I441" s="730">
        <f>SUM(I437:I440)</f>
        <v>6896.2590900000059</v>
      </c>
    </row>
    <row r="442" spans="1:10" ht="16" hidden="1" outlineLevel="2" thickBot="1" x14ac:dyDescent="0.4">
      <c r="A442" s="721" t="s">
        <v>60</v>
      </c>
      <c r="B442" s="722"/>
      <c r="C442" s="723"/>
      <c r="D442" s="724">
        <v>949.22</v>
      </c>
      <c r="E442" s="725"/>
      <c r="G442" s="93">
        <f>0.423*C438</f>
        <v>88.275869999999998</v>
      </c>
    </row>
    <row r="443" spans="1:10" s="149" customFormat="1" ht="19" hidden="1" outlineLevel="2" thickBot="1" x14ac:dyDescent="0.5">
      <c r="A443" s="726" t="s">
        <v>62</v>
      </c>
      <c r="B443" s="583"/>
      <c r="C443" s="584"/>
      <c r="D443" s="585">
        <f>SUM(D437:D442)</f>
        <v>288214.55587000004</v>
      </c>
      <c r="E443" s="586">
        <f>D443-D432</f>
        <v>6673.7890900000348</v>
      </c>
      <c r="F443" s="587">
        <f>(D443-D432)/D432</f>
        <v>2.3704521253986033E-2</v>
      </c>
      <c r="G443" s="574"/>
      <c r="H443" s="148"/>
      <c r="I443" s="148"/>
      <c r="J443" s="148"/>
    </row>
    <row r="444" spans="1:10" hidden="1" outlineLevel="2" x14ac:dyDescent="0.35"/>
    <row r="445" spans="1:10" hidden="1" outlineLevel="2" x14ac:dyDescent="0.35">
      <c r="A445" s="701" t="s">
        <v>25</v>
      </c>
      <c r="B445" s="702" t="s">
        <v>26</v>
      </c>
      <c r="C445" s="703" t="s">
        <v>27</v>
      </c>
      <c r="D445" s="704">
        <f>D434+7</f>
        <v>43050</v>
      </c>
      <c r="E445" s="705" t="s">
        <v>28</v>
      </c>
      <c r="F445" s="511" t="s">
        <v>101</v>
      </c>
      <c r="G445" s="252">
        <v>17555</v>
      </c>
      <c r="H445" s="253">
        <f>(C446-G445)/G445</f>
        <v>0.33420677869552834</v>
      </c>
    </row>
    <row r="446" spans="1:10" hidden="1" outlineLevel="2" x14ac:dyDescent="0.35">
      <c r="A446" s="706" t="s">
        <v>32</v>
      </c>
      <c r="B446" s="255" t="str">
        <f ca="1">TEXT(TODAY(),"ddd")</f>
        <v>Sun</v>
      </c>
      <c r="C446" s="256">
        <v>23422</v>
      </c>
      <c r="D446" s="322">
        <f>C446-C435</f>
        <v>-117</v>
      </c>
      <c r="E446" s="707"/>
      <c r="F446" s="708"/>
      <c r="G446" s="609">
        <v>4766</v>
      </c>
      <c r="H446" s="685">
        <f>(C447-G446)/G446</f>
        <v>0.41628199748216532</v>
      </c>
    </row>
    <row r="447" spans="1:10" hidden="1" outlineLevel="2" x14ac:dyDescent="0.35">
      <c r="A447" s="709" t="s">
        <v>36</v>
      </c>
      <c r="B447" s="263"/>
      <c r="C447" s="419">
        <v>6750</v>
      </c>
      <c r="D447" s="223">
        <f>C447-C436</f>
        <v>-14</v>
      </c>
      <c r="E447" s="482">
        <f>(C447-C436)/C436</f>
        <v>-2.0697811945594325E-3</v>
      </c>
      <c r="F447" s="710" t="s">
        <v>37</v>
      </c>
      <c r="G447" s="618" t="s">
        <v>38</v>
      </c>
      <c r="H447" s="731" t="s">
        <v>102</v>
      </c>
    </row>
    <row r="448" spans="1:10" hidden="1" outlineLevel="2" x14ac:dyDescent="0.35">
      <c r="A448" s="711" t="s">
        <v>135</v>
      </c>
      <c r="B448" s="270">
        <v>260</v>
      </c>
      <c r="C448" s="271">
        <v>207.39</v>
      </c>
      <c r="D448" s="272">
        <f>C448*B448</f>
        <v>53921.399999999994</v>
      </c>
      <c r="E448" s="273">
        <f>(C448-C437)/C448</f>
        <v>1.5429866435218342E-3</v>
      </c>
      <c r="F448" s="617">
        <f>D448/D455</f>
        <v>0.18468995811920799</v>
      </c>
      <c r="G448" s="688">
        <v>18</v>
      </c>
      <c r="H448" s="488">
        <v>0.51</v>
      </c>
      <c r="I448" s="489">
        <f>D448-D437</f>
        <v>83.19999999999709</v>
      </c>
    </row>
    <row r="449" spans="1:10" hidden="1" outlineLevel="2" x14ac:dyDescent="0.35">
      <c r="A449" s="713" t="s">
        <v>49</v>
      </c>
      <c r="B449" s="289">
        <v>267.423</v>
      </c>
      <c r="C449" s="290">
        <v>216.14</v>
      </c>
      <c r="D449" s="291">
        <f>C449*B449</f>
        <v>57800.807219999995</v>
      </c>
      <c r="E449" s="328">
        <f>(C449-C438)/C449</f>
        <v>3.4468400111039091E-2</v>
      </c>
      <c r="F449" s="645">
        <f>D449/D455</f>
        <v>0.1979775870937738</v>
      </c>
      <c r="G449" s="690">
        <v>48</v>
      </c>
      <c r="H449" s="492">
        <v>0.56000000000000005</v>
      </c>
      <c r="I449" s="493">
        <f>D449-D438</f>
        <v>1992.3013499999943</v>
      </c>
    </row>
    <row r="450" spans="1:10" hidden="1" outlineLevel="2" x14ac:dyDescent="0.35">
      <c r="A450" s="715" t="s">
        <v>137</v>
      </c>
      <c r="B450" s="285">
        <v>264</v>
      </c>
      <c r="C450" s="286">
        <v>195.21</v>
      </c>
      <c r="D450" s="287">
        <f>C450*B450</f>
        <v>51535.44</v>
      </c>
      <c r="E450" s="288">
        <f>(C450-C439)/C450</f>
        <v>1.588033399928294E-3</v>
      </c>
      <c r="F450" s="645">
        <f>D450/D455</f>
        <v>0.17651763966171052</v>
      </c>
      <c r="G450" s="691">
        <v>229</v>
      </c>
      <c r="H450" s="492">
        <v>0.32</v>
      </c>
      <c r="I450" s="496">
        <f>D450-D439</f>
        <v>81.840000000003783</v>
      </c>
    </row>
    <row r="451" spans="1:10" hidden="1" outlineLevel="2" x14ac:dyDescent="0.35">
      <c r="A451" s="716" t="s">
        <v>96</v>
      </c>
      <c r="B451" s="387">
        <v>324</v>
      </c>
      <c r="C451" s="388">
        <v>389.15</v>
      </c>
      <c r="D451" s="389">
        <f>C451*B451</f>
        <v>126084.59999999999</v>
      </c>
      <c r="E451" s="390">
        <f>(C451-C440)/C451</f>
        <v>1.259154567647431E-2</v>
      </c>
      <c r="F451" s="645">
        <f>D451/D455</f>
        <v>0.43186118115399624</v>
      </c>
      <c r="G451" s="690">
        <v>50</v>
      </c>
      <c r="H451" s="492">
        <v>0.12</v>
      </c>
      <c r="I451" s="493">
        <f>D451-D440</f>
        <v>1587.5999999999913</v>
      </c>
    </row>
    <row r="452" spans="1:10" ht="16" hidden="1" outlineLevel="2" thickBot="1" x14ac:dyDescent="0.4">
      <c r="A452" s="716" t="s">
        <v>139</v>
      </c>
      <c r="B452" s="387">
        <v>27</v>
      </c>
      <c r="C452" s="388">
        <v>33.25</v>
      </c>
      <c r="D452" s="389">
        <f>C452*B452</f>
        <v>897.75</v>
      </c>
      <c r="E452" s="390"/>
      <c r="F452" s="645"/>
      <c r="G452" s="732"/>
      <c r="H452" s="498"/>
      <c r="I452" s="493"/>
    </row>
    <row r="453" spans="1:10" ht="16" hidden="1" outlineLevel="2" thickBot="1" x14ac:dyDescent="0.4">
      <c r="A453" s="718" t="s">
        <v>7</v>
      </c>
      <c r="B453" s="337"/>
      <c r="C453" s="338"/>
      <c r="D453" s="339">
        <v>1670.29</v>
      </c>
      <c r="E453" s="340"/>
      <c r="F453" s="665">
        <f>SUM(F448:F451)</f>
        <v>0.99104636602868856</v>
      </c>
      <c r="G453" s="666">
        <f>AVERAGE(G448:G451)</f>
        <v>86.25</v>
      </c>
      <c r="H453" s="501">
        <f>AVERAGE(H448:H451)</f>
        <v>0.37750000000000006</v>
      </c>
      <c r="I453" s="667">
        <f>SUM(I448:I451)</f>
        <v>3744.9413499999864</v>
      </c>
    </row>
    <row r="454" spans="1:10" ht="16" hidden="1" outlineLevel="2" thickBot="1" x14ac:dyDescent="0.4">
      <c r="A454" s="721" t="s">
        <v>60</v>
      </c>
      <c r="B454" s="722"/>
      <c r="C454" s="723"/>
      <c r="D454" s="724">
        <v>46.03</v>
      </c>
      <c r="E454" s="725"/>
      <c r="G454" s="93">
        <f>0.423*C449</f>
        <v>91.427219999999991</v>
      </c>
    </row>
    <row r="455" spans="1:10" s="149" customFormat="1" ht="19" hidden="1" outlineLevel="2" thickBot="1" x14ac:dyDescent="0.5">
      <c r="A455" s="726" t="s">
        <v>62</v>
      </c>
      <c r="B455" s="583"/>
      <c r="C455" s="584"/>
      <c r="D455" s="585">
        <f>SUM(D448:D454)</f>
        <v>291956.31721999997</v>
      </c>
      <c r="E455" s="586">
        <f>D455-D443</f>
        <v>3741.7613499999279</v>
      </c>
      <c r="F455" s="587">
        <f>(D455-D443)/D443</f>
        <v>1.2982555092351614E-2</v>
      </c>
      <c r="G455" s="574"/>
      <c r="H455" s="148"/>
      <c r="I455" s="148"/>
      <c r="J455" s="148"/>
    </row>
    <row r="456" spans="1:10" hidden="1" outlineLevel="2" x14ac:dyDescent="0.35"/>
    <row r="457" spans="1:10" hidden="1" outlineLevel="2" x14ac:dyDescent="0.35">
      <c r="A457" s="701" t="s">
        <v>25</v>
      </c>
      <c r="B457" s="702" t="s">
        <v>26</v>
      </c>
      <c r="C457" s="703" t="s">
        <v>27</v>
      </c>
      <c r="D457" s="704">
        <f>D445+7</f>
        <v>43057</v>
      </c>
      <c r="E457" s="705" t="s">
        <v>28</v>
      </c>
      <c r="F457" s="511" t="s">
        <v>101</v>
      </c>
      <c r="G457" s="252">
        <v>17555</v>
      </c>
      <c r="H457" s="253">
        <f>(C458-G457)/G457</f>
        <v>0.33056109370549702</v>
      </c>
    </row>
    <row r="458" spans="1:10" hidden="1" outlineLevel="2" x14ac:dyDescent="0.35">
      <c r="A458" s="706" t="s">
        <v>32</v>
      </c>
      <c r="B458" s="255" t="str">
        <f ca="1">TEXT(TODAY(),"ddd")</f>
        <v>Sun</v>
      </c>
      <c r="C458" s="256">
        <v>23358</v>
      </c>
      <c r="D458" s="257">
        <f>C458-C446</f>
        <v>-64</v>
      </c>
      <c r="E458" s="707"/>
      <c r="F458" s="708"/>
      <c r="G458" s="609">
        <v>4766</v>
      </c>
      <c r="H458" s="685">
        <f>(C459-G458)/G458</f>
        <v>0.42299622324800673</v>
      </c>
    </row>
    <row r="459" spans="1:10" hidden="1" outlineLevel="2" x14ac:dyDescent="0.35">
      <c r="A459" s="709" t="s">
        <v>36</v>
      </c>
      <c r="B459" s="263"/>
      <c r="C459" s="419">
        <v>6782</v>
      </c>
      <c r="D459" s="223">
        <f>C459-C447</f>
        <v>32</v>
      </c>
      <c r="E459" s="482">
        <f>(C459-C447)/C447</f>
        <v>4.7407407407407407E-3</v>
      </c>
      <c r="F459" s="710" t="s">
        <v>37</v>
      </c>
      <c r="G459" s="618" t="s">
        <v>38</v>
      </c>
      <c r="H459" s="731" t="s">
        <v>102</v>
      </c>
    </row>
    <row r="460" spans="1:10" hidden="1" outlineLevel="2" x14ac:dyDescent="0.35">
      <c r="A460" s="711" t="s">
        <v>135</v>
      </c>
      <c r="B460" s="270">
        <v>260</v>
      </c>
      <c r="C460" s="271">
        <v>210.47</v>
      </c>
      <c r="D460" s="272">
        <f>C460*B460</f>
        <v>54722.2</v>
      </c>
      <c r="E460" s="273">
        <f>(C460-C448)/C460</f>
        <v>1.463391457214811E-2</v>
      </c>
      <c r="F460" s="617">
        <f>D460/D467</f>
        <v>0.1871076744027548</v>
      </c>
      <c r="G460" s="688">
        <v>18</v>
      </c>
      <c r="H460" s="488">
        <v>0.51</v>
      </c>
      <c r="I460" s="489">
        <f>D460-D448</f>
        <v>800.80000000000291</v>
      </c>
    </row>
    <row r="461" spans="1:10" hidden="1" outlineLevel="2" x14ac:dyDescent="0.35">
      <c r="A461" s="713" t="s">
        <v>49</v>
      </c>
      <c r="B461" s="289">
        <v>267.423</v>
      </c>
      <c r="C461" s="290">
        <v>211.36</v>
      </c>
      <c r="D461" s="291">
        <f>C461*B461</f>
        <v>56522.525280000002</v>
      </c>
      <c r="E461" s="292">
        <f>(C461-C449)/C461</f>
        <v>-2.261544284632841E-2</v>
      </c>
      <c r="F461" s="645">
        <f>D461/D467</f>
        <v>0.19326339687570523</v>
      </c>
      <c r="G461" s="690">
        <v>48</v>
      </c>
      <c r="H461" s="492">
        <v>0.56000000000000005</v>
      </c>
      <c r="I461" s="733">
        <f>D461-D449</f>
        <v>-1278.2819399999935</v>
      </c>
    </row>
    <row r="462" spans="1:10" hidden="1" outlineLevel="2" x14ac:dyDescent="0.35">
      <c r="A462" s="715" t="s">
        <v>137</v>
      </c>
      <c r="B462" s="285">
        <v>264</v>
      </c>
      <c r="C462" s="286">
        <v>194.32</v>
      </c>
      <c r="D462" s="287">
        <f>C462*B462</f>
        <v>51300.479999999996</v>
      </c>
      <c r="E462" s="296">
        <f>(C462-C450)/C462</f>
        <v>-4.5800741045698579E-3</v>
      </c>
      <c r="F462" s="645">
        <f>D462/D467</f>
        <v>0.17540803382438999</v>
      </c>
      <c r="G462" s="691">
        <v>229</v>
      </c>
      <c r="H462" s="492">
        <v>0.32</v>
      </c>
      <c r="I462" s="692">
        <f>D462-D450</f>
        <v>-234.9600000000064</v>
      </c>
    </row>
    <row r="463" spans="1:10" hidden="1" outlineLevel="2" x14ac:dyDescent="0.35">
      <c r="A463" s="716" t="s">
        <v>96</v>
      </c>
      <c r="B463" s="387">
        <v>324</v>
      </c>
      <c r="C463" s="388">
        <v>392.48</v>
      </c>
      <c r="D463" s="389">
        <f>C463*B463</f>
        <v>127163.52</v>
      </c>
      <c r="E463" s="390">
        <f>(C463-C451)/C463</f>
        <v>8.4845087647779267E-3</v>
      </c>
      <c r="F463" s="645">
        <f>D463/D467</f>
        <v>0.43480105873061026</v>
      </c>
      <c r="G463" s="690">
        <v>50</v>
      </c>
      <c r="H463" s="492">
        <v>0.12</v>
      </c>
      <c r="I463" s="493">
        <f>D463-D451</f>
        <v>1078.9200000000128</v>
      </c>
    </row>
    <row r="464" spans="1:10" ht="16" hidden="1" outlineLevel="2" thickBot="1" x14ac:dyDescent="0.4">
      <c r="A464" s="716" t="s">
        <v>139</v>
      </c>
      <c r="B464" s="387">
        <v>27</v>
      </c>
      <c r="C464" s="388">
        <v>38.590000000000003</v>
      </c>
      <c r="D464" s="389">
        <f>C464*B464</f>
        <v>1041.93</v>
      </c>
      <c r="E464" s="390">
        <f>(C464-C452)/C464</f>
        <v>0.13837781808758753</v>
      </c>
      <c r="F464" s="645"/>
      <c r="G464" s="732"/>
      <c r="H464" s="498"/>
      <c r="I464" s="493">
        <f>D464-D452</f>
        <v>144.18000000000006</v>
      </c>
    </row>
    <row r="465" spans="1:9" ht="16" hidden="1" outlineLevel="2" thickBot="1" x14ac:dyDescent="0.4">
      <c r="A465" s="718" t="s">
        <v>7</v>
      </c>
      <c r="B465" s="337"/>
      <c r="C465" s="338"/>
      <c r="D465" s="339">
        <v>1667.03</v>
      </c>
      <c r="E465" s="340"/>
      <c r="F465" s="665">
        <f>SUM(F460:F463)</f>
        <v>0.99058016383346026</v>
      </c>
      <c r="G465" s="666">
        <f>AVERAGE(G460:G463)</f>
        <v>86.25</v>
      </c>
      <c r="H465" s="501">
        <f>AVERAGE(H460:H463)</f>
        <v>0.37750000000000006</v>
      </c>
      <c r="I465" s="667">
        <f>SUM(I460:I464)</f>
        <v>510.65806000001589</v>
      </c>
    </row>
    <row r="466" spans="1:9" ht="16" hidden="1" outlineLevel="2" thickBot="1" x14ac:dyDescent="0.4">
      <c r="A466" s="721" t="s">
        <v>60</v>
      </c>
      <c r="B466" s="722"/>
      <c r="C466" s="723"/>
      <c r="D466" s="724">
        <v>46</v>
      </c>
      <c r="E466" s="725"/>
      <c r="G466" s="93">
        <f>0.423*C461</f>
        <v>89.405280000000005</v>
      </c>
    </row>
    <row r="467" spans="1:9" ht="19" hidden="1" outlineLevel="2" thickBot="1" x14ac:dyDescent="0.5">
      <c r="A467" s="726" t="s">
        <v>62</v>
      </c>
      <c r="B467" s="583"/>
      <c r="C467" s="584"/>
      <c r="D467" s="585">
        <f>SUM(D460:D466)</f>
        <v>292463.68528000003</v>
      </c>
      <c r="E467" s="586">
        <f>D467-D455</f>
        <v>507.36806000006618</v>
      </c>
      <c r="F467" s="587">
        <f>(D467-D455)/D455</f>
        <v>1.7378218249607027E-3</v>
      </c>
      <c r="G467" s="574"/>
      <c r="H467" s="148"/>
      <c r="I467" s="148"/>
    </row>
    <row r="468" spans="1:9" hidden="1" outlineLevel="2" x14ac:dyDescent="0.35"/>
    <row r="469" spans="1:9" hidden="1" outlineLevel="2" x14ac:dyDescent="0.35">
      <c r="A469" s="701" t="s">
        <v>25</v>
      </c>
      <c r="B469" s="702" t="s">
        <v>26</v>
      </c>
      <c r="C469" s="703" t="s">
        <v>27</v>
      </c>
      <c r="D469" s="704">
        <f>D457+7</f>
        <v>43064</v>
      </c>
      <c r="E469" s="705" t="s">
        <v>28</v>
      </c>
      <c r="F469" s="511" t="s">
        <v>101</v>
      </c>
      <c r="G469" s="252">
        <v>17555</v>
      </c>
      <c r="H469" s="253">
        <f>(C470-G469)/G469</f>
        <v>0.34189689547137569</v>
      </c>
    </row>
    <row r="470" spans="1:9" hidden="1" outlineLevel="2" x14ac:dyDescent="0.35">
      <c r="A470" s="706" t="s">
        <v>32</v>
      </c>
      <c r="B470" s="255" t="str">
        <f ca="1">TEXT(TODAY(),"ddd")</f>
        <v>Sun</v>
      </c>
      <c r="C470" s="256">
        <v>23557</v>
      </c>
      <c r="D470" s="322">
        <f>C470-C458</f>
        <v>199</v>
      </c>
      <c r="E470" s="707"/>
      <c r="F470" s="708"/>
      <c r="G470" s="609">
        <v>4766</v>
      </c>
      <c r="H470" s="685">
        <f>(C471-G470)/G470</f>
        <v>0.4454469156525388</v>
      </c>
    </row>
    <row r="471" spans="1:9" hidden="1" outlineLevel="2" x14ac:dyDescent="0.35">
      <c r="A471" s="709" t="s">
        <v>36</v>
      </c>
      <c r="B471" s="263"/>
      <c r="C471" s="419">
        <v>6889</v>
      </c>
      <c r="D471" s="223">
        <f>C471-C459</f>
        <v>107</v>
      </c>
      <c r="E471" s="482">
        <f>(C471-C459)/C459</f>
        <v>1.5777056915364199E-2</v>
      </c>
      <c r="F471" s="710" t="s">
        <v>37</v>
      </c>
      <c r="G471" s="618" t="s">
        <v>38</v>
      </c>
      <c r="H471" s="731" t="s">
        <v>102</v>
      </c>
    </row>
    <row r="472" spans="1:9" hidden="1" outlineLevel="2" x14ac:dyDescent="0.35">
      <c r="A472" s="711" t="s">
        <v>135</v>
      </c>
      <c r="B472" s="270">
        <v>260</v>
      </c>
      <c r="C472" s="271">
        <v>216.83</v>
      </c>
      <c r="D472" s="272">
        <f>C472*B472</f>
        <v>56375.8</v>
      </c>
      <c r="E472" s="273">
        <f>(C472-C460)/C472</f>
        <v>2.9331734538578673E-2</v>
      </c>
      <c r="F472" s="617">
        <f>D472/D479</f>
        <v>0.18859947075310846</v>
      </c>
      <c r="G472" s="688">
        <v>18</v>
      </c>
      <c r="H472" s="488">
        <v>0.51</v>
      </c>
      <c r="I472" s="489">
        <f>D472-D460</f>
        <v>1653.6000000000058</v>
      </c>
    </row>
    <row r="473" spans="1:9" hidden="1" outlineLevel="2" x14ac:dyDescent="0.35">
      <c r="A473" s="713" t="s">
        <v>49</v>
      </c>
      <c r="B473" s="289">
        <v>267.423</v>
      </c>
      <c r="C473" s="290">
        <v>216.96</v>
      </c>
      <c r="D473" s="291">
        <f>C473*B473</f>
        <v>58020.094080000003</v>
      </c>
      <c r="E473" s="328">
        <f>(C473-C461)/C473</f>
        <v>2.5811209439527995E-2</v>
      </c>
      <c r="F473" s="645">
        <f>D473/D479</f>
        <v>0.19410028836013965</v>
      </c>
      <c r="G473" s="690">
        <v>48</v>
      </c>
      <c r="H473" s="492">
        <v>0.56000000000000005</v>
      </c>
      <c r="I473" s="493">
        <f>D473-D461</f>
        <v>1497.5688000000009</v>
      </c>
    </row>
    <row r="474" spans="1:9" hidden="1" outlineLevel="2" x14ac:dyDescent="0.35">
      <c r="A474" s="715" t="s">
        <v>137</v>
      </c>
      <c r="B474" s="285">
        <v>264</v>
      </c>
      <c r="C474" s="286">
        <v>199.74</v>
      </c>
      <c r="D474" s="287">
        <f>C474*B474</f>
        <v>52731.360000000001</v>
      </c>
      <c r="E474" s="288">
        <f>(C474-C462)/C474</f>
        <v>2.7135275858616279E-2</v>
      </c>
      <c r="F474" s="645">
        <f>D474/D479</f>
        <v>0.17640736961766632</v>
      </c>
      <c r="G474" s="691">
        <v>229</v>
      </c>
      <c r="H474" s="492">
        <v>0.32</v>
      </c>
      <c r="I474" s="496">
        <f>D474-D462</f>
        <v>1430.8800000000047</v>
      </c>
    </row>
    <row r="475" spans="1:9" hidden="1" outlineLevel="2" x14ac:dyDescent="0.35">
      <c r="A475" s="716" t="s">
        <v>96</v>
      </c>
      <c r="B475" s="387">
        <v>324</v>
      </c>
      <c r="C475" s="388">
        <v>398.15</v>
      </c>
      <c r="D475" s="389">
        <f>C475*B475</f>
        <v>129000.59999999999</v>
      </c>
      <c r="E475" s="390">
        <f>(C475-C463)/C475</f>
        <v>1.4240863995981312E-2</v>
      </c>
      <c r="F475" s="645">
        <f>D475/D479</f>
        <v>0.43155830847337762</v>
      </c>
      <c r="G475" s="690">
        <v>50</v>
      </c>
      <c r="H475" s="492">
        <v>0.12</v>
      </c>
      <c r="I475" s="493">
        <f>D475-D463</f>
        <v>1837.0799999999872</v>
      </c>
    </row>
    <row r="476" spans="1:9" ht="16" hidden="1" outlineLevel="2" thickBot="1" x14ac:dyDescent="0.4">
      <c r="A476" s="716" t="s">
        <v>139</v>
      </c>
      <c r="B476" s="387">
        <v>27</v>
      </c>
      <c r="C476" s="388">
        <v>39.47</v>
      </c>
      <c r="D476" s="389">
        <f>C476*B476</f>
        <v>1065.69</v>
      </c>
      <c r="E476" s="390">
        <f>(C476-C464)/C476</f>
        <v>2.2295414238662159E-2</v>
      </c>
      <c r="F476" s="645"/>
      <c r="G476" s="732"/>
      <c r="H476" s="498"/>
      <c r="I476" s="493">
        <f>D476-D464</f>
        <v>23.759999999999991</v>
      </c>
    </row>
    <row r="477" spans="1:9" ht="16" hidden="1" outlineLevel="2" thickBot="1" x14ac:dyDescent="0.4">
      <c r="A477" s="718" t="s">
        <v>7</v>
      </c>
      <c r="B477" s="337"/>
      <c r="C477" s="338"/>
      <c r="D477" s="339">
        <v>1678.58</v>
      </c>
      <c r="E477" s="340"/>
      <c r="F477" s="665">
        <f>SUM(F472:F475)</f>
        <v>0.99066543720429201</v>
      </c>
      <c r="G477" s="666">
        <f>AVERAGE(G472:G475)</f>
        <v>86.25</v>
      </c>
      <c r="H477" s="501">
        <f>AVERAGE(H472:H475)</f>
        <v>0.37750000000000006</v>
      </c>
      <c r="I477" s="667">
        <f>SUM(I472:I475)</f>
        <v>6419.1287999999986</v>
      </c>
    </row>
    <row r="478" spans="1:9" ht="16" hidden="1" outlineLevel="2" thickBot="1" x14ac:dyDescent="0.4">
      <c r="A478" s="721" t="s">
        <v>60</v>
      </c>
      <c r="B478" s="722"/>
      <c r="C478" s="723"/>
      <c r="D478" s="724">
        <v>46</v>
      </c>
      <c r="E478" s="725"/>
      <c r="G478" s="93">
        <f>0.423*C473</f>
        <v>91.774079999999998</v>
      </c>
    </row>
    <row r="479" spans="1:9" ht="19" hidden="1" outlineLevel="2" thickBot="1" x14ac:dyDescent="0.5">
      <c r="A479" s="726" t="s">
        <v>62</v>
      </c>
      <c r="B479" s="583"/>
      <c r="C479" s="584"/>
      <c r="D479" s="585">
        <f>SUM(D472:D478)</f>
        <v>298918.12407999998</v>
      </c>
      <c r="E479" s="586">
        <f>D479-D467</f>
        <v>6454.4387999999453</v>
      </c>
      <c r="F479" s="587">
        <f>(D479-D467)/D467</f>
        <v>2.2069197390508739E-2</v>
      </c>
      <c r="G479" s="574"/>
      <c r="H479" s="148"/>
      <c r="I479" s="148"/>
    </row>
    <row r="480" spans="1:9" hidden="1" outlineLevel="2" x14ac:dyDescent="0.35"/>
    <row r="481" spans="1:9" hidden="1" outlineLevel="2" x14ac:dyDescent="0.35">
      <c r="A481" s="701" t="s">
        <v>25</v>
      </c>
      <c r="B481" s="702" t="s">
        <v>26</v>
      </c>
      <c r="C481" s="703" t="s">
        <v>27</v>
      </c>
      <c r="D481" s="704">
        <f>D469+7</f>
        <v>43071</v>
      </c>
      <c r="E481" s="705" t="s">
        <v>28</v>
      </c>
      <c r="F481" s="511" t="s">
        <v>101</v>
      </c>
      <c r="G481" s="252">
        <v>17555</v>
      </c>
      <c r="H481" s="253">
        <f>(C482-G481)/G481</f>
        <v>0.38029051552264315</v>
      </c>
    </row>
    <row r="482" spans="1:9" hidden="1" outlineLevel="2" x14ac:dyDescent="0.35">
      <c r="A482" s="706" t="s">
        <v>32</v>
      </c>
      <c r="B482" s="255" t="str">
        <f ca="1">TEXT(TODAY(),"ddd")</f>
        <v>Sun</v>
      </c>
      <c r="C482" s="256">
        <v>24231</v>
      </c>
      <c r="D482" s="322">
        <f>C482-C470</f>
        <v>674</v>
      </c>
      <c r="E482" s="707"/>
      <c r="F482" s="708"/>
      <c r="G482" s="609">
        <v>4766</v>
      </c>
      <c r="H482" s="685">
        <f>(C483-G482)/G482</f>
        <v>0.436634494334872</v>
      </c>
    </row>
    <row r="483" spans="1:9" hidden="1" outlineLevel="2" x14ac:dyDescent="0.35">
      <c r="A483" s="709" t="s">
        <v>36</v>
      </c>
      <c r="B483" s="263"/>
      <c r="C483" s="419">
        <v>6847</v>
      </c>
      <c r="D483" s="264">
        <f>C483-C471</f>
        <v>-42</v>
      </c>
      <c r="E483" s="482">
        <f>(C483-C471)/C471</f>
        <v>-6.0966758600667732E-3</v>
      </c>
      <c r="F483" s="710" t="s">
        <v>37</v>
      </c>
      <c r="G483" s="618" t="s">
        <v>38</v>
      </c>
      <c r="H483" s="731" t="s">
        <v>102</v>
      </c>
    </row>
    <row r="484" spans="1:9" hidden="1" outlineLevel="2" x14ac:dyDescent="0.35">
      <c r="A484" s="711" t="s">
        <v>135</v>
      </c>
      <c r="B484" s="270">
        <v>260</v>
      </c>
      <c r="C484" s="271">
        <v>187.81</v>
      </c>
      <c r="D484" s="272">
        <f>C484*B484</f>
        <v>48830.6</v>
      </c>
      <c r="E484" s="397">
        <f>(C484-C472)/C484</f>
        <v>-0.15451786379851984</v>
      </c>
      <c r="F484" s="617">
        <f>D484/D491</f>
        <v>0.17164001914636318</v>
      </c>
      <c r="G484" s="688">
        <v>18</v>
      </c>
      <c r="H484" s="488">
        <v>0.51</v>
      </c>
      <c r="I484" s="734">
        <f>D484-D472</f>
        <v>-7545.2000000000044</v>
      </c>
    </row>
    <row r="485" spans="1:9" hidden="1" outlineLevel="2" x14ac:dyDescent="0.35">
      <c r="A485" s="713" t="s">
        <v>49</v>
      </c>
      <c r="B485" s="289">
        <v>267.423</v>
      </c>
      <c r="C485" s="290">
        <v>197.68</v>
      </c>
      <c r="D485" s="291">
        <f>C485*B485</f>
        <v>52864.178640000006</v>
      </c>
      <c r="E485" s="292">
        <f>(C485-C473)/C485</f>
        <v>-9.7531363820315659E-2</v>
      </c>
      <c r="F485" s="645">
        <f>D485/D491</f>
        <v>0.18581808607566494</v>
      </c>
      <c r="G485" s="690">
        <v>48</v>
      </c>
      <c r="H485" s="492">
        <v>0.56000000000000005</v>
      </c>
      <c r="I485" s="692">
        <f>D485-D473</f>
        <v>-5155.915439999997</v>
      </c>
    </row>
    <row r="486" spans="1:9" hidden="1" outlineLevel="2" x14ac:dyDescent="0.35">
      <c r="A486" s="715" t="s">
        <v>137</v>
      </c>
      <c r="B486" s="285">
        <v>264</v>
      </c>
      <c r="C486" s="286">
        <v>194.6</v>
      </c>
      <c r="D486" s="287">
        <f>C486*B486</f>
        <v>51374.400000000001</v>
      </c>
      <c r="E486" s="296">
        <f>(C486-C474)/C486</f>
        <v>-2.6413155190133684E-2</v>
      </c>
      <c r="F486" s="645">
        <f>D486/D491</f>
        <v>0.18058150011740426</v>
      </c>
      <c r="G486" s="691">
        <v>229</v>
      </c>
      <c r="H486" s="492">
        <v>0.32</v>
      </c>
      <c r="I486" s="692">
        <f>D486-D474</f>
        <v>-1356.9599999999991</v>
      </c>
    </row>
    <row r="487" spans="1:9" hidden="1" outlineLevel="2" x14ac:dyDescent="0.35">
      <c r="A487" s="716" t="s">
        <v>96</v>
      </c>
      <c r="B487" s="387">
        <v>324</v>
      </c>
      <c r="C487" s="388">
        <v>396.66</v>
      </c>
      <c r="D487" s="389">
        <f>C487*B487</f>
        <v>128517.84000000001</v>
      </c>
      <c r="E487" s="590">
        <f>(C487-C475)/C487</f>
        <v>-3.7563656532041351E-3</v>
      </c>
      <c r="F487" s="645">
        <f>D487/D491</f>
        <v>0.45174141866471518</v>
      </c>
      <c r="G487" s="690">
        <v>50</v>
      </c>
      <c r="H487" s="492">
        <v>0.12</v>
      </c>
      <c r="I487" s="692">
        <f>D487-D475</f>
        <v>-482.75999999998021</v>
      </c>
    </row>
    <row r="488" spans="1:9" ht="16" hidden="1" outlineLevel="2" thickBot="1" x14ac:dyDescent="0.4">
      <c r="A488" s="716" t="s">
        <v>139</v>
      </c>
      <c r="B488" s="387">
        <v>27</v>
      </c>
      <c r="C488" s="388">
        <v>43.55</v>
      </c>
      <c r="D488" s="389">
        <f>C488*B488</f>
        <v>1175.8499999999999</v>
      </c>
      <c r="E488" s="390">
        <f>(C488-C476)/C488</f>
        <v>9.3685419058553349E-2</v>
      </c>
      <c r="F488" s="645"/>
      <c r="G488" s="732"/>
      <c r="H488" s="498"/>
      <c r="I488" s="493">
        <f>D488-D476</f>
        <v>110.15999999999985</v>
      </c>
    </row>
    <row r="489" spans="1:9" ht="16" hidden="1" outlineLevel="2" thickBot="1" x14ac:dyDescent="0.4">
      <c r="A489" s="718" t="s">
        <v>7</v>
      </c>
      <c r="B489" s="337"/>
      <c r="C489" s="338"/>
      <c r="D489" s="339">
        <v>1685.33</v>
      </c>
      <c r="E489" s="340"/>
      <c r="F489" s="665">
        <f>SUM(F484:F487)</f>
        <v>0.98978102400414758</v>
      </c>
      <c r="G489" s="666">
        <f>AVERAGE(G484:G487)</f>
        <v>86.25</v>
      </c>
      <c r="H489" s="501">
        <f>AVERAGE(H484:H487)</f>
        <v>0.37750000000000006</v>
      </c>
      <c r="I489" s="735">
        <f>SUM(I484:I487)</f>
        <v>-14540.835439999981</v>
      </c>
    </row>
    <row r="490" spans="1:9" ht="16" hidden="1" outlineLevel="2" thickBot="1" x14ac:dyDescent="0.4">
      <c r="A490" s="721" t="s">
        <v>60</v>
      </c>
      <c r="B490" s="722"/>
      <c r="C490" s="723"/>
      <c r="D490" s="724">
        <v>46.06</v>
      </c>
      <c r="E490" s="725"/>
      <c r="G490" s="93">
        <f>0.423*C485</f>
        <v>83.618639999999999</v>
      </c>
      <c r="H490" s="233"/>
    </row>
    <row r="491" spans="1:9" ht="19" hidden="1" outlineLevel="2" thickBot="1" x14ac:dyDescent="0.5">
      <c r="A491" s="726" t="s">
        <v>62</v>
      </c>
      <c r="B491" s="583"/>
      <c r="C491" s="584"/>
      <c r="D491" s="585">
        <f>SUM(D484:D490)</f>
        <v>284494.25864000001</v>
      </c>
      <c r="E491" s="736">
        <f>D491-D479</f>
        <v>-14423.865439999965</v>
      </c>
      <c r="F491" s="737">
        <f>(D491-D479)/D479</f>
        <v>-4.8253566037165685E-2</v>
      </c>
      <c r="G491" s="574"/>
      <c r="H491" s="148"/>
      <c r="I491" s="148"/>
    </row>
    <row r="492" spans="1:9" hidden="1" outlineLevel="2" x14ac:dyDescent="0.35"/>
    <row r="493" spans="1:9" hidden="1" outlineLevel="2" x14ac:dyDescent="0.35">
      <c r="A493" s="701" t="s">
        <v>25</v>
      </c>
      <c r="B493" s="702" t="s">
        <v>26</v>
      </c>
      <c r="C493" s="703" t="s">
        <v>27</v>
      </c>
      <c r="D493" s="704">
        <f>D481+7</f>
        <v>43078</v>
      </c>
      <c r="E493" s="705" t="s">
        <v>28</v>
      </c>
      <c r="F493" s="511" t="s">
        <v>101</v>
      </c>
      <c r="G493" s="252">
        <v>17555</v>
      </c>
      <c r="H493" s="253">
        <f>(C494-G493)/G493</f>
        <v>0.38587297066362858</v>
      </c>
    </row>
    <row r="494" spans="1:9" hidden="1" outlineLevel="2" x14ac:dyDescent="0.35">
      <c r="A494" s="738" t="s">
        <v>32</v>
      </c>
      <c r="B494" s="255" t="str">
        <f ca="1">TEXT(TODAY(),"ddd")</f>
        <v>Sun</v>
      </c>
      <c r="C494" s="256">
        <v>24329</v>
      </c>
      <c r="D494" s="322">
        <f>C494-C482</f>
        <v>98</v>
      </c>
      <c r="E494" s="707"/>
      <c r="F494" s="708"/>
      <c r="G494" s="609">
        <v>4766</v>
      </c>
      <c r="H494" s="685">
        <f>(C495-G494)/G494</f>
        <v>0.35963071758287873</v>
      </c>
    </row>
    <row r="495" spans="1:9" hidden="1" outlineLevel="2" x14ac:dyDescent="0.35">
      <c r="A495" s="739" t="s">
        <v>36</v>
      </c>
      <c r="B495" s="263"/>
      <c r="C495" s="419">
        <v>6480</v>
      </c>
      <c r="D495" s="264">
        <f>C495-C483</f>
        <v>-367</v>
      </c>
      <c r="E495" s="740">
        <f>(C495-C483)/C483</f>
        <v>-5.360011683949175E-2</v>
      </c>
      <c r="F495" s="710" t="s">
        <v>37</v>
      </c>
      <c r="G495" s="618" t="s">
        <v>38</v>
      </c>
      <c r="H495" s="731" t="s">
        <v>102</v>
      </c>
    </row>
    <row r="496" spans="1:9" hidden="1" outlineLevel="2" x14ac:dyDescent="0.35">
      <c r="A496" s="741" t="s">
        <v>135</v>
      </c>
      <c r="B496" s="742">
        <v>260</v>
      </c>
      <c r="C496" s="271">
        <v>186.46</v>
      </c>
      <c r="D496" s="272">
        <f>C496*B496</f>
        <v>48479.6</v>
      </c>
      <c r="E496" s="397">
        <f>(C496-C484)/C496</f>
        <v>-7.2401587471843517E-3</v>
      </c>
      <c r="F496" s="617">
        <f>D496/D503</f>
        <v>0.17556174773668448</v>
      </c>
      <c r="G496" s="688">
        <v>18</v>
      </c>
      <c r="H496" s="488">
        <v>0.51</v>
      </c>
      <c r="I496" s="743">
        <f>D496-D484</f>
        <v>-351</v>
      </c>
    </row>
    <row r="497" spans="1:9" hidden="1" outlineLevel="2" x14ac:dyDescent="0.35">
      <c r="A497" s="744" t="s">
        <v>49</v>
      </c>
      <c r="B497" s="745">
        <v>267.423</v>
      </c>
      <c r="C497" s="290">
        <v>191.49</v>
      </c>
      <c r="D497" s="291">
        <f>C497*B497</f>
        <v>51208.830270000006</v>
      </c>
      <c r="E497" s="292">
        <f>(C497-C485)/C497</f>
        <v>-3.2325447804062865E-2</v>
      </c>
      <c r="F497" s="645">
        <f>D497/D503</f>
        <v>0.18544525412240268</v>
      </c>
      <c r="G497" s="690">
        <v>48</v>
      </c>
      <c r="H497" s="492">
        <v>0.56000000000000005</v>
      </c>
      <c r="I497" s="733">
        <f>D497-D485</f>
        <v>-1655.3483699999997</v>
      </c>
    </row>
    <row r="498" spans="1:9" hidden="1" outlineLevel="2" x14ac:dyDescent="0.35">
      <c r="A498" s="746" t="s">
        <v>137</v>
      </c>
      <c r="B498" s="747">
        <v>264</v>
      </c>
      <c r="C498" s="286">
        <v>191.36</v>
      </c>
      <c r="D498" s="287">
        <f>C498*B498</f>
        <v>50519.040000000001</v>
      </c>
      <c r="E498" s="296">
        <f>(C498-C486)/C498</f>
        <v>-1.69314381270902E-2</v>
      </c>
      <c r="F498" s="645">
        <f>D498/D503</f>
        <v>0.18294728001838861</v>
      </c>
      <c r="G498" s="691">
        <v>229</v>
      </c>
      <c r="H498" s="492">
        <v>0.32</v>
      </c>
      <c r="I498" s="692">
        <f>D498-D486</f>
        <v>-855.36000000000058</v>
      </c>
    </row>
    <row r="499" spans="1:9" hidden="1" outlineLevel="2" x14ac:dyDescent="0.35">
      <c r="A499" s="748" t="s">
        <v>96</v>
      </c>
      <c r="B499" s="749">
        <v>324</v>
      </c>
      <c r="C499" s="388">
        <v>379.61</v>
      </c>
      <c r="D499" s="389">
        <f>C499*B499</f>
        <v>122993.64</v>
      </c>
      <c r="E499" s="590">
        <f>(C499-C487)/C499</f>
        <v>-4.4914517531150416E-2</v>
      </c>
      <c r="F499" s="645">
        <f>D499/D503</f>
        <v>0.44540339439468529</v>
      </c>
      <c r="G499" s="690">
        <v>50</v>
      </c>
      <c r="H499" s="492">
        <v>0.12</v>
      </c>
      <c r="I499" s="733">
        <f>D499-D487</f>
        <v>-5524.2000000000116</v>
      </c>
    </row>
    <row r="500" spans="1:9" ht="16" hidden="1" outlineLevel="2" thickBot="1" x14ac:dyDescent="0.4">
      <c r="A500" s="750" t="s">
        <v>139</v>
      </c>
      <c r="B500" s="749">
        <v>27</v>
      </c>
      <c r="C500" s="388">
        <v>44.79</v>
      </c>
      <c r="D500" s="389">
        <f>C500*B500</f>
        <v>1209.33</v>
      </c>
      <c r="E500" s="390">
        <f>(C500-C488)/C500</f>
        <v>2.7684751060504623E-2</v>
      </c>
      <c r="F500" s="645"/>
      <c r="G500" s="732"/>
      <c r="H500" s="498"/>
      <c r="I500" s="733">
        <f>D500-D488</f>
        <v>33.480000000000018</v>
      </c>
    </row>
    <row r="501" spans="1:9" ht="16" hidden="1" outlineLevel="2" thickBot="1" x14ac:dyDescent="0.4">
      <c r="A501" s="751" t="s">
        <v>7</v>
      </c>
      <c r="B501" s="752"/>
      <c r="C501" s="338"/>
      <c r="D501" s="339">
        <v>1683.44</v>
      </c>
      <c r="E501" s="363"/>
      <c r="F501" s="665">
        <f>SUM(F496:F499)</f>
        <v>0.9893576762721612</v>
      </c>
      <c r="G501" s="666">
        <f>AVERAGE(G496:G499)</f>
        <v>86.25</v>
      </c>
      <c r="H501" s="501">
        <f>AVERAGE(H496:H499)</f>
        <v>0.37750000000000006</v>
      </c>
      <c r="I501" s="735">
        <f>SUM(I496:I499)</f>
        <v>-8385.9083700000119</v>
      </c>
    </row>
    <row r="502" spans="1:9" ht="16" hidden="1" outlineLevel="2" thickBot="1" x14ac:dyDescent="0.4">
      <c r="A502" s="753" t="s">
        <v>60</v>
      </c>
      <c r="B502" s="754"/>
      <c r="C502" s="723"/>
      <c r="D502" s="724">
        <v>46</v>
      </c>
      <c r="E502" s="725"/>
      <c r="G502" s="93">
        <f>0.423*C497</f>
        <v>81.00027</v>
      </c>
    </row>
    <row r="503" spans="1:9" ht="19" hidden="1" outlineLevel="2" thickBot="1" x14ac:dyDescent="0.5">
      <c r="A503" s="755" t="s">
        <v>62</v>
      </c>
      <c r="B503" s="583"/>
      <c r="C503" s="584"/>
      <c r="D503" s="585">
        <f>SUM(D496:D502)</f>
        <v>276139.88027000002</v>
      </c>
      <c r="E503" s="736">
        <f>D503-D491</f>
        <v>-8354.3783699999913</v>
      </c>
      <c r="F503" s="737">
        <f>(D503-D491)/D491</f>
        <v>-2.9365718696529652E-2</v>
      </c>
      <c r="G503" s="574"/>
      <c r="H503" s="148"/>
      <c r="I503" s="148"/>
    </row>
    <row r="504" spans="1:9" hidden="1" outlineLevel="2" x14ac:dyDescent="0.35"/>
    <row r="505" spans="1:9" hidden="1" outlineLevel="2" x14ac:dyDescent="0.35">
      <c r="A505" s="701" t="s">
        <v>25</v>
      </c>
      <c r="B505" s="702" t="s">
        <v>26</v>
      </c>
      <c r="C505" s="703" t="s">
        <v>27</v>
      </c>
      <c r="D505" s="704">
        <f>D493+7</f>
        <v>43085</v>
      </c>
      <c r="E505" s="705" t="s">
        <v>28</v>
      </c>
      <c r="F505" s="511" t="s">
        <v>101</v>
      </c>
      <c r="G505" s="252">
        <v>17555</v>
      </c>
      <c r="H505" s="253">
        <f>(C506-G505)/G505</f>
        <v>0.4042153232697237</v>
      </c>
    </row>
    <row r="506" spans="1:9" hidden="1" outlineLevel="2" x14ac:dyDescent="0.35">
      <c r="A506" s="706" t="s">
        <v>32</v>
      </c>
      <c r="B506" s="255" t="str">
        <f ca="1">TEXT(TODAY(),"ddd")</f>
        <v>Sun</v>
      </c>
      <c r="C506" s="256">
        <v>24651</v>
      </c>
      <c r="D506" s="322">
        <f>C506-C494</f>
        <v>322</v>
      </c>
      <c r="E506" s="707"/>
      <c r="F506" s="708"/>
      <c r="G506" s="609">
        <v>4766</v>
      </c>
      <c r="H506" s="685">
        <f>(C507-G506)/G506</f>
        <v>0.45530843474611832</v>
      </c>
    </row>
    <row r="507" spans="1:9" hidden="1" outlineLevel="2" x14ac:dyDescent="0.35">
      <c r="A507" s="709" t="s">
        <v>36</v>
      </c>
      <c r="B507" s="263"/>
      <c r="C507" s="419">
        <v>6936</v>
      </c>
      <c r="D507" s="223">
        <f>C507-C495</f>
        <v>456</v>
      </c>
      <c r="E507" s="482">
        <f>(C507-C495)/C495</f>
        <v>7.0370370370370375E-2</v>
      </c>
      <c r="F507" s="710" t="s">
        <v>37</v>
      </c>
      <c r="G507" s="618" t="s">
        <v>38</v>
      </c>
      <c r="H507" s="731" t="s">
        <v>102</v>
      </c>
    </row>
    <row r="508" spans="1:9" hidden="1" outlineLevel="2" x14ac:dyDescent="0.35">
      <c r="A508" s="756" t="s">
        <v>135</v>
      </c>
      <c r="B508" s="742">
        <v>260</v>
      </c>
      <c r="C508" s="271">
        <v>186.32</v>
      </c>
      <c r="D508" s="272">
        <f>C508*B508</f>
        <v>48443.199999999997</v>
      </c>
      <c r="E508" s="397">
        <f>(C508-C496)/C508</f>
        <v>-7.5139544869050443E-4</v>
      </c>
      <c r="F508" s="617">
        <f>D508/D515</f>
        <v>0.17776140191153569</v>
      </c>
      <c r="G508" s="688">
        <v>18</v>
      </c>
      <c r="H508" s="488">
        <v>0.51</v>
      </c>
      <c r="I508" s="743">
        <f>D508-D496</f>
        <v>-36.400000000001455</v>
      </c>
    </row>
    <row r="509" spans="1:9" hidden="1" outlineLevel="2" x14ac:dyDescent="0.35">
      <c r="A509" s="744" t="s">
        <v>49</v>
      </c>
      <c r="B509" s="745">
        <v>267.63</v>
      </c>
      <c r="C509" s="290">
        <v>191.56</v>
      </c>
      <c r="D509" s="291">
        <f>C509*B509</f>
        <v>51267.202799999999</v>
      </c>
      <c r="E509" s="328">
        <f>(C509-C497)/C509</f>
        <v>3.6542075589889944E-4</v>
      </c>
      <c r="F509" s="645">
        <f>D509/D515</f>
        <v>0.18812402652613799</v>
      </c>
      <c r="G509" s="690">
        <v>46</v>
      </c>
      <c r="H509" s="492">
        <v>0.56000000000000005</v>
      </c>
      <c r="I509" s="493">
        <f>D509-D497</f>
        <v>58.372529999993276</v>
      </c>
    </row>
    <row r="510" spans="1:9" hidden="1" outlineLevel="2" x14ac:dyDescent="0.35">
      <c r="A510" s="746" t="s">
        <v>137</v>
      </c>
      <c r="B510" s="747">
        <v>264</v>
      </c>
      <c r="C510" s="286">
        <v>188.71</v>
      </c>
      <c r="D510" s="287">
        <f>C510*B510</f>
        <v>49819.44</v>
      </c>
      <c r="E510" s="296">
        <f>(C510-C498)/C510</f>
        <v>-1.4042711038100819E-2</v>
      </c>
      <c r="F510" s="645">
        <f>D510/D515</f>
        <v>0.18281148844105341</v>
      </c>
      <c r="G510" s="691">
        <v>92</v>
      </c>
      <c r="H510" s="492">
        <v>0.32</v>
      </c>
      <c r="I510" s="692">
        <f>D510-D498</f>
        <v>-699.59999999999854</v>
      </c>
    </row>
    <row r="511" spans="1:9" hidden="1" outlineLevel="2" x14ac:dyDescent="0.35">
      <c r="A511" s="748" t="s">
        <v>96</v>
      </c>
      <c r="B511" s="749">
        <v>324</v>
      </c>
      <c r="C511" s="388">
        <v>369.87</v>
      </c>
      <c r="D511" s="389">
        <f>C511*B511</f>
        <v>119837.88</v>
      </c>
      <c r="E511" s="590">
        <f>(C511-C499)/C511</f>
        <v>-2.6333576662070483E-2</v>
      </c>
      <c r="F511" s="645">
        <f>D511/D515</f>
        <v>0.43974282357289335</v>
      </c>
      <c r="G511" s="690">
        <v>46</v>
      </c>
      <c r="H511" s="492">
        <v>0.12</v>
      </c>
      <c r="I511" s="733">
        <f>D511-D499</f>
        <v>-3155.7599999999948</v>
      </c>
    </row>
    <row r="512" spans="1:9" ht="16" hidden="1" outlineLevel="2" thickBot="1" x14ac:dyDescent="0.4">
      <c r="A512" s="757" t="s">
        <v>139</v>
      </c>
      <c r="B512" s="752">
        <v>27</v>
      </c>
      <c r="C512" s="338">
        <v>52.31</v>
      </c>
      <c r="D512" s="339">
        <f>C512*B512</f>
        <v>1412.3700000000001</v>
      </c>
      <c r="E512" s="340">
        <f>(C512-C500)/C512</f>
        <v>0.14375836360160588</v>
      </c>
      <c r="F512" s="645"/>
      <c r="G512" s="732"/>
      <c r="H512" s="498"/>
      <c r="I512" s="493">
        <f>D512-D500</f>
        <v>203.04000000000019</v>
      </c>
    </row>
    <row r="513" spans="1:9" ht="16" hidden="1" outlineLevel="2" thickBot="1" x14ac:dyDescent="0.4">
      <c r="A513" s="758" t="s">
        <v>7</v>
      </c>
      <c r="B513" s="759"/>
      <c r="C513" s="760"/>
      <c r="D513" s="761">
        <v>1692.01</v>
      </c>
      <c r="E513" s="762"/>
      <c r="F513" s="665">
        <f>SUM(F508:F511)</f>
        <v>0.98843974045162053</v>
      </c>
      <c r="G513" s="666">
        <f>AVERAGE(G508:G511)</f>
        <v>50.5</v>
      </c>
      <c r="H513" s="501">
        <f>AVERAGE(H508:H511)</f>
        <v>0.37750000000000006</v>
      </c>
      <c r="I513" s="735">
        <f>SUM(I508:I511)</f>
        <v>-3833.3874700000015</v>
      </c>
    </row>
    <row r="514" spans="1:9" ht="16" hidden="1" outlineLevel="2" thickBot="1" x14ac:dyDescent="0.4">
      <c r="A514" s="763" t="s">
        <v>60</v>
      </c>
      <c r="B514" s="764"/>
      <c r="C514" s="765"/>
      <c r="D514" s="766">
        <v>46</v>
      </c>
      <c r="E514" s="767"/>
      <c r="G514" s="93">
        <f>0.423*C509</f>
        <v>81.029879999999991</v>
      </c>
    </row>
    <row r="515" spans="1:9" ht="19" hidden="1" outlineLevel="2" thickBot="1" x14ac:dyDescent="0.5">
      <c r="A515" s="726" t="s">
        <v>62</v>
      </c>
      <c r="B515" s="583"/>
      <c r="C515" s="584"/>
      <c r="D515" s="585">
        <f>SUM(D508:D514)</f>
        <v>272518.10279999999</v>
      </c>
      <c r="E515" s="736">
        <f>D515-D503</f>
        <v>-3621.77747000003</v>
      </c>
      <c r="F515" s="737">
        <f>(D515-D503)/D503</f>
        <v>-1.3115734918327557E-2</v>
      </c>
      <c r="G515" s="574">
        <f>SUM(E515+E503+E491)</f>
        <v>-26400.021279999986</v>
      </c>
      <c r="H515" s="148"/>
      <c r="I515" s="148"/>
    </row>
    <row r="516" spans="1:9" hidden="1" outlineLevel="2" x14ac:dyDescent="0.35"/>
    <row r="517" spans="1:9" hidden="1" outlineLevel="2" x14ac:dyDescent="0.35">
      <c r="A517" s="701" t="s">
        <v>25</v>
      </c>
      <c r="B517" s="702" t="s">
        <v>26</v>
      </c>
      <c r="C517" s="703" t="s">
        <v>27</v>
      </c>
      <c r="D517" s="704">
        <f>D505+7</f>
        <v>43092</v>
      </c>
      <c r="E517" s="705" t="s">
        <v>28</v>
      </c>
      <c r="F517" s="511" t="s">
        <v>101</v>
      </c>
      <c r="G517" s="252">
        <v>17555</v>
      </c>
      <c r="H517" s="253">
        <f>(C518-G517)/G517</f>
        <v>0.41008259755055537</v>
      </c>
    </row>
    <row r="518" spans="1:9" hidden="1" outlineLevel="2" x14ac:dyDescent="0.35">
      <c r="A518" s="706" t="s">
        <v>32</v>
      </c>
      <c r="B518" s="255" t="str">
        <f ca="1">TEXT(TODAY(),"ddd")</f>
        <v>Sun</v>
      </c>
      <c r="C518" s="256">
        <v>24754</v>
      </c>
      <c r="D518" s="322">
        <f>C518-C506</f>
        <v>103</v>
      </c>
      <c r="E518" s="707"/>
      <c r="F518" s="708"/>
      <c r="G518" s="609">
        <v>4766</v>
      </c>
      <c r="H518" s="685">
        <f>(C519-G518)/G518</f>
        <v>0.46013428451531685</v>
      </c>
    </row>
    <row r="519" spans="1:9" hidden="1" outlineLevel="2" x14ac:dyDescent="0.35">
      <c r="A519" s="709" t="s">
        <v>36</v>
      </c>
      <c r="B519" s="263"/>
      <c r="C519" s="419">
        <v>6959</v>
      </c>
      <c r="D519" s="223">
        <f>C519-C507</f>
        <v>23</v>
      </c>
      <c r="E519" s="482">
        <f>(C519-C507)/C507</f>
        <v>3.3160322952710498E-3</v>
      </c>
      <c r="F519" s="710" t="s">
        <v>37</v>
      </c>
      <c r="G519" s="618" t="s">
        <v>38</v>
      </c>
      <c r="H519" s="731" t="s">
        <v>102</v>
      </c>
    </row>
    <row r="520" spans="1:9" hidden="1" outlineLevel="2" x14ac:dyDescent="0.35">
      <c r="A520" s="756" t="s">
        <v>135</v>
      </c>
      <c r="B520" s="742">
        <v>260</v>
      </c>
      <c r="C520" s="271">
        <v>186.69</v>
      </c>
      <c r="D520" s="272">
        <f>C520*B520</f>
        <v>48539.4</v>
      </c>
      <c r="E520" s="397">
        <f>(C520-C508)/C520</f>
        <v>1.9818951202528498E-3</v>
      </c>
      <c r="F520" s="617">
        <f>D520/D529</f>
        <v>0.17946169692136138</v>
      </c>
      <c r="G520" s="768">
        <v>18</v>
      </c>
      <c r="H520" s="488">
        <v>0.51</v>
      </c>
      <c r="I520" s="743">
        <f>D520-D508</f>
        <v>96.200000000004366</v>
      </c>
    </row>
    <row r="521" spans="1:9" hidden="1" outlineLevel="2" x14ac:dyDescent="0.35">
      <c r="A521" s="744" t="s">
        <v>49</v>
      </c>
      <c r="B521" s="745">
        <v>267.63</v>
      </c>
      <c r="C521" s="290">
        <v>195.27</v>
      </c>
      <c r="D521" s="291">
        <f t="shared" ref="D521:D526" si="28">C521*B521</f>
        <v>52260.110100000005</v>
      </c>
      <c r="E521" s="328">
        <f>(C521-C509)/C521</f>
        <v>1.8999334255133955E-2</v>
      </c>
      <c r="F521" s="645">
        <f>D521/D529</f>
        <v>0.19321804636734646</v>
      </c>
      <c r="G521" s="690">
        <v>48</v>
      </c>
      <c r="H521" s="492">
        <v>0.56000000000000005</v>
      </c>
      <c r="I521" s="493">
        <f>D521-D509</f>
        <v>992.90730000000622</v>
      </c>
    </row>
    <row r="522" spans="1:9" hidden="1" outlineLevel="2" x14ac:dyDescent="0.35">
      <c r="A522" s="746" t="s">
        <v>137</v>
      </c>
      <c r="B522" s="747">
        <v>264</v>
      </c>
      <c r="C522" s="286">
        <v>191.64</v>
      </c>
      <c r="D522" s="287">
        <f t="shared" si="28"/>
        <v>50592.959999999999</v>
      </c>
      <c r="E522" s="288">
        <f>(C522-C510)/C522</f>
        <v>1.5289083698601432E-2</v>
      </c>
      <c r="F522" s="645">
        <f>D522/D529</f>
        <v>0.18705419625859732</v>
      </c>
      <c r="G522" s="691">
        <v>229</v>
      </c>
      <c r="H522" s="492">
        <v>0.32</v>
      </c>
      <c r="I522" s="496">
        <f>D522-D510</f>
        <v>773.5199999999968</v>
      </c>
    </row>
    <row r="523" spans="1:9" hidden="1" outlineLevel="2" x14ac:dyDescent="0.35">
      <c r="A523" s="748" t="s">
        <v>96</v>
      </c>
      <c r="B523" s="749">
        <v>224</v>
      </c>
      <c r="C523" s="388">
        <v>363.16</v>
      </c>
      <c r="D523" s="389">
        <f t="shared" si="28"/>
        <v>81347.840000000011</v>
      </c>
      <c r="E523" s="590">
        <f>(C523-C511)/C523</f>
        <v>-1.8476704482872506E-2</v>
      </c>
      <c r="F523" s="645">
        <f>D523/D529</f>
        <v>0.3007622963466256</v>
      </c>
      <c r="G523" s="690">
        <v>50</v>
      </c>
      <c r="H523" s="492">
        <v>0.12</v>
      </c>
      <c r="I523" s="733"/>
    </row>
    <row r="524" spans="1:9" hidden="1" outlineLevel="2" x14ac:dyDescent="0.35">
      <c r="A524" s="757" t="s">
        <v>139</v>
      </c>
      <c r="B524" s="752">
        <v>275</v>
      </c>
      <c r="C524" s="338">
        <v>51.62</v>
      </c>
      <c r="D524" s="339">
        <f t="shared" si="28"/>
        <v>14195.5</v>
      </c>
      <c r="E524" s="340">
        <f>(C524-C512)/C524</f>
        <v>-1.3366912049593276E-2</v>
      </c>
      <c r="F524" s="645">
        <f>D524/D529</f>
        <v>5.2484136982475789E-2</v>
      </c>
      <c r="G524" s="690"/>
      <c r="H524" s="492"/>
      <c r="I524" s="493"/>
    </row>
    <row r="525" spans="1:9" hidden="1" outlineLevel="2" x14ac:dyDescent="0.35">
      <c r="A525" s="769" t="s">
        <v>104</v>
      </c>
      <c r="B525" s="759">
        <v>200</v>
      </c>
      <c r="C525" s="760">
        <v>79.52</v>
      </c>
      <c r="D525" s="761">
        <f t="shared" si="28"/>
        <v>15904</v>
      </c>
      <c r="E525" s="762"/>
      <c r="F525" s="645">
        <f>D525/D529</f>
        <v>5.8800867498101157E-2</v>
      </c>
      <c r="G525" s="690">
        <v>37.81</v>
      </c>
      <c r="H525" s="492"/>
      <c r="I525" s="493"/>
    </row>
    <row r="526" spans="1:9" ht="16" hidden="1" outlineLevel="2" thickBot="1" x14ac:dyDescent="0.4">
      <c r="A526" s="770" t="s">
        <v>140</v>
      </c>
      <c r="B526" s="752">
        <v>22</v>
      </c>
      <c r="C526" s="338">
        <v>239.05</v>
      </c>
      <c r="D526" s="339">
        <f t="shared" si="28"/>
        <v>5259.1</v>
      </c>
      <c r="E526" s="340"/>
      <c r="F526" s="662">
        <f>D526/D529</f>
        <v>1.9444142496181076E-2</v>
      </c>
      <c r="G526" s="732">
        <v>31</v>
      </c>
      <c r="H526" s="498"/>
      <c r="I526" s="493"/>
    </row>
    <row r="527" spans="1:9" ht="16" hidden="1" outlineLevel="2" thickBot="1" x14ac:dyDescent="0.4">
      <c r="A527" s="758" t="s">
        <v>7</v>
      </c>
      <c r="B527" s="759"/>
      <c r="C527" s="760"/>
      <c r="D527" s="761">
        <v>1694.72</v>
      </c>
      <c r="E527" s="762"/>
      <c r="F527" s="665">
        <f>SUM(F520:F523)</f>
        <v>0.86049623589393076</v>
      </c>
      <c r="G527" s="666">
        <f>AVERAGE(G520:G523)</f>
        <v>86.25</v>
      </c>
      <c r="H527" s="501">
        <f>AVERAGE(H520:H523)</f>
        <v>0.37750000000000006</v>
      </c>
      <c r="I527" s="667">
        <f>SUM(I520:I523)</f>
        <v>1862.6273000000074</v>
      </c>
    </row>
    <row r="528" spans="1:9" ht="16" hidden="1" outlineLevel="2" thickBot="1" x14ac:dyDescent="0.4">
      <c r="A528" s="763" t="s">
        <v>60</v>
      </c>
      <c r="B528" s="764"/>
      <c r="C528" s="765"/>
      <c r="D528" s="766">
        <v>678.57</v>
      </c>
      <c r="E528" s="767"/>
      <c r="G528" s="93">
        <f>0.423*C521</f>
        <v>82.599209999999999</v>
      </c>
    </row>
    <row r="529" spans="1:9" ht="19" hidden="1" outlineLevel="2" thickBot="1" x14ac:dyDescent="0.5">
      <c r="A529" s="726" t="s">
        <v>62</v>
      </c>
      <c r="B529" s="583"/>
      <c r="C529" s="584"/>
      <c r="D529" s="585">
        <f>SUM(D520:D528)</f>
        <v>270472.20009999996</v>
      </c>
      <c r="E529" s="771">
        <f>D529-D515</f>
        <v>-2045.9027000000351</v>
      </c>
      <c r="F529" s="772">
        <f>(D529-D515)/D515</f>
        <v>-7.5074010826411608E-3</v>
      </c>
      <c r="G529" s="574"/>
      <c r="H529" s="148"/>
      <c r="I529" s="148"/>
    </row>
    <row r="530" spans="1:9" hidden="1" outlineLevel="2" x14ac:dyDescent="0.35"/>
    <row r="531" spans="1:9" hidden="1" outlineLevel="2" x14ac:dyDescent="0.35">
      <c r="A531" s="701" t="s">
        <v>25</v>
      </c>
      <c r="B531" s="702" t="s">
        <v>26</v>
      </c>
      <c r="C531" s="703" t="s">
        <v>27</v>
      </c>
      <c r="D531" s="704">
        <f>D517+7</f>
        <v>43099</v>
      </c>
      <c r="E531" s="705" t="s">
        <v>28</v>
      </c>
      <c r="F531" s="511" t="s">
        <v>101</v>
      </c>
      <c r="G531" s="252">
        <v>17555</v>
      </c>
      <c r="H531" s="253">
        <f>(C532-G531)/G531</f>
        <v>0.41965252064938763</v>
      </c>
    </row>
    <row r="532" spans="1:9" hidden="1" outlineLevel="2" x14ac:dyDescent="0.35">
      <c r="A532" s="706" t="s">
        <v>32</v>
      </c>
      <c r="B532" s="255" t="str">
        <f ca="1">TEXT(TODAY(),"ddd")</f>
        <v>Sun</v>
      </c>
      <c r="C532" s="256">
        <v>24922</v>
      </c>
      <c r="D532" s="257">
        <f>C532-C518</f>
        <v>168</v>
      </c>
      <c r="E532" s="707"/>
      <c r="F532" s="708"/>
      <c r="G532" s="609">
        <v>4766</v>
      </c>
      <c r="H532" s="685">
        <f>(C533-G532)/G532</f>
        <v>0.4483843894250944</v>
      </c>
    </row>
    <row r="533" spans="1:9" hidden="1" outlineLevel="2" x14ac:dyDescent="0.35">
      <c r="A533" s="709" t="s">
        <v>36</v>
      </c>
      <c r="B533" s="263"/>
      <c r="C533" s="419">
        <v>6903</v>
      </c>
      <c r="D533" s="264">
        <f>C533-C519</f>
        <v>-56</v>
      </c>
      <c r="E533" s="740">
        <f>(C533-C519)/C519</f>
        <v>-8.0471332087943669E-3</v>
      </c>
      <c r="F533" s="710" t="s">
        <v>37</v>
      </c>
      <c r="G533" s="618" t="s">
        <v>38</v>
      </c>
      <c r="H533" s="731" t="s">
        <v>102</v>
      </c>
    </row>
    <row r="534" spans="1:9" hidden="1" outlineLevel="2" x14ac:dyDescent="0.35">
      <c r="A534" s="756" t="s">
        <v>135</v>
      </c>
      <c r="B534" s="742">
        <v>260</v>
      </c>
      <c r="C534" s="271">
        <v>184.07</v>
      </c>
      <c r="D534" s="773">
        <f>C534*B534</f>
        <v>47858.2</v>
      </c>
      <c r="E534" s="397">
        <f>(C534-C520)/C520</f>
        <v>-1.4033960040709222E-2</v>
      </c>
      <c r="F534" s="617">
        <f>D534/D542</f>
        <v>0.17876336248729413</v>
      </c>
      <c r="G534" s="768">
        <v>18</v>
      </c>
      <c r="H534" s="488">
        <v>0.51</v>
      </c>
      <c r="I534" s="743">
        <f>D534-D520</f>
        <v>-681.20000000000437</v>
      </c>
    </row>
    <row r="535" spans="1:9" hidden="1" outlineLevel="2" x14ac:dyDescent="0.35">
      <c r="A535" s="744" t="s">
        <v>49</v>
      </c>
      <c r="B535" s="745">
        <v>267.63</v>
      </c>
      <c r="C535" s="290">
        <v>193.5</v>
      </c>
      <c r="D535" s="291">
        <f t="shared" ref="D535:D540" si="29">C535*B535</f>
        <v>51786.404999999999</v>
      </c>
      <c r="E535" s="292">
        <f>(C535-C521)/C523</f>
        <v>-4.8738847890737146E-3</v>
      </c>
      <c r="F535" s="645">
        <f>D535/D542</f>
        <v>0.19343627401216137</v>
      </c>
      <c r="G535" s="690">
        <v>48</v>
      </c>
      <c r="H535" s="492">
        <v>0.56000000000000005</v>
      </c>
      <c r="I535" s="733">
        <f>D535-D521</f>
        <v>-473.7051000000065</v>
      </c>
    </row>
    <row r="536" spans="1:9" hidden="1" outlineLevel="2" x14ac:dyDescent="0.35">
      <c r="A536" s="746" t="s">
        <v>137</v>
      </c>
      <c r="B536" s="747">
        <v>264</v>
      </c>
      <c r="C536" s="286">
        <v>187.41</v>
      </c>
      <c r="D536" s="287">
        <f t="shared" si="29"/>
        <v>49476.24</v>
      </c>
      <c r="E536" s="296">
        <f>(C536-C522)/C524</f>
        <v>-8.1944982564897129E-2</v>
      </c>
      <c r="F536" s="645">
        <f>D536/D542</f>
        <v>0.18480718091420825</v>
      </c>
      <c r="G536" s="691">
        <v>229</v>
      </c>
      <c r="H536" s="492">
        <v>0.32</v>
      </c>
      <c r="I536" s="692">
        <f>D536-D522</f>
        <v>-1116.7200000000012</v>
      </c>
    </row>
    <row r="537" spans="1:9" hidden="1" outlineLevel="2" x14ac:dyDescent="0.35">
      <c r="A537" s="748" t="s">
        <v>96</v>
      </c>
      <c r="B537" s="749">
        <v>239</v>
      </c>
      <c r="C537" s="388">
        <v>364.94</v>
      </c>
      <c r="D537" s="389">
        <f t="shared" si="29"/>
        <v>87220.66</v>
      </c>
      <c r="E537" s="390">
        <f>(C537-C523)/C525</f>
        <v>2.2384305835009718E-2</v>
      </c>
      <c r="F537" s="645">
        <f>D537/D542</f>
        <v>0.32579283090381667</v>
      </c>
      <c r="G537" s="690">
        <v>50</v>
      </c>
      <c r="H537" s="492">
        <v>0.12</v>
      </c>
      <c r="I537" s="733"/>
    </row>
    <row r="538" spans="1:9" hidden="1" outlineLevel="2" x14ac:dyDescent="0.35">
      <c r="A538" s="757" t="s">
        <v>139</v>
      </c>
      <c r="B538" s="752">
        <v>275</v>
      </c>
      <c r="C538" s="338">
        <v>51.78</v>
      </c>
      <c r="D538" s="339">
        <f t="shared" si="29"/>
        <v>14239.5</v>
      </c>
      <c r="E538" s="340">
        <f>(C538-C524)/C526</f>
        <v>6.6931604266891309E-4</v>
      </c>
      <c r="F538" s="645">
        <f>D538/D542</f>
        <v>5.3188396139801017E-2</v>
      </c>
      <c r="G538" s="690"/>
      <c r="H538" s="492"/>
      <c r="I538" s="493">
        <f>D538-D524</f>
        <v>44</v>
      </c>
    </row>
    <row r="539" spans="1:9" hidden="1" outlineLevel="2" x14ac:dyDescent="0.35">
      <c r="A539" s="769" t="s">
        <v>104</v>
      </c>
      <c r="B539" s="759">
        <v>200</v>
      </c>
      <c r="C539" s="760">
        <v>76.7</v>
      </c>
      <c r="D539" s="761">
        <f t="shared" si="29"/>
        <v>15340</v>
      </c>
      <c r="E539" s="762">
        <f>(C539-C525)/C525</f>
        <v>-3.5462776659959672E-2</v>
      </c>
      <c r="F539" s="645">
        <f>D539/D542</f>
        <v>5.7299062241268836E-2</v>
      </c>
      <c r="G539" s="690">
        <v>37.81</v>
      </c>
      <c r="H539" s="492"/>
      <c r="I539" s="733">
        <f>D539-D525</f>
        <v>-564</v>
      </c>
    </row>
    <row r="540" spans="1:9" ht="16" hidden="1" outlineLevel="2" thickBot="1" x14ac:dyDescent="0.4">
      <c r="A540" s="758" t="s">
        <v>7</v>
      </c>
      <c r="B540" s="759">
        <v>87.63</v>
      </c>
      <c r="C540" s="760">
        <v>19.45</v>
      </c>
      <c r="D540" s="761">
        <f t="shared" si="29"/>
        <v>1704.4034999999999</v>
      </c>
      <c r="E540" s="762"/>
      <c r="F540" s="665">
        <f>SUM(F534:F537)</f>
        <v>0.88279964831748048</v>
      </c>
      <c r="G540" s="666">
        <f>AVERAGE(G534:G537)</f>
        <v>86.25</v>
      </c>
      <c r="H540" s="501">
        <f>AVERAGE(H534:H537)</f>
        <v>0.37750000000000006</v>
      </c>
      <c r="I540" s="735">
        <f>SUM(I534:I537)</f>
        <v>-2271.625100000012</v>
      </c>
    </row>
    <row r="541" spans="1:9" ht="16" hidden="1" outlineLevel="2" thickBot="1" x14ac:dyDescent="0.4">
      <c r="A541" s="763" t="s">
        <v>60</v>
      </c>
      <c r="B541" s="764"/>
      <c r="C541" s="765"/>
      <c r="D541" s="766">
        <v>92.76</v>
      </c>
      <c r="E541" s="767"/>
      <c r="G541" s="93">
        <f>0.423*C535</f>
        <v>81.850499999999997</v>
      </c>
    </row>
    <row r="542" spans="1:9" ht="19" hidden="1" outlineLevel="2" thickBot="1" x14ac:dyDescent="0.5">
      <c r="A542" s="726" t="s">
        <v>62</v>
      </c>
      <c r="B542" s="583"/>
      <c r="C542" s="584"/>
      <c r="D542" s="585">
        <f>SUM(D534:D541)</f>
        <v>267718.16850000003</v>
      </c>
      <c r="E542" s="771">
        <f>D542-D529</f>
        <v>-2754.0315999999293</v>
      </c>
      <c r="F542" s="774">
        <f>(D542-D529)/D529</f>
        <v>-1.0182309305657656E-2</v>
      </c>
      <c r="G542" s="775">
        <f>SUM(E491+E503+E515+E529+E542)</f>
        <v>-31199.955579999951</v>
      </c>
      <c r="H542" s="776">
        <f>D542+31200</f>
        <v>298918.16850000003</v>
      </c>
      <c r="I542" s="148"/>
    </row>
    <row r="543" spans="1:9" ht="16" outlineLevel="1" collapsed="1" thickBot="1" x14ac:dyDescent="0.4"/>
    <row r="544" spans="1:9" ht="16" outlineLevel="1" thickBot="1" x14ac:dyDescent="0.4">
      <c r="A544" s="701" t="s">
        <v>25</v>
      </c>
      <c r="B544" s="702" t="s">
        <v>26</v>
      </c>
      <c r="C544" s="703" t="s">
        <v>27</v>
      </c>
      <c r="D544" s="704">
        <f>D531+6</f>
        <v>43105</v>
      </c>
      <c r="E544" s="705" t="s">
        <v>28</v>
      </c>
      <c r="F544" s="511" t="s">
        <v>101</v>
      </c>
      <c r="G544" s="252">
        <v>17555</v>
      </c>
      <c r="H544" s="253">
        <f>(C545-G544)/G544</f>
        <v>0.44090002848191401</v>
      </c>
    </row>
    <row r="545" spans="1:9" ht="16" outlineLevel="1" thickBot="1" x14ac:dyDescent="0.4">
      <c r="A545" s="706" t="s">
        <v>32</v>
      </c>
      <c r="B545" s="255" t="str">
        <f ca="1">TEXT(TODAY(),"ddd")</f>
        <v>Sun</v>
      </c>
      <c r="C545" s="256">
        <v>25295</v>
      </c>
      <c r="D545" s="322">
        <f>C545-C532</f>
        <v>373</v>
      </c>
      <c r="E545" s="707"/>
      <c r="F545" s="708"/>
      <c r="G545" s="609">
        <v>4766</v>
      </c>
      <c r="H545" s="685">
        <f>(C546-G545)/G545</f>
        <v>0.49727234578262697</v>
      </c>
    </row>
    <row r="546" spans="1:9" ht="16" outlineLevel="1" thickBot="1" x14ac:dyDescent="0.4">
      <c r="A546" s="709" t="s">
        <v>36</v>
      </c>
      <c r="B546" s="263"/>
      <c r="C546" s="419">
        <v>7136</v>
      </c>
      <c r="D546" s="223">
        <f>C546-C533</f>
        <v>233</v>
      </c>
      <c r="E546" s="482">
        <f>(C546-C533)/C533</f>
        <v>3.3753440533101552E-2</v>
      </c>
      <c r="F546" s="710" t="s">
        <v>37</v>
      </c>
      <c r="G546" s="618" t="s">
        <v>38</v>
      </c>
      <c r="H546" s="731" t="s">
        <v>102</v>
      </c>
    </row>
    <row r="547" spans="1:9" outlineLevel="1" x14ac:dyDescent="0.35">
      <c r="A547" s="756" t="s">
        <v>135</v>
      </c>
      <c r="B547" s="742">
        <v>260</v>
      </c>
      <c r="C547" s="271">
        <v>196.4</v>
      </c>
      <c r="D547" s="272">
        <f>C547*B547</f>
        <v>51064</v>
      </c>
      <c r="E547" s="273">
        <f>(C547-C534)/C534</f>
        <v>6.6985385994458704E-2</v>
      </c>
      <c r="F547" s="617">
        <f>D547/D556</f>
        <v>0.17998501205335976</v>
      </c>
      <c r="G547" s="768">
        <v>18</v>
      </c>
      <c r="H547" s="488">
        <v>0.51</v>
      </c>
      <c r="I547" s="489">
        <f t="shared" ref="I547:I552" si="30">D547-D534</f>
        <v>3205.8000000000029</v>
      </c>
    </row>
    <row r="548" spans="1:9" outlineLevel="1" x14ac:dyDescent="0.35">
      <c r="A548" s="744" t="s">
        <v>49</v>
      </c>
      <c r="B548" s="745">
        <v>267.63</v>
      </c>
      <c r="C548" s="290">
        <v>215.4</v>
      </c>
      <c r="D548" s="291">
        <f t="shared" ref="D548:D554" si="31">C548*B548</f>
        <v>57647.502</v>
      </c>
      <c r="E548" s="328">
        <f>(C548-C535)/C535</f>
        <v>0.11317829457364344</v>
      </c>
      <c r="F548" s="645">
        <f>D548/D556</f>
        <v>0.20318984690420025</v>
      </c>
      <c r="G548" s="690">
        <v>48</v>
      </c>
      <c r="H548" s="492">
        <v>0.56000000000000005</v>
      </c>
      <c r="I548" s="493">
        <f t="shared" si="30"/>
        <v>5861.0970000000016</v>
      </c>
    </row>
    <row r="549" spans="1:9" outlineLevel="1" x14ac:dyDescent="0.35">
      <c r="A549" s="746" t="s">
        <v>137</v>
      </c>
      <c r="B549" s="747">
        <v>264</v>
      </c>
      <c r="C549" s="286">
        <v>202.32</v>
      </c>
      <c r="D549" s="287">
        <f t="shared" si="31"/>
        <v>53412.479999999996</v>
      </c>
      <c r="E549" s="288">
        <f>(C549-C536)/C536</f>
        <v>7.9558187930206484E-2</v>
      </c>
      <c r="F549" s="645">
        <f>D549/D556</f>
        <v>0.18826268714945632</v>
      </c>
      <c r="G549" s="691">
        <v>229</v>
      </c>
      <c r="H549" s="492">
        <v>0.32</v>
      </c>
      <c r="I549" s="496">
        <f t="shared" si="30"/>
        <v>3936.239999999998</v>
      </c>
    </row>
    <row r="550" spans="1:9" outlineLevel="1" x14ac:dyDescent="0.35">
      <c r="A550" s="748" t="s">
        <v>96</v>
      </c>
      <c r="B550" s="749">
        <v>239</v>
      </c>
      <c r="C550" s="388">
        <v>379.01</v>
      </c>
      <c r="D550" s="389">
        <f t="shared" si="31"/>
        <v>90583.39</v>
      </c>
      <c r="E550" s="390">
        <f>(C550-C537)/C537</f>
        <v>3.855428289581847E-2</v>
      </c>
      <c r="F550" s="645">
        <f>D550/D556</f>
        <v>0.31927879799828035</v>
      </c>
      <c r="G550" s="690">
        <v>50</v>
      </c>
      <c r="H550" s="492">
        <v>0.12</v>
      </c>
      <c r="I550" s="493">
        <f t="shared" si="30"/>
        <v>3362.7299999999959</v>
      </c>
    </row>
    <row r="551" spans="1:9" outlineLevel="1" x14ac:dyDescent="0.35">
      <c r="A551" s="777" t="s">
        <v>141</v>
      </c>
      <c r="B551" s="752">
        <v>223</v>
      </c>
      <c r="C551" s="338">
        <v>56.98</v>
      </c>
      <c r="D551" s="339">
        <f t="shared" si="31"/>
        <v>12706.539999999999</v>
      </c>
      <c r="E551" s="340"/>
      <c r="F551" s="645">
        <f>D551/D556</f>
        <v>4.4786674664274204E-2</v>
      </c>
      <c r="G551" s="690"/>
      <c r="H551" s="492"/>
      <c r="I551" s="493">
        <f t="shared" si="30"/>
        <v>-1532.9600000000009</v>
      </c>
    </row>
    <row r="552" spans="1:9" outlineLevel="1" x14ac:dyDescent="0.35">
      <c r="A552" s="758" t="s">
        <v>104</v>
      </c>
      <c r="B552" s="759">
        <v>200</v>
      </c>
      <c r="C552" s="760">
        <v>82</v>
      </c>
      <c r="D552" s="761">
        <f t="shared" si="31"/>
        <v>16400</v>
      </c>
      <c r="E552" s="762">
        <f>(C552-C539)/C539</f>
        <v>6.9100391134289396E-2</v>
      </c>
      <c r="F552" s="645">
        <f>D552/D556</f>
        <v>5.7804993687825088E-2</v>
      </c>
      <c r="G552" s="690">
        <v>37.81</v>
      </c>
      <c r="H552" s="492"/>
      <c r="I552" s="493">
        <f t="shared" si="30"/>
        <v>1060</v>
      </c>
    </row>
    <row r="553" spans="1:9" ht="16" outlineLevel="1" thickBot="1" x14ac:dyDescent="0.4">
      <c r="A553" s="757" t="s">
        <v>142</v>
      </c>
      <c r="B553" s="752">
        <v>42</v>
      </c>
      <c r="C553" s="338">
        <v>2.06</v>
      </c>
      <c r="D553" s="339">
        <f t="shared" si="31"/>
        <v>86.52</v>
      </c>
      <c r="E553" s="340"/>
      <c r="F553" s="645"/>
      <c r="G553" s="690"/>
      <c r="H553" s="498"/>
      <c r="I553" s="493"/>
    </row>
    <row r="554" spans="1:9" ht="16" outlineLevel="1" thickBot="1" x14ac:dyDescent="0.4">
      <c r="A554" s="758" t="s">
        <v>7</v>
      </c>
      <c r="B554" s="759">
        <v>87.63</v>
      </c>
      <c r="C554" s="760">
        <v>19.62</v>
      </c>
      <c r="D554" s="761">
        <f t="shared" si="31"/>
        <v>1719.3006</v>
      </c>
      <c r="E554" s="762"/>
      <c r="F554" s="778">
        <f>SUM(F547:F550)</f>
        <v>0.89071634410529654</v>
      </c>
      <c r="G554" s="779">
        <f>AVERAGE(G547:G550)</f>
        <v>86.25</v>
      </c>
      <c r="H554" s="501">
        <f>AVERAGE(H547:H550)</f>
        <v>0.37750000000000006</v>
      </c>
      <c r="I554" s="667">
        <f>SUM(I547:I550)</f>
        <v>16365.866999999998</v>
      </c>
    </row>
    <row r="555" spans="1:9" ht="16" outlineLevel="1" thickBot="1" x14ac:dyDescent="0.4">
      <c r="A555" s="763" t="s">
        <v>60</v>
      </c>
      <c r="B555" s="764"/>
      <c r="C555" s="765"/>
      <c r="D555" s="766">
        <v>92.78</v>
      </c>
      <c r="E555" s="767"/>
      <c r="G555" s="93">
        <f>0.423*C548</f>
        <v>91.114199999999997</v>
      </c>
    </row>
    <row r="556" spans="1:9" ht="19" outlineLevel="1" thickBot="1" x14ac:dyDescent="0.5">
      <c r="A556" s="726" t="s">
        <v>62</v>
      </c>
      <c r="B556" s="583"/>
      <c r="C556" s="584"/>
      <c r="D556" s="585">
        <f>SUM(D547:D555)</f>
        <v>283712.51260000007</v>
      </c>
      <c r="E556" s="780">
        <f>D556-D542</f>
        <v>15994.344100000046</v>
      </c>
      <c r="F556" s="781">
        <f>(D556-D542)/D542</f>
        <v>5.9743214999620181E-2</v>
      </c>
      <c r="G556" s="574"/>
      <c r="H556" s="148"/>
      <c r="I556" s="148"/>
    </row>
    <row r="557" spans="1:9" ht="16" outlineLevel="1" thickBot="1" x14ac:dyDescent="0.4"/>
    <row r="558" spans="1:9" ht="16" outlineLevel="1" thickBot="1" x14ac:dyDescent="0.4">
      <c r="A558" s="701" t="s">
        <v>25</v>
      </c>
      <c r="B558" s="702" t="s">
        <v>26</v>
      </c>
      <c r="C558" s="703" t="s">
        <v>27</v>
      </c>
      <c r="D558" s="704">
        <f>D544+7</f>
        <v>43112</v>
      </c>
      <c r="E558" s="705" t="s">
        <v>28</v>
      </c>
      <c r="F558" s="511" t="s">
        <v>101</v>
      </c>
      <c r="G558" s="252">
        <v>17555</v>
      </c>
      <c r="H558" s="253">
        <f>(C559-G558)/G558</f>
        <v>0.46983765309028769</v>
      </c>
    </row>
    <row r="559" spans="1:9" ht="16" outlineLevel="1" thickBot="1" x14ac:dyDescent="0.4">
      <c r="A559" s="706" t="s">
        <v>32</v>
      </c>
      <c r="B559" s="255" t="str">
        <f ca="1">TEXT(TODAY(),"ddd")</f>
        <v>Sun</v>
      </c>
      <c r="C559" s="256">
        <v>25803</v>
      </c>
      <c r="D559" s="322">
        <f>C559-C545</f>
        <v>508</v>
      </c>
      <c r="E559" s="707"/>
      <c r="F559" s="708"/>
      <c r="G559" s="609">
        <v>4766</v>
      </c>
      <c r="H559" s="685">
        <f>(C560-G559)/G559</f>
        <v>0.52349979018044479</v>
      </c>
    </row>
    <row r="560" spans="1:9" ht="16" outlineLevel="1" thickBot="1" x14ac:dyDescent="0.4">
      <c r="A560" s="709" t="s">
        <v>36</v>
      </c>
      <c r="B560" s="263"/>
      <c r="C560" s="419">
        <v>7261</v>
      </c>
      <c r="D560" s="223">
        <f>C560-C546</f>
        <v>125</v>
      </c>
      <c r="E560" s="420">
        <f>(C560-C546)/C546</f>
        <v>1.7516816143497756E-2</v>
      </c>
      <c r="F560" s="782" t="s">
        <v>37</v>
      </c>
      <c r="G560" s="783" t="s">
        <v>143</v>
      </c>
      <c r="H560" s="784" t="s">
        <v>144</v>
      </c>
    </row>
    <row r="561" spans="1:9" outlineLevel="1" x14ac:dyDescent="0.35">
      <c r="A561" s="744" t="s">
        <v>49</v>
      </c>
      <c r="B561" s="745">
        <v>267.63</v>
      </c>
      <c r="C561" s="290">
        <v>222.98</v>
      </c>
      <c r="D561" s="291">
        <f>C561*B561</f>
        <v>59676.1374</v>
      </c>
      <c r="E561" s="328">
        <f>(C561-C548)/C548</f>
        <v>3.5190343546889435E-2</v>
      </c>
      <c r="F561" s="645">
        <f>D561/$D$572</f>
        <v>0.19970195993415799</v>
      </c>
      <c r="G561" s="690">
        <v>1.39</v>
      </c>
      <c r="H561" s="785" t="s">
        <v>145</v>
      </c>
      <c r="I561" s="518">
        <f>D561-D548</f>
        <v>2028.6353999999992</v>
      </c>
    </row>
    <row r="562" spans="1:9" outlineLevel="1" x14ac:dyDescent="0.35">
      <c r="A562" s="746" t="s">
        <v>137</v>
      </c>
      <c r="B562" s="747">
        <v>264</v>
      </c>
      <c r="C562" s="286">
        <v>215.11</v>
      </c>
      <c r="D562" s="287">
        <f>C562*B562</f>
        <v>56789.04</v>
      </c>
      <c r="E562" s="288">
        <f>(C562-C549)/C549</f>
        <v>6.3216686437327113E-2</v>
      </c>
      <c r="F562" s="645">
        <f t="shared" ref="F562:F569" si="32">D562/$D$572</f>
        <v>0.19004049331750641</v>
      </c>
      <c r="G562" s="691">
        <v>0.59</v>
      </c>
      <c r="H562" s="785" t="s">
        <v>145</v>
      </c>
      <c r="I562" s="523">
        <f>D562-D549</f>
        <v>3376.5600000000049</v>
      </c>
    </row>
    <row r="563" spans="1:9" outlineLevel="1" x14ac:dyDescent="0.35">
      <c r="A563" s="744" t="s">
        <v>135</v>
      </c>
      <c r="B563" s="745">
        <v>260.66000000000003</v>
      </c>
      <c r="C563" s="290">
        <v>188.51</v>
      </c>
      <c r="D563" s="291">
        <f>C563*B563</f>
        <v>49137.016600000003</v>
      </c>
      <c r="E563" s="288">
        <f>(C563-C550)/C550</f>
        <v>-0.50262526054721512</v>
      </c>
      <c r="F563" s="645">
        <f t="shared" si="32"/>
        <v>0.16443353990161663</v>
      </c>
      <c r="G563" s="690">
        <v>1.69</v>
      </c>
      <c r="H563" s="785" t="s">
        <v>146</v>
      </c>
      <c r="I563" s="523">
        <f>D563-D550</f>
        <v>-41446.373399999997</v>
      </c>
    </row>
    <row r="564" spans="1:9" outlineLevel="1" x14ac:dyDescent="0.35">
      <c r="A564" s="746" t="s">
        <v>141</v>
      </c>
      <c r="B564" s="747">
        <v>223</v>
      </c>
      <c r="C564" s="286">
        <v>60.61</v>
      </c>
      <c r="D564" s="287">
        <f t="shared" ref="D564:D570" si="33">C564*B564</f>
        <v>13516.03</v>
      </c>
      <c r="E564" s="288">
        <f>(C564-C551)/C551</f>
        <v>6.370656370656376E-2</v>
      </c>
      <c r="F564" s="645">
        <f t="shared" si="32"/>
        <v>4.5230435465966959E-2</v>
      </c>
      <c r="G564" s="690">
        <v>1.93</v>
      </c>
      <c r="H564" s="785" t="s">
        <v>147</v>
      </c>
      <c r="I564" s="399">
        <f>D564-D551</f>
        <v>809.4900000000016</v>
      </c>
    </row>
    <row r="565" spans="1:9" outlineLevel="1" x14ac:dyDescent="0.35">
      <c r="A565" s="744" t="s">
        <v>148</v>
      </c>
      <c r="B565" s="745">
        <v>200</v>
      </c>
      <c r="C565" s="290">
        <v>87.19</v>
      </c>
      <c r="D565" s="291">
        <f t="shared" si="33"/>
        <v>17438</v>
      </c>
      <c r="E565" s="328">
        <f>(C565-C552)/C552</f>
        <v>6.3292682926829241E-2</v>
      </c>
      <c r="F565" s="645">
        <f t="shared" si="32"/>
        <v>5.8355029816856863E-2</v>
      </c>
      <c r="G565" s="690">
        <v>0.65</v>
      </c>
      <c r="H565" s="785" t="s">
        <v>145</v>
      </c>
      <c r="I565" s="399">
        <f>D565-D552</f>
        <v>1038</v>
      </c>
    </row>
    <row r="566" spans="1:9" outlineLevel="1" x14ac:dyDescent="0.35">
      <c r="A566" s="746" t="s">
        <v>96</v>
      </c>
      <c r="B566" s="747">
        <v>120</v>
      </c>
      <c r="C566" s="286">
        <v>419.04</v>
      </c>
      <c r="D566" s="287">
        <f t="shared" si="33"/>
        <v>50284.800000000003</v>
      </c>
      <c r="E566" s="288">
        <f>(C566-C550)/C550</f>
        <v>0.10561726603519704</v>
      </c>
      <c r="F566" s="645">
        <f t="shared" si="32"/>
        <v>0.16827451561731185</v>
      </c>
      <c r="G566" s="690">
        <v>0.87</v>
      </c>
      <c r="H566" s="785" t="s">
        <v>145</v>
      </c>
      <c r="I566" s="399">
        <f>(C566-C550)*B550</f>
        <v>9567.1700000000073</v>
      </c>
    </row>
    <row r="567" spans="1:9" outlineLevel="1" x14ac:dyDescent="0.35">
      <c r="A567" s="744" t="s">
        <v>142</v>
      </c>
      <c r="B567" s="745">
        <v>42</v>
      </c>
      <c r="C567" s="290">
        <v>1.99</v>
      </c>
      <c r="D567" s="291">
        <f t="shared" si="33"/>
        <v>83.58</v>
      </c>
      <c r="E567" s="292">
        <f>(C567-C553)/C553</f>
        <v>-3.3980582524271871E-2</v>
      </c>
      <c r="F567" s="645">
        <f t="shared" si="32"/>
        <v>2.7969454020489138E-4</v>
      </c>
      <c r="G567" s="690">
        <v>2.31</v>
      </c>
      <c r="H567" s="785" t="s">
        <v>149</v>
      </c>
      <c r="I567" s="542">
        <f>D567-D553</f>
        <v>-2.9399999999999977</v>
      </c>
    </row>
    <row r="568" spans="1:9" outlineLevel="1" x14ac:dyDescent="0.35">
      <c r="A568" s="746" t="s">
        <v>150</v>
      </c>
      <c r="B568" s="747">
        <v>38</v>
      </c>
      <c r="C568" s="286">
        <v>1305.2</v>
      </c>
      <c r="D568" s="287">
        <f t="shared" si="33"/>
        <v>49597.599999999999</v>
      </c>
      <c r="E568" s="288"/>
      <c r="F568" s="645">
        <f t="shared" si="32"/>
        <v>0.16597484957245898</v>
      </c>
      <c r="G568" s="690">
        <v>1.34</v>
      </c>
      <c r="H568" s="785" t="s">
        <v>151</v>
      </c>
      <c r="I568" s="399">
        <f>(1305-1304)*B568</f>
        <v>38</v>
      </c>
    </row>
    <row r="569" spans="1:9" ht="16" outlineLevel="1" thickBot="1" x14ac:dyDescent="0.4">
      <c r="A569" s="744" t="s">
        <v>152</v>
      </c>
      <c r="B569" s="745">
        <v>2</v>
      </c>
      <c r="C569" s="290">
        <v>258.07</v>
      </c>
      <c r="D569" s="291">
        <f t="shared" si="33"/>
        <v>516.14</v>
      </c>
      <c r="E569" s="328"/>
      <c r="F569" s="645">
        <f t="shared" si="32"/>
        <v>1.7272258911384618E-3</v>
      </c>
      <c r="G569" s="690">
        <v>1.81</v>
      </c>
      <c r="H569" s="785" t="s">
        <v>149</v>
      </c>
      <c r="I569" s="786"/>
    </row>
    <row r="570" spans="1:9" ht="16" outlineLevel="1" thickBot="1" x14ac:dyDescent="0.4">
      <c r="A570" s="746" t="s">
        <v>7</v>
      </c>
      <c r="B570" s="747">
        <v>87.63</v>
      </c>
      <c r="C570" s="286">
        <v>19.72</v>
      </c>
      <c r="D570" s="287">
        <f t="shared" si="33"/>
        <v>1728.0635999999997</v>
      </c>
      <c r="E570" s="288"/>
      <c r="F570" s="787">
        <f>D570/$D$572</f>
        <v>5.7828422355444995E-3</v>
      </c>
      <c r="G570" s="788">
        <f>AVERAGE(G561:G569)</f>
        <v>1.3977777777777778</v>
      </c>
      <c r="H570" s="789"/>
      <c r="I570" s="790">
        <f>SUM(I561:I569)</f>
        <v>-24591.457999999988</v>
      </c>
    </row>
    <row r="571" spans="1:9" ht="16" outlineLevel="1" thickBot="1" x14ac:dyDescent="0.4">
      <c r="A571" s="744" t="s">
        <v>60</v>
      </c>
      <c r="B571" s="745"/>
      <c r="C571" s="290"/>
      <c r="D571" s="291">
        <v>59.59</v>
      </c>
      <c r="E571" s="328"/>
      <c r="F571" s="791">
        <f>SUM(F561:F570)</f>
        <v>0.99980058629276369</v>
      </c>
    </row>
    <row r="572" spans="1:9" ht="19" outlineLevel="1" thickBot="1" x14ac:dyDescent="0.5">
      <c r="A572" s="726" t="s">
        <v>62</v>
      </c>
      <c r="B572" s="583"/>
      <c r="C572" s="584"/>
      <c r="D572" s="585">
        <f>SUM(D561:D571)</f>
        <v>298825.99760000006</v>
      </c>
      <c r="E572" s="780">
        <f>D572-D556</f>
        <v>15113.484999999986</v>
      </c>
      <c r="F572" s="792">
        <f>(D572-D556)/D556</f>
        <v>5.3270421038173067E-2</v>
      </c>
      <c r="G572" s="574"/>
      <c r="H572" s="148"/>
      <c r="I572" s="148"/>
    </row>
    <row r="573" spans="1:9" ht="16" outlineLevel="1" thickBot="1" x14ac:dyDescent="0.4"/>
    <row r="574" spans="1:9" ht="16" outlineLevel="1" thickBot="1" x14ac:dyDescent="0.4">
      <c r="A574" s="701" t="s">
        <v>25</v>
      </c>
      <c r="B574" s="702" t="s">
        <v>26</v>
      </c>
      <c r="C574" s="703" t="s">
        <v>27</v>
      </c>
      <c r="D574" s="704">
        <f>D558+7</f>
        <v>43119</v>
      </c>
      <c r="E574" s="705" t="s">
        <v>28</v>
      </c>
      <c r="F574" s="511" t="s">
        <v>101</v>
      </c>
      <c r="G574" s="252">
        <v>17555</v>
      </c>
      <c r="H574" s="253">
        <f>(C575-G574)/G574</f>
        <v>0.48510395898604386</v>
      </c>
    </row>
    <row r="575" spans="1:9" ht="16" outlineLevel="1" thickBot="1" x14ac:dyDescent="0.4">
      <c r="A575" s="706" t="s">
        <v>32</v>
      </c>
      <c r="B575" s="255" t="str">
        <f ca="1">TEXT(TODAY(),"ddd")</f>
        <v>Sun</v>
      </c>
      <c r="C575" s="256">
        <v>26071</v>
      </c>
      <c r="D575" s="322">
        <f>C575-C559</f>
        <v>268</v>
      </c>
      <c r="E575" s="707"/>
      <c r="F575" s="708"/>
      <c r="G575" s="609">
        <v>4766</v>
      </c>
      <c r="H575" s="685">
        <f>(C576-G575)/G575</f>
        <v>0.53923625681913556</v>
      </c>
    </row>
    <row r="576" spans="1:9" ht="16" outlineLevel="1" thickBot="1" x14ac:dyDescent="0.4">
      <c r="A576" s="709" t="s">
        <v>36</v>
      </c>
      <c r="B576" s="263"/>
      <c r="C576" s="419">
        <v>7336</v>
      </c>
      <c r="D576" s="223">
        <f>C576-C560</f>
        <v>75</v>
      </c>
      <c r="E576" s="420">
        <f>(C576-C560)/C560</f>
        <v>1.0329155763668916E-2</v>
      </c>
      <c r="F576" s="617" t="s">
        <v>37</v>
      </c>
      <c r="G576" s="783" t="s">
        <v>143</v>
      </c>
      <c r="H576" s="784" t="s">
        <v>144</v>
      </c>
    </row>
    <row r="577" spans="1:9" outlineLevel="1" x14ac:dyDescent="0.35">
      <c r="A577" s="744" t="s">
        <v>153</v>
      </c>
      <c r="B577" s="745">
        <v>267.63</v>
      </c>
      <c r="C577" s="290">
        <v>230.11</v>
      </c>
      <c r="D577" s="291">
        <f t="shared" ref="D577:D582" si="34">C577*B577</f>
        <v>61584.3393</v>
      </c>
      <c r="E577" s="328">
        <f>(C577-C561)/C561</f>
        <v>3.197596196968349E-2</v>
      </c>
      <c r="F577" s="793">
        <f t="shared" ref="F577:F582" si="35">D577/$D$572</f>
        <v>0.20608762221028384</v>
      </c>
      <c r="G577" s="794">
        <v>1.39</v>
      </c>
      <c r="H577" s="785" t="s">
        <v>145</v>
      </c>
      <c r="I577" s="518">
        <f>D577-D561</f>
        <v>1908.2019</v>
      </c>
    </row>
    <row r="578" spans="1:9" outlineLevel="1" x14ac:dyDescent="0.35">
      <c r="A578" s="746" t="s">
        <v>154</v>
      </c>
      <c r="B578" s="747">
        <v>264</v>
      </c>
      <c r="C578" s="286">
        <v>228.29</v>
      </c>
      <c r="D578" s="287">
        <f t="shared" si="34"/>
        <v>60268.56</v>
      </c>
      <c r="E578" s="288">
        <f>(C578-C562)/C562</f>
        <v>6.1270977639347204E-2</v>
      </c>
      <c r="F578" s="795">
        <f t="shared" si="35"/>
        <v>0.20168446013413388</v>
      </c>
      <c r="G578" s="796">
        <v>0.59</v>
      </c>
      <c r="H578" s="785" t="s">
        <v>145</v>
      </c>
      <c r="I578" s="523">
        <f>D578-D562</f>
        <v>3479.5199999999968</v>
      </c>
    </row>
    <row r="579" spans="1:9" outlineLevel="1" x14ac:dyDescent="0.35">
      <c r="A579" s="744" t="s">
        <v>155</v>
      </c>
      <c r="B579" s="745">
        <v>260.66000000000003</v>
      </c>
      <c r="C579" s="290">
        <v>207.53</v>
      </c>
      <c r="D579" s="291">
        <f t="shared" si="34"/>
        <v>54094.769800000002</v>
      </c>
      <c r="E579" s="328">
        <f>(C579-C563)/C563</f>
        <v>0.10089650416423537</v>
      </c>
      <c r="F579" s="795">
        <f t="shared" si="35"/>
        <v>0.18102430924504004</v>
      </c>
      <c r="G579" s="794">
        <v>1.69</v>
      </c>
      <c r="H579" s="785" t="s">
        <v>146</v>
      </c>
      <c r="I579" s="399">
        <f>D579-D563</f>
        <v>4957.7531999999992</v>
      </c>
    </row>
    <row r="580" spans="1:9" outlineLevel="1" x14ac:dyDescent="0.35">
      <c r="A580" s="746" t="s">
        <v>156</v>
      </c>
      <c r="B580" s="747">
        <f>120+118</f>
        <v>238</v>
      </c>
      <c r="C580" s="286">
        <v>433.23</v>
      </c>
      <c r="D580" s="287">
        <f t="shared" si="34"/>
        <v>103108.74</v>
      </c>
      <c r="E580" s="288">
        <f>(C580-C566)/C566</f>
        <v>3.3863115693012591E-2</v>
      </c>
      <c r="F580" s="795">
        <f t="shared" si="35"/>
        <v>0.34504608309889562</v>
      </c>
      <c r="G580" s="794">
        <v>0.87</v>
      </c>
      <c r="H580" s="785" t="s">
        <v>145</v>
      </c>
      <c r="I580" s="399">
        <f>(C580-C566)*B566</f>
        <v>1702.7999999999997</v>
      </c>
    </row>
    <row r="581" spans="1:9" ht="16" outlineLevel="1" thickBot="1" x14ac:dyDescent="0.4">
      <c r="A581" s="744" t="s">
        <v>157</v>
      </c>
      <c r="B581" s="745">
        <v>116</v>
      </c>
      <c r="C581" s="290">
        <v>263.05</v>
      </c>
      <c r="D581" s="291">
        <f t="shared" si="34"/>
        <v>30513.800000000003</v>
      </c>
      <c r="E581" s="328">
        <f>(C581-C569)/C569</f>
        <v>1.9297089936838912E-2</v>
      </c>
      <c r="F581" s="795">
        <f t="shared" si="35"/>
        <v>0.10211226682105787</v>
      </c>
      <c r="G581" s="794">
        <v>1.81</v>
      </c>
      <c r="H581" s="785" t="s">
        <v>149</v>
      </c>
      <c r="I581" s="786">
        <f>(C581-C569)*B569</f>
        <v>9.9600000000000364</v>
      </c>
    </row>
    <row r="582" spans="1:9" ht="16" outlineLevel="1" thickBot="1" x14ac:dyDescent="0.4">
      <c r="A582" s="746" t="s">
        <v>7</v>
      </c>
      <c r="B582" s="747">
        <v>87.63</v>
      </c>
      <c r="C582" s="286">
        <v>19.86</v>
      </c>
      <c r="D582" s="287">
        <f t="shared" si="34"/>
        <v>1740.3317999999999</v>
      </c>
      <c r="E582" s="288"/>
      <c r="F582" s="665">
        <f t="shared" si="35"/>
        <v>5.8238968964459325E-3</v>
      </c>
      <c r="G582" s="797">
        <f>AVERAGE(G577:G581)</f>
        <v>1.27</v>
      </c>
      <c r="H582" s="789"/>
      <c r="I582" s="790">
        <f>SUM(I577:I581)</f>
        <v>12058.235099999994</v>
      </c>
    </row>
    <row r="583" spans="1:9" ht="16" outlineLevel="1" thickBot="1" x14ac:dyDescent="0.4">
      <c r="A583" s="744" t="s">
        <v>60</v>
      </c>
      <c r="B583" s="745"/>
      <c r="C583" s="290"/>
      <c r="D583" s="291">
        <v>1056.1300000000001</v>
      </c>
      <c r="E583" s="328"/>
      <c r="F583" s="665"/>
    </row>
    <row r="584" spans="1:9" ht="19" outlineLevel="1" thickBot="1" x14ac:dyDescent="0.5">
      <c r="A584" s="726" t="s">
        <v>62</v>
      </c>
      <c r="B584" s="583"/>
      <c r="C584" s="584"/>
      <c r="D584" s="585">
        <f>SUM(D577:D583)</f>
        <v>312366.67089999997</v>
      </c>
      <c r="E584" s="780">
        <f>D584-D572</f>
        <v>13540.673299999908</v>
      </c>
      <c r="F584" s="792">
        <f>(D584-D572)/D572</f>
        <v>4.5312902521035224E-2</v>
      </c>
      <c r="G584" s="574"/>
      <c r="H584" s="148"/>
      <c r="I584" s="148"/>
    </row>
    <row r="585" spans="1:9" ht="16" outlineLevel="1" thickBot="1" x14ac:dyDescent="0.4"/>
    <row r="586" spans="1:9" ht="16" outlineLevel="1" thickBot="1" x14ac:dyDescent="0.4">
      <c r="A586" s="701" t="s">
        <v>25</v>
      </c>
      <c r="B586" s="702" t="s">
        <v>26</v>
      </c>
      <c r="C586" s="703" t="s">
        <v>27</v>
      </c>
      <c r="D586" s="704">
        <f>D574+7</f>
        <v>43126</v>
      </c>
      <c r="E586" s="705" t="s">
        <v>28</v>
      </c>
      <c r="F586" s="511" t="s">
        <v>101</v>
      </c>
      <c r="G586" s="252">
        <v>17555</v>
      </c>
      <c r="H586" s="253">
        <f>(C587-G586)/G586</f>
        <v>0.51614924522927941</v>
      </c>
    </row>
    <row r="587" spans="1:9" ht="16" outlineLevel="1" thickBot="1" x14ac:dyDescent="0.4">
      <c r="A587" s="706" t="s">
        <v>32</v>
      </c>
      <c r="B587" s="255" t="str">
        <f ca="1">TEXT(TODAY(),"ddd")</f>
        <v>Sun</v>
      </c>
      <c r="C587" s="256">
        <v>26616</v>
      </c>
      <c r="D587" s="322">
        <f>C587-C575</f>
        <v>545</v>
      </c>
      <c r="E587" s="707"/>
      <c r="F587" s="708"/>
      <c r="G587" s="609">
        <v>4766</v>
      </c>
      <c r="H587" s="685">
        <f>(C588-G587)/G587</f>
        <v>0.57469576164498526</v>
      </c>
    </row>
    <row r="588" spans="1:9" ht="16" outlineLevel="1" thickBot="1" x14ac:dyDescent="0.4">
      <c r="A588" s="709" t="s">
        <v>36</v>
      </c>
      <c r="B588" s="263"/>
      <c r="C588" s="419">
        <v>7505</v>
      </c>
      <c r="D588" s="223">
        <f>C588-C576</f>
        <v>169</v>
      </c>
      <c r="E588" s="420">
        <f t="shared" ref="E588:E593" si="36">(C588-C576)/C576</f>
        <v>2.3037077426390405E-2</v>
      </c>
      <c r="F588" s="617" t="s">
        <v>37</v>
      </c>
      <c r="G588" s="783" t="s">
        <v>143</v>
      </c>
      <c r="H588" s="784" t="s">
        <v>144</v>
      </c>
    </row>
    <row r="589" spans="1:9" outlineLevel="1" x14ac:dyDescent="0.35">
      <c r="A589" s="744" t="s">
        <v>153</v>
      </c>
      <c r="B589" s="745">
        <v>267.63</v>
      </c>
      <c r="C589" s="290">
        <v>243.33</v>
      </c>
      <c r="D589" s="291">
        <f>C589*B589</f>
        <v>65122.407900000006</v>
      </c>
      <c r="E589" s="328">
        <f t="shared" si="36"/>
        <v>5.7450784407457295E-2</v>
      </c>
      <c r="F589" s="793">
        <f t="shared" ref="F589:F594" si="37">D589/$D$572</f>
        <v>0.2179275177629324</v>
      </c>
      <c r="G589" s="794">
        <v>1.39</v>
      </c>
      <c r="H589" s="785" t="s">
        <v>145</v>
      </c>
      <c r="I589" s="518">
        <f>D589-D577</f>
        <v>3538.068600000006</v>
      </c>
    </row>
    <row r="590" spans="1:9" ht="12.75" customHeight="1" outlineLevel="1" x14ac:dyDescent="0.35">
      <c r="A590" s="746" t="s">
        <v>154</v>
      </c>
      <c r="B590" s="747">
        <v>264</v>
      </c>
      <c r="C590" s="286">
        <v>238.89</v>
      </c>
      <c r="D590" s="287">
        <f>C590*B590</f>
        <v>63066.96</v>
      </c>
      <c r="E590" s="288">
        <f t="shared" si="36"/>
        <v>4.6432169608830849E-2</v>
      </c>
      <c r="F590" s="795">
        <f t="shared" si="37"/>
        <v>0.21104910719454748</v>
      </c>
      <c r="G590" s="796">
        <v>0.59</v>
      </c>
      <c r="H590" s="785" t="s">
        <v>145</v>
      </c>
      <c r="I590" s="523">
        <f>D590-D578</f>
        <v>2798.4000000000015</v>
      </c>
    </row>
    <row r="591" spans="1:9" outlineLevel="1" x14ac:dyDescent="0.35">
      <c r="A591" s="744" t="s">
        <v>155</v>
      </c>
      <c r="B591" s="745">
        <v>260.66000000000003</v>
      </c>
      <c r="C591" s="290">
        <v>202.57</v>
      </c>
      <c r="D591" s="291">
        <f>C591*B591</f>
        <v>52801.896200000003</v>
      </c>
      <c r="E591" s="328">
        <f t="shared" si="36"/>
        <v>-2.3900159013154763E-2</v>
      </c>
      <c r="F591" s="795">
        <f t="shared" si="37"/>
        <v>0.1766977994688371</v>
      </c>
      <c r="G591" s="794">
        <v>1.69</v>
      </c>
      <c r="H591" s="785" t="s">
        <v>146</v>
      </c>
      <c r="I591" s="542">
        <f>D591-D579</f>
        <v>-1292.873599999999</v>
      </c>
    </row>
    <row r="592" spans="1:9" outlineLevel="1" x14ac:dyDescent="0.35">
      <c r="A592" s="746" t="s">
        <v>156</v>
      </c>
      <c r="B592" s="747">
        <f>120+118</f>
        <v>238</v>
      </c>
      <c r="C592" s="286">
        <v>440.24</v>
      </c>
      <c r="D592" s="287">
        <f>C592*B592</f>
        <v>104777.12</v>
      </c>
      <c r="E592" s="288">
        <f t="shared" si="36"/>
        <v>1.6180781570989983E-2</v>
      </c>
      <c r="F592" s="795">
        <f t="shared" si="37"/>
        <v>0.35062919840144446</v>
      </c>
      <c r="G592" s="794">
        <v>0.87</v>
      </c>
      <c r="H592" s="785" t="s">
        <v>145</v>
      </c>
      <c r="I592" s="399">
        <f>D592-D580</f>
        <v>1668.3799999999901</v>
      </c>
    </row>
    <row r="593" spans="1:27" ht="16" outlineLevel="1" thickBot="1" x14ac:dyDescent="0.4">
      <c r="A593" s="744" t="s">
        <v>157</v>
      </c>
      <c r="B593" s="745">
        <v>116</v>
      </c>
      <c r="C593" s="290">
        <v>259.74</v>
      </c>
      <c r="D593" s="291">
        <f>C593*B593</f>
        <v>30129.84</v>
      </c>
      <c r="E593" s="328">
        <f t="shared" si="36"/>
        <v>-1.2583159095229052E-2</v>
      </c>
      <c r="F593" s="798">
        <f t="shared" si="37"/>
        <v>0.100827371922074</v>
      </c>
      <c r="G593" s="799">
        <v>1.81</v>
      </c>
      <c r="H593" s="800" t="s">
        <v>149</v>
      </c>
      <c r="I593" s="592">
        <f>D593-D581</f>
        <v>-383.96000000000276</v>
      </c>
    </row>
    <row r="594" spans="1:27" ht="16" outlineLevel="1" thickBot="1" x14ac:dyDescent="0.4">
      <c r="A594" s="746" t="s">
        <v>7</v>
      </c>
      <c r="B594" s="747">
        <v>87.63</v>
      </c>
      <c r="C594" s="286">
        <v>20.2</v>
      </c>
      <c r="D594" s="287">
        <v>1754.25</v>
      </c>
      <c r="E594" s="288"/>
      <c r="F594" s="665">
        <f t="shared" si="37"/>
        <v>5.8704731652839282E-3</v>
      </c>
      <c r="G594" s="797">
        <f>AVERAGE(G589:G593)</f>
        <v>1.27</v>
      </c>
      <c r="H594" s="789"/>
      <c r="I594" s="790">
        <f>SUM(I589:I593)</f>
        <v>6328.0149999999958</v>
      </c>
    </row>
    <row r="595" spans="1:27" ht="16" outlineLevel="1" thickBot="1" x14ac:dyDescent="0.4">
      <c r="A595" s="744" t="s">
        <v>60</v>
      </c>
      <c r="B595" s="745"/>
      <c r="C595" s="290"/>
      <c r="D595" s="291">
        <v>50.68</v>
      </c>
      <c r="E595" s="328"/>
      <c r="F595" s="665"/>
    </row>
    <row r="596" spans="1:27" ht="19" outlineLevel="1" thickBot="1" x14ac:dyDescent="0.5">
      <c r="A596" s="726" t="s">
        <v>62</v>
      </c>
      <c r="B596" s="583"/>
      <c r="C596" s="584"/>
      <c r="D596" s="585">
        <f>SUM(D589:D595)</f>
        <v>317703.15410000004</v>
      </c>
      <c r="E596" s="780">
        <f>D596-D584</f>
        <v>5336.4832000000752</v>
      </c>
      <c r="F596" s="792">
        <f>(D596-D584)/D584</f>
        <v>1.7084035196919197E-2</v>
      </c>
      <c r="G596" s="574"/>
      <c r="H596" s="727">
        <f>(D596-D8)/D8</f>
        <v>0.42327771151759835</v>
      </c>
      <c r="I596" s="148"/>
      <c r="T596" s="602"/>
    </row>
    <row r="597" spans="1:27" ht="16" thickBot="1" x14ac:dyDescent="0.4">
      <c r="M597" t="s">
        <v>158</v>
      </c>
      <c r="R597" s="234">
        <f>SUM(Z604:Z607)</f>
        <v>4.6821669731354806E-2</v>
      </c>
    </row>
    <row r="598" spans="1:27" ht="16" thickBot="1" x14ac:dyDescent="0.4">
      <c r="A598" s="701" t="s">
        <v>25</v>
      </c>
      <c r="B598" s="702" t="s">
        <v>26</v>
      </c>
      <c r="C598" s="703" t="s">
        <v>27</v>
      </c>
      <c r="D598" s="704">
        <f>D586+7</f>
        <v>43133</v>
      </c>
      <c r="E598" s="705" t="s">
        <v>28</v>
      </c>
      <c r="F598" s="511" t="s">
        <v>101</v>
      </c>
      <c r="G598" s="252">
        <v>17555</v>
      </c>
      <c r="H598" s="253">
        <f>(C599-G598)/G598</f>
        <v>0.45371688977499286</v>
      </c>
      <c r="K598" s="118"/>
      <c r="L598" s="118"/>
      <c r="M598" s="118"/>
      <c r="N598" s="118"/>
      <c r="O598" s="118"/>
      <c r="P598" s="118"/>
      <c r="Q598" s="118"/>
      <c r="R598" s="118"/>
      <c r="S598" s="3188"/>
      <c r="T598" s="3189"/>
      <c r="U598" s="3189"/>
      <c r="V598" s="3189"/>
      <c r="W598" s="3189"/>
      <c r="X598" s="3189"/>
      <c r="Y598" s="3189"/>
      <c r="Z598" s="3190"/>
    </row>
    <row r="599" spans="1:27" ht="16" thickBot="1" x14ac:dyDescent="0.4">
      <c r="A599" s="706" t="s">
        <v>32</v>
      </c>
      <c r="B599" s="255" t="str">
        <f ca="1">TEXT(TODAY(),"ddd")</f>
        <v>Sun</v>
      </c>
      <c r="C599" s="256">
        <v>25520</v>
      </c>
      <c r="D599" s="257">
        <f>C599-C587</f>
        <v>-1096</v>
      </c>
      <c r="E599" s="707"/>
      <c r="F599" s="708"/>
      <c r="G599" s="801">
        <v>4766</v>
      </c>
      <c r="H599" s="685">
        <f>(C600-G599)/G599</f>
        <v>0.51909357952161139</v>
      </c>
      <c r="K599" s="118"/>
      <c r="L599" s="118"/>
      <c r="M599" s="118"/>
      <c r="N599" s="118"/>
      <c r="O599" s="118"/>
      <c r="P599" s="118"/>
      <c r="Q599" s="118"/>
      <c r="R599" s="118"/>
      <c r="S599" s="3191">
        <v>2017</v>
      </c>
      <c r="T599" s="3192"/>
      <c r="U599" s="802" t="s">
        <v>159</v>
      </c>
      <c r="V599" s="803" t="s">
        <v>160</v>
      </c>
      <c r="X599" s="3191">
        <v>2017</v>
      </c>
      <c r="Y599" s="3193"/>
      <c r="Z599" s="804" t="s">
        <v>37</v>
      </c>
    </row>
    <row r="600" spans="1:27" ht="18" customHeight="1" thickBot="1" x14ac:dyDescent="0.4">
      <c r="A600" s="709" t="s">
        <v>36</v>
      </c>
      <c r="B600" s="263"/>
      <c r="C600" s="419">
        <v>7240</v>
      </c>
      <c r="D600" s="264">
        <f>C600-C588</f>
        <v>-265</v>
      </c>
      <c r="E600" s="420">
        <f t="shared" ref="E600:E605" si="38">(C600-C588)/C588</f>
        <v>-3.530979347101932E-2</v>
      </c>
      <c r="F600" s="617" t="s">
        <v>37</v>
      </c>
      <c r="G600" s="783" t="s">
        <v>143</v>
      </c>
      <c r="H600" s="784" t="s">
        <v>144</v>
      </c>
      <c r="I600" s="805" t="s">
        <v>161</v>
      </c>
      <c r="J600" s="806">
        <v>44040</v>
      </c>
      <c r="K600" s="806"/>
      <c r="L600" s="806"/>
      <c r="M600" s="806"/>
      <c r="N600" s="806"/>
      <c r="O600" s="806"/>
      <c r="P600" s="806"/>
      <c r="Q600" s="806"/>
      <c r="R600" s="806"/>
      <c r="S600" s="807" t="s">
        <v>162</v>
      </c>
      <c r="T600" s="808">
        <v>16150</v>
      </c>
      <c r="U600" s="809">
        <f>SUM(T$600:T600)/1</f>
        <v>16150</v>
      </c>
      <c r="V600" s="810">
        <f>SUM(T$600:T600)/1</f>
        <v>16150</v>
      </c>
      <c r="X600" s="807" t="s">
        <v>162</v>
      </c>
      <c r="Y600" s="811">
        <v>219309</v>
      </c>
      <c r="Z600" s="812"/>
      <c r="AA600">
        <v>100</v>
      </c>
    </row>
    <row r="601" spans="1:27" x14ac:dyDescent="0.35">
      <c r="A601" s="744" t="s">
        <v>153</v>
      </c>
      <c r="B601" s="745">
        <v>267.63</v>
      </c>
      <c r="C601" s="290">
        <v>233.52</v>
      </c>
      <c r="D601" s="291">
        <f t="shared" ref="D601:D606" si="39">C601*B601</f>
        <v>62496.957600000002</v>
      </c>
      <c r="E601" s="292">
        <f t="shared" si="38"/>
        <v>-4.0315620761928253E-2</v>
      </c>
      <c r="F601" s="793">
        <f t="shared" ref="F601:F606" si="40">D601/$D$572</f>
        <v>0.20914163460321361</v>
      </c>
      <c r="G601" s="794">
        <v>1.39</v>
      </c>
      <c r="H601" s="785" t="s">
        <v>145</v>
      </c>
      <c r="I601" s="813">
        <f>D601-D589</f>
        <v>-2625.4503000000041</v>
      </c>
      <c r="J601" s="814">
        <v>413</v>
      </c>
      <c r="K601" s="815"/>
      <c r="L601" s="815"/>
      <c r="M601" s="815"/>
      <c r="N601" s="815"/>
      <c r="O601" s="815"/>
      <c r="P601" s="815"/>
      <c r="Q601" s="815"/>
      <c r="R601" s="815"/>
      <c r="S601" s="816" t="s">
        <v>163</v>
      </c>
      <c r="T601" s="808">
        <v>6306</v>
      </c>
      <c r="U601" s="809">
        <f>SUM(T$600:T601)</f>
        <v>22456</v>
      </c>
      <c r="V601" s="810">
        <f>SUM(T$600:T601)/2</f>
        <v>11228</v>
      </c>
      <c r="X601" s="807" t="s">
        <v>163</v>
      </c>
      <c r="Y601" s="811">
        <v>225574</v>
      </c>
      <c r="Z601" s="817">
        <f>(Y601-Y600)/Y601</f>
        <v>2.7773590928032485E-2</v>
      </c>
      <c r="AA601" s="106">
        <f>J601*$AA$600</f>
        <v>41300</v>
      </c>
    </row>
    <row r="602" spans="1:27" x14ac:dyDescent="0.35">
      <c r="A602" s="746" t="s">
        <v>154</v>
      </c>
      <c r="B602" s="747">
        <v>264</v>
      </c>
      <c r="C602" s="286">
        <v>248.2</v>
      </c>
      <c r="D602" s="287">
        <f t="shared" si="39"/>
        <v>65524.799999999996</v>
      </c>
      <c r="E602" s="288">
        <f t="shared" si="38"/>
        <v>3.8971911758549971E-2</v>
      </c>
      <c r="F602" s="795">
        <f t="shared" si="40"/>
        <v>0.21927409437685411</v>
      </c>
      <c r="G602" s="796">
        <v>0.59</v>
      </c>
      <c r="H602" s="785" t="s">
        <v>145</v>
      </c>
      <c r="I602" s="818">
        <f>D602-D590</f>
        <v>2457.8399999999965</v>
      </c>
      <c r="J602" s="819">
        <v>298</v>
      </c>
      <c r="K602" s="815"/>
      <c r="L602" s="815"/>
      <c r="M602" s="815"/>
      <c r="N602" s="815"/>
      <c r="O602" s="815"/>
      <c r="P602" s="815"/>
      <c r="Q602" s="815"/>
      <c r="R602" s="815"/>
      <c r="S602" s="816" t="s">
        <v>164</v>
      </c>
      <c r="T602" s="808">
        <f>SUM(E78+E63+E48+E34+D20)</f>
        <v>10263.10000000002</v>
      </c>
      <c r="U602" s="809">
        <f>SUM(T$600:T602)</f>
        <v>32719.10000000002</v>
      </c>
      <c r="V602" s="810">
        <f>SUM(T$600:T602)/3</f>
        <v>10906.366666666674</v>
      </c>
      <c r="X602" s="807" t="s">
        <v>164</v>
      </c>
      <c r="Y602" s="811">
        <v>233480</v>
      </c>
      <c r="Z602" s="820">
        <f>(Y602-Y601)/Y602</f>
        <v>3.3861572725715265E-2</v>
      </c>
      <c r="AA602" s="106">
        <f>J602*$AA$600</f>
        <v>29800</v>
      </c>
    </row>
    <row r="603" spans="1:27" x14ac:dyDescent="0.35">
      <c r="A603" s="744" t="s">
        <v>155</v>
      </c>
      <c r="B603" s="745">
        <v>261</v>
      </c>
      <c r="C603" s="290">
        <v>179.06</v>
      </c>
      <c r="D603" s="291">
        <f t="shared" si="39"/>
        <v>46734.66</v>
      </c>
      <c r="E603" s="292">
        <f t="shared" si="38"/>
        <v>-0.11605864639383913</v>
      </c>
      <c r="F603" s="795">
        <f t="shared" si="40"/>
        <v>0.15639422398099942</v>
      </c>
      <c r="G603" s="794">
        <v>1.69</v>
      </c>
      <c r="H603" s="785" t="s">
        <v>146</v>
      </c>
      <c r="I603" s="821"/>
      <c r="J603" s="819">
        <v>354</v>
      </c>
      <c r="K603" s="815"/>
      <c r="L603" s="815"/>
      <c r="M603" s="815"/>
      <c r="N603" s="815"/>
      <c r="O603" s="815"/>
      <c r="P603" s="815"/>
      <c r="Q603" s="815"/>
      <c r="R603" s="815"/>
      <c r="S603" s="816" t="s">
        <v>165</v>
      </c>
      <c r="T603" s="808">
        <f>SUM(E134+E120+E106+E92)</f>
        <v>7546.2399999999907</v>
      </c>
      <c r="U603" s="809">
        <f>SUM(T$600:T603)</f>
        <v>40265.340000000011</v>
      </c>
      <c r="V603" s="810">
        <f>SUM(T$600:T603)/4</f>
        <v>10066.335000000003</v>
      </c>
      <c r="X603" s="807" t="s">
        <v>165</v>
      </c>
      <c r="Y603" s="811">
        <v>241009</v>
      </c>
      <c r="Z603" s="820">
        <f>(Y603-Y602)/Y603</f>
        <v>3.1239497280184558E-2</v>
      </c>
      <c r="AA603" s="106">
        <f>J603*$AA$600</f>
        <v>35400</v>
      </c>
    </row>
    <row r="604" spans="1:27" x14ac:dyDescent="0.35">
      <c r="A604" s="746" t="s">
        <v>156</v>
      </c>
      <c r="B604" s="747">
        <f>120+118</f>
        <v>238</v>
      </c>
      <c r="C604" s="822">
        <v>416.96</v>
      </c>
      <c r="D604" s="823">
        <f t="shared" si="39"/>
        <v>99236.479999999996</v>
      </c>
      <c r="E604" s="288">
        <f t="shared" si="38"/>
        <v>-5.2880247137924836E-2</v>
      </c>
      <c r="F604" s="795">
        <f t="shared" si="40"/>
        <v>0.33208783973620365</v>
      </c>
      <c r="G604" s="794">
        <v>0.87</v>
      </c>
      <c r="H604" s="785" t="s">
        <v>145</v>
      </c>
      <c r="I604" s="821"/>
      <c r="J604" s="819">
        <v>681</v>
      </c>
      <c r="K604" s="815"/>
      <c r="L604" s="815"/>
      <c r="M604" s="815"/>
      <c r="N604" s="815"/>
      <c r="O604" s="815"/>
      <c r="P604" s="815"/>
      <c r="Q604" s="815"/>
      <c r="R604" s="815"/>
      <c r="S604" s="816" t="s">
        <v>87</v>
      </c>
      <c r="T604" s="808">
        <f>SUM(E181+E170+E159+E147)</f>
        <v>22481.680000000022</v>
      </c>
      <c r="U604" s="809">
        <f>SUM(T$600:T604)</f>
        <v>62747.020000000033</v>
      </c>
      <c r="V604" s="810">
        <f>SUM(T$600:T604)/5</f>
        <v>12549.404000000006</v>
      </c>
      <c r="X604" s="807" t="s">
        <v>87</v>
      </c>
      <c r="Y604" s="811">
        <v>262786.8</v>
      </c>
      <c r="Z604" s="820">
        <f>(Y604-Y603)/Y604</f>
        <v>8.2872503489520744E-2</v>
      </c>
      <c r="AA604" s="106">
        <f>J604*$AA$600</f>
        <v>68100</v>
      </c>
    </row>
    <row r="605" spans="1:27" ht="16" thickBot="1" x14ac:dyDescent="0.4">
      <c r="A605" s="744" t="s">
        <v>157</v>
      </c>
      <c r="B605" s="745">
        <v>116</v>
      </c>
      <c r="C605" s="824">
        <v>246.75</v>
      </c>
      <c r="D605" s="825">
        <f t="shared" si="39"/>
        <v>28623</v>
      </c>
      <c r="E605" s="328">
        <f t="shared" si="38"/>
        <v>-5.0011550011550047E-2</v>
      </c>
      <c r="F605" s="795">
        <f t="shared" si="40"/>
        <v>9.5784838768660049E-2</v>
      </c>
      <c r="G605" s="794">
        <v>1.81</v>
      </c>
      <c r="H605" s="785" t="s">
        <v>149</v>
      </c>
      <c r="I605" s="826"/>
      <c r="J605" s="819">
        <v>183</v>
      </c>
      <c r="K605" s="815"/>
      <c r="L605" s="815"/>
      <c r="M605" s="815"/>
      <c r="N605" s="815"/>
      <c r="O605" s="815"/>
      <c r="P605" s="815"/>
      <c r="Q605" s="815"/>
      <c r="R605" s="815"/>
      <c r="S605" s="816" t="s">
        <v>166</v>
      </c>
      <c r="T605" s="827">
        <f>SUM(E236+E225+E214+E203+E192)</f>
        <v>-12432.890000000043</v>
      </c>
      <c r="U605" s="809">
        <f>SUM(T$600:T605)</f>
        <v>50314.12999999999</v>
      </c>
      <c r="V605" s="810">
        <f>SUM(T$600:T605)/6</f>
        <v>8385.6883333333317</v>
      </c>
      <c r="X605" s="807" t="s">
        <v>166</v>
      </c>
      <c r="Y605" s="811">
        <v>251063.23</v>
      </c>
      <c r="Z605" s="817">
        <f>(Y605-Y604)/Y605</f>
        <v>-4.6695686978933462E-2</v>
      </c>
      <c r="AA605" s="106">
        <f>J605*$AA$600</f>
        <v>18300</v>
      </c>
    </row>
    <row r="606" spans="1:27" ht="16" thickBot="1" x14ac:dyDescent="0.4">
      <c r="A606" s="746" t="s">
        <v>7</v>
      </c>
      <c r="B606" s="747">
        <v>87.63</v>
      </c>
      <c r="C606" s="286">
        <v>19.62</v>
      </c>
      <c r="D606" s="287">
        <f t="shared" si="39"/>
        <v>1719.3006</v>
      </c>
      <c r="E606" s="288"/>
      <c r="F606" s="665">
        <f t="shared" si="40"/>
        <v>5.7535174777577644E-3</v>
      </c>
      <c r="G606" s="797">
        <f>AVERAGE(G601:G605)</f>
        <v>1.27</v>
      </c>
      <c r="H606" s="789"/>
      <c r="I606" s="828">
        <f>SUM(I601:I605)</f>
        <v>-167.61030000000756</v>
      </c>
      <c r="J606" s="829">
        <f>SUM(J600:J605)</f>
        <v>45969</v>
      </c>
      <c r="K606" s="118"/>
      <c r="L606" s="118"/>
      <c r="M606" s="118"/>
      <c r="N606" s="118"/>
      <c r="O606" s="118"/>
      <c r="P606" s="118"/>
      <c r="Q606" s="118"/>
      <c r="R606" s="118"/>
      <c r="S606" s="816" t="s">
        <v>167</v>
      </c>
      <c r="T606" s="808">
        <f>SUM(E280+E269+E258+E247)</f>
        <v>16173.925559999974</v>
      </c>
      <c r="U606" s="809">
        <f>SUM(T$600:T606)</f>
        <v>66488.055559999964</v>
      </c>
      <c r="V606" s="810">
        <f>SUM(T$600:T606)/7</f>
        <v>9498.2936514285666</v>
      </c>
      <c r="X606" s="807" t="s">
        <v>167</v>
      </c>
      <c r="Y606" s="811">
        <v>260458.6</v>
      </c>
      <c r="Z606" s="820">
        <f t="shared" ref="Z606:Z611" si="41">(Y606-Y605)/Y606</f>
        <v>3.6072412275885667E-2</v>
      </c>
    </row>
    <row r="607" spans="1:27" ht="16" thickBot="1" x14ac:dyDescent="0.4">
      <c r="A607" s="744" t="s">
        <v>60</v>
      </c>
      <c r="B607" s="745"/>
      <c r="C607" s="290"/>
      <c r="D607" s="291">
        <v>52</v>
      </c>
      <c r="E607" s="328"/>
      <c r="F607" s="665"/>
      <c r="K607" s="118"/>
      <c r="L607" s="118"/>
      <c r="M607" s="118"/>
      <c r="N607" s="118"/>
      <c r="O607" s="118"/>
      <c r="P607" s="118"/>
      <c r="Q607" s="118"/>
      <c r="R607" s="118"/>
      <c r="S607" s="807" t="s">
        <v>168</v>
      </c>
      <c r="T607" s="827">
        <f>SUM(E313+E302+E291)</f>
        <v>-18342.897319999931</v>
      </c>
      <c r="U607" s="809">
        <f>SUM(T$600:T607)</f>
        <v>48145.158240000033</v>
      </c>
      <c r="V607" s="810">
        <f>SUM(T$600:T607)/8</f>
        <v>6018.1447800000042</v>
      </c>
      <c r="X607" s="807" t="s">
        <v>168</v>
      </c>
      <c r="Y607" s="811">
        <f>209000+45000</f>
        <v>254000</v>
      </c>
      <c r="Z607" s="817">
        <f t="shared" si="41"/>
        <v>-2.5427559055118135E-2</v>
      </c>
    </row>
    <row r="608" spans="1:27" ht="19" thickBot="1" x14ac:dyDescent="0.5">
      <c r="A608" s="726" t="s">
        <v>62</v>
      </c>
      <c r="B608" s="583"/>
      <c r="C608" s="584"/>
      <c r="D608" s="585">
        <f>SUM(D601:D607)</f>
        <v>304387.19819999998</v>
      </c>
      <c r="E608" s="771">
        <f>D608-D596</f>
        <v>-13315.955900000059</v>
      </c>
      <c r="F608" s="830">
        <f>(D608-D596)/D596</f>
        <v>-4.1913200193815947E-2</v>
      </c>
      <c r="G608" s="574"/>
      <c r="H608" s="727"/>
      <c r="I608" s="148"/>
      <c r="K608" s="118"/>
      <c r="L608" s="118"/>
      <c r="M608" s="118"/>
      <c r="N608" s="118"/>
      <c r="O608" s="118"/>
      <c r="P608" s="118"/>
      <c r="Q608" s="118"/>
      <c r="R608" s="118"/>
      <c r="S608" s="831" t="s">
        <v>169</v>
      </c>
      <c r="T608" s="808">
        <f>SUM(E384+E372+E359+E347+E335)</f>
        <v>12153.173270000028</v>
      </c>
      <c r="U608" s="832">
        <f>SUM(T$600:T608)</f>
        <v>60298.331510000062</v>
      </c>
      <c r="V608" s="833">
        <f>SUM(T$600:T608)/9</f>
        <v>6699.8146122222288</v>
      </c>
      <c r="X608" s="831" t="s">
        <v>169</v>
      </c>
      <c r="Y608" s="811">
        <v>258777.39</v>
      </c>
      <c r="Z608" s="834">
        <f t="shared" si="41"/>
        <v>1.8461388763523792E-2</v>
      </c>
    </row>
    <row r="609" spans="1:89" ht="19" thickBot="1" x14ac:dyDescent="0.5">
      <c r="K609" s="118"/>
      <c r="L609" s="118"/>
      <c r="M609" s="118"/>
      <c r="N609" s="118"/>
      <c r="O609" s="118"/>
      <c r="P609" s="118"/>
      <c r="Q609" s="118"/>
      <c r="R609" s="118"/>
      <c r="S609" s="831" t="s">
        <v>170</v>
      </c>
      <c r="T609" s="808">
        <f>SUM(E431+E421+E408+E396)</f>
        <v>17438.258989999973</v>
      </c>
      <c r="U609" s="832">
        <f>SUM(T$600:T609)</f>
        <v>77736.590500000035</v>
      </c>
      <c r="V609" s="833">
        <f>SUM(T$600:T609)/10</f>
        <v>7773.6590500000038</v>
      </c>
      <c r="X609" s="831" t="s">
        <v>170</v>
      </c>
      <c r="Y609" s="811">
        <v>281554.33</v>
      </c>
      <c r="Z609" s="834">
        <f t="shared" si="41"/>
        <v>8.089713981667411E-2</v>
      </c>
    </row>
    <row r="610" spans="1:89" ht="19" thickBot="1" x14ac:dyDescent="0.5">
      <c r="A610" s="701" t="s">
        <v>25</v>
      </c>
      <c r="B610" s="702" t="s">
        <v>26</v>
      </c>
      <c r="C610" s="703" t="s">
        <v>27</v>
      </c>
      <c r="D610" s="704">
        <f>D598+7</f>
        <v>43140</v>
      </c>
      <c r="E610" s="705" t="s">
        <v>28</v>
      </c>
      <c r="F610" s="511" t="s">
        <v>101</v>
      </c>
      <c r="G610" s="252">
        <v>17555</v>
      </c>
      <c r="H610" s="253">
        <f>(C611-G610)/G610</f>
        <v>0.37795499857590431</v>
      </c>
      <c r="K610" s="118"/>
      <c r="L610" s="118"/>
      <c r="M610" s="118"/>
      <c r="N610" s="118"/>
      <c r="O610" s="118"/>
      <c r="P610" s="118"/>
      <c r="Q610" s="118"/>
      <c r="R610" s="118"/>
      <c r="S610" s="831" t="s">
        <v>171</v>
      </c>
      <c r="T610" s="808">
        <f>SUM(E443+E455+E467+E479+E491)</f>
        <v>2953.4918600000092</v>
      </c>
      <c r="U610" s="832">
        <f>SUM(T$600:T610)</f>
        <v>80690.082360000044</v>
      </c>
      <c r="V610" s="833">
        <f>SUM(T$600:T610)/11</f>
        <v>7335.4620327272769</v>
      </c>
      <c r="X610" s="831" t="s">
        <v>171</v>
      </c>
      <c r="Y610" s="811">
        <v>285878.11</v>
      </c>
      <c r="Z610" s="834">
        <f t="shared" si="41"/>
        <v>1.5124557805422633E-2</v>
      </c>
    </row>
    <row r="611" spans="1:89" ht="20" thickBot="1" x14ac:dyDescent="0.5">
      <c r="A611" s="706" t="s">
        <v>32</v>
      </c>
      <c r="B611" s="255" t="str">
        <f ca="1">TEXT(TODAY(),"ddd")</f>
        <v>Sun</v>
      </c>
      <c r="C611" s="256">
        <v>24190</v>
      </c>
      <c r="D611" s="257">
        <f>C611-C599</f>
        <v>-1330</v>
      </c>
      <c r="E611" s="707"/>
      <c r="F611" s="708"/>
      <c r="G611" s="801">
        <v>4766</v>
      </c>
      <c r="H611" s="685">
        <f>(C612-G611)/G611</f>
        <v>0.44229962232480069</v>
      </c>
      <c r="K611" s="118"/>
      <c r="L611" s="118"/>
      <c r="M611" s="118"/>
      <c r="N611" s="118"/>
      <c r="O611" s="118"/>
      <c r="P611" s="233"/>
      <c r="Q611" s="118"/>
      <c r="R611" s="118"/>
      <c r="S611" s="831" t="s">
        <v>172</v>
      </c>
      <c r="T611" s="827">
        <f>SUM(E503+E515+E529+E542)</f>
        <v>-16776.090139999986</v>
      </c>
      <c r="U611" s="835">
        <f>SUM(T$600:T611)</f>
        <v>63913.992220000058</v>
      </c>
      <c r="V611" s="836">
        <f>SUM(T$600:T611)/12</f>
        <v>5326.1660183333379</v>
      </c>
      <c r="W611" s="837" t="s">
        <v>173</v>
      </c>
      <c r="X611" s="838" t="s">
        <v>172</v>
      </c>
      <c r="Y611" s="811">
        <v>267718.16850000003</v>
      </c>
      <c r="Z611" s="839">
        <f t="shared" si="41"/>
        <v>-6.7832308885677872E-2</v>
      </c>
    </row>
    <row r="612" spans="1:89" ht="19" thickBot="1" x14ac:dyDescent="0.5">
      <c r="A612" s="709" t="s">
        <v>36</v>
      </c>
      <c r="B612" s="263"/>
      <c r="C612" s="419">
        <v>6874</v>
      </c>
      <c r="D612" s="264">
        <f>C612-C600</f>
        <v>-366</v>
      </c>
      <c r="E612" s="421">
        <f t="shared" ref="E612:E617" si="42">(C612-C600)/C600</f>
        <v>-5.0552486187845302E-2</v>
      </c>
      <c r="F612" s="617" t="s">
        <v>37</v>
      </c>
      <c r="G612" s="783" t="s">
        <v>143</v>
      </c>
      <c r="H612" s="784" t="s">
        <v>144</v>
      </c>
      <c r="I612" t="s">
        <v>174</v>
      </c>
      <c r="K612" s="118"/>
      <c r="L612" s="118"/>
      <c r="M612" s="118"/>
      <c r="N612" s="118"/>
      <c r="O612" s="118"/>
      <c r="P612" s="118"/>
      <c r="Q612" s="118"/>
      <c r="R612" s="118"/>
      <c r="S612" s="840" t="s">
        <v>62</v>
      </c>
      <c r="T612" s="841">
        <f>SUM(T600:T611)</f>
        <v>63913.992220000058</v>
      </c>
      <c r="U612" s="842"/>
      <c r="V612" s="149"/>
      <c r="X612" s="843"/>
      <c r="Y612" s="844" t="s">
        <v>160</v>
      </c>
      <c r="Z612" s="845">
        <f>SUM(Z601:Z611)</f>
        <v>0.18634710816522981</v>
      </c>
    </row>
    <row r="613" spans="1:89" ht="16" thickBot="1" x14ac:dyDescent="0.4">
      <c r="A613" s="744" t="s">
        <v>153</v>
      </c>
      <c r="B613" s="745">
        <v>250</v>
      </c>
      <c r="C613" s="290">
        <v>232.08</v>
      </c>
      <c r="D613" s="291">
        <f>C613*B613</f>
        <v>58020</v>
      </c>
      <c r="E613" s="292">
        <f t="shared" si="42"/>
        <v>-6.1664953751284588E-3</v>
      </c>
      <c r="F613" s="793">
        <f t="shared" ref="F613:F618" si="43">D613/$D$572</f>
        <v>0.19415981362392676</v>
      </c>
      <c r="G613" s="794">
        <v>1.39</v>
      </c>
      <c r="H613" s="785" t="s">
        <v>145</v>
      </c>
      <c r="I613" s="813">
        <f>D613-D601</f>
        <v>-4476.9576000000015</v>
      </c>
      <c r="J613" s="846"/>
      <c r="K613" s="847"/>
      <c r="L613" s="847"/>
      <c r="M613" s="847"/>
      <c r="N613" s="847"/>
      <c r="O613" s="847"/>
      <c r="P613" s="847"/>
      <c r="Q613" s="847"/>
      <c r="R613" s="847"/>
      <c r="AA613" s="234">
        <f>SUM(AA620:AA623)</f>
        <v>0.19461745175668993</v>
      </c>
    </row>
    <row r="614" spans="1:89" ht="16" thickBot="1" x14ac:dyDescent="0.4">
      <c r="A614" s="746" t="s">
        <v>154</v>
      </c>
      <c r="B614" s="747">
        <v>200</v>
      </c>
      <c r="C614" s="286">
        <v>229.38</v>
      </c>
      <c r="D614" s="287">
        <f>C614*B614</f>
        <v>45876</v>
      </c>
      <c r="E614" s="296">
        <f t="shared" si="42"/>
        <v>-7.5825946817082976E-2</v>
      </c>
      <c r="F614" s="795">
        <f t="shared" si="43"/>
        <v>0.15352077921081117</v>
      </c>
      <c r="G614" s="796">
        <v>0.59</v>
      </c>
      <c r="H614" s="785" t="s">
        <v>145</v>
      </c>
      <c r="I614" s="818">
        <f>D614-D602</f>
        <v>-19648.799999999996</v>
      </c>
      <c r="J614" s="848"/>
      <c r="K614" s="849"/>
      <c r="L614" s="847"/>
      <c r="M614" s="847"/>
      <c r="N614" s="847"/>
      <c r="O614" s="847"/>
      <c r="P614" s="847"/>
      <c r="Q614" s="847"/>
      <c r="R614" s="847"/>
      <c r="S614" s="850" t="s">
        <v>175</v>
      </c>
      <c r="T614" s="118">
        <f>SUM(T620:T623)</f>
        <v>71188.354520000052</v>
      </c>
      <c r="U614" s="118">
        <f>SUM(U620:U623)</f>
        <v>-53123.449999999983</v>
      </c>
      <c r="Z614" s="851" t="s">
        <v>176</v>
      </c>
      <c r="AA614" s="852">
        <v>388479.04813000001</v>
      </c>
      <c r="AD614" s="234">
        <f>SUM(AD620:AD623)</f>
        <v>-0.19214840582560544</v>
      </c>
    </row>
    <row r="615" spans="1:89" ht="16" thickBot="1" x14ac:dyDescent="0.4">
      <c r="A615" s="744" t="s">
        <v>155</v>
      </c>
      <c r="B615" s="745">
        <v>250</v>
      </c>
      <c r="C615" s="290">
        <v>165.87</v>
      </c>
      <c r="D615" s="291">
        <f>C615*B615</f>
        <v>41467.5</v>
      </c>
      <c r="E615" s="292">
        <f t="shared" si="42"/>
        <v>-7.3662459510778502E-2</v>
      </c>
      <c r="F615" s="795">
        <f t="shared" si="43"/>
        <v>0.13876804673302626</v>
      </c>
      <c r="G615" s="794">
        <v>1.69</v>
      </c>
      <c r="H615" s="785" t="s">
        <v>146</v>
      </c>
      <c r="I615" s="821">
        <f>D615-D603</f>
        <v>-5267.1600000000035</v>
      </c>
      <c r="J615" s="849"/>
      <c r="K615" s="847"/>
      <c r="L615" s="847"/>
      <c r="M615" s="847"/>
      <c r="N615" s="847"/>
      <c r="O615" s="847"/>
      <c r="P615" s="847"/>
      <c r="Q615" s="847"/>
      <c r="R615" s="847"/>
      <c r="S615" s="3194">
        <v>2018</v>
      </c>
      <c r="T615" s="3194"/>
      <c r="U615" s="853">
        <v>2019</v>
      </c>
      <c r="V615" s="854">
        <v>2020</v>
      </c>
      <c r="W615" s="855">
        <v>2021</v>
      </c>
      <c r="Y615" s="3195">
        <v>2018</v>
      </c>
      <c r="Z615" s="3196"/>
      <c r="AA615" s="805" t="s">
        <v>37</v>
      </c>
      <c r="AB615" s="3197">
        <v>2019</v>
      </c>
      <c r="AC615" s="3198"/>
      <c r="AD615" s="856" t="s">
        <v>37</v>
      </c>
      <c r="AE615" s="2987">
        <v>2020</v>
      </c>
      <c r="AF615" s="2988"/>
      <c r="AG615" s="812" t="s">
        <v>37</v>
      </c>
      <c r="AH615" s="2987">
        <v>2021</v>
      </c>
      <c r="AI615" s="2988"/>
      <c r="AJ615" s="857" t="s">
        <v>37</v>
      </c>
      <c r="AK615" s="858" t="s">
        <v>177</v>
      </c>
      <c r="AL615" s="2987">
        <v>2022</v>
      </c>
      <c r="AM615" s="2988"/>
      <c r="AN615" s="857" t="s">
        <v>37</v>
      </c>
      <c r="AO615" s="858" t="s">
        <v>177</v>
      </c>
    </row>
    <row r="616" spans="1:89" ht="18.5" x14ac:dyDescent="0.45">
      <c r="A616" s="859" t="s">
        <v>156</v>
      </c>
      <c r="B616" s="860">
        <v>250</v>
      </c>
      <c r="C616" s="861">
        <v>392.91</v>
      </c>
      <c r="D616" s="862">
        <f>C616*B616</f>
        <v>98227.5</v>
      </c>
      <c r="E616" s="863">
        <f t="shared" si="42"/>
        <v>-5.7679393706830284E-2</v>
      </c>
      <c r="F616" s="795">
        <f t="shared" si="43"/>
        <v>0.32871135975084914</v>
      </c>
      <c r="G616" s="794">
        <v>0.87</v>
      </c>
      <c r="H616" s="785" t="s">
        <v>145</v>
      </c>
      <c r="I616" s="821">
        <f>D616-D604</f>
        <v>-1008.9799999999959</v>
      </c>
      <c r="J616" s="849"/>
      <c r="K616" s="849"/>
      <c r="L616" s="847"/>
      <c r="M616" s="847"/>
      <c r="N616" s="847"/>
      <c r="O616" s="847"/>
      <c r="P616" s="847"/>
      <c r="Q616" s="847"/>
      <c r="R616" s="847"/>
      <c r="S616" s="807" t="s">
        <v>162</v>
      </c>
      <c r="T616" s="864">
        <f>SUM(E556+E572+E584+E596)</f>
        <v>49984.985600000015</v>
      </c>
      <c r="U616" s="865">
        <f>E1206+E1222+E1238+E1254</f>
        <v>21323.419869999925</v>
      </c>
      <c r="V616" s="866">
        <f>AF616-AC627</f>
        <v>-5332</v>
      </c>
      <c r="W616" s="867">
        <f>AI616-AF627</f>
        <v>55789.41524000006</v>
      </c>
      <c r="Y616" s="868" t="s">
        <v>162</v>
      </c>
      <c r="Z616" s="869">
        <f>D596</f>
        <v>317703.15410000004</v>
      </c>
      <c r="AA616" s="870"/>
      <c r="AB616" s="871" t="s">
        <v>162</v>
      </c>
      <c r="AC616" s="869">
        <f>D1254</f>
        <v>313874.89989999996</v>
      </c>
      <c r="AD616" s="872">
        <f>(AC616-Z627)/AC616</f>
        <v>6.7936046739619935E-2</v>
      </c>
      <c r="AE616" s="873" t="s">
        <v>162</v>
      </c>
      <c r="AF616" s="874">
        <v>230284</v>
      </c>
      <c r="AG616" s="875">
        <f>(AF616-AC627)/AF616</f>
        <v>-2.3154018516266871E-2</v>
      </c>
      <c r="AH616" s="873" t="s">
        <v>162</v>
      </c>
      <c r="AI616" s="876">
        <f>D2560</f>
        <v>339133.21524000005</v>
      </c>
      <c r="AJ616" s="877">
        <f>(AI616-AF627)/AI616</f>
        <v>0.16450590131821397</v>
      </c>
      <c r="AK616" s="878">
        <f>AI616-AF627</f>
        <v>55789.41524000006</v>
      </c>
      <c r="AL616" s="873" t="s">
        <v>162</v>
      </c>
      <c r="AM616" s="876">
        <f>D3377</f>
        <v>180513.65174999999</v>
      </c>
      <c r="AN616" s="2358">
        <f>AM616-AI627</f>
        <v>10383.912739999971</v>
      </c>
      <c r="AO616" s="878">
        <f>AM616-AJ627</f>
        <v>180513.78795692927</v>
      </c>
    </row>
    <row r="617" spans="1:89" ht="19" thickBot="1" x14ac:dyDescent="0.5">
      <c r="A617" s="879" t="s">
        <v>157</v>
      </c>
      <c r="B617" s="880">
        <v>200</v>
      </c>
      <c r="C617" s="881">
        <v>232.44</v>
      </c>
      <c r="D617" s="882">
        <f>C617*B617</f>
        <v>46488</v>
      </c>
      <c r="E617" s="883">
        <f t="shared" si="42"/>
        <v>-5.7993920972644386E-2</v>
      </c>
      <c r="F617" s="795">
        <f t="shared" si="43"/>
        <v>0.15556879379091879</v>
      </c>
      <c r="G617" s="794">
        <v>1.81</v>
      </c>
      <c r="H617" s="785" t="s">
        <v>149</v>
      </c>
      <c r="I617" s="826">
        <f>D617-D605</f>
        <v>17865</v>
      </c>
      <c r="J617" s="849"/>
      <c r="K617" s="849"/>
      <c r="L617" s="847"/>
      <c r="M617" s="847"/>
      <c r="N617" s="847"/>
      <c r="O617" s="847"/>
      <c r="P617" s="847"/>
      <c r="Q617" s="847"/>
      <c r="R617" s="847"/>
      <c r="S617" s="807" t="s">
        <v>163</v>
      </c>
      <c r="T617" s="884">
        <f>E608+E620+E632+E644</f>
        <v>9649.6818000000203</v>
      </c>
      <c r="U617" s="885">
        <f>E1269+E1284+E1299+E1314</f>
        <v>6470.0932000000612</v>
      </c>
      <c r="V617" s="866">
        <f t="shared" ref="V617:V627" si="44">AF617-AF616</f>
        <v>-12916</v>
      </c>
      <c r="W617" s="886">
        <f>AI617-AI616</f>
        <v>-15372.67524000007</v>
      </c>
      <c r="X617" s="149"/>
      <c r="Y617" s="887" t="s">
        <v>163</v>
      </c>
      <c r="Z617" s="869">
        <f>D656</f>
        <v>324686.67019999999</v>
      </c>
      <c r="AA617" s="888">
        <f>(Z617-Z616)/Z617</f>
        <v>2.1508477991099093E-2</v>
      </c>
      <c r="AB617" s="889" t="s">
        <v>163</v>
      </c>
      <c r="AC617" s="890">
        <f>D1314</f>
        <v>320344.99310000002</v>
      </c>
      <c r="AD617" s="891">
        <f>(AC617-AC616)/AC617</f>
        <v>2.0197266507550295E-2</v>
      </c>
      <c r="AE617" s="892" t="s">
        <v>163</v>
      </c>
      <c r="AF617" s="869">
        <v>217368</v>
      </c>
      <c r="AG617" s="893">
        <f t="shared" ref="AG617:AG627" si="45">(AF617-AF616)/AF617</f>
        <v>-5.9419969820764786E-2</v>
      </c>
      <c r="AH617" s="892" t="s">
        <v>163</v>
      </c>
      <c r="AI617" s="894">
        <f>D2638</f>
        <v>323760.53999999998</v>
      </c>
      <c r="AJ617" s="895">
        <f>(AI617-AI616)/AI617</f>
        <v>-4.7481620953560524E-2</v>
      </c>
      <c r="AK617" s="896">
        <f>AI617-AI616</f>
        <v>-15372.67524000007</v>
      </c>
      <c r="AL617" s="892" t="s">
        <v>163</v>
      </c>
      <c r="AM617" s="894" t="e">
        <f>#REF!</f>
        <v>#REF!</v>
      </c>
      <c r="AN617" s="2359" t="e">
        <f>AM617-AM616</f>
        <v>#REF!</v>
      </c>
      <c r="AO617" s="896" t="e">
        <f>AM617-AM616</f>
        <v>#REF!</v>
      </c>
    </row>
    <row r="618" spans="1:89" ht="19" thickBot="1" x14ac:dyDescent="0.5">
      <c r="A618" s="859" t="s">
        <v>7</v>
      </c>
      <c r="B618" s="860">
        <v>87.63</v>
      </c>
      <c r="C618" s="897">
        <v>19.62</v>
      </c>
      <c r="D618" s="862">
        <v>1656.89</v>
      </c>
      <c r="E618" s="863"/>
      <c r="F618" s="665">
        <f t="shared" si="43"/>
        <v>5.5446648327360914E-3</v>
      </c>
      <c r="G618" s="797">
        <f>AVERAGE(G613:G617)</f>
        <v>1.27</v>
      </c>
      <c r="H618" s="789"/>
      <c r="I618" s="828">
        <f>SUM(I613:I617)</f>
        <v>-12536.897599999997</v>
      </c>
      <c r="J618" s="898"/>
      <c r="K618" s="899"/>
      <c r="L618" s="118"/>
      <c r="M618" s="118"/>
      <c r="N618" s="118"/>
      <c r="O618" s="118"/>
      <c r="P618" s="118"/>
      <c r="Q618" s="118"/>
      <c r="R618" s="118"/>
      <c r="S618" s="807" t="s">
        <v>178</v>
      </c>
      <c r="T618" s="900">
        <f>E656+E680+E668+E692+E704</f>
        <v>-18985.413800000097</v>
      </c>
      <c r="U618" s="901">
        <f>E1329+E1344+E1358+E1371+E1389</f>
        <v>-12030.522699999972</v>
      </c>
      <c r="V618" s="866">
        <f t="shared" si="44"/>
        <v>-30268.760140000028</v>
      </c>
      <c r="W618" s="886">
        <f t="shared" ref="W618:W623" si="46">AI618-AI617</f>
        <v>-65501.409599999984</v>
      </c>
      <c r="Y618" s="887" t="str">
        <f>S618</f>
        <v>Mar</v>
      </c>
      <c r="Z618" s="869">
        <f>D704</f>
        <v>308367.42209999997</v>
      </c>
      <c r="AA618" s="895">
        <f>(Z618-Z617)/Z618</f>
        <v>-5.2921440237963545E-2</v>
      </c>
      <c r="AB618" s="889" t="str">
        <f>S618</f>
        <v>Mar</v>
      </c>
      <c r="AC618" s="869">
        <f>AB633</f>
        <v>308314.47040000005</v>
      </c>
      <c r="AD618" s="893">
        <f>(AC618-AC617)/AC618</f>
        <v>-3.902029860743108E-2</v>
      </c>
      <c r="AE618" s="892" t="s">
        <v>178</v>
      </c>
      <c r="AF618" s="869">
        <f t="shared" ref="AF618:AF621" si="47">AD633</f>
        <v>187099.23985999997</v>
      </c>
      <c r="AG618" s="893">
        <f t="shared" si="45"/>
        <v>-0.16177917217968987</v>
      </c>
      <c r="AH618" s="892" t="s">
        <v>178</v>
      </c>
      <c r="AI618" s="894">
        <f>D2725</f>
        <v>258259.13039999999</v>
      </c>
      <c r="AJ618" s="895">
        <f t="shared" ref="AJ618:AJ627" si="48">(AI618-AI617)/AI618</f>
        <v>-0.25362669462469462</v>
      </c>
      <c r="AK618" s="896">
        <f>AI618-AI617</f>
        <v>-65501.409599999984</v>
      </c>
      <c r="AL618" s="892" t="s">
        <v>178</v>
      </c>
      <c r="AM618" s="894" t="e">
        <f>#REF!</f>
        <v>#REF!</v>
      </c>
      <c r="AN618" s="2359" t="e">
        <f t="shared" ref="AN618:AN627" si="49">AM618-AM617</f>
        <v>#REF!</v>
      </c>
      <c r="AO618" s="896" t="e">
        <f>AM618-AM617</f>
        <v>#REF!</v>
      </c>
    </row>
    <row r="619" spans="1:89" ht="19" thickBot="1" x14ac:dyDescent="0.5">
      <c r="A619" s="879" t="s">
        <v>60</v>
      </c>
      <c r="B619" s="880"/>
      <c r="C619" s="902"/>
      <c r="D619" s="882">
        <v>6745.65</v>
      </c>
      <c r="E619" s="883"/>
      <c r="F619" s="665"/>
      <c r="K619" s="118"/>
      <c r="L619" s="118"/>
      <c r="M619" s="118"/>
      <c r="N619" s="118"/>
      <c r="O619" s="118"/>
      <c r="P619" s="118"/>
      <c r="Q619" s="118"/>
      <c r="R619" s="118"/>
      <c r="S619" s="807" t="s">
        <v>179</v>
      </c>
      <c r="T619" s="903">
        <f>E716+E728+E740+E752</f>
        <v>210.32297999999719</v>
      </c>
      <c r="U619" s="901">
        <f>E1407+E1421+E1438+E1454</f>
        <v>-8528.6004000000539</v>
      </c>
      <c r="V619" s="904">
        <f t="shared" si="44"/>
        <v>22729.659970000066</v>
      </c>
      <c r="W619" s="905">
        <f t="shared" si="46"/>
        <v>-14398.58944999997</v>
      </c>
      <c r="Y619" s="887" t="str">
        <f>S619</f>
        <v>Apr</v>
      </c>
      <c r="Z619" s="869">
        <f>D752</f>
        <v>308577.74507999996</v>
      </c>
      <c r="AA619" s="888">
        <f>(Z619-Z618)/Z619</f>
        <v>6.8158829777393746E-4</v>
      </c>
      <c r="AB619" s="889" t="str">
        <f>Y619</f>
        <v>Apr</v>
      </c>
      <c r="AC619" s="869">
        <f>D1454</f>
        <v>299785.87</v>
      </c>
      <c r="AD619" s="893">
        <f>(AC619-AC618)/AC619</f>
        <v>-2.8448973929291778E-2</v>
      </c>
      <c r="AE619" s="892" t="s">
        <v>179</v>
      </c>
      <c r="AF619" s="869">
        <f>D1999</f>
        <v>209828.89983000004</v>
      </c>
      <c r="AG619" s="906">
        <f t="shared" si="45"/>
        <v>0.10832473500273446</v>
      </c>
      <c r="AH619" s="892" t="s">
        <v>179</v>
      </c>
      <c r="AI619" s="894">
        <f>D2802</f>
        <v>243860.54095000002</v>
      </c>
      <c r="AJ619" s="895">
        <f t="shared" si="48"/>
        <v>-5.904435950936477E-2</v>
      </c>
      <c r="AK619" s="896">
        <f>AI619-AI618</f>
        <v>-14398.58944999997</v>
      </c>
      <c r="AL619" s="892" t="s">
        <v>179</v>
      </c>
      <c r="AM619" s="894"/>
      <c r="AN619" s="2359"/>
      <c r="AO619" s="896"/>
    </row>
    <row r="620" spans="1:89" ht="19" thickBot="1" x14ac:dyDescent="0.5">
      <c r="A620" s="726" t="s">
        <v>62</v>
      </c>
      <c r="B620" s="583"/>
      <c r="C620" s="584"/>
      <c r="D620" s="585">
        <f>SUM(D613:D619)</f>
        <v>298481.54000000004</v>
      </c>
      <c r="E620" s="771">
        <f>D620-D608</f>
        <v>-5905.6581999999471</v>
      </c>
      <c r="F620" s="907">
        <f>(D620-D608)/D608</f>
        <v>-1.9401795591020843E-2</v>
      </c>
      <c r="G620" s="574"/>
      <c r="H620" s="727"/>
      <c r="I620" s="148"/>
      <c r="K620" s="118"/>
      <c r="L620" s="118"/>
      <c r="M620" s="118"/>
      <c r="N620" s="118"/>
      <c r="O620" s="118"/>
      <c r="P620" s="118"/>
      <c r="Q620" s="118"/>
      <c r="R620" s="118"/>
      <c r="S620" s="807" t="s">
        <v>87</v>
      </c>
      <c r="T620" s="908">
        <f>E764+E776+E788+E799</f>
        <v>46087.816850000003</v>
      </c>
      <c r="U620" s="901">
        <f>E1489+E1507+E1524+E1540</f>
        <v>-25736.460000000021</v>
      </c>
      <c r="V620" s="904">
        <f t="shared" si="44"/>
        <v>25313.944289999985</v>
      </c>
      <c r="W620" s="886">
        <f t="shared" si="46"/>
        <v>-38127.62095000004</v>
      </c>
      <c r="Y620" s="887" t="s">
        <v>87</v>
      </c>
      <c r="Z620" s="869">
        <f>D799</f>
        <v>354665.56192999997</v>
      </c>
      <c r="AA620" s="909">
        <f>(Z620-Z619)/Z620</f>
        <v>0.12994725678806199</v>
      </c>
      <c r="AB620" s="889" t="s">
        <v>87</v>
      </c>
      <c r="AC620" s="869">
        <f>D1540</f>
        <v>280366.94999999995</v>
      </c>
      <c r="AD620" s="910">
        <f>(AC620-AC619)/AC620</f>
        <v>-6.9262514715090512E-2</v>
      </c>
      <c r="AE620" s="892" t="s">
        <v>87</v>
      </c>
      <c r="AF620" s="869">
        <f>D2074</f>
        <v>235142.84412000002</v>
      </c>
      <c r="AG620" s="906">
        <f t="shared" si="45"/>
        <v>0.10765347499616687</v>
      </c>
      <c r="AH620" s="892" t="s">
        <v>87</v>
      </c>
      <c r="AI620" s="894">
        <f>D2859</f>
        <v>205732.91999999998</v>
      </c>
      <c r="AJ620" s="895">
        <f t="shared" si="48"/>
        <v>-0.185325814410256</v>
      </c>
      <c r="AK620" s="896">
        <f t="shared" ref="AK620:AK627" si="50">AI620-AI619</f>
        <v>-38127.62095000004</v>
      </c>
      <c r="AL620" s="892" t="s">
        <v>87</v>
      </c>
      <c r="AM620" s="894"/>
      <c r="AN620" s="2359">
        <f t="shared" si="49"/>
        <v>0</v>
      </c>
      <c r="AO620" s="896">
        <f t="shared" ref="AO620:AO627" si="51">AM620-AM619</f>
        <v>0</v>
      </c>
    </row>
    <row r="621" spans="1:89" ht="19" thickBot="1" x14ac:dyDescent="0.5">
      <c r="K621" s="118"/>
      <c r="L621" s="118"/>
      <c r="M621" s="118"/>
      <c r="N621" s="118"/>
      <c r="O621" s="118"/>
      <c r="P621" s="118"/>
      <c r="Q621" s="118"/>
      <c r="R621" s="118"/>
      <c r="S621" s="911" t="s">
        <v>166</v>
      </c>
      <c r="T621" s="912">
        <f>E810+E821+E833+E845+E857</f>
        <v>8538.9705200000317</v>
      </c>
      <c r="U621" s="913">
        <f>E1554+E1569+E1585+E1601</f>
        <v>7219.3400000000838</v>
      </c>
      <c r="V621" s="904">
        <f t="shared" si="44"/>
        <v>7385.2964399999764</v>
      </c>
      <c r="W621" s="886">
        <f t="shared" si="46"/>
        <v>-12005.25</v>
      </c>
      <c r="Y621" s="887" t="s">
        <v>166</v>
      </c>
      <c r="Z621" s="869">
        <f>Z636</f>
        <v>363204.53245</v>
      </c>
      <c r="AA621" s="909">
        <f>(Z621-Z620)/Z621</f>
        <v>2.3510088000279941E-2</v>
      </c>
      <c r="AB621" s="889" t="s">
        <v>166</v>
      </c>
      <c r="AC621" s="869">
        <f>D1601</f>
        <v>287586.29000000004</v>
      </c>
      <c r="AD621" s="914">
        <f>(AC621-AC620)/AC621</f>
        <v>2.5103213369455417E-2</v>
      </c>
      <c r="AE621" s="892" t="s">
        <v>166</v>
      </c>
      <c r="AF621" s="869">
        <f t="shared" si="47"/>
        <v>242528.14056</v>
      </c>
      <c r="AG621" s="906">
        <f t="shared" si="45"/>
        <v>3.045129700391571E-2</v>
      </c>
      <c r="AH621" s="892" t="s">
        <v>166</v>
      </c>
      <c r="AI621" s="894">
        <f>D2924</f>
        <v>193727.66999999998</v>
      </c>
      <c r="AJ621" s="895">
        <f t="shared" si="48"/>
        <v>-6.1969722755660053E-2</v>
      </c>
      <c r="AK621" s="896">
        <f t="shared" si="50"/>
        <v>-12005.25</v>
      </c>
      <c r="AL621" s="892" t="s">
        <v>166</v>
      </c>
      <c r="AM621" s="894"/>
      <c r="AN621" s="2359">
        <f t="shared" si="49"/>
        <v>0</v>
      </c>
      <c r="AO621" s="896">
        <f t="shared" si="51"/>
        <v>0</v>
      </c>
    </row>
    <row r="622" spans="1:89" ht="19" thickBot="1" x14ac:dyDescent="0.5">
      <c r="A622" s="701" t="s">
        <v>25</v>
      </c>
      <c r="B622" s="702" t="s">
        <v>26</v>
      </c>
      <c r="C622" s="703" t="s">
        <v>27</v>
      </c>
      <c r="D622" s="704">
        <f>D610+7</f>
        <v>43147</v>
      </c>
      <c r="E622" s="705" t="s">
        <v>28</v>
      </c>
      <c r="F622" s="511" t="s">
        <v>101</v>
      </c>
      <c r="G622" s="252">
        <v>17555</v>
      </c>
      <c r="H622" s="253">
        <f>(C623-G622)/G622</f>
        <v>0.43657077755625179</v>
      </c>
      <c r="K622" s="118"/>
      <c r="L622" s="118"/>
      <c r="M622" s="118"/>
      <c r="N622" s="118"/>
      <c r="O622" s="118"/>
      <c r="P622" s="118"/>
      <c r="Q622" s="118"/>
      <c r="R622" s="118"/>
      <c r="S622" s="915" t="s">
        <v>167</v>
      </c>
      <c r="T622" s="916">
        <f>E868+E879+E890+E903</f>
        <v>-11610.870450000046</v>
      </c>
      <c r="U622" s="917">
        <f>E1616+E1631+E1646+E1662</f>
        <v>-7692.4500000000698</v>
      </c>
      <c r="V622" s="866">
        <f t="shared" si="44"/>
        <v>-11423.486179999978</v>
      </c>
      <c r="W622" s="905">
        <f t="shared" si="46"/>
        <v>974.92000000001281</v>
      </c>
      <c r="Y622" s="887" t="s">
        <v>167</v>
      </c>
      <c r="Z622" s="869">
        <f>Z637</f>
        <v>351593.66199999995</v>
      </c>
      <c r="AA622" s="918">
        <f t="shared" ref="AA622:AA627" si="52">(Z622-Z621)/Z622</f>
        <v>-3.3023548786269209E-2</v>
      </c>
      <c r="AB622" s="889" t="s">
        <v>167</v>
      </c>
      <c r="AC622" s="869">
        <f>D1662</f>
        <v>279893.83999999997</v>
      </c>
      <c r="AD622" s="910">
        <f t="shared" ref="AD622:AD627" si="53">(AC622-AC621)/AC622</f>
        <v>-2.7483455870268781E-2</v>
      </c>
      <c r="AE622" s="892" t="s">
        <v>167</v>
      </c>
      <c r="AF622" s="869">
        <f>D2198</f>
        <v>231104.65438000002</v>
      </c>
      <c r="AG622" s="893">
        <f t="shared" si="45"/>
        <v>-4.9429926933520794E-2</v>
      </c>
      <c r="AH622" s="892" t="s">
        <v>167</v>
      </c>
      <c r="AI622" s="894">
        <f>D3002</f>
        <v>194702.59</v>
      </c>
      <c r="AJ622" s="919">
        <f t="shared" si="48"/>
        <v>5.0072266629838501E-3</v>
      </c>
      <c r="AK622" s="920">
        <f t="shared" si="50"/>
        <v>974.92000000001281</v>
      </c>
      <c r="AL622" s="892" t="s">
        <v>167</v>
      </c>
      <c r="AM622" s="894"/>
      <c r="AN622" s="2359">
        <f t="shared" si="49"/>
        <v>0</v>
      </c>
      <c r="AO622" s="920">
        <f t="shared" si="51"/>
        <v>0</v>
      </c>
    </row>
    <row r="623" spans="1:89" ht="19" thickBot="1" x14ac:dyDescent="0.5">
      <c r="A623" s="706" t="s">
        <v>32</v>
      </c>
      <c r="B623" s="255" t="str">
        <f ca="1">TEXT(TODAY(),"ddd")</f>
        <v>Sun</v>
      </c>
      <c r="C623" s="256">
        <v>25219</v>
      </c>
      <c r="D623" s="322">
        <f>C623-C611</f>
        <v>1029</v>
      </c>
      <c r="E623" s="707"/>
      <c r="F623" s="708"/>
      <c r="G623" s="801">
        <v>4766</v>
      </c>
      <c r="H623" s="685">
        <f>(C624-G623)/G623</f>
        <v>0.51888375996642888</v>
      </c>
      <c r="K623" s="118"/>
      <c r="L623" s="118"/>
      <c r="M623" s="118"/>
      <c r="N623" s="118"/>
      <c r="O623" s="118"/>
      <c r="P623" s="118"/>
      <c r="Q623" s="118"/>
      <c r="R623" s="118"/>
      <c r="S623" s="915" t="s">
        <v>168</v>
      </c>
      <c r="T623" s="912">
        <f>E915+E927+E939+E951</f>
        <v>28172.437600000063</v>
      </c>
      <c r="U623" s="917">
        <f>E1678+E1692+E1706+E1720+E1734</f>
        <v>-26913.879999999976</v>
      </c>
      <c r="V623" s="904">
        <f t="shared" si="44"/>
        <v>42555.468799999973</v>
      </c>
      <c r="W623" s="905">
        <f t="shared" si="46"/>
        <v>4565.4387500000012</v>
      </c>
      <c r="Y623" s="887" t="s">
        <v>168</v>
      </c>
      <c r="Z623" s="869">
        <f>D951</f>
        <v>379766.09960000002</v>
      </c>
      <c r="AA623" s="909">
        <f t="shared" si="52"/>
        <v>7.4183655754617175E-2</v>
      </c>
      <c r="AB623" s="889" t="s">
        <v>168</v>
      </c>
      <c r="AC623" s="869">
        <f>D1720</f>
        <v>249792.44</v>
      </c>
      <c r="AD623" s="910">
        <f t="shared" si="53"/>
        <v>-0.12050564860970157</v>
      </c>
      <c r="AE623" s="892" t="s">
        <v>168</v>
      </c>
      <c r="AF623" s="869">
        <f>D2254</f>
        <v>273660.12318</v>
      </c>
      <c r="AG623" s="906">
        <f t="shared" si="45"/>
        <v>0.15550482220608045</v>
      </c>
      <c r="AH623" s="892" t="s">
        <v>168</v>
      </c>
      <c r="AI623" s="894">
        <f>D3055</f>
        <v>199268.02875</v>
      </c>
      <c r="AJ623" s="919">
        <f t="shared" si="48"/>
        <v>2.2911044880801035E-2</v>
      </c>
      <c r="AK623" s="920">
        <f t="shared" si="50"/>
        <v>4565.4387500000012</v>
      </c>
      <c r="AL623" s="892" t="s">
        <v>168</v>
      </c>
      <c r="AM623" s="894"/>
      <c r="AN623" s="2359">
        <f t="shared" si="49"/>
        <v>0</v>
      </c>
      <c r="AO623" s="920">
        <f t="shared" si="51"/>
        <v>0</v>
      </c>
    </row>
    <row r="624" spans="1:89" ht="19" thickBot="1" x14ac:dyDescent="0.5">
      <c r="A624" s="709" t="s">
        <v>36</v>
      </c>
      <c r="B624" s="263"/>
      <c r="C624" s="419">
        <v>7239</v>
      </c>
      <c r="D624" s="223">
        <f>C624-C612</f>
        <v>365</v>
      </c>
      <c r="E624" s="420">
        <f t="shared" ref="E624:E629" si="54">(C624-C612)/C612</f>
        <v>5.3098632528367766E-2</v>
      </c>
      <c r="F624" s="617" t="s">
        <v>37</v>
      </c>
      <c r="G624" s="783" t="s">
        <v>143</v>
      </c>
      <c r="H624" s="784" t="s">
        <v>144</v>
      </c>
      <c r="K624" s="118"/>
      <c r="L624" s="118"/>
      <c r="M624" s="118"/>
      <c r="N624" s="118"/>
      <c r="O624" s="118"/>
      <c r="P624" s="118"/>
      <c r="Q624" s="118"/>
      <c r="R624" s="118"/>
      <c r="S624" s="807" t="s">
        <v>169</v>
      </c>
      <c r="T624" s="903">
        <f>E963+E975+E987+E1000</f>
        <v>5618.0481999999611</v>
      </c>
      <c r="U624" s="901">
        <f>E1745+E1756</f>
        <v>-6512.4744000000355</v>
      </c>
      <c r="V624" s="904">
        <f t="shared" si="44"/>
        <v>5490.2752200000104</v>
      </c>
      <c r="W624" s="905"/>
      <c r="Y624" s="887" t="s">
        <v>169</v>
      </c>
      <c r="Z624" s="890">
        <f>D1000</f>
        <v>385384.14779999998</v>
      </c>
      <c r="AA624" s="888">
        <f t="shared" si="52"/>
        <v>1.4577787467572535E-2</v>
      </c>
      <c r="AB624" s="889" t="s">
        <v>169</v>
      </c>
      <c r="AC624" s="869">
        <f>D1756</f>
        <v>246467.48559999996</v>
      </c>
      <c r="AD624" s="893">
        <f t="shared" si="53"/>
        <v>-1.349043826980173E-2</v>
      </c>
      <c r="AE624" s="892" t="s">
        <v>169</v>
      </c>
      <c r="AF624" s="869">
        <f>D2304</f>
        <v>279150.39840000001</v>
      </c>
      <c r="AG624" s="906">
        <f t="shared" si="45"/>
        <v>1.9667803633698883E-2</v>
      </c>
      <c r="AH624" s="892" t="s">
        <v>169</v>
      </c>
      <c r="AI624" s="894">
        <f>D3094</f>
        <v>196114.54163000002</v>
      </c>
      <c r="AJ624" s="895">
        <f t="shared" si="48"/>
        <v>-1.6079823014600876E-2</v>
      </c>
      <c r="AK624" s="896">
        <f t="shared" si="50"/>
        <v>-3153.4871199999761</v>
      </c>
      <c r="AL624" s="892" t="s">
        <v>169</v>
      </c>
      <c r="AM624" s="894"/>
      <c r="AN624" s="2359">
        <f t="shared" si="49"/>
        <v>0</v>
      </c>
      <c r="AO624" s="896">
        <f t="shared" si="51"/>
        <v>0</v>
      </c>
      <c r="CK624" t="s">
        <v>158</v>
      </c>
    </row>
    <row r="625" spans="1:48" ht="18.5" x14ac:dyDescent="0.45">
      <c r="A625" s="879" t="s">
        <v>153</v>
      </c>
      <c r="B625" s="880">
        <v>250.63</v>
      </c>
      <c r="C625" s="902">
        <v>243.84</v>
      </c>
      <c r="D625" s="882">
        <f t="shared" ref="D625:D630" si="55">C625*B625</f>
        <v>61113.619200000001</v>
      </c>
      <c r="E625" s="921">
        <f t="shared" si="54"/>
        <v>5.0672182006204713E-2</v>
      </c>
      <c r="F625" s="793">
        <f t="shared" ref="F625:F630" si="56">D625/$D$572</f>
        <v>0.20451239079206537</v>
      </c>
      <c r="G625" s="794">
        <v>1.39</v>
      </c>
      <c r="H625" s="785" t="s">
        <v>145</v>
      </c>
      <c r="I625" s="518">
        <f>D625-D613</f>
        <v>3093.619200000001</v>
      </c>
      <c r="K625" s="118"/>
      <c r="L625" s="118"/>
      <c r="M625" s="118"/>
      <c r="N625" s="118"/>
      <c r="O625" s="118"/>
      <c r="P625" s="118"/>
      <c r="Q625" s="118"/>
      <c r="R625" s="118"/>
      <c r="S625" s="807" t="s">
        <v>170</v>
      </c>
      <c r="T625" s="922">
        <f>E1013+E1026+E1039+G1052</f>
        <v>-60693.250341034487</v>
      </c>
      <c r="U625" s="901">
        <f>AC625-AC624</f>
        <v>-2152.3555999999808</v>
      </c>
      <c r="V625" s="866">
        <f t="shared" si="44"/>
        <v>-22642.529840000003</v>
      </c>
      <c r="W625" s="886"/>
      <c r="Y625" s="887" t="s">
        <v>170</v>
      </c>
      <c r="Z625" s="869">
        <f>D1026</f>
        <v>342646.5356</v>
      </c>
      <c r="AA625" s="895">
        <f t="shared" si="52"/>
        <v>-0.12472798572197201</v>
      </c>
      <c r="AB625" s="889" t="s">
        <v>170</v>
      </c>
      <c r="AC625" s="869">
        <f>D1767</f>
        <v>244315.12999999998</v>
      </c>
      <c r="AD625" s="893">
        <f t="shared" si="53"/>
        <v>-8.8097515696223191E-3</v>
      </c>
      <c r="AE625" s="892" t="s">
        <v>170</v>
      </c>
      <c r="AF625" s="869">
        <f>D2363</f>
        <v>256507.86856</v>
      </c>
      <c r="AG625" s="893">
        <f t="shared" si="45"/>
        <v>-8.8272262239408331E-2</v>
      </c>
      <c r="AH625" s="892" t="s">
        <v>170</v>
      </c>
      <c r="AI625" s="894">
        <f>D3170</f>
        <v>183594.52366000001</v>
      </c>
      <c r="AJ625" s="895">
        <f t="shared" si="48"/>
        <v>-6.8193853064952667E-2</v>
      </c>
      <c r="AK625" s="896">
        <f t="shared" si="50"/>
        <v>-12520.017970000015</v>
      </c>
      <c r="AL625" s="892" t="s">
        <v>170</v>
      </c>
      <c r="AM625" s="894"/>
      <c r="AN625" s="2359">
        <f t="shared" si="49"/>
        <v>0</v>
      </c>
      <c r="AO625" s="896">
        <f t="shared" si="51"/>
        <v>0</v>
      </c>
    </row>
    <row r="626" spans="1:48" ht="18.5" x14ac:dyDescent="0.45">
      <c r="A626" s="859" t="s">
        <v>154</v>
      </c>
      <c r="B626" s="860">
        <v>200</v>
      </c>
      <c r="C626" s="897">
        <v>267.74</v>
      </c>
      <c r="D626" s="862">
        <f t="shared" si="55"/>
        <v>53548</v>
      </c>
      <c r="E626" s="923">
        <f t="shared" si="54"/>
        <v>0.16723341180573728</v>
      </c>
      <c r="F626" s="795">
        <f t="shared" si="56"/>
        <v>0.17919458290131043</v>
      </c>
      <c r="G626" s="796">
        <v>0.59</v>
      </c>
      <c r="H626" s="785" t="s">
        <v>145</v>
      </c>
      <c r="I626" s="523">
        <f>D626-D614</f>
        <v>7672</v>
      </c>
      <c r="K626" s="118"/>
      <c r="L626" s="118"/>
      <c r="M626" s="118"/>
      <c r="N626" s="118"/>
      <c r="O626" s="118"/>
      <c r="P626" s="118"/>
      <c r="Q626" s="118"/>
      <c r="R626" s="118"/>
      <c r="S626" s="807" t="s">
        <v>171</v>
      </c>
      <c r="T626" s="808">
        <f>E1065+E1078+E1094+E1110+E1126</f>
        <v>11634.842199999955</v>
      </c>
      <c r="U626" s="924">
        <f>AC626-AC625</f>
        <v>-5047.1299999999756</v>
      </c>
      <c r="V626" s="904">
        <f t="shared" si="44"/>
        <v>41225.535000000062</v>
      </c>
      <c r="W626" s="905"/>
      <c r="Y626" s="887" t="s">
        <v>171</v>
      </c>
      <c r="Z626" s="869">
        <f>D1126</f>
        <v>330338.61229999998</v>
      </c>
      <c r="AA626" s="895">
        <f t="shared" si="52"/>
        <v>-3.7258506398345201E-2</v>
      </c>
      <c r="AB626" s="889" t="s">
        <v>171</v>
      </c>
      <c r="AC626" s="869">
        <v>239268</v>
      </c>
      <c r="AD626" s="893">
        <f t="shared" si="53"/>
        <v>-2.1094045171105101E-2</v>
      </c>
      <c r="AE626" s="892" t="s">
        <v>171</v>
      </c>
      <c r="AF626" s="890">
        <f>D2377</f>
        <v>297733.40356000006</v>
      </c>
      <c r="AG626" s="906">
        <f t="shared" si="45"/>
        <v>0.13846459452337592</v>
      </c>
      <c r="AH626" s="892" t="s">
        <v>171</v>
      </c>
      <c r="AI626" s="894">
        <f>D3242</f>
        <v>193302.58834000002</v>
      </c>
      <c r="AJ626" s="919">
        <f t="shared" si="48"/>
        <v>5.0222114268457137E-2</v>
      </c>
      <c r="AK626" s="925">
        <f t="shared" si="50"/>
        <v>9708.0646800000104</v>
      </c>
      <c r="AL626" s="892" t="s">
        <v>171</v>
      </c>
      <c r="AM626" s="894"/>
      <c r="AN626" s="2359">
        <f t="shared" si="49"/>
        <v>0</v>
      </c>
      <c r="AO626" s="925">
        <f t="shared" si="51"/>
        <v>0</v>
      </c>
    </row>
    <row r="627" spans="1:48" ht="19" thickBot="1" x14ac:dyDescent="0.5">
      <c r="A627" s="879" t="s">
        <v>155</v>
      </c>
      <c r="B627" s="880">
        <v>250</v>
      </c>
      <c r="C627" s="902">
        <v>187.91</v>
      </c>
      <c r="D627" s="882">
        <f t="shared" si="55"/>
        <v>46977.5</v>
      </c>
      <c r="E627" s="921">
        <f t="shared" si="54"/>
        <v>0.13287514318442148</v>
      </c>
      <c r="F627" s="795">
        <f t="shared" si="56"/>
        <v>0.15720687081209961</v>
      </c>
      <c r="G627" s="794">
        <v>1.69</v>
      </c>
      <c r="H627" s="785" t="s">
        <v>146</v>
      </c>
      <c r="I627" s="399">
        <f>D627-D615</f>
        <v>5510</v>
      </c>
      <c r="K627" s="118"/>
      <c r="L627" s="118"/>
      <c r="M627" s="118"/>
      <c r="N627" s="118"/>
      <c r="O627" s="118"/>
      <c r="P627" s="118"/>
      <c r="Q627" s="118"/>
      <c r="R627" s="118"/>
      <c r="S627" s="807" t="s">
        <v>172</v>
      </c>
      <c r="T627" s="900">
        <f>E1142+E1158+E1174+E1190</f>
        <v>-37787.132269999944</v>
      </c>
      <c r="U627" s="926">
        <f>AC627-AC626</f>
        <v>-3652</v>
      </c>
      <c r="V627" s="866">
        <f t="shared" si="44"/>
        <v>-14389.603560000076</v>
      </c>
      <c r="W627" s="886"/>
      <c r="Y627" s="927" t="s">
        <v>172</v>
      </c>
      <c r="Z627" s="928">
        <f>D1190</f>
        <v>292551.48003000004</v>
      </c>
      <c r="AA627" s="895">
        <f t="shared" si="52"/>
        <v>-0.12916404410644244</v>
      </c>
      <c r="AB627" s="929" t="s">
        <v>172</v>
      </c>
      <c r="AC627" s="930">
        <v>235616</v>
      </c>
      <c r="AD627" s="931">
        <f t="shared" si="53"/>
        <v>-1.5499796278690751E-2</v>
      </c>
      <c r="AE627" s="932" t="s">
        <v>172</v>
      </c>
      <c r="AF627" s="933">
        <f>D2489</f>
        <v>283343.8</v>
      </c>
      <c r="AG627" s="893">
        <f t="shared" si="45"/>
        <v>-5.0784960037947101E-2</v>
      </c>
      <c r="AH627" s="932" t="s">
        <v>172</v>
      </c>
      <c r="AI627" s="894">
        <f>D3287</f>
        <v>170129.73901000002</v>
      </c>
      <c r="AJ627" s="895">
        <f t="shared" si="48"/>
        <v>-0.13620692928141109</v>
      </c>
      <c r="AK627" s="934">
        <f t="shared" si="50"/>
        <v>-23172.849329999997</v>
      </c>
      <c r="AL627" s="932" t="s">
        <v>172</v>
      </c>
      <c r="AM627" s="894"/>
      <c r="AN627" s="2359">
        <f t="shared" si="49"/>
        <v>0</v>
      </c>
      <c r="AO627" s="934">
        <f t="shared" si="51"/>
        <v>0</v>
      </c>
    </row>
    <row r="628" spans="1:48" ht="19" thickBot="1" x14ac:dyDescent="0.5">
      <c r="A628" s="859" t="s">
        <v>156</v>
      </c>
      <c r="B628" s="860">
        <v>250</v>
      </c>
      <c r="C628" s="861">
        <v>415.98</v>
      </c>
      <c r="D628" s="862">
        <f t="shared" si="55"/>
        <v>103995</v>
      </c>
      <c r="E628" s="923">
        <f t="shared" si="54"/>
        <v>5.8715736428189641E-2</v>
      </c>
      <c r="F628" s="795">
        <f t="shared" si="56"/>
        <v>0.3480118893109318</v>
      </c>
      <c r="G628" s="794">
        <v>0.87</v>
      </c>
      <c r="H628" s="785" t="s">
        <v>145</v>
      </c>
      <c r="I628" s="399">
        <f>D628-D616</f>
        <v>5767.5</v>
      </c>
      <c r="K628" s="118"/>
      <c r="L628" s="118"/>
      <c r="M628" s="118"/>
      <c r="N628" s="118"/>
      <c r="O628" s="118"/>
      <c r="P628" s="118"/>
      <c r="Q628" s="118"/>
      <c r="R628" s="118"/>
      <c r="S628" s="935" t="s">
        <v>62</v>
      </c>
      <c r="T628" s="936">
        <f>SUM(T616:T627)</f>
        <v>30820.438888965466</v>
      </c>
      <c r="U628" s="937">
        <f>SUM(U616:U627)</f>
        <v>-63253.020030000014</v>
      </c>
      <c r="V628" s="938">
        <f>SUM(V616:V627)</f>
        <v>47727.799999999988</v>
      </c>
      <c r="W628" s="939">
        <f>SUM(W616:W627)</f>
        <v>-84075.771249999991</v>
      </c>
      <c r="Y628" s="843"/>
      <c r="Z628" s="844" t="s">
        <v>160</v>
      </c>
      <c r="AA628" s="940">
        <f>SUM(AA617:AA627)</f>
        <v>-0.11268667095158771</v>
      </c>
      <c r="AB628" s="843"/>
      <c r="AC628" s="941" t="s">
        <v>160</v>
      </c>
      <c r="AD628" s="942">
        <f>SUM(AD617:AD627)</f>
        <v>-0.29831444314399785</v>
      </c>
      <c r="AE628" s="843"/>
      <c r="AF628" s="943" t="s">
        <v>160</v>
      </c>
      <c r="AG628" s="944">
        <f>SUM(AG616:AG627)</f>
        <v>0.12722641763837453</v>
      </c>
      <c r="AH628" s="843"/>
      <c r="AI628" s="945" t="s">
        <v>160</v>
      </c>
      <c r="AJ628" s="946">
        <f>SUM(AJ616:AJ627)</f>
        <v>-0.58528253048404455</v>
      </c>
      <c r="AK628" s="947">
        <f>SUM(AK616:AK627)</f>
        <v>-113214.06098999997</v>
      </c>
      <c r="AL628" s="843"/>
      <c r="AM628" s="945" t="s">
        <v>160</v>
      </c>
      <c r="AN628" s="2362" t="e">
        <f>SUM(AN616:AN627)</f>
        <v>#REF!</v>
      </c>
      <c r="AO628" s="947" t="e">
        <f>SUM(AO616:AO627)</f>
        <v>#REF!</v>
      </c>
    </row>
    <row r="629" spans="1:48" ht="16" thickBot="1" x14ac:dyDescent="0.4">
      <c r="A629" s="879" t="s">
        <v>157</v>
      </c>
      <c r="B629" s="880">
        <v>200</v>
      </c>
      <c r="C629" s="881">
        <v>239.36</v>
      </c>
      <c r="D629" s="882">
        <f t="shared" si="55"/>
        <v>47872</v>
      </c>
      <c r="E629" s="921">
        <f t="shared" si="54"/>
        <v>2.9771123730855342E-2</v>
      </c>
      <c r="F629" s="795">
        <f t="shared" si="56"/>
        <v>0.16020025159952814</v>
      </c>
      <c r="G629" s="794">
        <v>1.81</v>
      </c>
      <c r="H629" s="785" t="s">
        <v>149</v>
      </c>
      <c r="I629" s="786">
        <f>D629-D617</f>
        <v>1384</v>
      </c>
      <c r="K629" s="118"/>
      <c r="L629" s="118"/>
      <c r="M629" s="118"/>
      <c r="N629" s="118"/>
      <c r="O629" s="118"/>
      <c r="P629" s="118"/>
      <c r="Q629" s="118"/>
      <c r="R629" s="118"/>
      <c r="AG629" s="234"/>
    </row>
    <row r="630" spans="1:48" ht="16" thickBot="1" x14ac:dyDescent="0.4">
      <c r="A630" s="859" t="s">
        <v>7</v>
      </c>
      <c r="B630" s="860">
        <v>87.63</v>
      </c>
      <c r="C630" s="897">
        <v>19.440000000000001</v>
      </c>
      <c r="D630" s="862">
        <f t="shared" si="55"/>
        <v>1703.5272</v>
      </c>
      <c r="E630" s="923"/>
      <c r="F630" s="665">
        <f t="shared" si="56"/>
        <v>5.7007329137416379E-3</v>
      </c>
      <c r="G630" s="797">
        <f>AVERAGE(G625:G629)</f>
        <v>1.27</v>
      </c>
      <c r="H630" s="948"/>
      <c r="I630" s="786">
        <f>SUM(I625:I629)</f>
        <v>23427.119200000001</v>
      </c>
      <c r="K630" s="118"/>
      <c r="L630" s="118"/>
      <c r="M630" s="118"/>
      <c r="N630" s="118"/>
      <c r="O630" s="118"/>
      <c r="P630" s="118"/>
      <c r="Q630" s="118"/>
      <c r="R630" s="118"/>
      <c r="S630" s="3205">
        <v>2015</v>
      </c>
      <c r="T630" s="3206"/>
      <c r="U630" s="3205">
        <v>2016</v>
      </c>
      <c r="V630" s="3206"/>
      <c r="W630" s="3207">
        <v>2017</v>
      </c>
      <c r="X630" s="3207"/>
      <c r="Y630" s="3205">
        <v>2018</v>
      </c>
      <c r="Z630" s="3206"/>
      <c r="AA630" s="2992">
        <v>2019</v>
      </c>
      <c r="AB630" s="2992"/>
      <c r="AC630" s="2991">
        <v>2020</v>
      </c>
      <c r="AD630" s="3208"/>
      <c r="AE630" s="2991">
        <v>2021</v>
      </c>
      <c r="AF630" s="2992"/>
      <c r="AG630" s="2991">
        <v>2022</v>
      </c>
      <c r="AH630" s="2992"/>
      <c r="AI630" s="949" t="s">
        <v>180</v>
      </c>
      <c r="AJ630" s="950">
        <f>T631*+(1+AJ631)</f>
        <v>208841.99999999997</v>
      </c>
      <c r="AK630" s="2989" t="s">
        <v>181</v>
      </c>
      <c r="AL630" s="2990"/>
      <c r="AM630" s="2989" t="s">
        <v>182</v>
      </c>
      <c r="AN630" s="2990"/>
      <c r="AO630" s="2989" t="s">
        <v>183</v>
      </c>
      <c r="AP630" s="2990"/>
      <c r="AQ630" s="2989" t="s">
        <v>184</v>
      </c>
      <c r="AR630" s="3203"/>
      <c r="AS630" s="2989" t="s">
        <v>185</v>
      </c>
      <c r="AT630" s="2990"/>
      <c r="AU630" s="2989" t="s">
        <v>739</v>
      </c>
      <c r="AV630" s="2990"/>
    </row>
    <row r="631" spans="1:48" ht="19" thickBot="1" x14ac:dyDescent="0.5">
      <c r="A631" s="879" t="s">
        <v>60</v>
      </c>
      <c r="B631" s="880"/>
      <c r="C631" s="902"/>
      <c r="D631" s="882">
        <v>6745.65</v>
      </c>
      <c r="E631" s="921"/>
      <c r="F631" s="665"/>
      <c r="K631" s="118"/>
      <c r="L631" s="118"/>
      <c r="M631" s="118"/>
      <c r="N631" s="118"/>
      <c r="O631" s="118"/>
      <c r="P631" s="118"/>
      <c r="Q631" s="118"/>
      <c r="R631" s="118"/>
      <c r="S631" s="951" t="s">
        <v>162</v>
      </c>
      <c r="T631" s="952">
        <v>198006</v>
      </c>
      <c r="U631" s="951" t="s">
        <v>162</v>
      </c>
      <c r="V631" s="952">
        <v>208842</v>
      </c>
      <c r="W631" s="953" t="s">
        <v>162</v>
      </c>
      <c r="X631" s="954">
        <v>219309</v>
      </c>
      <c r="Y631" s="951" t="s">
        <v>162</v>
      </c>
      <c r="Z631" s="952">
        <f>D596</f>
        <v>317703.15410000004</v>
      </c>
      <c r="AA631" s="955" t="s">
        <v>162</v>
      </c>
      <c r="AB631" s="956">
        <f>D1254</f>
        <v>313874.89989999996</v>
      </c>
      <c r="AC631" s="957" t="s">
        <v>162</v>
      </c>
      <c r="AD631" s="952">
        <f>AF616</f>
        <v>230284</v>
      </c>
      <c r="AE631" s="958" t="s">
        <v>162</v>
      </c>
      <c r="AF631" s="959">
        <f>AI616</f>
        <v>339133.21524000005</v>
      </c>
      <c r="AG631" s="958" t="s">
        <v>162</v>
      </c>
      <c r="AH631" s="969">
        <f>AM616</f>
        <v>180513.65174999999</v>
      </c>
      <c r="AI631" s="960">
        <f t="shared" ref="AI631:AI642" si="57">V631-T631</f>
        <v>10836</v>
      </c>
      <c r="AJ631" s="961">
        <f t="shared" ref="AJ631:AJ642" si="58">(V631-T631)/T631</f>
        <v>5.472561437532196E-2</v>
      </c>
      <c r="AK631" s="962">
        <f t="shared" ref="AK631:AK642" si="59">X631-V631</f>
        <v>10467</v>
      </c>
      <c r="AL631" s="961">
        <f t="shared" ref="AL631:AL642" si="60">(X631-V631)/V631</f>
        <v>5.0119228890740365E-2</v>
      </c>
      <c r="AM631" s="963">
        <f t="shared" ref="AM631:AM642" si="61">Z631-X631</f>
        <v>98394.154100000043</v>
      </c>
      <c r="AN631" s="961">
        <f t="shared" ref="AN631:AN642" si="62">(Z631-X631)/X631</f>
        <v>0.44865534063809531</v>
      </c>
      <c r="AO631" s="964">
        <f t="shared" ref="AO631:AO642" si="63">AB631-Z631</f>
        <v>-3828.2542000000831</v>
      </c>
      <c r="AP631" s="965">
        <f t="shared" ref="AP631:AP642" si="64">(AB631-Z631)/Z631</f>
        <v>-1.2049783423916226E-2</v>
      </c>
      <c r="AQ631" s="964">
        <f t="shared" ref="AQ631:AQ642" si="65">AD631-AB631</f>
        <v>-83590.89989999996</v>
      </c>
      <c r="AR631" s="965">
        <f t="shared" ref="AR631:AR642" si="66">(AD631-AB631)/AB631</f>
        <v>-0.26631916068035988</v>
      </c>
      <c r="AS631" s="966">
        <f t="shared" ref="AS631:AS642" si="67">AF631-AD631</f>
        <v>108849.21524000005</v>
      </c>
      <c r="AT631" s="961">
        <f t="shared" ref="AT631:AT642" si="68">(AF631-AD631)/AD631</f>
        <v>0.47267380816730664</v>
      </c>
      <c r="AU631" s="966">
        <f t="shared" ref="AU631:AU642" si="69">AJ631-AF631</f>
        <v>-339133.16051438567</v>
      </c>
      <c r="AV631" s="961">
        <f t="shared" ref="AV631:AV642" si="70">(AJ631-AF631)/AF631</f>
        <v>-0.99999983863092168</v>
      </c>
    </row>
    <row r="632" spans="1:48" ht="19" thickBot="1" x14ac:dyDescent="0.5">
      <c r="A632" s="726" t="s">
        <v>62</v>
      </c>
      <c r="B632" s="583"/>
      <c r="C632" s="584"/>
      <c r="D632" s="585">
        <f>SUM(D625:D631)</f>
        <v>321955.29640000005</v>
      </c>
      <c r="E632" s="780">
        <f>D632-D620</f>
        <v>23473.756400000013</v>
      </c>
      <c r="F632" s="792">
        <f>(D632-D620)/D620</f>
        <v>7.8643913456088468E-2</v>
      </c>
      <c r="G632" s="574"/>
      <c r="H632" s="727"/>
      <c r="I632" s="148"/>
      <c r="K632" s="118"/>
      <c r="L632" s="118"/>
      <c r="M632" s="118"/>
      <c r="N632" s="118"/>
      <c r="O632" s="118"/>
      <c r="P632" s="118"/>
      <c r="Q632" s="118"/>
      <c r="R632" s="118"/>
      <c r="S632" s="951" t="s">
        <v>163</v>
      </c>
      <c r="T632" s="952">
        <v>191666</v>
      </c>
      <c r="U632" s="951" t="s">
        <v>163</v>
      </c>
      <c r="V632" s="967">
        <v>196551</v>
      </c>
      <c r="W632" s="953" t="s">
        <v>163</v>
      </c>
      <c r="X632" s="956">
        <v>225574</v>
      </c>
      <c r="Y632" s="951" t="s">
        <v>163</v>
      </c>
      <c r="Z632" s="952">
        <f>D644</f>
        <v>327352.83590000006</v>
      </c>
      <c r="AA632" s="955" t="s">
        <v>163</v>
      </c>
      <c r="AB632" s="968">
        <f>D1314</f>
        <v>320344.99310000002</v>
      </c>
      <c r="AC632" s="957" t="s">
        <v>163</v>
      </c>
      <c r="AD632" s="952">
        <f>AF617</f>
        <v>217368</v>
      </c>
      <c r="AE632" s="958" t="s">
        <v>163</v>
      </c>
      <c r="AF632" s="969">
        <f>AI617</f>
        <v>323760.53999999998</v>
      </c>
      <c r="AG632" s="958" t="s">
        <v>163</v>
      </c>
      <c r="AH632" s="969" t="e">
        <f>AM617</f>
        <v>#REF!</v>
      </c>
      <c r="AI632" s="970">
        <f t="shared" si="57"/>
        <v>4885</v>
      </c>
      <c r="AJ632" s="971">
        <f t="shared" si="58"/>
        <v>2.5487045172331035E-2</v>
      </c>
      <c r="AK632" s="972">
        <f t="shared" si="59"/>
        <v>29023</v>
      </c>
      <c r="AL632" s="971">
        <f t="shared" si="60"/>
        <v>0.14766142120874481</v>
      </c>
      <c r="AM632" s="973">
        <f t="shared" si="61"/>
        <v>101778.83590000006</v>
      </c>
      <c r="AN632" s="971">
        <f t="shared" si="62"/>
        <v>0.45119932217365505</v>
      </c>
      <c r="AO632" s="974">
        <f t="shared" si="63"/>
        <v>-7007.8428000000422</v>
      </c>
      <c r="AP632" s="975">
        <f t="shared" si="64"/>
        <v>-2.1407612922408902E-2</v>
      </c>
      <c r="AQ632" s="974">
        <f t="shared" si="65"/>
        <v>-102976.99310000002</v>
      </c>
      <c r="AR632" s="975">
        <f t="shared" si="66"/>
        <v>-0.32145654003667967</v>
      </c>
      <c r="AS632" s="976">
        <f t="shared" si="67"/>
        <v>106392.53999999998</v>
      </c>
      <c r="AT632" s="971">
        <f t="shared" si="68"/>
        <v>0.48945815391409947</v>
      </c>
      <c r="AU632" s="976">
        <f t="shared" si="69"/>
        <v>-323760.5145129548</v>
      </c>
      <c r="AV632" s="971">
        <f t="shared" si="70"/>
        <v>-0.999999921278099</v>
      </c>
    </row>
    <row r="633" spans="1:48" ht="19" thickBot="1" x14ac:dyDescent="0.5">
      <c r="K633" s="118"/>
      <c r="L633" s="118"/>
      <c r="M633" s="118"/>
      <c r="N633" s="118"/>
      <c r="O633" s="118"/>
      <c r="P633" s="118"/>
      <c r="Q633" s="118"/>
      <c r="R633" s="118"/>
      <c r="S633" s="951" t="s">
        <v>178</v>
      </c>
      <c r="T633" s="967">
        <v>187485</v>
      </c>
      <c r="U633" s="951" t="s">
        <v>178</v>
      </c>
      <c r="V633" s="952">
        <v>209551</v>
      </c>
      <c r="W633" s="953" t="s">
        <v>178</v>
      </c>
      <c r="X633" s="956">
        <v>233480</v>
      </c>
      <c r="Y633" s="951" t="s">
        <v>178</v>
      </c>
      <c r="Z633" s="952">
        <f>D704</f>
        <v>308367.42209999997</v>
      </c>
      <c r="AA633" s="955" t="s">
        <v>178</v>
      </c>
      <c r="AB633" s="956">
        <f>D1389</f>
        <v>308314.47040000005</v>
      </c>
      <c r="AC633" s="957" t="s">
        <v>178</v>
      </c>
      <c r="AD633" s="967">
        <v>187099.23985999997</v>
      </c>
      <c r="AE633" s="958" t="s">
        <v>178</v>
      </c>
      <c r="AF633" s="969">
        <f>AI618</f>
        <v>258259.13039999999</v>
      </c>
      <c r="AG633" s="2360" t="s">
        <v>178</v>
      </c>
      <c r="AH633" s="969"/>
      <c r="AI633" s="970">
        <f t="shared" si="57"/>
        <v>22066</v>
      </c>
      <c r="AJ633" s="971">
        <f t="shared" si="58"/>
        <v>0.1176947489132464</v>
      </c>
      <c r="AK633" s="972">
        <f t="shared" si="59"/>
        <v>23929</v>
      </c>
      <c r="AL633" s="971">
        <f t="shared" si="60"/>
        <v>0.11419177193141526</v>
      </c>
      <c r="AM633" s="973">
        <f t="shared" si="61"/>
        <v>74887.422099999967</v>
      </c>
      <c r="AN633" s="971">
        <f t="shared" si="62"/>
        <v>0.32074448389583676</v>
      </c>
      <c r="AO633" s="974">
        <f t="shared" si="63"/>
        <v>-52.951699999917764</v>
      </c>
      <c r="AP633" s="975">
        <f t="shared" si="64"/>
        <v>-1.7171625860901138E-4</v>
      </c>
      <c r="AQ633" s="974">
        <f t="shared" si="65"/>
        <v>-121215.23054000008</v>
      </c>
      <c r="AR633" s="975">
        <f t="shared" si="66"/>
        <v>-0.39315452947355423</v>
      </c>
      <c r="AS633" s="976">
        <f t="shared" si="67"/>
        <v>71159.890540000022</v>
      </c>
      <c r="AT633" s="971">
        <f t="shared" si="68"/>
        <v>0.38033233375638809</v>
      </c>
      <c r="AU633" s="976">
        <f t="shared" si="69"/>
        <v>-258259.01270525108</v>
      </c>
      <c r="AV633" s="971">
        <f t="shared" si="70"/>
        <v>-0.99999954427652282</v>
      </c>
    </row>
    <row r="634" spans="1:48" ht="19" thickBot="1" x14ac:dyDescent="0.5">
      <c r="A634" s="701" t="s">
        <v>25</v>
      </c>
      <c r="B634" s="702" t="s">
        <v>26</v>
      </c>
      <c r="C634" s="703" t="s">
        <v>27</v>
      </c>
      <c r="D634" s="704">
        <f>D622+7</f>
        <v>43154</v>
      </c>
      <c r="E634" s="705" t="s">
        <v>28</v>
      </c>
      <c r="F634" s="511" t="s">
        <v>101</v>
      </c>
      <c r="G634" s="252">
        <v>17555</v>
      </c>
      <c r="H634" s="253">
        <f>(C635-G634)/G634</f>
        <v>0.44169752207348334</v>
      </c>
      <c r="K634" s="118"/>
      <c r="L634" s="118"/>
      <c r="M634" s="118"/>
      <c r="N634" s="118"/>
      <c r="O634" s="118"/>
      <c r="P634" s="118"/>
      <c r="Q634" s="118"/>
      <c r="R634" s="118"/>
      <c r="S634" s="951" t="s">
        <v>179</v>
      </c>
      <c r="T634" s="952">
        <v>188032</v>
      </c>
      <c r="U634" s="951" t="s">
        <v>179</v>
      </c>
      <c r="V634" s="952">
        <v>213007</v>
      </c>
      <c r="W634" s="953" t="s">
        <v>179</v>
      </c>
      <c r="X634" s="956">
        <v>241009</v>
      </c>
      <c r="Y634" s="951" t="s">
        <v>179</v>
      </c>
      <c r="Z634" s="977">
        <f>D716</f>
        <v>294119.28750000009</v>
      </c>
      <c r="AA634" s="955" t="s">
        <v>179</v>
      </c>
      <c r="AB634" s="956">
        <f t="shared" ref="AB634:AB639" si="71">AC619</f>
        <v>299785.87</v>
      </c>
      <c r="AC634" s="957" t="s">
        <v>179</v>
      </c>
      <c r="AD634" s="952">
        <f>AF619</f>
        <v>209828.89983000004</v>
      </c>
      <c r="AE634" s="958" t="s">
        <v>179</v>
      </c>
      <c r="AF634" s="969">
        <f>AI619</f>
        <v>243860.54095000002</v>
      </c>
      <c r="AG634" s="2360" t="s">
        <v>179</v>
      </c>
      <c r="AH634" s="969"/>
      <c r="AI634" s="970">
        <f t="shared" si="57"/>
        <v>24975</v>
      </c>
      <c r="AJ634" s="971">
        <f t="shared" si="58"/>
        <v>0.1328231364874064</v>
      </c>
      <c r="AK634" s="972">
        <f t="shared" si="59"/>
        <v>28002</v>
      </c>
      <c r="AL634" s="971">
        <f t="shared" si="60"/>
        <v>0.13146046843530965</v>
      </c>
      <c r="AM634" s="973">
        <f t="shared" si="61"/>
        <v>53110.287500000093</v>
      </c>
      <c r="AN634" s="971">
        <f t="shared" si="62"/>
        <v>0.22036640747855929</v>
      </c>
      <c r="AO634" s="978">
        <f t="shared" si="63"/>
        <v>5666.5824999999022</v>
      </c>
      <c r="AP634" s="971">
        <f t="shared" si="64"/>
        <v>1.9266273042361767E-2</v>
      </c>
      <c r="AQ634" s="974">
        <f t="shared" si="65"/>
        <v>-89956.970169999957</v>
      </c>
      <c r="AR634" s="975">
        <f t="shared" si="66"/>
        <v>-0.30007074773070513</v>
      </c>
      <c r="AS634" s="976">
        <f t="shared" si="67"/>
        <v>34031.641119999986</v>
      </c>
      <c r="AT634" s="971">
        <f t="shared" si="68"/>
        <v>0.16218757829627792</v>
      </c>
      <c r="AU634" s="976">
        <f t="shared" si="69"/>
        <v>-243860.40812686353</v>
      </c>
      <c r="AV634" s="971">
        <f t="shared" si="70"/>
        <v>-0.99999945533157608</v>
      </c>
    </row>
    <row r="635" spans="1:48" ht="19" thickBot="1" x14ac:dyDescent="0.5">
      <c r="A635" s="706" t="s">
        <v>32</v>
      </c>
      <c r="B635" s="255" t="str">
        <f ca="1">TEXT(TODAY(),"ddd")</f>
        <v>Sun</v>
      </c>
      <c r="C635" s="256">
        <v>25309</v>
      </c>
      <c r="D635" s="322">
        <f>C635-C623</f>
        <v>90</v>
      </c>
      <c r="E635" s="707"/>
      <c r="F635" s="708"/>
      <c r="G635" s="801">
        <v>4766</v>
      </c>
      <c r="H635" s="685">
        <f>(C636-G635)/G635</f>
        <v>0.53944607637431807</v>
      </c>
      <c r="K635" s="118"/>
      <c r="L635" s="118"/>
      <c r="M635" s="118"/>
      <c r="N635" s="118"/>
      <c r="O635" s="118"/>
      <c r="P635" s="118"/>
      <c r="Q635" s="118"/>
      <c r="R635" s="118"/>
      <c r="S635" s="951" t="s">
        <v>87</v>
      </c>
      <c r="T635" s="952">
        <v>193090</v>
      </c>
      <c r="U635" s="951" t="s">
        <v>87</v>
      </c>
      <c r="V635" s="952">
        <v>222857</v>
      </c>
      <c r="W635" s="953" t="s">
        <v>87</v>
      </c>
      <c r="X635" s="956">
        <v>262786.8</v>
      </c>
      <c r="Y635" s="951" t="s">
        <v>87</v>
      </c>
      <c r="Z635" s="952">
        <f>D799</f>
        <v>354665.56192999997</v>
      </c>
      <c r="AA635" s="955" t="s">
        <v>87</v>
      </c>
      <c r="AB635" s="956">
        <f t="shared" si="71"/>
        <v>280366.94999999995</v>
      </c>
      <c r="AC635" s="957" t="s">
        <v>87</v>
      </c>
      <c r="AD635" s="952">
        <f>D2074</f>
        <v>235142.84412000002</v>
      </c>
      <c r="AE635" s="958" t="s">
        <v>87</v>
      </c>
      <c r="AF635" s="969">
        <f t="shared" ref="AF635:AF640" si="72">AI620</f>
        <v>205732.91999999998</v>
      </c>
      <c r="AG635" s="2360" t="s">
        <v>87</v>
      </c>
      <c r="AH635" s="969"/>
      <c r="AI635" s="970">
        <f t="shared" si="57"/>
        <v>29767</v>
      </c>
      <c r="AJ635" s="971">
        <f t="shared" si="58"/>
        <v>0.15416127194572479</v>
      </c>
      <c r="AK635" s="972">
        <f t="shared" si="59"/>
        <v>39929.799999999988</v>
      </c>
      <c r="AL635" s="971">
        <f t="shared" si="60"/>
        <v>0.17917229434121426</v>
      </c>
      <c r="AM635" s="973">
        <f t="shared" si="61"/>
        <v>91878.761929999979</v>
      </c>
      <c r="AN635" s="971">
        <f t="shared" si="62"/>
        <v>0.34963233286451217</v>
      </c>
      <c r="AO635" s="974">
        <f t="shared" si="63"/>
        <v>-74298.611930000014</v>
      </c>
      <c r="AP635" s="975">
        <f t="shared" si="64"/>
        <v>-0.20948922000119161</v>
      </c>
      <c r="AQ635" s="974">
        <f t="shared" si="65"/>
        <v>-45224.10587999993</v>
      </c>
      <c r="AR635" s="975">
        <f t="shared" si="66"/>
        <v>-0.16130327016076587</v>
      </c>
      <c r="AS635" s="979">
        <f t="shared" si="67"/>
        <v>-29409.92412000004</v>
      </c>
      <c r="AT635" s="975">
        <f t="shared" si="68"/>
        <v>-0.12507258823913572</v>
      </c>
      <c r="AU635" s="979">
        <f t="shared" si="69"/>
        <v>-205732.76583872802</v>
      </c>
      <c r="AV635" s="975">
        <f t="shared" si="70"/>
        <v>-0.99999925067280448</v>
      </c>
    </row>
    <row r="636" spans="1:48" ht="19" thickBot="1" x14ac:dyDescent="0.5">
      <c r="A636" s="709" t="s">
        <v>36</v>
      </c>
      <c r="B636" s="263"/>
      <c r="C636" s="419">
        <v>7337</v>
      </c>
      <c r="D636" s="223">
        <f>C636-C624</f>
        <v>98</v>
      </c>
      <c r="E636" s="420">
        <f t="shared" ref="E636:E641" si="73">(C636-C624)/C624</f>
        <v>1.3537781461527836E-2</v>
      </c>
      <c r="F636" s="617" t="s">
        <v>37</v>
      </c>
      <c r="G636" s="783" t="s">
        <v>143</v>
      </c>
      <c r="H636" s="784" t="s">
        <v>144</v>
      </c>
      <c r="K636" s="118"/>
      <c r="L636" s="118"/>
      <c r="M636" s="118"/>
      <c r="N636" s="118"/>
      <c r="O636" s="118"/>
      <c r="P636" s="118"/>
      <c r="Q636" s="118"/>
      <c r="R636" s="118"/>
      <c r="S636" s="951" t="s">
        <v>166</v>
      </c>
      <c r="T636" s="980">
        <v>197758</v>
      </c>
      <c r="U636" s="951" t="s">
        <v>166</v>
      </c>
      <c r="V636" s="952">
        <v>216784</v>
      </c>
      <c r="W636" s="953" t="s">
        <v>166</v>
      </c>
      <c r="X636" s="956">
        <v>251063.23</v>
      </c>
      <c r="Y636" s="951" t="s">
        <v>166</v>
      </c>
      <c r="Z636" s="952">
        <f>D857</f>
        <v>363204.53245</v>
      </c>
      <c r="AA636" s="955" t="s">
        <v>166</v>
      </c>
      <c r="AB636" s="956">
        <f t="shared" si="71"/>
        <v>287586.29000000004</v>
      </c>
      <c r="AC636" s="957" t="s">
        <v>166</v>
      </c>
      <c r="AD636" s="952">
        <f>D2121</f>
        <v>242528.14056</v>
      </c>
      <c r="AE636" s="958" t="s">
        <v>166</v>
      </c>
      <c r="AF636" s="969">
        <f t="shared" si="72"/>
        <v>193727.66999999998</v>
      </c>
      <c r="AG636" s="2360" t="s">
        <v>166</v>
      </c>
      <c r="AH636" s="969"/>
      <c r="AI636" s="970">
        <f t="shared" si="57"/>
        <v>19026</v>
      </c>
      <c r="AJ636" s="971">
        <f t="shared" si="58"/>
        <v>9.6208497254219802E-2</v>
      </c>
      <c r="AK636" s="972">
        <f t="shared" si="59"/>
        <v>34279.23000000001</v>
      </c>
      <c r="AL636" s="971">
        <f t="shared" si="60"/>
        <v>0.15812619935050562</v>
      </c>
      <c r="AM636" s="973">
        <f t="shared" si="61"/>
        <v>112141.30244999999</v>
      </c>
      <c r="AN636" s="971">
        <f t="shared" si="62"/>
        <v>0.44666557683496699</v>
      </c>
      <c r="AO636" s="974">
        <f t="shared" si="63"/>
        <v>-75618.242449999962</v>
      </c>
      <c r="AP636" s="975">
        <f t="shared" si="64"/>
        <v>-0.20819740860587921</v>
      </c>
      <c r="AQ636" s="974">
        <f t="shared" si="65"/>
        <v>-45058.149440000037</v>
      </c>
      <c r="AR636" s="975">
        <f t="shared" si="66"/>
        <v>-0.15667697316169013</v>
      </c>
      <c r="AS636" s="979">
        <f t="shared" si="67"/>
        <v>-48800.470560000016</v>
      </c>
      <c r="AT636" s="975">
        <f t="shared" si="68"/>
        <v>-0.20121570407177997</v>
      </c>
      <c r="AU636" s="979">
        <f t="shared" si="69"/>
        <v>-193727.57379150274</v>
      </c>
      <c r="AV636" s="975">
        <f t="shared" si="70"/>
        <v>-0.99999950338277832</v>
      </c>
    </row>
    <row r="637" spans="1:48" ht="18.5" x14ac:dyDescent="0.45">
      <c r="A637" s="879" t="s">
        <v>186</v>
      </c>
      <c r="B637" s="880">
        <v>250.63</v>
      </c>
      <c r="C637" s="902">
        <v>245.93</v>
      </c>
      <c r="D637" s="882">
        <f>C637*B637</f>
        <v>61637.435900000004</v>
      </c>
      <c r="E637" s="921">
        <f t="shared" si="73"/>
        <v>8.5711942257217979E-3</v>
      </c>
      <c r="F637" s="793">
        <f t="shared" ref="F637:F642" si="74">D637/$D$572</f>
        <v>0.20626530621511088</v>
      </c>
      <c r="G637" s="794">
        <v>1.39</v>
      </c>
      <c r="H637" s="785" t="s">
        <v>145</v>
      </c>
      <c r="I637" s="518">
        <f>D637-D625</f>
        <v>523.81670000000304</v>
      </c>
      <c r="K637" s="118"/>
      <c r="L637" s="118"/>
      <c r="M637" s="118"/>
      <c r="N637" s="118"/>
      <c r="O637" s="118"/>
      <c r="P637" s="118"/>
      <c r="Q637" s="118"/>
      <c r="R637" s="118"/>
      <c r="S637" s="951" t="s">
        <v>167</v>
      </c>
      <c r="T637" s="952">
        <v>227852</v>
      </c>
      <c r="U637" s="951" t="s">
        <v>167</v>
      </c>
      <c r="V637" s="952">
        <v>234456</v>
      </c>
      <c r="W637" s="953" t="s">
        <v>167</v>
      </c>
      <c r="X637" s="956">
        <v>260458.6</v>
      </c>
      <c r="Y637" s="951" t="s">
        <v>167</v>
      </c>
      <c r="Z637" s="952">
        <f>D903</f>
        <v>351593.66199999995</v>
      </c>
      <c r="AA637" s="956" t="s">
        <v>167</v>
      </c>
      <c r="AB637" s="956">
        <f t="shared" si="71"/>
        <v>279893.83999999997</v>
      </c>
      <c r="AC637" s="957" t="s">
        <v>167</v>
      </c>
      <c r="AD637" s="952">
        <f t="shared" ref="AD637:AD642" si="75">AF622</f>
        <v>231104.65438000002</v>
      </c>
      <c r="AE637" s="958" t="s">
        <v>167</v>
      </c>
      <c r="AF637" s="969">
        <f t="shared" si="72"/>
        <v>194702.59</v>
      </c>
      <c r="AG637" s="2360" t="s">
        <v>167</v>
      </c>
      <c r="AH637" s="969"/>
      <c r="AI637" s="970">
        <f t="shared" si="57"/>
        <v>6604</v>
      </c>
      <c r="AJ637" s="971">
        <f t="shared" si="58"/>
        <v>2.8983726278461457E-2</v>
      </c>
      <c r="AK637" s="972">
        <f t="shared" si="59"/>
        <v>26002.600000000006</v>
      </c>
      <c r="AL637" s="971">
        <f t="shared" si="60"/>
        <v>0.11090609751936401</v>
      </c>
      <c r="AM637" s="973">
        <f t="shared" si="61"/>
        <v>91135.061999999947</v>
      </c>
      <c r="AN637" s="971">
        <f t="shared" si="62"/>
        <v>0.34990229541278323</v>
      </c>
      <c r="AO637" s="886">
        <f t="shared" si="63"/>
        <v>-71699.821999999986</v>
      </c>
      <c r="AP637" s="975">
        <f t="shared" si="64"/>
        <v>-0.20392808446018004</v>
      </c>
      <c r="AQ637" s="886">
        <f t="shared" si="65"/>
        <v>-48789.185619999946</v>
      </c>
      <c r="AR637" s="975">
        <f t="shared" si="66"/>
        <v>-0.17431318109751881</v>
      </c>
      <c r="AS637" s="979">
        <f t="shared" si="67"/>
        <v>-36402.064380000025</v>
      </c>
      <c r="AT637" s="975">
        <f t="shared" si="68"/>
        <v>-0.15751333298612391</v>
      </c>
      <c r="AU637" s="979">
        <f t="shared" si="69"/>
        <v>-194702.56101627371</v>
      </c>
      <c r="AV637" s="975">
        <f t="shared" si="70"/>
        <v>-0.99999985113846568</v>
      </c>
    </row>
    <row r="638" spans="1:48" ht="18.5" x14ac:dyDescent="0.45">
      <c r="A638" s="859" t="s">
        <v>187</v>
      </c>
      <c r="B638" s="860">
        <v>200</v>
      </c>
      <c r="C638" s="897">
        <v>268.45</v>
      </c>
      <c r="D638" s="862">
        <f>C638*B638</f>
        <v>53690</v>
      </c>
      <c r="E638" s="923">
        <f t="shared" si="73"/>
        <v>2.6518263987449745E-3</v>
      </c>
      <c r="F638" s="795">
        <f t="shared" si="74"/>
        <v>0.17966977582676022</v>
      </c>
      <c r="G638" s="796">
        <v>0.59</v>
      </c>
      <c r="H638" s="785" t="s">
        <v>145</v>
      </c>
      <c r="I638" s="523">
        <f>D638-D626</f>
        <v>142</v>
      </c>
      <c r="K638" s="118"/>
      <c r="L638" s="118"/>
      <c r="M638" s="118"/>
      <c r="N638" s="118"/>
      <c r="O638" s="118"/>
      <c r="P638" s="118"/>
      <c r="Q638" s="118"/>
      <c r="R638" s="118"/>
      <c r="S638" s="951" t="s">
        <v>168</v>
      </c>
      <c r="T638" s="952">
        <v>211060</v>
      </c>
      <c r="U638" s="951" t="s">
        <v>168</v>
      </c>
      <c r="V638" s="952">
        <v>230751</v>
      </c>
      <c r="W638" s="953" t="s">
        <v>168</v>
      </c>
      <c r="X638" s="956">
        <v>254000</v>
      </c>
      <c r="Y638" s="951" t="s">
        <v>168</v>
      </c>
      <c r="Z638" s="952">
        <f>D951</f>
        <v>379766.09960000002</v>
      </c>
      <c r="AA638" s="956" t="s">
        <v>168</v>
      </c>
      <c r="AB638" s="956">
        <f t="shared" si="71"/>
        <v>249792.44</v>
      </c>
      <c r="AC638" s="957" t="s">
        <v>168</v>
      </c>
      <c r="AD638" s="952">
        <f t="shared" si="75"/>
        <v>273660.12318</v>
      </c>
      <c r="AE638" s="958" t="s">
        <v>168</v>
      </c>
      <c r="AF638" s="969">
        <f t="shared" si="72"/>
        <v>199268.02875</v>
      </c>
      <c r="AG638" s="2360" t="s">
        <v>168</v>
      </c>
      <c r="AH638" s="969"/>
      <c r="AI638" s="970">
        <f t="shared" si="57"/>
        <v>19691</v>
      </c>
      <c r="AJ638" s="971">
        <f t="shared" si="58"/>
        <v>9.3295745285700754E-2</v>
      </c>
      <c r="AK638" s="972">
        <f t="shared" si="59"/>
        <v>23249</v>
      </c>
      <c r="AL638" s="971">
        <f t="shared" si="60"/>
        <v>0.10075362620313671</v>
      </c>
      <c r="AM638" s="973">
        <f t="shared" si="61"/>
        <v>125766.09960000002</v>
      </c>
      <c r="AN638" s="971">
        <f t="shared" si="62"/>
        <v>0.49514212440944888</v>
      </c>
      <c r="AO638" s="974">
        <f t="shared" si="63"/>
        <v>-129973.65960000001</v>
      </c>
      <c r="AP638" s="975">
        <f t="shared" si="64"/>
        <v>-0.34224660847005212</v>
      </c>
      <c r="AQ638" s="973">
        <f t="shared" si="65"/>
        <v>23867.683179999993</v>
      </c>
      <c r="AR638" s="971">
        <f t="shared" si="66"/>
        <v>9.5550062203643926E-2</v>
      </c>
      <c r="AS638" s="979">
        <f t="shared" si="67"/>
        <v>-74392.094429999997</v>
      </c>
      <c r="AT638" s="975">
        <f t="shared" si="68"/>
        <v>-0.27184119324929407</v>
      </c>
      <c r="AU638" s="979">
        <f t="shared" si="69"/>
        <v>-199267.93545425471</v>
      </c>
      <c r="AV638" s="975">
        <f t="shared" si="70"/>
        <v>-0.99999953180775725</v>
      </c>
    </row>
    <row r="639" spans="1:48" ht="18.5" x14ac:dyDescent="0.45">
      <c r="A639" s="879" t="s">
        <v>188</v>
      </c>
      <c r="B639" s="880">
        <v>250</v>
      </c>
      <c r="C639" s="981">
        <v>193.1</v>
      </c>
      <c r="D639" s="882">
        <f>C639*B639</f>
        <v>48275</v>
      </c>
      <c r="E639" s="921">
        <f t="shared" si="73"/>
        <v>2.7619605130115469E-2</v>
      </c>
      <c r="F639" s="795">
        <f t="shared" si="74"/>
        <v>0.16154886250767089</v>
      </c>
      <c r="G639" s="794">
        <v>1.69</v>
      </c>
      <c r="H639" s="785" t="s">
        <v>146</v>
      </c>
      <c r="I639" s="399">
        <f>D639-D627</f>
        <v>1297.5</v>
      </c>
      <c r="K639" s="118"/>
      <c r="L639" s="118"/>
      <c r="M639" s="118"/>
      <c r="N639" s="118"/>
      <c r="O639" s="118"/>
      <c r="P639" s="118"/>
      <c r="Q639" s="118"/>
      <c r="R639" s="118"/>
      <c r="S639" s="951" t="s">
        <v>169</v>
      </c>
      <c r="T639" s="952">
        <v>206082</v>
      </c>
      <c r="U639" s="951" t="s">
        <v>169</v>
      </c>
      <c r="V639" s="982">
        <v>245467</v>
      </c>
      <c r="W639" s="953" t="s">
        <v>169</v>
      </c>
      <c r="X639" s="956">
        <v>258777.39</v>
      </c>
      <c r="Y639" s="951" t="s">
        <v>169</v>
      </c>
      <c r="Z639" s="982">
        <f>Z624</f>
        <v>385384.14779999998</v>
      </c>
      <c r="AA639" s="956" t="s">
        <v>169</v>
      </c>
      <c r="AB639" s="956">
        <f t="shared" si="71"/>
        <v>246467.48559999996</v>
      </c>
      <c r="AC639" s="958" t="s">
        <v>169</v>
      </c>
      <c r="AD639" s="952">
        <f t="shared" si="75"/>
        <v>279150.39840000001</v>
      </c>
      <c r="AE639" s="958" t="s">
        <v>169</v>
      </c>
      <c r="AF639" s="969">
        <f t="shared" si="72"/>
        <v>196114.54163000002</v>
      </c>
      <c r="AG639" s="2360" t="s">
        <v>169</v>
      </c>
      <c r="AH639" s="969"/>
      <c r="AI639" s="970">
        <f t="shared" si="57"/>
        <v>39385</v>
      </c>
      <c r="AJ639" s="971">
        <f t="shared" si="58"/>
        <v>0.19111324618355799</v>
      </c>
      <c r="AK639" s="972">
        <f t="shared" si="59"/>
        <v>13310.390000000014</v>
      </c>
      <c r="AL639" s="971">
        <f t="shared" si="60"/>
        <v>5.4224763410152949E-2</v>
      </c>
      <c r="AM639" s="973">
        <f t="shared" si="61"/>
        <v>126606.75779999996</v>
      </c>
      <c r="AN639" s="971">
        <f t="shared" si="62"/>
        <v>0.48924968985891681</v>
      </c>
      <c r="AO639" s="974">
        <f t="shared" si="63"/>
        <v>-138916.66220000002</v>
      </c>
      <c r="AP639" s="975">
        <f t="shared" si="64"/>
        <v>-0.36046283427333031</v>
      </c>
      <c r="AQ639" s="973">
        <f t="shared" si="65"/>
        <v>32682.912800000049</v>
      </c>
      <c r="AR639" s="971">
        <f t="shared" si="66"/>
        <v>0.13260537275509923</v>
      </c>
      <c r="AS639" s="979">
        <f t="shared" si="67"/>
        <v>-83035.856769999984</v>
      </c>
      <c r="AT639" s="975">
        <f t="shared" si="68"/>
        <v>-0.29745920925040664</v>
      </c>
      <c r="AU639" s="979">
        <f t="shared" si="69"/>
        <v>-196114.35051675382</v>
      </c>
      <c r="AV639" s="975">
        <f t="shared" si="70"/>
        <v>-0.99999902550191022</v>
      </c>
    </row>
    <row r="640" spans="1:48" ht="18.5" x14ac:dyDescent="0.45">
      <c r="A640" s="859" t="s">
        <v>189</v>
      </c>
      <c r="B640" s="860">
        <v>250</v>
      </c>
      <c r="C640" s="861">
        <v>427.51</v>
      </c>
      <c r="D640" s="862">
        <f>C640*B640</f>
        <v>106877.5</v>
      </c>
      <c r="E640" s="923">
        <f t="shared" si="73"/>
        <v>2.7717678734554479E-2</v>
      </c>
      <c r="F640" s="795">
        <f t="shared" si="74"/>
        <v>0.35765797105465758</v>
      </c>
      <c r="G640" s="794">
        <v>0.87</v>
      </c>
      <c r="H640" s="785" t="s">
        <v>145</v>
      </c>
      <c r="I640" s="399">
        <f>D640-D628</f>
        <v>2882.5</v>
      </c>
      <c r="K640" s="118"/>
      <c r="L640" s="118"/>
      <c r="M640" s="118"/>
      <c r="N640" s="118"/>
      <c r="O640" s="118"/>
      <c r="P640" s="118"/>
      <c r="Q640" s="118"/>
      <c r="R640" s="118"/>
      <c r="S640" s="951" t="s">
        <v>170</v>
      </c>
      <c r="T640" s="952">
        <v>226018</v>
      </c>
      <c r="U640" s="951" t="s">
        <v>170</v>
      </c>
      <c r="V640" s="952">
        <v>234104</v>
      </c>
      <c r="W640" s="953" t="s">
        <v>170</v>
      </c>
      <c r="X640" s="983">
        <v>281554.33</v>
      </c>
      <c r="Y640" s="951" t="s">
        <v>170</v>
      </c>
      <c r="Z640" s="952">
        <f>Z625</f>
        <v>342646.5356</v>
      </c>
      <c r="AA640" s="956" t="s">
        <v>170</v>
      </c>
      <c r="AB640" s="956">
        <f>D1745</f>
        <v>256319.62000000002</v>
      </c>
      <c r="AC640" s="958" t="s">
        <v>170</v>
      </c>
      <c r="AD640" s="952">
        <f t="shared" si="75"/>
        <v>256507.86856</v>
      </c>
      <c r="AE640" s="958" t="s">
        <v>170</v>
      </c>
      <c r="AF640" s="969">
        <f t="shared" si="72"/>
        <v>183594.52366000001</v>
      </c>
      <c r="AG640" s="2360" t="s">
        <v>170</v>
      </c>
      <c r="AH640" s="969"/>
      <c r="AI640" s="970">
        <f t="shared" si="57"/>
        <v>8086</v>
      </c>
      <c r="AJ640" s="971">
        <f t="shared" si="58"/>
        <v>3.5775911653054181E-2</v>
      </c>
      <c r="AK640" s="972">
        <f t="shared" si="59"/>
        <v>47450.330000000016</v>
      </c>
      <c r="AL640" s="971">
        <f t="shared" si="60"/>
        <v>0.20268910398797121</v>
      </c>
      <c r="AM640" s="973">
        <f t="shared" si="61"/>
        <v>61092.205599999987</v>
      </c>
      <c r="AN640" s="971">
        <f t="shared" si="62"/>
        <v>0.21698194305873394</v>
      </c>
      <c r="AO640" s="974">
        <f t="shared" si="63"/>
        <v>-86326.915599999978</v>
      </c>
      <c r="AP640" s="975">
        <f t="shared" si="64"/>
        <v>-0.25194159762577206</v>
      </c>
      <c r="AQ640" s="973">
        <f t="shared" si="65"/>
        <v>188.24855999997817</v>
      </c>
      <c r="AR640" s="971">
        <f t="shared" si="66"/>
        <v>7.3442899142866299E-4</v>
      </c>
      <c r="AS640" s="979">
        <f t="shared" si="67"/>
        <v>-72913.344899999996</v>
      </c>
      <c r="AT640" s="975">
        <f t="shared" si="68"/>
        <v>-0.28425383326182357</v>
      </c>
      <c r="AU640" s="979">
        <f t="shared" si="69"/>
        <v>-183594.48788408836</v>
      </c>
      <c r="AV640" s="975">
        <f t="shared" si="70"/>
        <v>-0.99999980513628117</v>
      </c>
    </row>
    <row r="641" spans="1:48" ht="19" thickBot="1" x14ac:dyDescent="0.5">
      <c r="A641" s="879" t="s">
        <v>190</v>
      </c>
      <c r="B641" s="880">
        <v>200</v>
      </c>
      <c r="C641" s="881">
        <v>242.17</v>
      </c>
      <c r="D641" s="882">
        <f>C641*B641</f>
        <v>48434</v>
      </c>
      <c r="E641" s="921">
        <f t="shared" si="73"/>
        <v>1.1739639037433046E-2</v>
      </c>
      <c r="F641" s="795">
        <f t="shared" si="74"/>
        <v>0.16208094472701257</v>
      </c>
      <c r="G641" s="794">
        <v>1.81</v>
      </c>
      <c r="H641" s="785" t="s">
        <v>149</v>
      </c>
      <c r="I641" s="786">
        <f>D641-D629</f>
        <v>562</v>
      </c>
      <c r="K641" s="118"/>
      <c r="L641" s="118"/>
      <c r="M641" s="118"/>
      <c r="N641" s="118"/>
      <c r="O641" s="118"/>
      <c r="P641" s="118"/>
      <c r="Q641" s="118"/>
      <c r="R641" s="118"/>
      <c r="S641" s="951" t="s">
        <v>171</v>
      </c>
      <c r="T641" s="982">
        <v>239638</v>
      </c>
      <c r="U641" s="951" t="s">
        <v>171</v>
      </c>
      <c r="V641" s="952">
        <v>212194</v>
      </c>
      <c r="W641" s="953" t="s">
        <v>171</v>
      </c>
      <c r="X641" s="956">
        <v>285878.11</v>
      </c>
      <c r="Y641" s="984" t="s">
        <v>171</v>
      </c>
      <c r="Z641" s="952">
        <f>Z626</f>
        <v>330338.61229999998</v>
      </c>
      <c r="AA641" s="956" t="s">
        <v>171</v>
      </c>
      <c r="AB641" s="954">
        <f>D1790</f>
        <v>233751.48757999999</v>
      </c>
      <c r="AC641" s="958" t="s">
        <v>171</v>
      </c>
      <c r="AD641" s="952">
        <f t="shared" si="75"/>
        <v>297733.40356000006</v>
      </c>
      <c r="AE641" s="958" t="s">
        <v>171</v>
      </c>
      <c r="AF641" s="969">
        <f>AI626</f>
        <v>193302.58834000002</v>
      </c>
      <c r="AG641" s="2360" t="s">
        <v>171</v>
      </c>
      <c r="AH641" s="969"/>
      <c r="AI641" s="985">
        <f t="shared" si="57"/>
        <v>-27444</v>
      </c>
      <c r="AJ641" s="975">
        <f t="shared" si="58"/>
        <v>-0.11452273846384964</v>
      </c>
      <c r="AK641" s="972">
        <f t="shared" si="59"/>
        <v>73684.109999999986</v>
      </c>
      <c r="AL641" s="986">
        <f t="shared" si="60"/>
        <v>0.34724879120050511</v>
      </c>
      <c r="AM641" s="973">
        <f t="shared" si="61"/>
        <v>44460.502299999993</v>
      </c>
      <c r="AN641" s="986">
        <f t="shared" si="62"/>
        <v>0.15552258373332606</v>
      </c>
      <c r="AO641" s="974">
        <f t="shared" si="63"/>
        <v>-96587.124719999993</v>
      </c>
      <c r="AP641" s="975">
        <f t="shared" si="64"/>
        <v>-0.29238823777670753</v>
      </c>
      <c r="AQ641" s="987">
        <f t="shared" si="65"/>
        <v>63981.915980000078</v>
      </c>
      <c r="AR641" s="986">
        <f t="shared" si="66"/>
        <v>0.27371768471891617</v>
      </c>
      <c r="AS641" s="979">
        <f t="shared" si="67"/>
        <v>-104430.81522000005</v>
      </c>
      <c r="AT641" s="975">
        <f t="shared" si="68"/>
        <v>-0.35075276731236793</v>
      </c>
      <c r="AU641" s="979">
        <f t="shared" si="69"/>
        <v>-193302.70286273849</v>
      </c>
      <c r="AV641" s="975">
        <f t="shared" si="70"/>
        <v>-1.0000005924532074</v>
      </c>
    </row>
    <row r="642" spans="1:48" ht="19" thickBot="1" x14ac:dyDescent="0.5">
      <c r="A642" s="859" t="s">
        <v>7</v>
      </c>
      <c r="B642" s="860">
        <v>87.63</v>
      </c>
      <c r="C642" s="897">
        <v>19.440000000000001</v>
      </c>
      <c r="D642" s="862">
        <v>1693.25</v>
      </c>
      <c r="E642" s="923"/>
      <c r="F642" s="665">
        <f t="shared" si="74"/>
        <v>5.6663409930836611E-3</v>
      </c>
      <c r="G642" s="797">
        <f>AVERAGE(G637:G641)</f>
        <v>1.27</v>
      </c>
      <c r="H642" s="948"/>
      <c r="I642" s="786">
        <f>SUM(I637:I641)</f>
        <v>5407.816700000003</v>
      </c>
      <c r="K642" s="118"/>
      <c r="L642" s="118"/>
      <c r="M642" s="118"/>
      <c r="N642" s="118"/>
      <c r="O642" s="118"/>
      <c r="P642" s="118"/>
      <c r="Q642" s="118"/>
      <c r="R642" s="118"/>
      <c r="S642" s="988" t="s">
        <v>172</v>
      </c>
      <c r="T642" s="989">
        <v>237663</v>
      </c>
      <c r="U642" s="988" t="s">
        <v>172</v>
      </c>
      <c r="V642" s="989">
        <v>203182</v>
      </c>
      <c r="W642" s="990" t="s">
        <v>172</v>
      </c>
      <c r="X642" s="991">
        <v>267718.16850000003</v>
      </c>
      <c r="Y642" s="992" t="s">
        <v>172</v>
      </c>
      <c r="Z642" s="993">
        <f>Z627</f>
        <v>292551.48003000004</v>
      </c>
      <c r="AA642" s="994" t="s">
        <v>172</v>
      </c>
      <c r="AB642" s="994">
        <f>AC627</f>
        <v>235616</v>
      </c>
      <c r="AC642" s="995" t="s">
        <v>172</v>
      </c>
      <c r="AD642" s="996">
        <f t="shared" si="75"/>
        <v>283343.8</v>
      </c>
      <c r="AE642" s="995" t="s">
        <v>172</v>
      </c>
      <c r="AF642" s="997">
        <f>D3287</f>
        <v>170129.73901000002</v>
      </c>
      <c r="AG642" s="2361" t="s">
        <v>172</v>
      </c>
      <c r="AH642" s="997"/>
      <c r="AI642" s="998">
        <f t="shared" si="57"/>
        <v>-34481</v>
      </c>
      <c r="AJ642" s="999">
        <f t="shared" si="58"/>
        <v>-0.14508358473973651</v>
      </c>
      <c r="AK642" s="1000">
        <f t="shared" si="59"/>
        <v>64536.168500000029</v>
      </c>
      <c r="AL642" s="1001">
        <f t="shared" si="60"/>
        <v>0.31762739071374446</v>
      </c>
      <c r="AM642" s="1002">
        <f t="shared" si="61"/>
        <v>24833.311530000006</v>
      </c>
      <c r="AN642" s="1001">
        <f t="shared" si="62"/>
        <v>9.2759156650214433E-2</v>
      </c>
      <c r="AO642" s="1003">
        <f t="shared" si="63"/>
        <v>-56935.480030000035</v>
      </c>
      <c r="AP642" s="999">
        <f t="shared" si="64"/>
        <v>-0.19461696117265079</v>
      </c>
      <c r="AQ642" s="1004">
        <f t="shared" si="65"/>
        <v>47727.799999999988</v>
      </c>
      <c r="AR642" s="1001">
        <f t="shared" si="66"/>
        <v>0.20256603965774816</v>
      </c>
      <c r="AS642" s="1005">
        <f t="shared" si="67"/>
        <v>-113214.06098999997</v>
      </c>
      <c r="AT642" s="1001">
        <f t="shared" si="68"/>
        <v>-0.399564278413715</v>
      </c>
      <c r="AU642" s="1005">
        <f t="shared" si="69"/>
        <v>-170129.88409358475</v>
      </c>
      <c r="AV642" s="1001">
        <f t="shared" si="70"/>
        <v>-1.0000008527820332</v>
      </c>
    </row>
    <row r="643" spans="1:48" ht="16" thickBot="1" x14ac:dyDescent="0.4">
      <c r="A643" s="879" t="s">
        <v>60</v>
      </c>
      <c r="B643" s="880"/>
      <c r="C643" s="902"/>
      <c r="D643" s="882">
        <v>6745.65</v>
      </c>
      <c r="E643" s="921"/>
      <c r="F643" s="665"/>
      <c r="K643" s="118"/>
      <c r="L643" s="118"/>
      <c r="M643" s="118"/>
      <c r="N643" s="118"/>
      <c r="O643" s="118"/>
      <c r="P643" s="118"/>
      <c r="Q643" s="118"/>
      <c r="R643" s="118"/>
      <c r="AE643" s="647"/>
      <c r="AF643" s="1006"/>
    </row>
    <row r="644" spans="1:48" ht="19" thickBot="1" x14ac:dyDescent="0.5">
      <c r="A644" s="726" t="s">
        <v>62</v>
      </c>
      <c r="B644" s="583"/>
      <c r="C644" s="584"/>
      <c r="D644" s="585">
        <f>SUM(D637:D643)</f>
        <v>327352.83590000006</v>
      </c>
      <c r="E644" s="780">
        <f>D644-D632</f>
        <v>5397.5395000000135</v>
      </c>
      <c r="F644" s="792">
        <f>(D644-D632)/D632</f>
        <v>1.6764872516009378E-2</v>
      </c>
      <c r="G644" s="574"/>
      <c r="H644" s="727"/>
      <c r="I644" s="148"/>
      <c r="K644" s="118"/>
      <c r="L644" s="118"/>
      <c r="M644" s="118"/>
      <c r="N644" s="118"/>
      <c r="O644" s="118"/>
      <c r="P644" s="118"/>
      <c r="Q644" s="118"/>
      <c r="R644" s="118"/>
      <c r="T644" s="1007">
        <f>T642-T631</f>
        <v>39657</v>
      </c>
      <c r="V644" s="1008">
        <f>V642-T642</f>
        <v>-34481</v>
      </c>
      <c r="X644" s="1009">
        <f>X642-V642</f>
        <v>64536.168500000029</v>
      </c>
      <c r="Z644" s="1010">
        <f>Z642-X642</f>
        <v>24833.311530000006</v>
      </c>
      <c r="AA644" s="1011"/>
      <c r="AB644" s="1012">
        <f>AB642-Z642</f>
        <v>-56935.480030000035</v>
      </c>
      <c r="AC644" s="1011"/>
      <c r="AD644" s="1013">
        <f>AD642-AB642</f>
        <v>47727.799999999988</v>
      </c>
      <c r="AF644" s="1008">
        <f>AF640-AD642</f>
        <v>-99749.276339999982</v>
      </c>
      <c r="AH644" s="1008" t="e">
        <f>AH632-AF642</f>
        <v>#REF!</v>
      </c>
    </row>
    <row r="645" spans="1:48" ht="16" thickBot="1" x14ac:dyDescent="0.4">
      <c r="K645" s="118"/>
      <c r="L645" s="118"/>
      <c r="M645" s="118"/>
      <c r="N645" s="118"/>
      <c r="O645" s="118"/>
      <c r="P645" s="118"/>
      <c r="Q645" s="118"/>
      <c r="R645" s="118"/>
      <c r="V645" s="1014" t="s">
        <v>191</v>
      </c>
      <c r="X645" s="193">
        <f>T644+V644+X644</f>
        <v>69712.168500000029</v>
      </c>
      <c r="Z645" s="193">
        <f>X645+Z644</f>
        <v>94545.480030000035</v>
      </c>
      <c r="AA645" s="193"/>
      <c r="AB645" s="193"/>
      <c r="AD645" s="1015">
        <f>SUM(T644:AD644)</f>
        <v>85337.799999999988</v>
      </c>
      <c r="AF645" s="1015">
        <f>AD645+AF644</f>
        <v>-14411.476339999994</v>
      </c>
      <c r="AH645" s="1015" t="e">
        <f>AF645+AH644</f>
        <v>#REF!</v>
      </c>
    </row>
    <row r="646" spans="1:48" ht="16.5" thickTop="1" thickBot="1" x14ac:dyDescent="0.4">
      <c r="A646" s="701" t="s">
        <v>25</v>
      </c>
      <c r="B646" s="702" t="s">
        <v>26</v>
      </c>
      <c r="C646" s="703" t="s">
        <v>27</v>
      </c>
      <c r="D646" s="704">
        <f>D634+7</f>
        <v>43161</v>
      </c>
      <c r="E646" s="705" t="s">
        <v>28</v>
      </c>
      <c r="F646" s="511" t="s">
        <v>101</v>
      </c>
      <c r="G646" s="252">
        <v>17555</v>
      </c>
      <c r="H646" s="253">
        <f>(C647-G646)/G646</f>
        <v>0.40005696382796924</v>
      </c>
      <c r="K646" s="118"/>
      <c r="L646" s="118"/>
      <c r="M646" s="118"/>
      <c r="N646" s="118"/>
      <c r="O646" s="118"/>
      <c r="P646" s="118"/>
      <c r="Q646" s="118"/>
      <c r="R646" s="118"/>
      <c r="Z646" s="118">
        <f>Z631-T631</f>
        <v>119697.15410000004</v>
      </c>
      <c r="AA646" s="118"/>
      <c r="AB646" s="118"/>
    </row>
    <row r="647" spans="1:48" ht="16" thickBot="1" x14ac:dyDescent="0.4">
      <c r="A647" s="706" t="s">
        <v>32</v>
      </c>
      <c r="B647" s="255" t="str">
        <f ca="1">TEXT(TODAY(),"ddd")</f>
        <v>Sun</v>
      </c>
      <c r="C647" s="256">
        <v>24578</v>
      </c>
      <c r="D647" s="257">
        <f>C647-C635</f>
        <v>-731</v>
      </c>
      <c r="E647" s="707"/>
      <c r="F647" s="708"/>
      <c r="G647" s="801">
        <v>4766</v>
      </c>
      <c r="H647" s="685">
        <f>(C648-G647)/G647</f>
        <v>0.52266051195971464</v>
      </c>
      <c r="K647" s="118"/>
      <c r="L647" s="118"/>
      <c r="M647" s="118"/>
      <c r="N647" s="118"/>
      <c r="O647" s="118"/>
      <c r="P647" s="118"/>
      <c r="Q647" s="118"/>
      <c r="R647" s="118"/>
      <c r="S647" s="13" t="s">
        <v>22</v>
      </c>
      <c r="T647" s="14" t="s">
        <v>23</v>
      </c>
      <c r="U647" s="15" t="s">
        <v>24</v>
      </c>
      <c r="V647" s="16"/>
      <c r="W647" s="3204"/>
      <c r="X647" s="3204"/>
      <c r="Y647" s="3019"/>
      <c r="Z647" s="3019"/>
      <c r="AA647" s="3019"/>
      <c r="AB647" s="3019"/>
      <c r="AH647" s="193" t="e">
        <f>AF631-AH632</f>
        <v>#REF!</v>
      </c>
    </row>
    <row r="648" spans="1:48" ht="16" thickBot="1" x14ac:dyDescent="0.4">
      <c r="A648" s="709" t="s">
        <v>36</v>
      </c>
      <c r="B648" s="263"/>
      <c r="C648" s="419">
        <v>7257</v>
      </c>
      <c r="D648" s="264">
        <f>C648-C636</f>
        <v>-80</v>
      </c>
      <c r="E648" s="421">
        <f t="shared" ref="E648:E653" si="76">(C648-C636)/C636</f>
        <v>-1.0903639089546136E-2</v>
      </c>
      <c r="F648" s="617" t="s">
        <v>37</v>
      </c>
      <c r="G648" s="783" t="s">
        <v>143</v>
      </c>
      <c r="H648" s="784" t="s">
        <v>144</v>
      </c>
      <c r="K648" s="118"/>
      <c r="L648" s="118"/>
      <c r="M648" s="118"/>
      <c r="N648" s="118"/>
      <c r="O648" s="118"/>
      <c r="P648" s="118"/>
      <c r="Q648" s="118"/>
      <c r="R648" s="118"/>
      <c r="S648" s="25">
        <v>2010</v>
      </c>
      <c r="T648" s="26">
        <v>116236.98</v>
      </c>
      <c r="U648" s="27"/>
    </row>
    <row r="649" spans="1:48" ht="16" thickBot="1" x14ac:dyDescent="0.4">
      <c r="A649" s="879" t="s">
        <v>186</v>
      </c>
      <c r="B649" s="880">
        <v>250.63</v>
      </c>
      <c r="C649" s="902">
        <v>236.54</v>
      </c>
      <c r="D649" s="882">
        <f>C649*B649</f>
        <v>59284.020199999999</v>
      </c>
      <c r="E649" s="883">
        <f t="shared" si="76"/>
        <v>-3.8181596389216504E-2</v>
      </c>
      <c r="F649" s="793">
        <f t="shared" ref="F649:F654" si="77">D649/$D$572</f>
        <v>0.19838976754410736</v>
      </c>
      <c r="G649" s="794">
        <v>1.39</v>
      </c>
      <c r="H649" s="785" t="s">
        <v>146</v>
      </c>
      <c r="I649" s="398">
        <f>D649-D637</f>
        <v>-2353.415700000005</v>
      </c>
      <c r="K649" s="118"/>
      <c r="L649" s="118"/>
      <c r="M649" s="118"/>
      <c r="N649" s="118"/>
      <c r="O649" s="118"/>
      <c r="P649" s="118"/>
      <c r="Q649" s="118"/>
      <c r="R649" s="118"/>
      <c r="S649" s="33">
        <v>2011</v>
      </c>
      <c r="T649" s="34">
        <v>128250.81</v>
      </c>
      <c r="U649" s="35">
        <f>(T649-T648)/T649</f>
        <v>9.3674496090901893E-2</v>
      </c>
    </row>
    <row r="650" spans="1:48" x14ac:dyDescent="0.35">
      <c r="A650" s="859" t="s">
        <v>187</v>
      </c>
      <c r="B650" s="860">
        <v>200</v>
      </c>
      <c r="C650" s="897">
        <v>275.13</v>
      </c>
      <c r="D650" s="862">
        <f>C650*B650</f>
        <v>55026</v>
      </c>
      <c r="E650" s="923">
        <f t="shared" si="76"/>
        <v>2.4883590985285926E-2</v>
      </c>
      <c r="F650" s="795">
        <f t="shared" si="77"/>
        <v>0.18414060504085134</v>
      </c>
      <c r="G650" s="796">
        <v>0.59</v>
      </c>
      <c r="H650" s="785" t="s">
        <v>145</v>
      </c>
      <c r="I650" s="523">
        <f>D650-D638</f>
        <v>1336</v>
      </c>
      <c r="K650" s="118"/>
      <c r="L650" s="118"/>
      <c r="M650" s="118"/>
      <c r="N650" s="118"/>
      <c r="O650" s="118"/>
      <c r="P650" s="118"/>
      <c r="Q650" s="118"/>
      <c r="R650" s="118"/>
      <c r="S650" s="41">
        <v>2012</v>
      </c>
      <c r="T650" s="42">
        <v>157604.72</v>
      </c>
      <c r="U650" s="43">
        <f t="shared" ref="U650:U656" si="78">(T650-T649)/T650</f>
        <v>0.18625019606011803</v>
      </c>
      <c r="V650" s="1016">
        <f>AVERAGE($U$649:U650)</f>
        <v>0.13996234607550995</v>
      </c>
    </row>
    <row r="651" spans="1:48" x14ac:dyDescent="0.35">
      <c r="A651" s="879" t="s">
        <v>188</v>
      </c>
      <c r="B651" s="880">
        <v>250</v>
      </c>
      <c r="C651" s="902">
        <v>194.53</v>
      </c>
      <c r="D651" s="882">
        <f>C651*B651</f>
        <v>48632.5</v>
      </c>
      <c r="E651" s="921">
        <f t="shared" si="76"/>
        <v>7.4054893837390305E-3</v>
      </c>
      <c r="F651" s="795">
        <f t="shared" si="77"/>
        <v>0.16274521089392655</v>
      </c>
      <c r="G651" s="794">
        <v>1.69</v>
      </c>
      <c r="H651" s="785" t="s">
        <v>146</v>
      </c>
      <c r="I651" s="399">
        <f>D651-D639</f>
        <v>357.5</v>
      </c>
      <c r="K651" s="118"/>
      <c r="L651" s="118"/>
      <c r="M651" s="118"/>
      <c r="N651" s="118"/>
      <c r="O651" s="118"/>
      <c r="P651" s="118"/>
      <c r="Q651" s="118"/>
      <c r="R651" s="118"/>
      <c r="S651" s="33">
        <v>2013</v>
      </c>
      <c r="T651" s="34">
        <v>224082.6</v>
      </c>
      <c r="U651" s="35">
        <f t="shared" si="78"/>
        <v>0.29666685409755156</v>
      </c>
      <c r="V651" s="1017">
        <f>AVERAGE($U$649:U651)</f>
        <v>0.19219718208285716</v>
      </c>
    </row>
    <row r="652" spans="1:48" x14ac:dyDescent="0.35">
      <c r="A652" s="859" t="s">
        <v>189</v>
      </c>
      <c r="B652" s="860">
        <v>250</v>
      </c>
      <c r="C652" s="861">
        <v>417.39</v>
      </c>
      <c r="D652" s="862">
        <f>C652*B652</f>
        <v>104347.5</v>
      </c>
      <c r="E652" s="863">
        <f t="shared" si="76"/>
        <v>-2.3671960889803757E-2</v>
      </c>
      <c r="F652" s="795">
        <f t="shared" si="77"/>
        <v>0.34919150555192519</v>
      </c>
      <c r="G652" s="794">
        <v>0.87</v>
      </c>
      <c r="H652" s="785" t="s">
        <v>145</v>
      </c>
      <c r="I652" s="542">
        <f>D652-D640</f>
        <v>-2530</v>
      </c>
      <c r="K652" s="118"/>
      <c r="L652" s="118"/>
      <c r="M652" s="118"/>
      <c r="N652" s="118"/>
      <c r="O652" s="118"/>
      <c r="P652" s="118"/>
      <c r="Q652" s="118"/>
      <c r="R652" s="118"/>
      <c r="S652" s="41">
        <v>2014</v>
      </c>
      <c r="T652" s="42">
        <v>206616.99</v>
      </c>
      <c r="U652" s="52">
        <f t="shared" si="78"/>
        <v>-8.4531335007832692E-2</v>
      </c>
      <c r="V652" s="1018">
        <f>AVERAGE($U$649:U652)</f>
        <v>0.12301505281018468</v>
      </c>
    </row>
    <row r="653" spans="1:48" ht="16" thickBot="1" x14ac:dyDescent="0.4">
      <c r="A653" s="879" t="s">
        <v>190</v>
      </c>
      <c r="B653" s="880">
        <v>200</v>
      </c>
      <c r="C653" s="881">
        <v>244.8</v>
      </c>
      <c r="D653" s="882">
        <f>C653*B653</f>
        <v>48960</v>
      </c>
      <c r="E653" s="921">
        <f t="shared" si="76"/>
        <v>1.0860139571375578E-2</v>
      </c>
      <c r="F653" s="795">
        <f t="shared" si="77"/>
        <v>0.16384116640860832</v>
      </c>
      <c r="G653" s="794">
        <v>1.81</v>
      </c>
      <c r="H653" s="785" t="s">
        <v>149</v>
      </c>
      <c r="I653" s="786">
        <f>D653-D641</f>
        <v>526</v>
      </c>
      <c r="K653" s="118"/>
      <c r="L653" s="118"/>
      <c r="M653" s="118"/>
      <c r="N653" s="118"/>
      <c r="O653" s="118"/>
      <c r="P653" s="118"/>
      <c r="Q653" s="118"/>
      <c r="R653" s="118"/>
      <c r="S653" s="33">
        <v>2015</v>
      </c>
      <c r="T653" s="34">
        <f>T642</f>
        <v>237663</v>
      </c>
      <c r="U653" s="35">
        <f t="shared" si="78"/>
        <v>0.1306303884071143</v>
      </c>
      <c r="V653" s="1017">
        <f>AVERAGE($U$649:U653)</f>
        <v>0.1245381199295706</v>
      </c>
    </row>
    <row r="654" spans="1:48" ht="16" thickBot="1" x14ac:dyDescent="0.4">
      <c r="A654" s="859" t="s">
        <v>7</v>
      </c>
      <c r="B654" s="860">
        <v>87.63</v>
      </c>
      <c r="C654" s="897">
        <v>19.440000000000001</v>
      </c>
      <c r="D654" s="862">
        <v>1686.49</v>
      </c>
      <c r="E654" s="923"/>
      <c r="F654" s="665">
        <f t="shared" si="77"/>
        <v>5.6437191326890084E-3</v>
      </c>
      <c r="G654" s="797">
        <f>AVERAGE(G649:G653)</f>
        <v>1.27</v>
      </c>
      <c r="H654" s="948"/>
      <c r="I654" s="592">
        <f>SUM(I649:I653)</f>
        <v>-2663.915700000005</v>
      </c>
      <c r="K654" s="118"/>
      <c r="L654" s="118"/>
      <c r="M654" s="118"/>
      <c r="N654" s="118"/>
      <c r="O654" s="118"/>
      <c r="P654" s="118"/>
      <c r="Q654" s="118"/>
      <c r="R654" s="118"/>
      <c r="S654" s="41">
        <v>2016</v>
      </c>
      <c r="T654" s="42">
        <f>V642</f>
        <v>203182</v>
      </c>
      <c r="U654" s="52">
        <f t="shared" si="78"/>
        <v>-0.16970499355257848</v>
      </c>
      <c r="V654" s="1018">
        <f>AVERAGE($U$649:U654)</f>
        <v>7.5497601015879087E-2</v>
      </c>
    </row>
    <row r="655" spans="1:48" ht="16" thickBot="1" x14ac:dyDescent="0.4">
      <c r="A655" s="879" t="s">
        <v>60</v>
      </c>
      <c r="B655" s="880"/>
      <c r="C655" s="902"/>
      <c r="D655" s="882">
        <f>6745.65+4.51</f>
        <v>6750.16</v>
      </c>
      <c r="E655" s="921"/>
      <c r="F655" s="665"/>
      <c r="K655" s="118"/>
      <c r="L655" s="118"/>
      <c r="M655" s="118"/>
      <c r="N655" s="118"/>
      <c r="O655" s="118"/>
      <c r="P655" s="118"/>
      <c r="Q655" s="118"/>
      <c r="R655" s="118"/>
      <c r="S655" s="33">
        <v>2017</v>
      </c>
      <c r="T655" s="34">
        <f>X642</f>
        <v>267718.16850000003</v>
      </c>
      <c r="U655" s="35">
        <f t="shared" si="78"/>
        <v>0.24106010011046383</v>
      </c>
      <c r="V655" s="1017">
        <f>AVERAGE($U$649:U655)</f>
        <v>9.9149386600819761E-2</v>
      </c>
    </row>
    <row r="656" spans="1:48" ht="19" thickBot="1" x14ac:dyDescent="0.5">
      <c r="A656" s="726" t="s">
        <v>62</v>
      </c>
      <c r="B656" s="583"/>
      <c r="C656" s="584"/>
      <c r="D656" s="585">
        <f>SUM(D649:D655)</f>
        <v>324686.67019999999</v>
      </c>
      <c r="E656" s="1019">
        <f>D656-D644</f>
        <v>-2666.1657000000705</v>
      </c>
      <c r="F656" s="1020">
        <f>(D656-D644)/D644</f>
        <v>-8.1446238052892035E-3</v>
      </c>
      <c r="G656" s="574"/>
      <c r="H656" s="727"/>
      <c r="I656" s="148"/>
      <c r="K656" s="118"/>
      <c r="L656" s="118"/>
      <c r="M656" s="118"/>
      <c r="N656" s="118"/>
      <c r="O656" s="118"/>
      <c r="P656" s="118"/>
      <c r="Q656" s="118"/>
      <c r="R656" s="118"/>
      <c r="S656" s="41">
        <v>2018</v>
      </c>
      <c r="T656" s="42">
        <f>D1190</f>
        <v>292551.48003000004</v>
      </c>
      <c r="U656" s="43">
        <f t="shared" si="78"/>
        <v>8.4885270542652685E-2</v>
      </c>
      <c r="V656" s="1018">
        <f>AVERAGE($U$649:U656)</f>
        <v>9.7366372093548884E-2</v>
      </c>
    </row>
    <row r="657" spans="1:22" ht="16" thickBot="1" x14ac:dyDescent="0.4">
      <c r="K657" s="118"/>
      <c r="L657" s="118"/>
      <c r="M657" s="118"/>
      <c r="N657" s="118"/>
      <c r="O657" s="118"/>
      <c r="P657" s="118"/>
      <c r="Q657" s="118"/>
      <c r="R657" s="118"/>
      <c r="S657" s="33">
        <v>2019</v>
      </c>
      <c r="T657" s="34">
        <v>235616</v>
      </c>
      <c r="U657" s="65">
        <f>(T657-T656)/T657</f>
        <v>-0.24164521946726891</v>
      </c>
      <c r="V657" s="1017">
        <f>AVERAGE($U$649:U657)</f>
        <v>5.9698417475680242E-2</v>
      </c>
    </row>
    <row r="658" spans="1:22" ht="16" thickBot="1" x14ac:dyDescent="0.4">
      <c r="A658" s="701" t="s">
        <v>25</v>
      </c>
      <c r="B658" s="702" t="s">
        <v>26</v>
      </c>
      <c r="C658" s="703" t="s">
        <v>27</v>
      </c>
      <c r="D658" s="704">
        <f>D646+7</f>
        <v>43168</v>
      </c>
      <c r="E658" s="705" t="s">
        <v>28</v>
      </c>
      <c r="F658" s="511" t="s">
        <v>101</v>
      </c>
      <c r="G658" s="252">
        <v>17555</v>
      </c>
      <c r="H658" s="253">
        <f>(C659-G658)/G658</f>
        <v>0.41788664198234121</v>
      </c>
      <c r="K658" s="118"/>
      <c r="L658" s="118"/>
      <c r="M658" s="118"/>
      <c r="N658" s="118"/>
      <c r="O658" s="118"/>
      <c r="P658" s="118"/>
      <c r="Q658" s="118"/>
      <c r="R658" s="118"/>
      <c r="S658" s="41">
        <v>2020</v>
      </c>
      <c r="T658" s="42">
        <f>AD642</f>
        <v>283343.8</v>
      </c>
      <c r="U658" s="76">
        <f>(T658-T657)/T658</f>
        <v>0.16844483627310705</v>
      </c>
      <c r="V658" s="1018">
        <f>AVERAGE($U$649:U658)</f>
        <v>7.0573059355422921E-2</v>
      </c>
    </row>
    <row r="659" spans="1:22" ht="16" thickBot="1" x14ac:dyDescent="0.4">
      <c r="A659" s="706" t="s">
        <v>32</v>
      </c>
      <c r="B659" s="255" t="str">
        <f ca="1">TEXT(TODAY(),"ddd")</f>
        <v>Sun</v>
      </c>
      <c r="C659" s="256">
        <v>24891</v>
      </c>
      <c r="D659" s="322">
        <f>C659-C647</f>
        <v>313</v>
      </c>
      <c r="E659" s="707"/>
      <c r="F659" s="708"/>
      <c r="G659" s="801">
        <v>4766</v>
      </c>
      <c r="H659" s="685">
        <f>(C660-G659)/G659</f>
        <v>0.55182543013008811</v>
      </c>
      <c r="K659" s="118"/>
      <c r="L659" s="118"/>
      <c r="M659" s="118"/>
      <c r="N659" s="118"/>
      <c r="O659" s="118"/>
      <c r="P659" s="118"/>
      <c r="Q659" s="118"/>
      <c r="R659" s="118"/>
      <c r="S659" s="33">
        <v>2021</v>
      </c>
      <c r="T659" s="34">
        <f>AF637</f>
        <v>194702.59</v>
      </c>
      <c r="U659" s="77">
        <f>(T659-T658)/T659</f>
        <v>-0.45526466802521731</v>
      </c>
      <c r="V659" s="1021">
        <f>AVERAGE($U$649:U659)</f>
        <v>2.2769629593546534E-2</v>
      </c>
    </row>
    <row r="660" spans="1:22" ht="16" thickBot="1" x14ac:dyDescent="0.4">
      <c r="A660" s="709" t="s">
        <v>36</v>
      </c>
      <c r="B660" s="263"/>
      <c r="C660" s="419">
        <v>7396</v>
      </c>
      <c r="D660" s="223">
        <f>C660-C648</f>
        <v>139</v>
      </c>
      <c r="E660" s="420">
        <f t="shared" ref="E660:E665" si="79">(C660-C648)/C648</f>
        <v>1.9153920352762848E-2</v>
      </c>
      <c r="F660" s="617" t="s">
        <v>37</v>
      </c>
      <c r="G660" s="783" t="s">
        <v>143</v>
      </c>
      <c r="H660" s="784" t="s">
        <v>144</v>
      </c>
      <c r="K660" s="118"/>
      <c r="L660" s="118"/>
      <c r="M660" s="118"/>
      <c r="N660" s="118"/>
      <c r="O660" s="118"/>
      <c r="P660" s="118"/>
      <c r="Q660" s="118"/>
      <c r="R660" s="118"/>
      <c r="S660" s="41">
        <v>2022</v>
      </c>
      <c r="T660" s="42">
        <v>132596.96703999999</v>
      </c>
      <c r="U660" s="2356">
        <f>(T660-T659)/T660</f>
        <v>-0.46837891051659469</v>
      </c>
      <c r="V660" s="2357">
        <f>AVERAGE($U$649:U660)</f>
        <v>-1.8159415415631902E-2</v>
      </c>
    </row>
    <row r="661" spans="1:22" ht="16" thickBot="1" x14ac:dyDescent="0.4">
      <c r="A661" s="879" t="s">
        <v>186</v>
      </c>
      <c r="B661" s="880">
        <v>250.63</v>
      </c>
      <c r="C661" s="902">
        <v>245.33</v>
      </c>
      <c r="D661" s="882">
        <f>C661*B661</f>
        <v>61487.0579</v>
      </c>
      <c r="E661" s="921">
        <f t="shared" si="79"/>
        <v>3.7160733913925853E-2</v>
      </c>
      <c r="F661" s="793">
        <f t="shared" ref="F661:F666" si="80">D661/$D$572</f>
        <v>0.20576207690705953</v>
      </c>
      <c r="G661" s="794">
        <v>1.39</v>
      </c>
      <c r="H661" s="785" t="s">
        <v>145</v>
      </c>
      <c r="I661" s="518">
        <f>D661-D649</f>
        <v>2203.0377000000008</v>
      </c>
      <c r="K661" s="118"/>
      <c r="L661" s="118"/>
      <c r="M661" s="118"/>
      <c r="N661" s="118"/>
      <c r="O661" s="118"/>
      <c r="P661" s="118"/>
      <c r="Q661" s="118"/>
      <c r="R661" s="118"/>
      <c r="S661" s="78">
        <v>2023</v>
      </c>
      <c r="T661" s="79"/>
      <c r="U661" s="80"/>
      <c r="V661" s="81"/>
    </row>
    <row r="662" spans="1:22" x14ac:dyDescent="0.35">
      <c r="A662" s="859" t="s">
        <v>187</v>
      </c>
      <c r="B662" s="860">
        <v>200</v>
      </c>
      <c r="C662" s="897">
        <v>294.52</v>
      </c>
      <c r="D662" s="862">
        <f>C662*B662</f>
        <v>58904</v>
      </c>
      <c r="E662" s="923">
        <f t="shared" si="79"/>
        <v>7.0475775088140097E-2</v>
      </c>
      <c r="F662" s="795">
        <f t="shared" si="80"/>
        <v>0.19711805690630441</v>
      </c>
      <c r="G662" s="796">
        <v>0.59</v>
      </c>
      <c r="H662" s="785" t="s">
        <v>192</v>
      </c>
      <c r="I662" s="523">
        <f>D662-D650</f>
        <v>3878</v>
      </c>
      <c r="K662" s="118"/>
      <c r="L662" s="118"/>
      <c r="M662" s="118"/>
      <c r="N662" s="118"/>
      <c r="O662" s="118"/>
      <c r="P662" s="118"/>
      <c r="Q662" s="118"/>
      <c r="R662" s="118"/>
    </row>
    <row r="663" spans="1:22" x14ac:dyDescent="0.35">
      <c r="A663" s="879" t="s">
        <v>188</v>
      </c>
      <c r="B663" s="880">
        <v>250</v>
      </c>
      <c r="C663" s="902">
        <v>224.95</v>
      </c>
      <c r="D663" s="882">
        <f>C663*B663</f>
        <v>56237.5</v>
      </c>
      <c r="E663" s="921">
        <f t="shared" si="79"/>
        <v>0.15637690844599797</v>
      </c>
      <c r="F663" s="795">
        <f t="shared" si="80"/>
        <v>0.18819480383791076</v>
      </c>
      <c r="G663" s="794">
        <v>1.69</v>
      </c>
      <c r="H663" s="785" t="s">
        <v>146</v>
      </c>
      <c r="I663" s="399">
        <f>D663-D651</f>
        <v>7605</v>
      </c>
      <c r="K663" s="118"/>
      <c r="L663" s="118"/>
      <c r="M663" s="118"/>
      <c r="N663" s="118"/>
      <c r="O663" s="118"/>
      <c r="P663" s="118"/>
      <c r="Q663" s="118"/>
      <c r="R663" s="118"/>
    </row>
    <row r="664" spans="1:22" x14ac:dyDescent="0.35">
      <c r="A664" s="859" t="s">
        <v>189</v>
      </c>
      <c r="B664" s="860">
        <v>250</v>
      </c>
      <c r="C664" s="861">
        <v>440.46</v>
      </c>
      <c r="D664" s="862">
        <f>C664*B664</f>
        <v>110115</v>
      </c>
      <c r="E664" s="923">
        <f t="shared" si="79"/>
        <v>5.5272047725149126E-2</v>
      </c>
      <c r="F664" s="795">
        <f t="shared" si="80"/>
        <v>0.36849203511200784</v>
      </c>
      <c r="G664" s="794">
        <v>0.87</v>
      </c>
      <c r="H664" s="785" t="s">
        <v>192</v>
      </c>
      <c r="I664" s="399">
        <f>D664-D652</f>
        <v>5767.5</v>
      </c>
    </row>
    <row r="665" spans="1:22" ht="16" thickBot="1" x14ac:dyDescent="0.4">
      <c r="A665" s="879" t="s">
        <v>190</v>
      </c>
      <c r="B665" s="880">
        <v>200</v>
      </c>
      <c r="C665" s="881">
        <v>249.28</v>
      </c>
      <c r="D665" s="882">
        <f>C665*B665</f>
        <v>49856</v>
      </c>
      <c r="E665" s="921">
        <f t="shared" si="79"/>
        <v>1.8300653594771198E-2</v>
      </c>
      <c r="F665" s="795">
        <f t="shared" si="80"/>
        <v>0.16683956683961554</v>
      </c>
      <c r="G665" s="794">
        <v>1.81</v>
      </c>
      <c r="H665" s="785" t="s">
        <v>149</v>
      </c>
      <c r="I665" s="786">
        <f>D665-D653</f>
        <v>896</v>
      </c>
      <c r="N665" s="602"/>
      <c r="O665" s="602"/>
    </row>
    <row r="666" spans="1:22" ht="16" thickBot="1" x14ac:dyDescent="0.4">
      <c r="A666" s="859" t="s">
        <v>7</v>
      </c>
      <c r="B666" s="860">
        <v>87.63</v>
      </c>
      <c r="C666" s="1022">
        <v>19.440000000000001</v>
      </c>
      <c r="D666" s="862">
        <v>1715.11</v>
      </c>
      <c r="E666" s="923"/>
      <c r="F666" s="665">
        <f t="shared" si="80"/>
        <v>5.7394939321705109E-3</v>
      </c>
      <c r="G666" s="797">
        <f>AVERAGE(G661:G665)</f>
        <v>1.27</v>
      </c>
      <c r="H666" s="948"/>
      <c r="I666" s="786">
        <f>SUM(I661:I665)</f>
        <v>20349.537700000001</v>
      </c>
    </row>
    <row r="667" spans="1:22" ht="16" thickBot="1" x14ac:dyDescent="0.4">
      <c r="A667" s="879" t="s">
        <v>60</v>
      </c>
      <c r="B667" s="880"/>
      <c r="C667" s="902"/>
      <c r="D667" s="882">
        <v>50.16</v>
      </c>
      <c r="E667" s="921"/>
      <c r="F667" s="665"/>
    </row>
    <row r="668" spans="1:22" ht="19" thickBot="1" x14ac:dyDescent="0.5">
      <c r="A668" s="726" t="s">
        <v>62</v>
      </c>
      <c r="B668" s="583"/>
      <c r="C668" s="584"/>
      <c r="D668" s="585">
        <f>SUM(D661:D667)</f>
        <v>338364.82789999997</v>
      </c>
      <c r="E668" s="780">
        <f>D668-D656</f>
        <v>13678.157699999982</v>
      </c>
      <c r="F668" s="1023">
        <f>(D668-D656)/D656</f>
        <v>4.2127253612150237E-2</v>
      </c>
      <c r="G668" s="1024" t="s">
        <v>193</v>
      </c>
      <c r="H668" s="1025"/>
      <c r="I668" s="148"/>
    </row>
    <row r="669" spans="1:22" hidden="1" outlineLevel="1" x14ac:dyDescent="0.35"/>
    <row r="670" spans="1:22" hidden="1" outlineLevel="1" x14ac:dyDescent="0.35">
      <c r="A670" s="701" t="s">
        <v>25</v>
      </c>
      <c r="B670" s="702" t="s">
        <v>26</v>
      </c>
      <c r="C670" s="703" t="s">
        <v>27</v>
      </c>
      <c r="D670" s="704">
        <f>D658+7</f>
        <v>43175</v>
      </c>
      <c r="E670" s="705" t="s">
        <v>28</v>
      </c>
      <c r="F670" s="511" t="s">
        <v>101</v>
      </c>
      <c r="G670" s="252">
        <v>17555</v>
      </c>
      <c r="H670" s="253">
        <f>(C671-G670)/G670</f>
        <v>0.42101965252064938</v>
      </c>
    </row>
    <row r="671" spans="1:22" hidden="1" outlineLevel="1" x14ac:dyDescent="0.35">
      <c r="A671" s="706" t="s">
        <v>32</v>
      </c>
      <c r="B671" s="255" t="str">
        <f ca="1">TEXT(TODAY(),"ddd")</f>
        <v>Sun</v>
      </c>
      <c r="C671" s="256">
        <v>24946</v>
      </c>
      <c r="D671" s="322">
        <f>C671-C659</f>
        <v>55</v>
      </c>
      <c r="E671" s="707"/>
      <c r="F671" s="708"/>
      <c r="G671" s="801">
        <v>4766</v>
      </c>
      <c r="H671" s="685">
        <f>(C672-G671)/G671</f>
        <v>0.56966009232060433</v>
      </c>
    </row>
    <row r="672" spans="1:22" ht="19" hidden="1" outlineLevel="1" thickBot="1" x14ac:dyDescent="0.5">
      <c r="A672" s="709" t="s">
        <v>36</v>
      </c>
      <c r="B672" s="263"/>
      <c r="C672" s="419">
        <v>7481</v>
      </c>
      <c r="D672" s="223">
        <f>C672-C660</f>
        <v>85</v>
      </c>
      <c r="E672" s="792">
        <f t="shared" ref="E672:E677" si="81">(C672-C660)/C660</f>
        <v>1.149269875608437E-2</v>
      </c>
      <c r="F672" s="617" t="s">
        <v>37</v>
      </c>
      <c r="G672" s="783" t="s">
        <v>143</v>
      </c>
      <c r="H672" s="784" t="s">
        <v>144</v>
      </c>
    </row>
    <row r="673" spans="1:80" hidden="1" outlineLevel="1" x14ac:dyDescent="0.35">
      <c r="A673" s="879" t="s">
        <v>186</v>
      </c>
      <c r="B673" s="880">
        <v>250.79</v>
      </c>
      <c r="C673" s="902">
        <v>250.48</v>
      </c>
      <c r="D673" s="882">
        <f t="shared" ref="D673:D678" si="82">C673*B673</f>
        <v>62817.879199999996</v>
      </c>
      <c r="E673" s="921">
        <f t="shared" si="81"/>
        <v>2.0992133045285848E-2</v>
      </c>
      <c r="F673" s="793">
        <f t="shared" ref="F673:F678" si="83">D673/$D$572</f>
        <v>0.21021557596901663</v>
      </c>
      <c r="G673" s="794">
        <v>1.39</v>
      </c>
      <c r="H673" s="785" t="s">
        <v>145</v>
      </c>
      <c r="I673" s="398">
        <f>D673-D661</f>
        <v>1330.821299999996</v>
      </c>
    </row>
    <row r="674" spans="1:80" hidden="1" outlineLevel="1" x14ac:dyDescent="0.35">
      <c r="A674" s="859" t="s">
        <v>187</v>
      </c>
      <c r="B674" s="860">
        <v>200</v>
      </c>
      <c r="C674" s="897">
        <v>293.05</v>
      </c>
      <c r="D674" s="862">
        <f t="shared" si="82"/>
        <v>58610</v>
      </c>
      <c r="E674" s="863">
        <f t="shared" si="81"/>
        <v>-4.9911720765991119E-3</v>
      </c>
      <c r="F674" s="795">
        <f t="shared" si="83"/>
        <v>0.19613420676488019</v>
      </c>
      <c r="G674" s="796">
        <v>0.59</v>
      </c>
      <c r="H674" s="785" t="s">
        <v>145</v>
      </c>
      <c r="I674" s="400">
        <f>D674-D662</f>
        <v>-294</v>
      </c>
    </row>
    <row r="675" spans="1:80" hidden="1" outlineLevel="1" x14ac:dyDescent="0.35">
      <c r="A675" s="879" t="s">
        <v>188</v>
      </c>
      <c r="B675" s="880">
        <v>250</v>
      </c>
      <c r="C675" s="902">
        <v>221.92</v>
      </c>
      <c r="D675" s="882">
        <f t="shared" si="82"/>
        <v>55480</v>
      </c>
      <c r="E675" s="883">
        <f t="shared" si="81"/>
        <v>-1.3469659924427656E-2</v>
      </c>
      <c r="F675" s="795">
        <f t="shared" si="83"/>
        <v>0.18565988383066973</v>
      </c>
      <c r="G675" s="794">
        <v>1.69</v>
      </c>
      <c r="H675" s="785" t="s">
        <v>146</v>
      </c>
      <c r="I675" s="542">
        <f>D675-D663</f>
        <v>-757.5</v>
      </c>
    </row>
    <row r="676" spans="1:80" hidden="1" outlineLevel="1" x14ac:dyDescent="0.35">
      <c r="A676" s="859" t="s">
        <v>189</v>
      </c>
      <c r="B676" s="860">
        <v>235</v>
      </c>
      <c r="C676" s="861">
        <v>435.86</v>
      </c>
      <c r="D676" s="862">
        <f t="shared" si="82"/>
        <v>102427.1</v>
      </c>
      <c r="E676" s="863">
        <f t="shared" si="81"/>
        <v>-1.0443627117104767E-2</v>
      </c>
      <c r="F676" s="795">
        <f t="shared" si="83"/>
        <v>0.34276502319957447</v>
      </c>
      <c r="G676" s="794">
        <v>0.87</v>
      </c>
      <c r="H676" s="785" t="s">
        <v>145</v>
      </c>
      <c r="I676" s="542"/>
    </row>
    <row r="677" spans="1:80" ht="16" hidden="1" outlineLevel="1" thickBot="1" x14ac:dyDescent="0.4">
      <c r="A677" s="879" t="s">
        <v>190</v>
      </c>
      <c r="B677" s="880">
        <v>200</v>
      </c>
      <c r="C677" s="881">
        <v>246.9</v>
      </c>
      <c r="D677" s="882">
        <f t="shared" si="82"/>
        <v>49380</v>
      </c>
      <c r="E677" s="883">
        <f t="shared" si="81"/>
        <v>-9.5474967907573632E-3</v>
      </c>
      <c r="F677" s="795">
        <f t="shared" si="83"/>
        <v>0.16524666661064294</v>
      </c>
      <c r="G677" s="794">
        <v>1.81</v>
      </c>
      <c r="H677" s="785" t="s">
        <v>149</v>
      </c>
      <c r="I677" s="592">
        <f>D677-D665</f>
        <v>-476</v>
      </c>
    </row>
    <row r="678" spans="1:80" ht="16" hidden="1" outlineLevel="1" thickBot="1" x14ac:dyDescent="0.4">
      <c r="A678" s="859" t="s">
        <v>7</v>
      </c>
      <c r="B678" s="860">
        <v>87.63</v>
      </c>
      <c r="C678" s="1022">
        <v>19.5</v>
      </c>
      <c r="D678" s="862">
        <f t="shared" si="82"/>
        <v>1708.7849999999999</v>
      </c>
      <c r="E678" s="923"/>
      <c r="F678" s="665">
        <f t="shared" si="83"/>
        <v>5.7183277684136795E-3</v>
      </c>
      <c r="G678" s="797">
        <f>AVERAGE(G673:G677)</f>
        <v>1.27</v>
      </c>
      <c r="H678" s="948"/>
      <c r="I678" s="592">
        <f>SUM(I673:I677)</f>
        <v>-196.67870000000403</v>
      </c>
    </row>
    <row r="679" spans="1:80" ht="16" hidden="1" outlineLevel="1" thickBot="1" x14ac:dyDescent="0.4">
      <c r="A679" s="879" t="s">
        <v>60</v>
      </c>
      <c r="B679" s="880"/>
      <c r="C679" s="902"/>
      <c r="D679" s="882">
        <f>6591.18+50.16</f>
        <v>6641.34</v>
      </c>
      <c r="E679" s="921"/>
      <c r="F679" s="665"/>
      <c r="O679" t="s">
        <v>194</v>
      </c>
    </row>
    <row r="680" spans="1:80" ht="19" hidden="1" outlineLevel="1" thickBot="1" x14ac:dyDescent="0.5">
      <c r="A680" s="726" t="s">
        <v>62</v>
      </c>
      <c r="B680" s="583"/>
      <c r="C680" s="584"/>
      <c r="D680" s="585">
        <f>SUM(D673:D679)</f>
        <v>337065.1042</v>
      </c>
      <c r="E680" s="771">
        <f>D680-D668</f>
        <v>-1299.7236999999732</v>
      </c>
      <c r="F680" s="792">
        <f>(D680-D668)/D668</f>
        <v>-3.8411903153955833E-3</v>
      </c>
      <c r="G680" s="574"/>
      <c r="H680" s="727"/>
      <c r="I680" s="148"/>
    </row>
    <row r="681" spans="1:80" hidden="1" outlineLevel="1" x14ac:dyDescent="0.35"/>
    <row r="682" spans="1:80" hidden="1" outlineLevel="1" x14ac:dyDescent="0.35">
      <c r="A682" s="701" t="s">
        <v>25</v>
      </c>
      <c r="B682" s="702" t="s">
        <v>26</v>
      </c>
      <c r="C682" s="703" t="s">
        <v>27</v>
      </c>
      <c r="D682" s="704">
        <f>D670+7</f>
        <v>43182</v>
      </c>
      <c r="E682" s="705" t="s">
        <v>28</v>
      </c>
      <c r="F682" s="511" t="s">
        <v>101</v>
      </c>
      <c r="G682" s="252">
        <v>17555</v>
      </c>
      <c r="H682" s="253">
        <f>(C683-G682)/G682</f>
        <v>0.34166904015949873</v>
      </c>
    </row>
    <row r="683" spans="1:80" hidden="1" outlineLevel="1" x14ac:dyDescent="0.35">
      <c r="A683" s="706" t="s">
        <v>32</v>
      </c>
      <c r="B683" s="255" t="str">
        <f ca="1">TEXT(TODAY(),"ddd")</f>
        <v>Sun</v>
      </c>
      <c r="C683" s="256">
        <v>23553</v>
      </c>
      <c r="D683" s="257">
        <f>C683-C671</f>
        <v>-1393</v>
      </c>
      <c r="E683" s="707"/>
      <c r="F683" s="708"/>
      <c r="G683" s="801">
        <v>4766</v>
      </c>
      <c r="H683" s="685">
        <f>(C684-G683)/G683</f>
        <v>0.46705832983634077</v>
      </c>
    </row>
    <row r="684" spans="1:80" ht="19" hidden="1" outlineLevel="1" thickBot="1" x14ac:dyDescent="0.5">
      <c r="A684" s="709" t="s">
        <v>36</v>
      </c>
      <c r="B684" s="263"/>
      <c r="C684" s="419">
        <v>6992</v>
      </c>
      <c r="D684" s="264">
        <f>C684-C672</f>
        <v>-489</v>
      </c>
      <c r="E684" s="792">
        <f t="shared" ref="E684:E689" si="84">(C684-C672)/C672</f>
        <v>-6.5365592835182465E-2</v>
      </c>
      <c r="F684" s="617" t="s">
        <v>37</v>
      </c>
      <c r="G684" s="783" t="s">
        <v>143</v>
      </c>
      <c r="H684" s="784" t="s">
        <v>144</v>
      </c>
      <c r="CB684" t="s">
        <v>158</v>
      </c>
    </row>
    <row r="685" spans="1:80" hidden="1" outlineLevel="1" x14ac:dyDescent="0.35">
      <c r="A685" s="879" t="s">
        <v>186</v>
      </c>
      <c r="B685" s="880">
        <v>250.79</v>
      </c>
      <c r="C685" s="902">
        <v>232.97</v>
      </c>
      <c r="D685" s="882">
        <f>C685*B685</f>
        <v>58426.546299999995</v>
      </c>
      <c r="E685" s="883">
        <f t="shared" si="84"/>
        <v>-6.9905780900670678E-2</v>
      </c>
      <c r="F685" s="793">
        <f t="shared" ref="F685:F690" si="85">D685/$D$572</f>
        <v>0.19552029197341825</v>
      </c>
      <c r="G685" s="794">
        <v>1.39</v>
      </c>
      <c r="H685" s="785" t="s">
        <v>145</v>
      </c>
      <c r="I685" s="398">
        <f>D685-D673</f>
        <v>-4391.3329000000012</v>
      </c>
    </row>
    <row r="686" spans="1:80" hidden="1" outlineLevel="1" x14ac:dyDescent="0.35">
      <c r="A686" s="859" t="s">
        <v>187</v>
      </c>
      <c r="B686" s="860">
        <v>200</v>
      </c>
      <c r="C686" s="897">
        <v>283.99</v>
      </c>
      <c r="D686" s="862">
        <f>C686*B686</f>
        <v>56798</v>
      </c>
      <c r="E686" s="863">
        <f t="shared" si="84"/>
        <v>-3.091622590001707E-2</v>
      </c>
      <c r="F686" s="795">
        <f t="shared" si="85"/>
        <v>0.19007047732181648</v>
      </c>
      <c r="G686" s="796">
        <v>0.59</v>
      </c>
      <c r="H686" s="785" t="s">
        <v>145</v>
      </c>
      <c r="I686" s="400">
        <f>D686-D674</f>
        <v>-1812</v>
      </c>
    </row>
    <row r="687" spans="1:80" hidden="1" outlineLevel="1" x14ac:dyDescent="0.35">
      <c r="A687" s="879" t="s">
        <v>188</v>
      </c>
      <c r="B687" s="880">
        <v>250</v>
      </c>
      <c r="C687" s="902">
        <v>202.63</v>
      </c>
      <c r="D687" s="882">
        <f>C687*B687</f>
        <v>50657.5</v>
      </c>
      <c r="E687" s="883">
        <f t="shared" si="84"/>
        <v>-8.6923215573179488E-2</v>
      </c>
      <c r="F687" s="795">
        <f t="shared" si="85"/>
        <v>0.16952172972516494</v>
      </c>
      <c r="G687" s="794">
        <v>1.69</v>
      </c>
      <c r="H687" s="785" t="s">
        <v>146</v>
      </c>
      <c r="I687" s="542">
        <f>D687-D675</f>
        <v>-4822.5</v>
      </c>
    </row>
    <row r="688" spans="1:80" hidden="1" outlineLevel="1" x14ac:dyDescent="0.35">
      <c r="A688" s="859" t="s">
        <v>189</v>
      </c>
      <c r="B688" s="860">
        <v>223</v>
      </c>
      <c r="C688" s="861">
        <v>399.15</v>
      </c>
      <c r="D688" s="862">
        <f>C688*B688</f>
        <v>89010.45</v>
      </c>
      <c r="E688" s="863">
        <f t="shared" si="84"/>
        <v>-8.4224292203918777E-2</v>
      </c>
      <c r="F688" s="795">
        <f t="shared" si="85"/>
        <v>0.29786715585284129</v>
      </c>
      <c r="G688" s="794">
        <v>0.87</v>
      </c>
      <c r="H688" s="785" t="s">
        <v>145</v>
      </c>
      <c r="I688" s="542">
        <f>D688-D676</f>
        <v>-13416.650000000009</v>
      </c>
    </row>
    <row r="689" spans="1:15" ht="16" hidden="1" outlineLevel="1" thickBot="1" x14ac:dyDescent="0.4">
      <c r="A689" s="879" t="s">
        <v>190</v>
      </c>
      <c r="B689" s="880">
        <v>200</v>
      </c>
      <c r="C689" s="881">
        <v>231.41</v>
      </c>
      <c r="D689" s="882">
        <f>C689*B689</f>
        <v>46282</v>
      </c>
      <c r="E689" s="883">
        <f t="shared" si="84"/>
        <v>-6.2737950587282335E-2</v>
      </c>
      <c r="F689" s="795">
        <f t="shared" si="85"/>
        <v>0.15487942940611132</v>
      </c>
      <c r="G689" s="794">
        <v>1.81</v>
      </c>
      <c r="H689" s="785" t="s">
        <v>149</v>
      </c>
      <c r="I689" s="592">
        <f>D689-D677</f>
        <v>-3098</v>
      </c>
    </row>
    <row r="690" spans="1:15" ht="16" hidden="1" outlineLevel="1" thickBot="1" x14ac:dyDescent="0.4">
      <c r="A690" s="859" t="s">
        <v>7</v>
      </c>
      <c r="B690" s="860">
        <v>87.63</v>
      </c>
      <c r="C690" s="897">
        <v>19.5</v>
      </c>
      <c r="D690" s="862">
        <f>1664.45</f>
        <v>1664.45</v>
      </c>
      <c r="E690" s="863"/>
      <c r="F690" s="665">
        <f t="shared" si="85"/>
        <v>5.5699638363727148E-3</v>
      </c>
      <c r="G690" s="797">
        <f>AVERAGE(G685:G689)</f>
        <v>1.27</v>
      </c>
      <c r="H690" s="948"/>
      <c r="I690" s="592">
        <f>SUM(I685:I689)</f>
        <v>-27540.48290000001</v>
      </c>
    </row>
    <row r="691" spans="1:15" ht="16" hidden="1" outlineLevel="1" thickBot="1" x14ac:dyDescent="0.4">
      <c r="A691" s="879" t="s">
        <v>60</v>
      </c>
      <c r="B691" s="880"/>
      <c r="C691" s="902"/>
      <c r="D691" s="882">
        <v>765.24</v>
      </c>
      <c r="E691" s="883"/>
      <c r="F691" s="665"/>
    </row>
    <row r="692" spans="1:15" ht="19" hidden="1" outlineLevel="1" thickBot="1" x14ac:dyDescent="0.5">
      <c r="A692" s="726" t="s">
        <v>62</v>
      </c>
      <c r="B692" s="583"/>
      <c r="C692" s="584"/>
      <c r="D692" s="585">
        <f>SUM(D685:D691)</f>
        <v>303604.1863</v>
      </c>
      <c r="E692" s="771">
        <f>D692-D680</f>
        <v>-33460.9179</v>
      </c>
      <c r="F692" s="792">
        <f>(D692-D680)/D680</f>
        <v>-9.9271379573442065E-2</v>
      </c>
      <c r="G692" s="1024" t="s">
        <v>195</v>
      </c>
      <c r="H692" s="1025"/>
      <c r="I692" s="148"/>
    </row>
    <row r="693" spans="1:15" hidden="1" outlineLevel="1" x14ac:dyDescent="0.35">
      <c r="E693" s="247"/>
    </row>
    <row r="694" spans="1:15" hidden="1" outlineLevel="1" x14ac:dyDescent="0.35">
      <c r="A694" s="701" t="s">
        <v>25</v>
      </c>
      <c r="B694" s="702" t="s">
        <v>26</v>
      </c>
      <c r="C694" s="703" t="s">
        <v>27</v>
      </c>
      <c r="D694" s="704">
        <f>D682+7</f>
        <v>43189</v>
      </c>
      <c r="E694" s="705" t="s">
        <v>28</v>
      </c>
      <c r="F694" s="511" t="s">
        <v>101</v>
      </c>
      <c r="G694" s="252">
        <v>17555</v>
      </c>
      <c r="H694" s="253">
        <f>(C695-G694)/G694</f>
        <v>0.37299914554258046</v>
      </c>
    </row>
    <row r="695" spans="1:15" hidden="1" outlineLevel="1" x14ac:dyDescent="0.35">
      <c r="A695" s="706" t="s">
        <v>32</v>
      </c>
      <c r="B695" s="255" t="str">
        <f ca="1">TEXT(TODAY(),"ddd")</f>
        <v>Sun</v>
      </c>
      <c r="C695" s="256">
        <v>24103</v>
      </c>
      <c r="D695" s="322">
        <f>C695-C683</f>
        <v>550</v>
      </c>
      <c r="E695" s="707"/>
      <c r="F695" s="708"/>
      <c r="G695" s="801">
        <v>4766</v>
      </c>
      <c r="H695" s="685">
        <f>(C696-G695)/G695</f>
        <v>0.48195551825430127</v>
      </c>
      <c r="O695" t="s">
        <v>196</v>
      </c>
    </row>
    <row r="696" spans="1:15" ht="19" hidden="1" outlineLevel="1" thickBot="1" x14ac:dyDescent="0.5">
      <c r="A696" s="709" t="s">
        <v>36</v>
      </c>
      <c r="B696" s="263"/>
      <c r="C696" s="419">
        <v>7063</v>
      </c>
      <c r="D696" s="223">
        <f>C696-C684</f>
        <v>71</v>
      </c>
      <c r="E696" s="792">
        <f t="shared" ref="E696:E701" si="86">(C696-C684)/C684</f>
        <v>1.0154462242562929E-2</v>
      </c>
      <c r="F696" s="617" t="s">
        <v>37</v>
      </c>
      <c r="G696" s="783" t="s">
        <v>143</v>
      </c>
      <c r="H696" s="784" t="s">
        <v>144</v>
      </c>
    </row>
    <row r="697" spans="1:15" hidden="1" outlineLevel="1" x14ac:dyDescent="0.35">
      <c r="A697" s="879" t="s">
        <v>186</v>
      </c>
      <c r="B697" s="880">
        <v>250.79</v>
      </c>
      <c r="C697" s="902">
        <v>231.59</v>
      </c>
      <c r="D697" s="882">
        <f>C697*B697</f>
        <v>58080.456099999996</v>
      </c>
      <c r="E697" s="883">
        <f t="shared" si="86"/>
        <v>-5.92350946473793E-3</v>
      </c>
      <c r="F697" s="793">
        <f t="shared" ref="F697:F702" si="87">D697/$D$572</f>
        <v>0.19436212567336539</v>
      </c>
      <c r="G697" s="794">
        <v>1.39</v>
      </c>
      <c r="H697" s="785" t="s">
        <v>146</v>
      </c>
      <c r="I697" s="813">
        <f>D697-D685</f>
        <v>-346.09019999999873</v>
      </c>
    </row>
    <row r="698" spans="1:15" hidden="1" outlineLevel="1" x14ac:dyDescent="0.35">
      <c r="A698" s="859" t="s">
        <v>187</v>
      </c>
      <c r="B698" s="860">
        <v>200</v>
      </c>
      <c r="C698" s="1022">
        <v>290.99</v>
      </c>
      <c r="D698" s="862">
        <f>C698*B698</f>
        <v>58198</v>
      </c>
      <c r="E698" s="923">
        <f t="shared" si="86"/>
        <v>2.4648755237860486E-2</v>
      </c>
      <c r="F698" s="795">
        <f t="shared" si="87"/>
        <v>0.19475547799526527</v>
      </c>
      <c r="G698" s="796">
        <v>0.59</v>
      </c>
      <c r="H698" s="785" t="s">
        <v>145</v>
      </c>
      <c r="I698" s="1026">
        <f>D698-D686</f>
        <v>1400</v>
      </c>
    </row>
    <row r="699" spans="1:15" hidden="1" outlineLevel="1" x14ac:dyDescent="0.35">
      <c r="A699" s="879" t="s">
        <v>188</v>
      </c>
      <c r="B699" s="880">
        <v>250.6</v>
      </c>
      <c r="C699" s="981">
        <v>203.16</v>
      </c>
      <c r="D699" s="882">
        <f>C699*B699</f>
        <v>50911.896000000001</v>
      </c>
      <c r="E699" s="921">
        <f t="shared" si="86"/>
        <v>2.615604796920501E-3</v>
      </c>
      <c r="F699" s="795">
        <f t="shared" si="87"/>
        <v>0.17037304789039542</v>
      </c>
      <c r="G699" s="794">
        <v>1.69</v>
      </c>
      <c r="H699" s="785" t="s">
        <v>192</v>
      </c>
      <c r="I699" s="1027">
        <f>D699-D687</f>
        <v>254.39600000000064</v>
      </c>
    </row>
    <row r="700" spans="1:15" hidden="1" outlineLevel="1" x14ac:dyDescent="0.35">
      <c r="A700" s="859" t="s">
        <v>189</v>
      </c>
      <c r="B700" s="860">
        <v>223</v>
      </c>
      <c r="C700" s="861">
        <v>412.83</v>
      </c>
      <c r="D700" s="862">
        <f>C700*B700</f>
        <v>92061.09</v>
      </c>
      <c r="E700" s="923">
        <f t="shared" si="86"/>
        <v>3.4272829763246922E-2</v>
      </c>
      <c r="F700" s="795">
        <f t="shared" si="87"/>
        <v>0.30807590617744823</v>
      </c>
      <c r="G700" s="794">
        <v>0.87</v>
      </c>
      <c r="H700" s="785" t="s">
        <v>192</v>
      </c>
      <c r="I700" s="1027">
        <f>D700-D688</f>
        <v>3050.6399999999994</v>
      </c>
    </row>
    <row r="701" spans="1:15" ht="16" hidden="1" outlineLevel="1" thickBot="1" x14ac:dyDescent="0.4">
      <c r="A701" s="879" t="s">
        <v>190</v>
      </c>
      <c r="B701" s="880">
        <v>200</v>
      </c>
      <c r="C701" s="1028">
        <v>233.38</v>
      </c>
      <c r="D701" s="882">
        <f>C701*B701</f>
        <v>46676</v>
      </c>
      <c r="E701" s="921">
        <f t="shared" si="86"/>
        <v>8.5130288233006297E-3</v>
      </c>
      <c r="F701" s="795">
        <f t="shared" si="87"/>
        <v>0.15619792245278191</v>
      </c>
      <c r="G701" s="794">
        <v>1.81</v>
      </c>
      <c r="H701" s="785" t="s">
        <v>192</v>
      </c>
      <c r="I701" s="1029">
        <f>D701-D689</f>
        <v>394</v>
      </c>
    </row>
    <row r="702" spans="1:15" ht="16" hidden="1" outlineLevel="1" thickBot="1" x14ac:dyDescent="0.4">
      <c r="A702" s="859" t="s">
        <v>7</v>
      </c>
      <c r="B702" s="860">
        <v>87.63</v>
      </c>
      <c r="C702" s="897">
        <v>19.5</v>
      </c>
      <c r="D702" s="862">
        <v>1674.74</v>
      </c>
      <c r="E702" s="923"/>
      <c r="F702" s="665">
        <f t="shared" si="87"/>
        <v>5.604398591322563E-3</v>
      </c>
      <c r="G702" s="797">
        <f>AVERAGE(G697:G701)</f>
        <v>1.27</v>
      </c>
      <c r="H702" s="789"/>
      <c r="I702" s="1030">
        <f>SUM(I697:I701)</f>
        <v>4752.9458000000013</v>
      </c>
    </row>
    <row r="703" spans="1:15" ht="16" hidden="1" outlineLevel="1" thickBot="1" x14ac:dyDescent="0.4">
      <c r="A703" s="879" t="s">
        <v>60</v>
      </c>
      <c r="B703" s="880"/>
      <c r="C703" s="902"/>
      <c r="D703" s="882">
        <v>765.24</v>
      </c>
      <c r="E703" s="921"/>
      <c r="F703" s="665"/>
    </row>
    <row r="704" spans="1:15" ht="19" hidden="1" outlineLevel="1" thickBot="1" x14ac:dyDescent="0.5">
      <c r="A704" s="726" t="s">
        <v>62</v>
      </c>
      <c r="B704" s="583"/>
      <c r="C704" s="584"/>
      <c r="D704" s="585">
        <f>SUM(D697:D703)</f>
        <v>308367.42209999997</v>
      </c>
      <c r="E704" s="780">
        <f>D704-D692</f>
        <v>4763.2357999999658</v>
      </c>
      <c r="F704" s="792">
        <f>(D704-D692)/D692</f>
        <v>1.5688966143876805E-2</v>
      </c>
      <c r="G704" s="574"/>
      <c r="H704" s="727"/>
      <c r="I704" s="148"/>
    </row>
    <row r="705" spans="1:15" hidden="1" outlineLevel="1" x14ac:dyDescent="0.35"/>
    <row r="706" spans="1:15" hidden="1" outlineLevel="1" x14ac:dyDescent="0.35">
      <c r="A706" s="701" t="s">
        <v>25</v>
      </c>
      <c r="B706" s="702" t="s">
        <v>26</v>
      </c>
      <c r="C706" s="703" t="s">
        <v>27</v>
      </c>
      <c r="D706" s="704">
        <f>D694+7</f>
        <v>43196</v>
      </c>
      <c r="E706" s="705" t="s">
        <v>28</v>
      </c>
      <c r="F706" s="511" t="s">
        <v>101</v>
      </c>
      <c r="G706" s="252">
        <v>17555</v>
      </c>
      <c r="H706" s="253">
        <f>(C707-G706)/G706</f>
        <v>0.3632583309598405</v>
      </c>
    </row>
    <row r="707" spans="1:15" hidden="1" outlineLevel="1" x14ac:dyDescent="0.35">
      <c r="A707" s="706" t="s">
        <v>32</v>
      </c>
      <c r="B707" s="255" t="str">
        <f ca="1">TEXT(TODAY(),"ddd")</f>
        <v>Sun</v>
      </c>
      <c r="C707" s="256">
        <v>23932</v>
      </c>
      <c r="D707" s="257">
        <f>C707-C695</f>
        <v>-171</v>
      </c>
      <c r="E707" s="707"/>
      <c r="F707" s="708"/>
      <c r="G707" s="801">
        <v>4766</v>
      </c>
      <c r="H707" s="685">
        <f>(C708-G707)/G707</f>
        <v>0.45090222408728492</v>
      </c>
    </row>
    <row r="708" spans="1:15" ht="19" hidden="1" outlineLevel="1" thickBot="1" x14ac:dyDescent="0.5">
      <c r="A708" s="709" t="s">
        <v>36</v>
      </c>
      <c r="B708" s="263"/>
      <c r="C708" s="419">
        <v>6915</v>
      </c>
      <c r="D708" s="264">
        <f>C708-C696</f>
        <v>-148</v>
      </c>
      <c r="E708" s="792">
        <f t="shared" ref="E708:E713" si="88">(C708-C696)/C696</f>
        <v>-2.0954268724338102E-2</v>
      </c>
      <c r="F708" s="617" t="s">
        <v>37</v>
      </c>
      <c r="G708" s="783" t="s">
        <v>143</v>
      </c>
      <c r="H708" s="784" t="s">
        <v>144</v>
      </c>
    </row>
    <row r="709" spans="1:15" hidden="1" outlineLevel="1" x14ac:dyDescent="0.35">
      <c r="A709" s="879" t="s">
        <v>186</v>
      </c>
      <c r="B709" s="880">
        <v>250.79</v>
      </c>
      <c r="C709" s="902">
        <v>214.25</v>
      </c>
      <c r="D709" s="882">
        <f>C709*B709</f>
        <v>53731.7575</v>
      </c>
      <c r="E709" s="921">
        <f t="shared" si="88"/>
        <v>-7.4873699209810449E-2</v>
      </c>
      <c r="F709" s="793">
        <f t="shared" ref="F709:F714" si="89">D709/$D$572</f>
        <v>0.17980951433791847</v>
      </c>
      <c r="G709" s="794">
        <v>1.39</v>
      </c>
      <c r="H709" s="785" t="s">
        <v>145</v>
      </c>
      <c r="I709" s="813">
        <f>D709-D697</f>
        <v>-4348.6985999999961</v>
      </c>
    </row>
    <row r="710" spans="1:15" hidden="1" outlineLevel="1" x14ac:dyDescent="0.35">
      <c r="A710" s="859" t="s">
        <v>187</v>
      </c>
      <c r="B710" s="860">
        <v>200</v>
      </c>
      <c r="C710" s="897">
        <v>286.22000000000003</v>
      </c>
      <c r="D710" s="862">
        <f>C710*B710</f>
        <v>57244.000000000007</v>
      </c>
      <c r="E710" s="923">
        <f t="shared" si="88"/>
        <v>-1.6392315887143825E-2</v>
      </c>
      <c r="F710" s="795">
        <f t="shared" si="89"/>
        <v>0.1915629846792152</v>
      </c>
      <c r="G710" s="796">
        <v>0.59</v>
      </c>
      <c r="H710" s="785" t="s">
        <v>145</v>
      </c>
      <c r="I710" s="818">
        <f>D710-D698</f>
        <v>-953.99999999999272</v>
      </c>
    </row>
    <row r="711" spans="1:15" hidden="1" outlineLevel="1" x14ac:dyDescent="0.35">
      <c r="A711" s="879" t="s">
        <v>188</v>
      </c>
      <c r="B711" s="880">
        <v>250.6</v>
      </c>
      <c r="C711" s="981">
        <v>190.65</v>
      </c>
      <c r="D711" s="882">
        <f>C711*B711</f>
        <v>47776.89</v>
      </c>
      <c r="E711" s="921">
        <f t="shared" si="88"/>
        <v>-6.1577082102776091E-2</v>
      </c>
      <c r="F711" s="795">
        <f t="shared" si="89"/>
        <v>0.15988197273234833</v>
      </c>
      <c r="G711" s="794">
        <v>1.69</v>
      </c>
      <c r="H711" s="785" t="s">
        <v>146</v>
      </c>
      <c r="I711" s="821">
        <f>D711-D699</f>
        <v>-3135.0060000000012</v>
      </c>
      <c r="O711" t="s">
        <v>197</v>
      </c>
    </row>
    <row r="712" spans="1:15" hidden="1" outlineLevel="1" x14ac:dyDescent="0.35">
      <c r="A712" s="859" t="s">
        <v>189</v>
      </c>
      <c r="B712" s="860">
        <v>223</v>
      </c>
      <c r="C712" s="861">
        <v>396.55</v>
      </c>
      <c r="D712" s="862">
        <f>C712*B712</f>
        <v>88430.650000000009</v>
      </c>
      <c r="E712" s="923">
        <f t="shared" si="88"/>
        <v>-3.9435118571809154E-2</v>
      </c>
      <c r="F712" s="795">
        <f t="shared" si="89"/>
        <v>0.29592689628822305</v>
      </c>
      <c r="G712" s="794">
        <v>0.87</v>
      </c>
      <c r="H712" s="785" t="s">
        <v>145</v>
      </c>
      <c r="I712" s="821">
        <f>D712-D700</f>
        <v>-3630.4399999999878</v>
      </c>
      <c r="N712" s="1031" t="s">
        <v>43</v>
      </c>
      <c r="O712" s="1032" t="s">
        <v>198</v>
      </c>
    </row>
    <row r="713" spans="1:15" ht="16" hidden="1" outlineLevel="1" thickBot="1" x14ac:dyDescent="0.4">
      <c r="A713" s="879" t="s">
        <v>190</v>
      </c>
      <c r="B713" s="880">
        <v>200</v>
      </c>
      <c r="C713" s="881">
        <v>222.47</v>
      </c>
      <c r="D713" s="882">
        <f>C713*B713</f>
        <v>44494</v>
      </c>
      <c r="E713" s="921">
        <f t="shared" si="88"/>
        <v>-4.6747793298483144E-2</v>
      </c>
      <c r="F713" s="795">
        <f t="shared" si="89"/>
        <v>0.14889601426030674</v>
      </c>
      <c r="G713" s="794">
        <v>1.81</v>
      </c>
      <c r="H713" s="785" t="s">
        <v>149</v>
      </c>
      <c r="I713" s="826">
        <f>D713-D701</f>
        <v>-2182</v>
      </c>
      <c r="N713" s="1033">
        <v>43522</v>
      </c>
      <c r="O713" s="1034">
        <f t="shared" ref="O713:O721" ca="1" si="90">N713-TODAY()</f>
        <v>-1650</v>
      </c>
    </row>
    <row r="714" spans="1:15" ht="16" hidden="1" outlineLevel="1" thickBot="1" x14ac:dyDescent="0.4">
      <c r="A714" s="859" t="s">
        <v>7</v>
      </c>
      <c r="B714" s="860">
        <v>87.63</v>
      </c>
      <c r="C714" s="1022">
        <v>19.5</v>
      </c>
      <c r="D714" s="862">
        <v>1678.21</v>
      </c>
      <c r="E714" s="923"/>
      <c r="F714" s="665">
        <f t="shared" si="89"/>
        <v>5.6160107001346111E-3</v>
      </c>
      <c r="G714" s="797">
        <f>AVERAGE(G709:G713)</f>
        <v>1.27</v>
      </c>
      <c r="H714" s="789"/>
      <c r="I714" s="828">
        <f>SUM(I709:I713)</f>
        <v>-14250.144599999978</v>
      </c>
      <c r="N714" s="1035">
        <v>43489</v>
      </c>
      <c r="O714" s="1036">
        <f t="shared" ca="1" si="90"/>
        <v>-1683</v>
      </c>
    </row>
    <row r="715" spans="1:15" ht="16" hidden="1" outlineLevel="1" thickBot="1" x14ac:dyDescent="0.4">
      <c r="A715" s="879" t="s">
        <v>60</v>
      </c>
      <c r="B715" s="880"/>
      <c r="C715" s="902"/>
      <c r="D715" s="882">
        <v>765.78</v>
      </c>
      <c r="E715" s="883"/>
      <c r="F715" s="1037"/>
      <c r="N715" s="1033">
        <v>43503</v>
      </c>
      <c r="O715" s="1034">
        <f t="shared" ca="1" si="90"/>
        <v>-1669</v>
      </c>
    </row>
    <row r="716" spans="1:15" ht="19" hidden="1" outlineLevel="1" thickBot="1" x14ac:dyDescent="0.5">
      <c r="A716" s="726" t="s">
        <v>62</v>
      </c>
      <c r="B716" s="583"/>
      <c r="C716" s="584"/>
      <c r="D716" s="585">
        <f>SUM(D709:D715)-2</f>
        <v>294119.28750000009</v>
      </c>
      <c r="E716" s="771">
        <f>D716-D704</f>
        <v>-14248.134599999874</v>
      </c>
      <c r="F716" s="830">
        <f>(D716-D704)/D704</f>
        <v>-4.6205057923983196E-2</v>
      </c>
      <c r="G716" s="574"/>
      <c r="H716" s="727"/>
      <c r="I716" s="148"/>
      <c r="N716" s="1035">
        <v>43494</v>
      </c>
      <c r="O716" s="1036">
        <f t="shared" ca="1" si="90"/>
        <v>-1678</v>
      </c>
    </row>
    <row r="717" spans="1:15" hidden="1" outlineLevel="1" x14ac:dyDescent="0.35">
      <c r="N717" s="1033">
        <v>43509</v>
      </c>
      <c r="O717" s="1034">
        <f t="shared" ca="1" si="90"/>
        <v>-1663</v>
      </c>
    </row>
    <row r="718" spans="1:15" hidden="1" outlineLevel="1" x14ac:dyDescent="0.35">
      <c r="A718" s="701" t="s">
        <v>25</v>
      </c>
      <c r="B718" s="702" t="s">
        <v>26</v>
      </c>
      <c r="C718" s="703" t="s">
        <v>27</v>
      </c>
      <c r="D718" s="704">
        <f>D706+7</f>
        <v>43203</v>
      </c>
      <c r="E718" s="705" t="s">
        <v>28</v>
      </c>
      <c r="F718" s="511" t="s">
        <v>101</v>
      </c>
      <c r="G718" s="252">
        <v>17555</v>
      </c>
      <c r="H718" s="253">
        <f>(C719-G718)/G718</f>
        <v>0.38763884933067499</v>
      </c>
      <c r="N718" s="1033">
        <v>43524</v>
      </c>
      <c r="O718" s="1034">
        <f t="shared" ca="1" si="90"/>
        <v>-1648</v>
      </c>
    </row>
    <row r="719" spans="1:15" hidden="1" outlineLevel="1" x14ac:dyDescent="0.35">
      <c r="A719" s="706" t="s">
        <v>32</v>
      </c>
      <c r="B719" s="255" t="str">
        <f ca="1">TEXT(TODAY(),"ddd")</f>
        <v>Sun</v>
      </c>
      <c r="C719" s="256">
        <v>24360</v>
      </c>
      <c r="D719" s="322">
        <f>C719-C707</f>
        <v>428</v>
      </c>
      <c r="E719" s="707"/>
      <c r="F719" s="708"/>
      <c r="G719" s="801">
        <v>4766</v>
      </c>
      <c r="H719" s="685">
        <f>(C720-G719)/G719</f>
        <v>0.49097775912715064</v>
      </c>
      <c r="N719" s="1033">
        <v>43510</v>
      </c>
      <c r="O719" s="1034">
        <f t="shared" ca="1" si="90"/>
        <v>-1662</v>
      </c>
    </row>
    <row r="720" spans="1:15" ht="19" hidden="1" outlineLevel="1" thickBot="1" x14ac:dyDescent="0.5">
      <c r="A720" s="709" t="s">
        <v>36</v>
      </c>
      <c r="B720" s="263"/>
      <c r="C720" s="419">
        <v>7106</v>
      </c>
      <c r="D720" s="223">
        <f>C720-C708</f>
        <v>191</v>
      </c>
      <c r="E720" s="792">
        <f t="shared" ref="E720:E725" si="91">(C720-C708)/C708</f>
        <v>2.762111352133044E-2</v>
      </c>
      <c r="F720" s="617" t="s">
        <v>37</v>
      </c>
      <c r="G720" s="783" t="s">
        <v>143</v>
      </c>
      <c r="H720" s="784" t="s">
        <v>144</v>
      </c>
      <c r="N720" s="1033">
        <v>43500</v>
      </c>
      <c r="O720" s="1034">
        <f t="shared" ca="1" si="90"/>
        <v>-1672</v>
      </c>
    </row>
    <row r="721" spans="1:15" hidden="1" outlineLevel="1" x14ac:dyDescent="0.35">
      <c r="A721" s="879" t="s">
        <v>186</v>
      </c>
      <c r="B721" s="880">
        <v>250.786</v>
      </c>
      <c r="C721" s="902">
        <v>231.5</v>
      </c>
      <c r="D721" s="882">
        <f>C721*B721</f>
        <v>58056.959000000003</v>
      </c>
      <c r="E721" s="921">
        <f t="shared" si="91"/>
        <v>8.051341890315053E-2</v>
      </c>
      <c r="F721" s="793">
        <f t="shared" ref="F721:F726" si="92">D721/$D$572</f>
        <v>0.19428349429527678</v>
      </c>
      <c r="G721" s="794">
        <v>1.39</v>
      </c>
      <c r="H721" s="785" t="s">
        <v>145</v>
      </c>
      <c r="I721" s="518">
        <f>D721-D709</f>
        <v>4325.2015000000029</v>
      </c>
      <c r="N721" s="1033">
        <v>43491</v>
      </c>
      <c r="O721" s="1034">
        <f t="shared" ca="1" si="90"/>
        <v>-1681</v>
      </c>
    </row>
    <row r="722" spans="1:15" hidden="1" outlineLevel="1" x14ac:dyDescent="0.35">
      <c r="A722" s="859" t="s">
        <v>199</v>
      </c>
      <c r="B722" s="860">
        <v>200</v>
      </c>
      <c r="C722" s="897">
        <v>296.74</v>
      </c>
      <c r="D722" s="862">
        <f>C722*B722</f>
        <v>59348</v>
      </c>
      <c r="E722" s="923">
        <f t="shared" si="91"/>
        <v>3.6754943749563208E-2</v>
      </c>
      <c r="F722" s="795">
        <f t="shared" si="92"/>
        <v>0.19860387140559818</v>
      </c>
      <c r="G722" s="796">
        <v>0.59</v>
      </c>
      <c r="H722" s="785" t="s">
        <v>145</v>
      </c>
      <c r="I722" s="399">
        <f>D722-D710</f>
        <v>2103.9999999999927</v>
      </c>
    </row>
    <row r="723" spans="1:15" hidden="1" outlineLevel="1" x14ac:dyDescent="0.35">
      <c r="A723" s="879" t="s">
        <v>200</v>
      </c>
      <c r="B723" s="880">
        <v>250.595</v>
      </c>
      <c r="C723" s="902">
        <v>203.74</v>
      </c>
      <c r="D723" s="882">
        <f>C723*B723</f>
        <v>51056.225300000006</v>
      </c>
      <c r="E723" s="921">
        <f t="shared" si="91"/>
        <v>6.8659847888801487E-2</v>
      </c>
      <c r="F723" s="795">
        <f t="shared" si="92"/>
        <v>0.17085603565303714</v>
      </c>
      <c r="G723" s="794">
        <v>1.69</v>
      </c>
      <c r="H723" s="785" t="s">
        <v>146</v>
      </c>
      <c r="I723" s="399">
        <f>D723-D711</f>
        <v>3279.3353000000061</v>
      </c>
    </row>
    <row r="724" spans="1:15" hidden="1" outlineLevel="1" x14ac:dyDescent="0.35">
      <c r="A724" s="859" t="s">
        <v>201</v>
      </c>
      <c r="B724" s="860">
        <v>223</v>
      </c>
      <c r="C724" s="897">
        <v>414.63</v>
      </c>
      <c r="D724" s="862">
        <f>C724*B724</f>
        <v>92462.49</v>
      </c>
      <c r="E724" s="923">
        <f t="shared" si="91"/>
        <v>4.5593241709746525E-2</v>
      </c>
      <c r="F724" s="795">
        <f t="shared" si="92"/>
        <v>0.30941916279910708</v>
      </c>
      <c r="G724" s="794">
        <v>0.87</v>
      </c>
      <c r="H724" s="785" t="s">
        <v>145</v>
      </c>
      <c r="I724" s="399">
        <f>D724-D712</f>
        <v>4031.8399999999965</v>
      </c>
    </row>
    <row r="725" spans="1:15" hidden="1" outlineLevel="1" x14ac:dyDescent="0.35">
      <c r="A725" s="879" t="s">
        <v>202</v>
      </c>
      <c r="B725" s="880">
        <v>200</v>
      </c>
      <c r="C725" s="902">
        <v>230.36</v>
      </c>
      <c r="D725" s="882">
        <f>C725*B725</f>
        <v>46072</v>
      </c>
      <c r="E725" s="921">
        <f t="shared" si="91"/>
        <v>3.5465456016541622E-2</v>
      </c>
      <c r="F725" s="795">
        <f t="shared" si="92"/>
        <v>0.15417667930509402</v>
      </c>
      <c r="G725" s="794">
        <v>1.81</v>
      </c>
      <c r="H725" s="785" t="s">
        <v>149</v>
      </c>
      <c r="I725" s="399">
        <f>D725-D713</f>
        <v>1578</v>
      </c>
    </row>
    <row r="726" spans="1:15" ht="16" hidden="1" outlineLevel="1" thickBot="1" x14ac:dyDescent="0.4">
      <c r="A726" s="859" t="s">
        <v>7</v>
      </c>
      <c r="B726" s="860">
        <v>87.63</v>
      </c>
      <c r="C726" s="897">
        <v>19.5</v>
      </c>
      <c r="D726" s="862">
        <v>1695.16</v>
      </c>
      <c r="E726" s="923"/>
      <c r="F726" s="665">
        <f t="shared" si="92"/>
        <v>5.6727326725738662E-3</v>
      </c>
      <c r="G726" s="797">
        <f>AVERAGE(G721:G725)</f>
        <v>1.27</v>
      </c>
      <c r="H726" s="948"/>
      <c r="I726" s="502">
        <f>SUM(I721:I725)</f>
        <v>15318.376799999998</v>
      </c>
    </row>
    <row r="727" spans="1:15" ht="16" hidden="1" outlineLevel="1" thickBot="1" x14ac:dyDescent="0.4">
      <c r="A727" s="879" t="s">
        <v>60</v>
      </c>
      <c r="B727" s="880"/>
      <c r="C727" s="902"/>
      <c r="D727" s="882">
        <f>715.58+50.16</f>
        <v>765.74</v>
      </c>
      <c r="E727" s="921"/>
      <c r="F727" s="665"/>
    </row>
    <row r="728" spans="1:15" ht="19" hidden="1" outlineLevel="1" thickBot="1" x14ac:dyDescent="0.5">
      <c r="A728" s="726" t="s">
        <v>62</v>
      </c>
      <c r="B728" s="583"/>
      <c r="C728" s="584"/>
      <c r="D728" s="585">
        <f>SUM(D721:D727)</f>
        <v>309456.57429999998</v>
      </c>
      <c r="E728" s="780">
        <f>D728-D716</f>
        <v>15337.286799999885</v>
      </c>
      <c r="F728" s="792">
        <f>(D728-D716)/D716</f>
        <v>5.2146484272983559E-2</v>
      </c>
      <c r="G728" s="574"/>
      <c r="H728" s="727"/>
      <c r="I728" s="148"/>
      <c r="N728" s="1031" t="s">
        <v>43</v>
      </c>
      <c r="O728" s="1032" t="s">
        <v>198</v>
      </c>
    </row>
    <row r="729" spans="1:15" hidden="1" outlineLevel="1" x14ac:dyDescent="0.35">
      <c r="N729" s="1033">
        <v>43522</v>
      </c>
      <c r="O729" s="1034">
        <f t="shared" ref="O729:O737" ca="1" si="93">N729-TODAY()</f>
        <v>-1650</v>
      </c>
    </row>
    <row r="730" spans="1:15" hidden="1" outlineLevel="1" x14ac:dyDescent="0.35">
      <c r="A730" s="701" t="s">
        <v>25</v>
      </c>
      <c r="B730" s="702" t="s">
        <v>26</v>
      </c>
      <c r="C730" s="703" t="s">
        <v>27</v>
      </c>
      <c r="D730" s="704">
        <f>D718+7</f>
        <v>43210</v>
      </c>
      <c r="E730" s="705" t="s">
        <v>28</v>
      </c>
      <c r="F730" s="511" t="s">
        <v>101</v>
      </c>
      <c r="G730" s="252">
        <v>17555</v>
      </c>
      <c r="H730" s="253">
        <f>(C731-G730)/G730</f>
        <v>0.39344915978353745</v>
      </c>
      <c r="N730" s="1033">
        <v>43510</v>
      </c>
      <c r="O730" s="1034">
        <f t="shared" ca="1" si="93"/>
        <v>-1662</v>
      </c>
    </row>
    <row r="731" spans="1:15" hidden="1" outlineLevel="1" x14ac:dyDescent="0.35">
      <c r="A731" s="706" t="s">
        <v>32</v>
      </c>
      <c r="B731" s="255" t="str">
        <f ca="1">TEXT(TODAY(),"ddd")</f>
        <v>Sun</v>
      </c>
      <c r="C731" s="256">
        <v>24462</v>
      </c>
      <c r="D731" s="322">
        <f>C731-C719</f>
        <v>102</v>
      </c>
      <c r="E731" s="707"/>
      <c r="F731" s="708"/>
      <c r="G731" s="801">
        <v>4766</v>
      </c>
      <c r="H731" s="685">
        <f>(C732-G731)/G731</f>
        <v>0.49937054133445236</v>
      </c>
      <c r="N731" s="1035">
        <v>43489</v>
      </c>
      <c r="O731" s="1036">
        <f t="shared" ca="1" si="93"/>
        <v>-1683</v>
      </c>
    </row>
    <row r="732" spans="1:15" ht="19" hidden="1" outlineLevel="1" thickBot="1" x14ac:dyDescent="0.5">
      <c r="A732" s="709" t="s">
        <v>36</v>
      </c>
      <c r="B732" s="263"/>
      <c r="C732" s="419">
        <v>7146</v>
      </c>
      <c r="D732" s="223">
        <f>C732-C720</f>
        <v>40</v>
      </c>
      <c r="E732" s="792">
        <f t="shared" ref="E732:E737" si="94">(C732-C720)/C720</f>
        <v>5.6290458767238949E-3</v>
      </c>
      <c r="F732" s="617" t="s">
        <v>37</v>
      </c>
      <c r="G732" s="783" t="s">
        <v>143</v>
      </c>
      <c r="H732" s="784" t="s">
        <v>144</v>
      </c>
      <c r="N732" s="1033">
        <v>43503</v>
      </c>
      <c r="O732" s="1034">
        <f t="shared" ca="1" si="93"/>
        <v>-1669</v>
      </c>
    </row>
    <row r="733" spans="1:15" hidden="1" outlineLevel="1" x14ac:dyDescent="0.35">
      <c r="A733" s="879" t="s">
        <v>186</v>
      </c>
      <c r="B733" s="880">
        <v>250.786</v>
      </c>
      <c r="C733" s="902">
        <v>228.71</v>
      </c>
      <c r="D733" s="882">
        <f>C733*B733</f>
        <v>57357.266060000002</v>
      </c>
      <c r="E733" s="883">
        <f t="shared" si="94"/>
        <v>-1.2051835853131715E-2</v>
      </c>
      <c r="F733" s="793">
        <f t="shared" ref="F733:F738" si="95">D733/$D$572</f>
        <v>0.19194202151305723</v>
      </c>
      <c r="G733" s="794">
        <v>1.39</v>
      </c>
      <c r="H733" s="785" t="s">
        <v>145</v>
      </c>
      <c r="I733" s="398">
        <f>D733-D721</f>
        <v>-699.69294000000082</v>
      </c>
      <c r="N733" s="1033">
        <v>43509</v>
      </c>
      <c r="O733" s="1034">
        <f t="shared" ca="1" si="93"/>
        <v>-1663</v>
      </c>
    </row>
    <row r="734" spans="1:15" hidden="1" outlineLevel="1" x14ac:dyDescent="0.35">
      <c r="A734" s="859" t="s">
        <v>187</v>
      </c>
      <c r="B734" s="860">
        <v>200</v>
      </c>
      <c r="C734" s="897">
        <v>305.92</v>
      </c>
      <c r="D734" s="862">
        <f>C734*B734</f>
        <v>61184</v>
      </c>
      <c r="E734" s="923">
        <f t="shared" si="94"/>
        <v>3.0936173080811508E-2</v>
      </c>
      <c r="F734" s="795">
        <f t="shared" si="95"/>
        <v>0.20474791514592097</v>
      </c>
      <c r="G734" s="796">
        <v>0.59</v>
      </c>
      <c r="H734" s="785" t="s">
        <v>145</v>
      </c>
      <c r="I734" s="399">
        <f>D734-D722</f>
        <v>1836</v>
      </c>
      <c r="N734" s="1035">
        <v>43494</v>
      </c>
      <c r="O734" s="1036">
        <f t="shared" ca="1" si="93"/>
        <v>-1678</v>
      </c>
    </row>
    <row r="735" spans="1:15" hidden="1" outlineLevel="1" x14ac:dyDescent="0.35">
      <c r="A735" s="879" t="s">
        <v>135</v>
      </c>
      <c r="B735" s="880">
        <v>250.595</v>
      </c>
      <c r="C735" s="902">
        <v>191.91</v>
      </c>
      <c r="D735" s="882">
        <f>C735*B735</f>
        <v>48091.686450000001</v>
      </c>
      <c r="E735" s="883">
        <f t="shared" si="94"/>
        <v>-5.8064199469912696E-2</v>
      </c>
      <c r="F735" s="795">
        <f t="shared" si="95"/>
        <v>0.16093541671824069</v>
      </c>
      <c r="G735" s="794">
        <v>1.69</v>
      </c>
      <c r="H735" s="785" t="s">
        <v>203</v>
      </c>
      <c r="I735" s="542">
        <f>D735-D723</f>
        <v>-2964.5388500000045</v>
      </c>
      <c r="N735" s="1033">
        <v>43524</v>
      </c>
      <c r="O735" s="1034">
        <f t="shared" ca="1" si="93"/>
        <v>-1648</v>
      </c>
    </row>
    <row r="736" spans="1:15" hidden="1" outlineLevel="1" x14ac:dyDescent="0.35">
      <c r="A736" s="859" t="s">
        <v>96</v>
      </c>
      <c r="B736" s="860">
        <v>223</v>
      </c>
      <c r="C736" s="897">
        <v>456.27</v>
      </c>
      <c r="D736" s="862">
        <f>C736*B736</f>
        <v>101748.20999999999</v>
      </c>
      <c r="E736" s="923">
        <f t="shared" si="94"/>
        <v>0.10042688662180736</v>
      </c>
      <c r="F736" s="795">
        <f t="shared" si="95"/>
        <v>0.34049316598014756</v>
      </c>
      <c r="G736" s="794">
        <v>0.87</v>
      </c>
      <c r="H736" s="785" t="s">
        <v>145</v>
      </c>
      <c r="I736" s="399">
        <f>D736-D724</f>
        <v>9285.7199999999866</v>
      </c>
      <c r="N736" s="1038">
        <v>43500</v>
      </c>
      <c r="O736" s="1039">
        <f t="shared" ca="1" si="93"/>
        <v>-1672</v>
      </c>
    </row>
    <row r="737" spans="1:15" hidden="1" outlineLevel="1" x14ac:dyDescent="0.35">
      <c r="A737" s="879" t="s">
        <v>204</v>
      </c>
      <c r="B737" s="880">
        <v>200</v>
      </c>
      <c r="C737" s="902">
        <v>232.13</v>
      </c>
      <c r="D737" s="882">
        <f>C737*B737</f>
        <v>46426</v>
      </c>
      <c r="E737" s="921">
        <f t="shared" si="94"/>
        <v>7.6836256294494781E-3</v>
      </c>
      <c r="F737" s="795">
        <f t="shared" si="95"/>
        <v>0.15536131518966606</v>
      </c>
      <c r="G737" s="794">
        <v>1.81</v>
      </c>
      <c r="H737" s="785" t="s">
        <v>149</v>
      </c>
      <c r="I737" s="399">
        <f>D737-D725</f>
        <v>354</v>
      </c>
      <c r="N737" s="1038">
        <v>43491</v>
      </c>
      <c r="O737" s="1039">
        <f t="shared" ca="1" si="93"/>
        <v>-1681</v>
      </c>
    </row>
    <row r="738" spans="1:15" ht="16" hidden="1" outlineLevel="1" thickBot="1" x14ac:dyDescent="0.4">
      <c r="A738" s="859" t="s">
        <v>7</v>
      </c>
      <c r="B738" s="860">
        <v>87.63</v>
      </c>
      <c r="C738" s="897">
        <v>19.5</v>
      </c>
      <c r="D738" s="862">
        <v>1704.07</v>
      </c>
      <c r="E738" s="923"/>
      <c r="F738" s="665">
        <f t="shared" si="95"/>
        <v>5.7025493554313149E-3</v>
      </c>
      <c r="G738" s="797">
        <f>AVERAGE(G733:G737)</f>
        <v>1.27</v>
      </c>
      <c r="H738" s="789"/>
      <c r="I738" s="502">
        <f>SUM(I733:I737)</f>
        <v>7811.4882099999813</v>
      </c>
    </row>
    <row r="739" spans="1:15" ht="16" hidden="1" outlineLevel="1" thickBot="1" x14ac:dyDescent="0.4">
      <c r="A739" s="879" t="s">
        <v>60</v>
      </c>
      <c r="B739" s="880"/>
      <c r="C739" s="902"/>
      <c r="D739" s="882">
        <f>715.58+50.16</f>
        <v>765.74</v>
      </c>
      <c r="E739" s="921"/>
      <c r="F739" s="665"/>
    </row>
    <row r="740" spans="1:15" ht="19" hidden="1" outlineLevel="1" thickBot="1" x14ac:dyDescent="0.5">
      <c r="A740" s="726" t="s">
        <v>62</v>
      </c>
      <c r="B740" s="583"/>
      <c r="C740" s="584"/>
      <c r="D740" s="585">
        <f>SUM(D733:D739)</f>
        <v>317276.97250999999</v>
      </c>
      <c r="E740" s="780">
        <f>D740-D728</f>
        <v>7820.3982100000139</v>
      </c>
      <c r="F740" s="792">
        <f>(D740-D728)/D728</f>
        <v>2.5271391398583108E-2</v>
      </c>
      <c r="G740" s="574"/>
      <c r="H740" s="727"/>
      <c r="I740" s="148"/>
    </row>
    <row r="741" spans="1:15" hidden="1" outlineLevel="1" x14ac:dyDescent="0.35"/>
    <row r="742" spans="1:15" hidden="1" outlineLevel="1" x14ac:dyDescent="0.35">
      <c r="A742" s="701" t="s">
        <v>25</v>
      </c>
      <c r="B742" s="702" t="s">
        <v>26</v>
      </c>
      <c r="C742" s="703" t="s">
        <v>27</v>
      </c>
      <c r="D742" s="704">
        <f>D730+7</f>
        <v>43217</v>
      </c>
      <c r="E742" s="705" t="s">
        <v>28</v>
      </c>
      <c r="F742" s="511" t="s">
        <v>101</v>
      </c>
      <c r="G742" s="252">
        <v>17555</v>
      </c>
      <c r="H742" s="253">
        <f>(C743-G742)/G742</f>
        <v>0.38484762176018228</v>
      </c>
    </row>
    <row r="743" spans="1:15" hidden="1" outlineLevel="1" x14ac:dyDescent="0.35">
      <c r="A743" s="706" t="s">
        <v>32</v>
      </c>
      <c r="B743" s="255" t="str">
        <f ca="1">TEXT(TODAY(),"ddd")</f>
        <v>Sun</v>
      </c>
      <c r="C743" s="256">
        <v>24311</v>
      </c>
      <c r="D743" s="257">
        <f>C743-C731</f>
        <v>-151</v>
      </c>
      <c r="E743" s="707"/>
      <c r="F743" s="708"/>
      <c r="G743" s="801">
        <v>4766</v>
      </c>
      <c r="H743" s="685">
        <f>(C744-G743)/G743</f>
        <v>0.49370541334452372</v>
      </c>
    </row>
    <row r="744" spans="1:15" ht="19" hidden="1" outlineLevel="1" thickBot="1" x14ac:dyDescent="0.5">
      <c r="A744" s="709" t="s">
        <v>36</v>
      </c>
      <c r="B744" s="263"/>
      <c r="C744" s="419">
        <v>7119</v>
      </c>
      <c r="D744" s="264">
        <f>C744-C732</f>
        <v>-27</v>
      </c>
      <c r="E744" s="792">
        <f t="shared" ref="E744:E749" si="96">(C744-C732)/C732</f>
        <v>-3.778337531486146E-3</v>
      </c>
      <c r="F744" s="617" t="s">
        <v>37</v>
      </c>
      <c r="G744" s="783" t="s">
        <v>143</v>
      </c>
      <c r="H744" s="784" t="s">
        <v>144</v>
      </c>
      <c r="N744" s="1031" t="s">
        <v>43</v>
      </c>
      <c r="O744" s="1032" t="s">
        <v>198</v>
      </c>
    </row>
    <row r="745" spans="1:15" hidden="1" outlineLevel="1" x14ac:dyDescent="0.35">
      <c r="A745" s="879" t="s">
        <v>205</v>
      </c>
      <c r="B745" s="880">
        <v>250.786</v>
      </c>
      <c r="C745" s="902">
        <v>226.33</v>
      </c>
      <c r="D745" s="882">
        <f>C745*B745</f>
        <v>56760.395380000002</v>
      </c>
      <c r="E745" s="883">
        <f t="shared" si="96"/>
        <v>-1.0406191246556755E-2</v>
      </c>
      <c r="F745" s="793">
        <f t="shared" ref="F745:F750" si="97">D745/$D$572</f>
        <v>0.18994463612894164</v>
      </c>
      <c r="G745" s="794">
        <v>1.39</v>
      </c>
      <c r="H745" s="785" t="s">
        <v>145</v>
      </c>
      <c r="I745" s="398">
        <f>D745-D733</f>
        <v>-596.87067999999999</v>
      </c>
      <c r="N745" s="1033">
        <v>43522</v>
      </c>
      <c r="O745" s="1034">
        <f t="shared" ref="O745:O753" ca="1" si="98">N745-TODAY()</f>
        <v>-1650</v>
      </c>
    </row>
    <row r="746" spans="1:15" hidden="1" outlineLevel="1" x14ac:dyDescent="0.35">
      <c r="A746" s="859" t="s">
        <v>206</v>
      </c>
      <c r="B746" s="860">
        <v>200</v>
      </c>
      <c r="C746" s="897">
        <v>301.74</v>
      </c>
      <c r="D746" s="862">
        <f>C746*B746</f>
        <v>60348</v>
      </c>
      <c r="E746" s="863">
        <f t="shared" si="96"/>
        <v>-1.3663702928870314E-2</v>
      </c>
      <c r="F746" s="795">
        <f t="shared" si="97"/>
        <v>0.20195030045806159</v>
      </c>
      <c r="G746" s="796">
        <v>0.59</v>
      </c>
      <c r="H746" s="785" t="s">
        <v>145</v>
      </c>
      <c r="I746" s="400">
        <f>D746-D734</f>
        <v>-836</v>
      </c>
      <c r="N746" s="1033">
        <v>43510</v>
      </c>
      <c r="O746" s="1034">
        <f t="shared" ca="1" si="98"/>
        <v>-1662</v>
      </c>
    </row>
    <row r="747" spans="1:15" hidden="1" outlineLevel="1" x14ac:dyDescent="0.35">
      <c r="A747" s="879" t="s">
        <v>135</v>
      </c>
      <c r="B747" s="880">
        <v>250.595</v>
      </c>
      <c r="C747" s="902">
        <v>187.26</v>
      </c>
      <c r="D747" s="882">
        <f>C747*B747</f>
        <v>46926.419699999999</v>
      </c>
      <c r="E747" s="883">
        <f t="shared" si="96"/>
        <v>-2.4230107863060839E-2</v>
      </c>
      <c r="F747" s="795">
        <f t="shared" si="97"/>
        <v>0.15703593421217107</v>
      </c>
      <c r="G747" s="794">
        <v>1.69</v>
      </c>
      <c r="H747" s="785" t="s">
        <v>146</v>
      </c>
      <c r="I747" s="542">
        <f>D747-D735</f>
        <v>-1165.2667500000025</v>
      </c>
      <c r="N747" s="1035">
        <v>43489</v>
      </c>
      <c r="O747" s="1036">
        <f t="shared" ca="1" si="98"/>
        <v>-1683</v>
      </c>
    </row>
    <row r="748" spans="1:15" hidden="1" outlineLevel="1" x14ac:dyDescent="0.35">
      <c r="A748" s="859" t="s">
        <v>96</v>
      </c>
      <c r="B748" s="860">
        <v>223</v>
      </c>
      <c r="C748" s="897">
        <v>447.03</v>
      </c>
      <c r="D748" s="862">
        <f>C748*B748</f>
        <v>99687.689999999988</v>
      </c>
      <c r="E748" s="863">
        <f t="shared" si="96"/>
        <v>-2.0251167072128366E-2</v>
      </c>
      <c r="F748" s="795">
        <f t="shared" si="97"/>
        <v>0.33359778198896561</v>
      </c>
      <c r="G748" s="794">
        <v>0.87</v>
      </c>
      <c r="H748" s="785" t="s">
        <v>145</v>
      </c>
      <c r="I748" s="542">
        <f>D748-D736</f>
        <v>-2060.5200000000041</v>
      </c>
      <c r="N748" s="1033">
        <v>43496</v>
      </c>
      <c r="O748" s="1034">
        <f t="shared" ca="1" si="98"/>
        <v>-1676</v>
      </c>
    </row>
    <row r="749" spans="1:15" ht="16" hidden="1" outlineLevel="1" thickBot="1" x14ac:dyDescent="0.4">
      <c r="A749" s="879" t="s">
        <v>204</v>
      </c>
      <c r="B749" s="880">
        <v>200</v>
      </c>
      <c r="C749" s="902">
        <v>212</v>
      </c>
      <c r="D749" s="882">
        <f>C749*B749</f>
        <v>42400</v>
      </c>
      <c r="E749" s="883">
        <f t="shared" si="96"/>
        <v>-8.6718649032869494E-2</v>
      </c>
      <c r="F749" s="795">
        <f t="shared" si="97"/>
        <v>0.14188859182444838</v>
      </c>
      <c r="G749" s="794">
        <v>1.81</v>
      </c>
      <c r="H749" s="785" t="s">
        <v>149</v>
      </c>
      <c r="I749" s="592">
        <f>D749-D737</f>
        <v>-4026</v>
      </c>
      <c r="N749" s="1033">
        <v>43509</v>
      </c>
      <c r="O749" s="1034">
        <f t="shared" ca="1" si="98"/>
        <v>-1663</v>
      </c>
    </row>
    <row r="750" spans="1:15" ht="16" hidden="1" outlineLevel="1" thickBot="1" x14ac:dyDescent="0.4">
      <c r="A750" s="859" t="s">
        <v>7</v>
      </c>
      <c r="B750" s="860">
        <v>87.63</v>
      </c>
      <c r="C750" s="897">
        <v>19.5</v>
      </c>
      <c r="D750" s="862">
        <v>1689.5</v>
      </c>
      <c r="E750" s="923"/>
      <c r="F750" s="665">
        <f t="shared" si="97"/>
        <v>5.6537918841369234E-3</v>
      </c>
      <c r="G750" s="797">
        <f>AVERAGE(G745:G749)</f>
        <v>1.27</v>
      </c>
      <c r="H750" s="948"/>
      <c r="I750" s="592">
        <f>SUM(I745:I749)</f>
        <v>-8684.6574300000066</v>
      </c>
      <c r="N750" s="1035">
        <v>43494</v>
      </c>
      <c r="O750" s="1036">
        <f t="shared" ca="1" si="98"/>
        <v>-1678</v>
      </c>
    </row>
    <row r="751" spans="1:15" ht="16" hidden="1" outlineLevel="1" thickBot="1" x14ac:dyDescent="0.4">
      <c r="A751" s="879" t="s">
        <v>60</v>
      </c>
      <c r="B751" s="880"/>
      <c r="C751" s="902"/>
      <c r="D751" s="882">
        <f>715.58+50.16</f>
        <v>765.74</v>
      </c>
      <c r="E751" s="921"/>
      <c r="F751" s="665"/>
      <c r="N751" s="1033">
        <v>43524</v>
      </c>
      <c r="O751" s="1034">
        <f t="shared" ca="1" si="98"/>
        <v>-1648</v>
      </c>
    </row>
    <row r="752" spans="1:15" ht="19" hidden="1" outlineLevel="1" thickBot="1" x14ac:dyDescent="0.5">
      <c r="A752" s="726" t="s">
        <v>62</v>
      </c>
      <c r="B752" s="583"/>
      <c r="C752" s="584"/>
      <c r="D752" s="585">
        <f>SUM(D745:D751)</f>
        <v>308577.74507999996</v>
      </c>
      <c r="E752" s="771">
        <f>D752-D740</f>
        <v>-8699.2274300000281</v>
      </c>
      <c r="F752" s="907">
        <f>(D752-D740)/D740</f>
        <v>-2.7418401534721668E-2</v>
      </c>
      <c r="G752" s="574">
        <f>E752/1333</f>
        <v>-6.5260520855214015</v>
      </c>
      <c r="H752" s="682"/>
      <c r="I752" s="148"/>
      <c r="N752" s="1038">
        <v>43500</v>
      </c>
      <c r="O752" s="1039">
        <f t="shared" ca="1" si="98"/>
        <v>-1672</v>
      </c>
    </row>
    <row r="753" spans="1:15" hidden="1" outlineLevel="1" x14ac:dyDescent="0.35">
      <c r="N753" s="1038">
        <v>43489</v>
      </c>
      <c r="O753" s="1039">
        <f t="shared" ca="1" si="98"/>
        <v>-1683</v>
      </c>
    </row>
    <row r="754" spans="1:15" hidden="1" outlineLevel="1" x14ac:dyDescent="0.35">
      <c r="A754" s="701" t="s">
        <v>25</v>
      </c>
      <c r="B754" s="702" t="s">
        <v>26</v>
      </c>
      <c r="C754" s="703" t="s">
        <v>27</v>
      </c>
      <c r="D754" s="704">
        <f>D742+7</f>
        <v>43224</v>
      </c>
      <c r="E754" s="705" t="s">
        <v>28</v>
      </c>
      <c r="F754" s="511" t="s">
        <v>101</v>
      </c>
      <c r="G754" s="252">
        <v>17555</v>
      </c>
      <c r="H754" s="253">
        <f>(C755-G754)/G754</f>
        <v>0.38205639418968956</v>
      </c>
    </row>
    <row r="755" spans="1:15" hidden="1" outlineLevel="1" x14ac:dyDescent="0.35">
      <c r="A755" s="706" t="s">
        <v>32</v>
      </c>
      <c r="B755" s="255" t="str">
        <f ca="1">TEXT(TODAY(),"ddd")</f>
        <v>Sun</v>
      </c>
      <c r="C755" s="256">
        <v>24262</v>
      </c>
      <c r="D755" s="322">
        <f>C755-C743</f>
        <v>-49</v>
      </c>
      <c r="E755" s="707"/>
      <c r="F755" s="708"/>
      <c r="G755" s="801">
        <v>4766</v>
      </c>
      <c r="H755" s="685">
        <f>(C756-G755)/G755</f>
        <v>0.51258917331095255</v>
      </c>
    </row>
    <row r="756" spans="1:15" ht="19" hidden="1" outlineLevel="1" thickBot="1" x14ac:dyDescent="0.5">
      <c r="A756" s="709" t="s">
        <v>36</v>
      </c>
      <c r="B756" s="263"/>
      <c r="C756" s="419">
        <v>7209</v>
      </c>
      <c r="D756" s="223">
        <f>C756-C744</f>
        <v>90</v>
      </c>
      <c r="E756" s="792">
        <f>(C756-C744)/C744</f>
        <v>1.2642225031605562E-2</v>
      </c>
      <c r="F756" s="617" t="s">
        <v>37</v>
      </c>
      <c r="G756" s="783" t="s">
        <v>143</v>
      </c>
      <c r="H756" s="784" t="s">
        <v>144</v>
      </c>
    </row>
    <row r="757" spans="1:15" hidden="1" outlineLevel="1" x14ac:dyDescent="0.35">
      <c r="A757" s="879" t="s">
        <v>205</v>
      </c>
      <c r="B757" s="880">
        <v>250.786</v>
      </c>
      <c r="C757" s="902">
        <v>239.06</v>
      </c>
      <c r="D757" s="882">
        <f>C757*B757</f>
        <v>59952.901160000001</v>
      </c>
      <c r="E757" s="921">
        <f>(C757-C745)/C745</f>
        <v>5.6245305527327302E-2</v>
      </c>
      <c r="F757" s="793">
        <f t="shared" ref="F757:F762" si="99">D757/$D$572</f>
        <v>0.200628130221291</v>
      </c>
      <c r="G757" s="794">
        <v>1.39</v>
      </c>
      <c r="H757" s="785" t="s">
        <v>192</v>
      </c>
      <c r="I757" s="518">
        <f>D757-D745</f>
        <v>3192.5057799999995</v>
      </c>
    </row>
    <row r="758" spans="1:15" hidden="1" outlineLevel="1" x14ac:dyDescent="0.35">
      <c r="A758" s="859" t="s">
        <v>137</v>
      </c>
      <c r="B758" s="860">
        <v>336</v>
      </c>
      <c r="C758" s="897">
        <v>349.28</v>
      </c>
      <c r="D758" s="862">
        <f>C758*B758</f>
        <v>117358.07999999999</v>
      </c>
      <c r="E758" s="923">
        <f>(C758-C746)/C746</f>
        <v>0.1575528600782129</v>
      </c>
      <c r="F758" s="795">
        <f t="shared" si="99"/>
        <v>0.39273048845332448</v>
      </c>
      <c r="G758" s="796">
        <v>0.59</v>
      </c>
      <c r="H758" s="785" t="s">
        <v>145</v>
      </c>
      <c r="I758" s="523">
        <f>(C758-C746)*B758</f>
        <v>15973.439999999988</v>
      </c>
    </row>
    <row r="759" spans="1:15" hidden="1" outlineLevel="1" x14ac:dyDescent="0.35">
      <c r="A759" s="879" t="s">
        <v>96</v>
      </c>
      <c r="B759" s="880">
        <v>223</v>
      </c>
      <c r="C759" s="902">
        <v>460.42</v>
      </c>
      <c r="D759" s="882">
        <f>C759*B759</f>
        <v>102673.66</v>
      </c>
      <c r="E759" s="921">
        <f>(C759-C748)/C748</f>
        <v>2.9953246985661017E-2</v>
      </c>
      <c r="F759" s="795">
        <f t="shared" si="99"/>
        <v>0.34359011874674983</v>
      </c>
      <c r="G759" s="794">
        <v>0.87</v>
      </c>
      <c r="H759" s="785" t="s">
        <v>145</v>
      </c>
      <c r="I759" s="399">
        <f>D759-D748</f>
        <v>2985.9700000000157</v>
      </c>
    </row>
    <row r="760" spans="1:15" hidden="1" outlineLevel="1" x14ac:dyDescent="0.35">
      <c r="A760" s="859" t="s">
        <v>152</v>
      </c>
      <c r="B760" s="860">
        <v>200</v>
      </c>
      <c r="C760" s="897">
        <v>233.36</v>
      </c>
      <c r="D760" s="862">
        <f>C760*B760</f>
        <v>46672</v>
      </c>
      <c r="E760" s="923">
        <f>(C760-C749)/C749</f>
        <v>0.10075471698113214</v>
      </c>
      <c r="F760" s="795">
        <f t="shared" si="99"/>
        <v>0.15618453673657204</v>
      </c>
      <c r="G760" s="794">
        <v>1.81</v>
      </c>
      <c r="H760" s="785" t="s">
        <v>192</v>
      </c>
      <c r="I760" s="399">
        <f>D760-D749</f>
        <v>4272</v>
      </c>
      <c r="N760" s="1031" t="s">
        <v>43</v>
      </c>
      <c r="O760" s="1032" t="s">
        <v>198</v>
      </c>
    </row>
    <row r="761" spans="1:15" ht="16" hidden="1" outlineLevel="1" thickBot="1" x14ac:dyDescent="0.4">
      <c r="A761" s="879" t="s">
        <v>135</v>
      </c>
      <c r="B761" s="880">
        <v>25.594999999999999</v>
      </c>
      <c r="C761" s="902">
        <v>189.43</v>
      </c>
      <c r="D761" s="882">
        <f>C761*B761</f>
        <v>4848.4608500000004</v>
      </c>
      <c r="E761" s="921">
        <f>(C761-C747)/C747</f>
        <v>1.1588166186051565E-2</v>
      </c>
      <c r="F761" s="795">
        <f t="shared" si="99"/>
        <v>1.6225030248171419E-2</v>
      </c>
      <c r="G761" s="794">
        <v>1.69</v>
      </c>
      <c r="H761" s="785" t="s">
        <v>146</v>
      </c>
      <c r="I761" s="786"/>
      <c r="N761" s="1033">
        <v>43510</v>
      </c>
      <c r="O761" s="1034">
        <f ca="1">N761-TODAY()</f>
        <v>-1662</v>
      </c>
    </row>
    <row r="762" spans="1:15" ht="16" hidden="1" outlineLevel="1" thickBot="1" x14ac:dyDescent="0.4">
      <c r="A762" s="859" t="s">
        <v>7</v>
      </c>
      <c r="B762" s="860"/>
      <c r="C762" s="897"/>
      <c r="D762" s="862">
        <v>1684.13</v>
      </c>
      <c r="E762" s="923"/>
      <c r="F762" s="665">
        <f t="shared" si="99"/>
        <v>5.6358215601251946E-3</v>
      </c>
      <c r="G762" s="797">
        <f>AVERAGE(G757:G761)</f>
        <v>1.27</v>
      </c>
      <c r="H762" s="948"/>
      <c r="I762" s="786">
        <f>SUM(I757:I761)</f>
        <v>26423.915780000003</v>
      </c>
      <c r="N762" s="1033">
        <v>43509</v>
      </c>
      <c r="O762" s="1034">
        <f ca="1">N762-TODAY()</f>
        <v>-1663</v>
      </c>
    </row>
    <row r="763" spans="1:15" ht="16" hidden="1" outlineLevel="1" thickBot="1" x14ac:dyDescent="0.4">
      <c r="A763" s="879" t="s">
        <v>60</v>
      </c>
      <c r="B763" s="880"/>
      <c r="C763" s="902"/>
      <c r="D763" s="882">
        <f>980.75</f>
        <v>980.75</v>
      </c>
      <c r="E763" s="921"/>
      <c r="F763" s="665"/>
      <c r="N763" s="1040">
        <v>43489</v>
      </c>
      <c r="O763" s="1041"/>
    </row>
    <row r="764" spans="1:15" ht="19" hidden="1" outlineLevel="1" thickBot="1" x14ac:dyDescent="0.5">
      <c r="A764" s="726" t="s">
        <v>62</v>
      </c>
      <c r="B764" s="583"/>
      <c r="C764" s="584"/>
      <c r="D764" s="585">
        <f>SUM(D757:D763)</f>
        <v>334169.98200999998</v>
      </c>
      <c r="E764" s="780">
        <f>D764-D752</f>
        <v>25592.236930000014</v>
      </c>
      <c r="F764" s="792">
        <f>(D764-D752)/D752</f>
        <v>8.2936107149804747E-2</v>
      </c>
      <c r="G764" s="574">
        <f>E764/1333</f>
        <v>19.198977441860475</v>
      </c>
      <c r="H764" s="727"/>
      <c r="I764" s="148"/>
      <c r="N764" s="1040">
        <v>43496</v>
      </c>
      <c r="O764" s="1041">
        <f ca="1">N764-TODAY()</f>
        <v>-1676</v>
      </c>
    </row>
    <row r="765" spans="1:15" hidden="1" outlineLevel="1" x14ac:dyDescent="0.35">
      <c r="N765" s="1033">
        <v>43522</v>
      </c>
      <c r="O765" s="1034">
        <f ca="1">N765-TODAY()</f>
        <v>-1650</v>
      </c>
    </row>
    <row r="766" spans="1:15" hidden="1" outlineLevel="1" x14ac:dyDescent="0.35">
      <c r="A766" s="701" t="s">
        <v>25</v>
      </c>
      <c r="B766" s="702" t="s">
        <v>26</v>
      </c>
      <c r="C766" s="703" t="s">
        <v>27</v>
      </c>
      <c r="D766" s="704">
        <f>D754+7</f>
        <v>43231</v>
      </c>
      <c r="E766" s="705" t="s">
        <v>28</v>
      </c>
      <c r="F766" s="511" t="s">
        <v>101</v>
      </c>
      <c r="G766" s="252">
        <v>17555</v>
      </c>
      <c r="H766" s="253">
        <f>(C767-G766)/G766</f>
        <v>0.41441184847621759</v>
      </c>
      <c r="N766" s="1040">
        <v>43494</v>
      </c>
      <c r="O766" s="1041">
        <f ca="1">N766-TODAY()</f>
        <v>-1678</v>
      </c>
    </row>
    <row r="767" spans="1:15" hidden="1" outlineLevel="1" x14ac:dyDescent="0.35">
      <c r="A767" s="706" t="s">
        <v>32</v>
      </c>
      <c r="B767" s="255" t="str">
        <f ca="1">TEXT(TODAY(),"ddd")</f>
        <v>Sun</v>
      </c>
      <c r="C767" s="256">
        <v>24830</v>
      </c>
      <c r="D767" s="322">
        <f>C767-C755</f>
        <v>568</v>
      </c>
      <c r="E767" s="707"/>
      <c r="F767" s="708"/>
      <c r="G767" s="801">
        <v>4766</v>
      </c>
      <c r="H767" s="685">
        <f>(C768-G767)/G767</f>
        <v>0.5530843474611834</v>
      </c>
      <c r="N767" s="1040">
        <v>43500</v>
      </c>
      <c r="O767" s="1041">
        <f ca="1">N767-TODAY()</f>
        <v>-1672</v>
      </c>
    </row>
    <row r="768" spans="1:15" ht="19" hidden="1" outlineLevel="1" thickBot="1" x14ac:dyDescent="0.5">
      <c r="A768" s="709" t="s">
        <v>36</v>
      </c>
      <c r="B768" s="263"/>
      <c r="C768" s="419">
        <v>7402</v>
      </c>
      <c r="D768" s="223">
        <f>C768-C756</f>
        <v>193</v>
      </c>
      <c r="E768" s="792">
        <f>(C768-C756)/C756</f>
        <v>2.6772090442502429E-2</v>
      </c>
      <c r="F768" s="617" t="s">
        <v>37</v>
      </c>
      <c r="G768" s="783" t="s">
        <v>143</v>
      </c>
      <c r="H768" s="784" t="s">
        <v>144</v>
      </c>
      <c r="N768" s="1040">
        <v>43489</v>
      </c>
      <c r="O768" s="1041"/>
    </row>
    <row r="769" spans="1:15" hidden="1" outlineLevel="1" x14ac:dyDescent="0.35">
      <c r="A769" s="859" t="s">
        <v>137</v>
      </c>
      <c r="B769" s="860">
        <v>405</v>
      </c>
      <c r="C769" s="897">
        <v>372.68</v>
      </c>
      <c r="D769" s="862">
        <f>C769*B769</f>
        <v>150935.4</v>
      </c>
      <c r="E769" s="923">
        <f>(C769-C757)/C757</f>
        <v>0.55893917844892493</v>
      </c>
      <c r="F769" s="793">
        <f t="shared" ref="F769:F774" si="100">D769/$D$572</f>
        <v>0.50509460760518499</v>
      </c>
      <c r="G769" s="796">
        <v>0.59</v>
      </c>
      <c r="H769" s="785" t="s">
        <v>145</v>
      </c>
      <c r="I769" s="1026">
        <f>(C769-C757)*B757</f>
        <v>33510.025320000001</v>
      </c>
    </row>
    <row r="770" spans="1:15" hidden="1" outlineLevel="1" x14ac:dyDescent="0.35">
      <c r="A770" s="879" t="s">
        <v>96</v>
      </c>
      <c r="B770" s="880">
        <v>250</v>
      </c>
      <c r="C770" s="902">
        <v>468.35</v>
      </c>
      <c r="D770" s="882">
        <f>C770*B770</f>
        <v>117087.5</v>
      </c>
      <c r="E770" s="921">
        <f>(C770-C758)/C758</f>
        <v>0.34090128263857095</v>
      </c>
      <c r="F770" s="795">
        <f t="shared" si="100"/>
        <v>0.39182501168030898</v>
      </c>
      <c r="G770" s="794">
        <v>0.87</v>
      </c>
      <c r="H770" s="785" t="s">
        <v>145</v>
      </c>
      <c r="I770" s="1027">
        <f>D770-D759</f>
        <v>14413.839999999997</v>
      </c>
    </row>
    <row r="771" spans="1:15" hidden="1" outlineLevel="1" x14ac:dyDescent="0.35">
      <c r="A771" s="859" t="s">
        <v>152</v>
      </c>
      <c r="B771" s="860">
        <v>200</v>
      </c>
      <c r="C771" s="897">
        <v>251.47</v>
      </c>
      <c r="D771" s="862">
        <f>C771*B771</f>
        <v>50294</v>
      </c>
      <c r="E771" s="923">
        <f>(C771-C760)/C760</f>
        <v>7.7605416523825785E-2</v>
      </c>
      <c r="F771" s="795">
        <f t="shared" si="100"/>
        <v>0.16830530276459449</v>
      </c>
      <c r="G771" s="794">
        <v>1.81</v>
      </c>
      <c r="H771" s="785" t="s">
        <v>192</v>
      </c>
      <c r="I771" s="1027">
        <f>D771-D760</f>
        <v>3622</v>
      </c>
    </row>
    <row r="772" spans="1:15" hidden="1" outlineLevel="1" x14ac:dyDescent="0.35">
      <c r="A772" s="879" t="s">
        <v>49</v>
      </c>
      <c r="B772" s="880">
        <v>100.786</v>
      </c>
      <c r="C772" s="902">
        <v>254.53</v>
      </c>
      <c r="D772" s="882">
        <f>C772*B772</f>
        <v>25653.060580000001</v>
      </c>
      <c r="E772" s="921">
        <f>(C772-C761)/C761</f>
        <v>0.34366256664731032</v>
      </c>
      <c r="F772" s="795">
        <f t="shared" si="100"/>
        <v>8.5846147209515736E-2</v>
      </c>
      <c r="G772" s="794">
        <v>1.39</v>
      </c>
      <c r="H772" s="785" t="s">
        <v>192</v>
      </c>
      <c r="I772" s="1027">
        <f>D772-D762</f>
        <v>23968.93058</v>
      </c>
    </row>
    <row r="773" spans="1:15" ht="16" hidden="1" outlineLevel="1" thickBot="1" x14ac:dyDescent="0.4">
      <c r="A773" s="859" t="s">
        <v>135</v>
      </c>
      <c r="B773" s="860">
        <v>25.594999999999999</v>
      </c>
      <c r="C773" s="897">
        <v>201.55</v>
      </c>
      <c r="D773" s="862">
        <f>C773*B773</f>
        <v>5158.6722499999996</v>
      </c>
      <c r="E773" s="923">
        <f>(C773-C761)/C761</f>
        <v>6.3981417938024615E-2</v>
      </c>
      <c r="F773" s="1042">
        <f t="shared" si="100"/>
        <v>1.7263130689536763E-2</v>
      </c>
      <c r="G773" s="794">
        <v>1.69</v>
      </c>
      <c r="H773" s="785" t="s">
        <v>146</v>
      </c>
      <c r="I773" s="1029">
        <f>D773-D761</f>
        <v>310.21139999999923</v>
      </c>
    </row>
    <row r="774" spans="1:15" ht="16" hidden="1" outlineLevel="1" thickBot="1" x14ac:dyDescent="0.4">
      <c r="A774" s="879" t="s">
        <v>7</v>
      </c>
      <c r="B774" s="880"/>
      <c r="C774" s="902"/>
      <c r="D774" s="882">
        <v>1709.49</v>
      </c>
      <c r="E774" s="921"/>
      <c r="F774" s="665">
        <f t="shared" si="100"/>
        <v>5.7206870008956667E-3</v>
      </c>
      <c r="G774" s="797">
        <f>AVERAGE(G769:G773)</f>
        <v>1.27</v>
      </c>
      <c r="H774" s="789"/>
      <c r="I774" s="1030">
        <f>SUM(I769:I773)</f>
        <v>75825.007299999997</v>
      </c>
    </row>
    <row r="775" spans="1:15" ht="16" hidden="1" outlineLevel="1" thickBot="1" x14ac:dyDescent="0.4">
      <c r="A775" s="859" t="s">
        <v>60</v>
      </c>
      <c r="B775" s="860"/>
      <c r="C775" s="897"/>
      <c r="D775" s="862">
        <f>409.95</f>
        <v>409.95</v>
      </c>
      <c r="E775" s="923"/>
      <c r="F775" s="665"/>
      <c r="N775" s="1031" t="s">
        <v>43</v>
      </c>
      <c r="O775" s="1032" t="s">
        <v>198</v>
      </c>
    </row>
    <row r="776" spans="1:15" ht="19" hidden="1" outlineLevel="1" thickBot="1" x14ac:dyDescent="0.5">
      <c r="A776" s="726" t="s">
        <v>62</v>
      </c>
      <c r="B776" s="583"/>
      <c r="C776" s="584"/>
      <c r="D776" s="585">
        <f>SUM(D769:D775)</f>
        <v>351248.07283000002</v>
      </c>
      <c r="E776" s="780">
        <f>D776-D764</f>
        <v>17078.090820000041</v>
      </c>
      <c r="F776" s="792">
        <f>(D776-D764)/D764</f>
        <v>5.1105999160298551E-2</v>
      </c>
      <c r="G776" s="574">
        <f>E776/1333</f>
        <v>12.811771057764473</v>
      </c>
      <c r="H776" s="1043">
        <f>(G776/10)/8</f>
        <v>0.1601471382220559</v>
      </c>
      <c r="I776" s="148"/>
      <c r="N776" s="1033">
        <v>43510</v>
      </c>
      <c r="O776" s="1034">
        <f ca="1">N776-TODAY()</f>
        <v>-1662</v>
      </c>
    </row>
    <row r="777" spans="1:15" hidden="1" outlineLevel="1" x14ac:dyDescent="0.35">
      <c r="N777" s="1033">
        <v>43509</v>
      </c>
      <c r="O777" s="1034">
        <f ca="1">N777-TODAY()</f>
        <v>-1663</v>
      </c>
    </row>
    <row r="778" spans="1:15" hidden="1" outlineLevel="1" x14ac:dyDescent="0.35">
      <c r="A778" s="701" t="s">
        <v>25</v>
      </c>
      <c r="B778" s="702" t="s">
        <v>26</v>
      </c>
      <c r="C778" s="703" t="s">
        <v>27</v>
      </c>
      <c r="D778" s="704">
        <f>D766+7</f>
        <v>43238</v>
      </c>
      <c r="E778" s="705" t="s">
        <v>28</v>
      </c>
      <c r="F778" s="511" t="s">
        <v>101</v>
      </c>
      <c r="G778" s="252">
        <v>17555</v>
      </c>
      <c r="H778" s="253">
        <f>(C779-G778)/G778</f>
        <v>0.40786100825975508</v>
      </c>
      <c r="N778" s="1040">
        <v>43489</v>
      </c>
      <c r="O778" s="1041"/>
    </row>
    <row r="779" spans="1:15" hidden="1" outlineLevel="1" x14ac:dyDescent="0.35">
      <c r="A779" s="706" t="s">
        <v>32</v>
      </c>
      <c r="B779" s="255" t="str">
        <f ca="1">TEXT(TODAY(),"ddd")</f>
        <v>Sun</v>
      </c>
      <c r="C779" s="256">
        <v>24715</v>
      </c>
      <c r="D779" s="257">
        <f>C779-C767</f>
        <v>-115</v>
      </c>
      <c r="E779" s="707"/>
      <c r="F779" s="708"/>
      <c r="G779" s="801">
        <v>4766</v>
      </c>
      <c r="H779" s="685">
        <f>(C780-G779)/G779</f>
        <v>0.54301300881242132</v>
      </c>
      <c r="N779" s="1040">
        <v>43496</v>
      </c>
      <c r="O779" s="1041">
        <f ca="1">N779-TODAY()</f>
        <v>-1676</v>
      </c>
    </row>
    <row r="780" spans="1:15" ht="19" hidden="1" outlineLevel="1" thickBot="1" x14ac:dyDescent="0.5">
      <c r="A780" s="709" t="s">
        <v>36</v>
      </c>
      <c r="B780" s="263"/>
      <c r="C780" s="419">
        <v>7354</v>
      </c>
      <c r="D780" s="264">
        <f>C780-C768</f>
        <v>-48</v>
      </c>
      <c r="E780" s="792">
        <f t="shared" ref="E780:E785" si="101">(C780-C768)/C768</f>
        <v>-6.4847338557146713E-3</v>
      </c>
      <c r="F780" s="617" t="s">
        <v>37</v>
      </c>
      <c r="G780" s="783" t="s">
        <v>143</v>
      </c>
      <c r="H780" s="784" t="s">
        <v>144</v>
      </c>
      <c r="N780" s="1033">
        <v>43522</v>
      </c>
      <c r="O780" s="1034">
        <f ca="1">N780-TODAY()</f>
        <v>-1650</v>
      </c>
    </row>
    <row r="781" spans="1:15" hidden="1" outlineLevel="1" x14ac:dyDescent="0.35">
      <c r="A781" s="859" t="s">
        <v>137</v>
      </c>
      <c r="B781" s="860">
        <v>405</v>
      </c>
      <c r="C781" s="897">
        <v>384.36</v>
      </c>
      <c r="D781" s="862">
        <f>C781*B781</f>
        <v>155665.80000000002</v>
      </c>
      <c r="E781" s="923">
        <f t="shared" si="101"/>
        <v>3.1340560266180116E-2</v>
      </c>
      <c r="F781" s="793">
        <f t="shared" ref="F781:F786" si="102">D781/$D$572</f>
        <v>0.52092455559495798</v>
      </c>
      <c r="G781" s="796">
        <v>0.59</v>
      </c>
      <c r="H781" s="785" t="s">
        <v>145</v>
      </c>
      <c r="I781" s="1044">
        <f t="shared" ref="I781:I786" si="103">D781-D769</f>
        <v>4730.4000000000233</v>
      </c>
      <c r="N781" s="1040">
        <v>43494</v>
      </c>
      <c r="O781" s="1041">
        <f ca="1">N781-TODAY()</f>
        <v>-1678</v>
      </c>
    </row>
    <row r="782" spans="1:15" hidden="1" outlineLevel="1" x14ac:dyDescent="0.35">
      <c r="A782" s="879" t="s">
        <v>96</v>
      </c>
      <c r="B782" s="880">
        <v>250</v>
      </c>
      <c r="C782" s="902">
        <v>458.79</v>
      </c>
      <c r="D782" s="882">
        <f>C782*B782</f>
        <v>114697.5</v>
      </c>
      <c r="E782" s="921">
        <f t="shared" si="101"/>
        <v>-2.0412084979182239E-2</v>
      </c>
      <c r="F782" s="795">
        <f t="shared" si="102"/>
        <v>0.38382704624492142</v>
      </c>
      <c r="G782" s="794">
        <v>0.87</v>
      </c>
      <c r="H782" s="785" t="s">
        <v>145</v>
      </c>
      <c r="I782" s="542">
        <f t="shared" si="103"/>
        <v>-2390</v>
      </c>
      <c r="N782" s="1040">
        <v>43500</v>
      </c>
      <c r="O782" s="1041">
        <f ca="1">N782-TODAY()</f>
        <v>-1672</v>
      </c>
    </row>
    <row r="783" spans="1:15" hidden="1" outlineLevel="1" x14ac:dyDescent="0.35">
      <c r="A783" s="859" t="s">
        <v>152</v>
      </c>
      <c r="B783" s="860">
        <v>200</v>
      </c>
      <c r="C783" s="897">
        <v>242.46</v>
      </c>
      <c r="D783" s="862">
        <f>C783*B783</f>
        <v>48492</v>
      </c>
      <c r="E783" s="921">
        <f t="shared" si="101"/>
        <v>-3.5829323577365055E-2</v>
      </c>
      <c r="F783" s="795">
        <f t="shared" si="102"/>
        <v>0.16227503761205544</v>
      </c>
      <c r="G783" s="794">
        <v>1.81</v>
      </c>
      <c r="H783" s="785" t="s">
        <v>192</v>
      </c>
      <c r="I783" s="542">
        <f t="shared" si="103"/>
        <v>-1802</v>
      </c>
      <c r="N783" s="1040">
        <v>43489</v>
      </c>
      <c r="O783" s="1041"/>
    </row>
    <row r="784" spans="1:15" hidden="1" outlineLevel="1" x14ac:dyDescent="0.35">
      <c r="A784" s="879" t="s">
        <v>49</v>
      </c>
      <c r="B784" s="880">
        <v>100.786</v>
      </c>
      <c r="C784" s="902">
        <v>245.94</v>
      </c>
      <c r="D784" s="882">
        <f>C784*B784</f>
        <v>24787.308840000002</v>
      </c>
      <c r="E784" s="921">
        <f t="shared" si="101"/>
        <v>-3.3748477586139171E-2</v>
      </c>
      <c r="F784" s="795">
        <f t="shared" si="102"/>
        <v>8.2948970434558997E-2</v>
      </c>
      <c r="G784" s="794">
        <v>1.39</v>
      </c>
      <c r="H784" s="785" t="s">
        <v>192</v>
      </c>
      <c r="I784" s="542">
        <f t="shared" si="103"/>
        <v>-865.7517399999997</v>
      </c>
    </row>
    <row r="785" spans="1:15" ht="16" hidden="1" outlineLevel="1" thickBot="1" x14ac:dyDescent="0.4">
      <c r="A785" s="859" t="s">
        <v>135</v>
      </c>
      <c r="B785" s="860">
        <v>25.594999999999999</v>
      </c>
      <c r="C785" s="897">
        <v>195.49</v>
      </c>
      <c r="D785" s="862">
        <f>C785*B785</f>
        <v>5003.5665500000005</v>
      </c>
      <c r="E785" s="923">
        <f t="shared" si="101"/>
        <v>-3.0066980898040198E-2</v>
      </c>
      <c r="F785" s="1042">
        <f t="shared" si="102"/>
        <v>1.6744080468854092E-2</v>
      </c>
      <c r="G785" s="794">
        <v>1.69</v>
      </c>
      <c r="H785" s="785" t="s">
        <v>146</v>
      </c>
      <c r="I785" s="592">
        <f t="shared" si="103"/>
        <v>-155.10569999999916</v>
      </c>
    </row>
    <row r="786" spans="1:15" ht="16" hidden="1" outlineLevel="1" thickBot="1" x14ac:dyDescent="0.4">
      <c r="A786" s="879" t="s">
        <v>7</v>
      </c>
      <c r="B786" s="880"/>
      <c r="C786" s="902"/>
      <c r="D786" s="882">
        <v>1704.38</v>
      </c>
      <c r="E786" s="921"/>
      <c r="F786" s="665">
        <f t="shared" si="102"/>
        <v>5.7035867484375793E-3</v>
      </c>
      <c r="G786" s="797">
        <f>AVERAGE(G781:G785)</f>
        <v>1.27</v>
      </c>
      <c r="H786" s="948"/>
      <c r="I786" s="592">
        <f t="shared" si="103"/>
        <v>-5.1099999999999</v>
      </c>
    </row>
    <row r="787" spans="1:15" ht="16" hidden="1" outlineLevel="1" thickBot="1" x14ac:dyDescent="0.4">
      <c r="A787" s="859" t="s">
        <v>60</v>
      </c>
      <c r="B787" s="860"/>
      <c r="C787" s="897"/>
      <c r="D787" s="862">
        <f>9.95</f>
        <v>9.9499999999999993</v>
      </c>
      <c r="E787" s="923"/>
      <c r="F787" s="665"/>
    </row>
    <row r="788" spans="1:15" ht="19" hidden="1" outlineLevel="1" thickBot="1" x14ac:dyDescent="0.5">
      <c r="A788" s="726" t="s">
        <v>62</v>
      </c>
      <c r="B788" s="583"/>
      <c r="C788" s="584"/>
      <c r="D788" s="585">
        <f>SUM(D781:D787)</f>
        <v>350360.50539000006</v>
      </c>
      <c r="E788" s="771">
        <f>D788-D776</f>
        <v>-887.56743999995524</v>
      </c>
      <c r="F788" s="792">
        <f>(D788-D776)/D776</f>
        <v>-2.5268962555405321E-3</v>
      </c>
      <c r="G788" s="574"/>
      <c r="H788" s="1043">
        <f>(G788/10)/8</f>
        <v>0</v>
      </c>
      <c r="I788" s="148"/>
    </row>
    <row r="789" spans="1:15" hidden="1" outlineLevel="1" x14ac:dyDescent="0.35"/>
    <row r="790" spans="1:15" hidden="1" outlineLevel="1" x14ac:dyDescent="0.35">
      <c r="A790" s="701" t="s">
        <v>25</v>
      </c>
      <c r="B790" s="702" t="s">
        <v>26</v>
      </c>
      <c r="C790" s="703" t="s">
        <v>27</v>
      </c>
      <c r="D790" s="704">
        <f>D778+7</f>
        <v>43245</v>
      </c>
      <c r="E790" s="705" t="s">
        <v>28</v>
      </c>
      <c r="F790" s="511" t="s">
        <v>101</v>
      </c>
      <c r="G790" s="252">
        <v>17555</v>
      </c>
      <c r="H790" s="253">
        <f>(C791-G790)/G790</f>
        <v>0.40996866989461694</v>
      </c>
      <c r="N790" s="1031" t="s">
        <v>43</v>
      </c>
      <c r="O790" s="1032" t="s">
        <v>198</v>
      </c>
    </row>
    <row r="791" spans="1:15" hidden="1" outlineLevel="1" x14ac:dyDescent="0.35">
      <c r="A791" s="706" t="s">
        <v>32</v>
      </c>
      <c r="B791" s="255" t="str">
        <f ca="1">TEXT(TODAY(),"ddd")</f>
        <v>Sun</v>
      </c>
      <c r="C791" s="256">
        <v>24752</v>
      </c>
      <c r="D791" s="322">
        <f>C791-C779</f>
        <v>37</v>
      </c>
      <c r="E791" s="707"/>
      <c r="F791" s="708"/>
      <c r="G791" s="801">
        <v>4766</v>
      </c>
      <c r="H791" s="685">
        <f>(C792-G791)/G791</f>
        <v>0.55958875367184224</v>
      </c>
      <c r="N791" s="1040">
        <f>"2/14/2019"+90</f>
        <v>43600</v>
      </c>
      <c r="O791" s="1041">
        <f t="shared" ref="O791:O798" ca="1" si="104">N791-TODAY()</f>
        <v>-1572</v>
      </c>
    </row>
    <row r="792" spans="1:15" ht="19" hidden="1" outlineLevel="1" thickBot="1" x14ac:dyDescent="0.5">
      <c r="A792" s="709" t="s">
        <v>36</v>
      </c>
      <c r="B792" s="263"/>
      <c r="C792" s="419">
        <v>7433</v>
      </c>
      <c r="D792" s="223">
        <f>C792-C780</f>
        <v>79</v>
      </c>
      <c r="E792" s="792">
        <f>(C792-C780)/C780</f>
        <v>1.0742453086755508E-2</v>
      </c>
      <c r="F792" s="617" t="s">
        <v>37</v>
      </c>
      <c r="G792" s="783" t="s">
        <v>143</v>
      </c>
      <c r="H792" s="784" t="s">
        <v>144</v>
      </c>
      <c r="N792" s="1040">
        <f>"2/13/2019"+90</f>
        <v>43599</v>
      </c>
      <c r="O792" s="1041">
        <f t="shared" ca="1" si="104"/>
        <v>-1573</v>
      </c>
    </row>
    <row r="793" spans="1:15" hidden="1" outlineLevel="1" x14ac:dyDescent="0.35">
      <c r="A793" s="859" t="s">
        <v>137</v>
      </c>
      <c r="B793" s="860">
        <v>525</v>
      </c>
      <c r="C793" s="897">
        <v>394.28</v>
      </c>
      <c r="D793" s="862">
        <f>C793*B793</f>
        <v>206997</v>
      </c>
      <c r="E793" s="923">
        <f>(C793-C781)/C781</f>
        <v>2.5809137267145277E-2</v>
      </c>
      <c r="F793" s="793">
        <f>D793/D799</f>
        <v>0.5836399758509816</v>
      </c>
      <c r="G793" s="796">
        <v>0.59</v>
      </c>
      <c r="H793" s="785" t="s">
        <v>145</v>
      </c>
      <c r="I793" s="1044">
        <f>(C793-C781)*B781</f>
        <v>4017.5999999999835</v>
      </c>
      <c r="N793" s="1040">
        <f>"1/24/2019"+90</f>
        <v>43579</v>
      </c>
      <c r="O793" s="1041">
        <f t="shared" ca="1" si="104"/>
        <v>-1593</v>
      </c>
    </row>
    <row r="794" spans="1:15" hidden="1" outlineLevel="1" x14ac:dyDescent="0.35">
      <c r="A794" s="879" t="s">
        <v>96</v>
      </c>
      <c r="B794" s="880">
        <v>250</v>
      </c>
      <c r="C794" s="902">
        <v>456.56</v>
      </c>
      <c r="D794" s="882">
        <f>C794*B794</f>
        <v>114140</v>
      </c>
      <c r="E794" s="921">
        <f>(C794-C782)/C782</f>
        <v>-4.8606116087970925E-3</v>
      </c>
      <c r="F794" s="795">
        <f>D794/D799</f>
        <v>0.32182431070803463</v>
      </c>
      <c r="G794" s="794">
        <v>0.87</v>
      </c>
      <c r="H794" s="785" t="s">
        <v>192</v>
      </c>
      <c r="I794" s="542">
        <f>D794-D782</f>
        <v>-557.5</v>
      </c>
      <c r="N794" s="1040">
        <f>"1/31/2019"+90</f>
        <v>43586</v>
      </c>
      <c r="O794" s="1041">
        <f t="shared" ca="1" si="104"/>
        <v>-1586</v>
      </c>
    </row>
    <row r="795" spans="1:15" hidden="1" outlineLevel="1" x14ac:dyDescent="0.35">
      <c r="A795" s="859" t="s">
        <v>49</v>
      </c>
      <c r="B795" s="860">
        <v>100.786</v>
      </c>
      <c r="C795" s="897">
        <v>249.28</v>
      </c>
      <c r="D795" s="862">
        <f>C795*B795</f>
        <v>25123.934079999999</v>
      </c>
      <c r="E795" s="923">
        <f>(C795-C784)/C784</f>
        <v>1.3580548101162899E-2</v>
      </c>
      <c r="F795" s="795">
        <f>D795/D799</f>
        <v>7.0838380651569124E-2</v>
      </c>
      <c r="G795" s="794">
        <v>1.39</v>
      </c>
      <c r="H795" s="785" t="s">
        <v>146</v>
      </c>
      <c r="I795" s="399">
        <f>(C795-C784)*B784</f>
        <v>336.62524000000036</v>
      </c>
      <c r="N795" s="1033">
        <v>43522</v>
      </c>
      <c r="O795" s="1034">
        <f t="shared" ca="1" si="104"/>
        <v>-1650</v>
      </c>
    </row>
    <row r="796" spans="1:15" ht="16" hidden="1" outlineLevel="1" thickBot="1" x14ac:dyDescent="0.4">
      <c r="A796" s="879" t="s">
        <v>135</v>
      </c>
      <c r="B796" s="880">
        <v>25.594999999999999</v>
      </c>
      <c r="C796" s="902">
        <v>202.03</v>
      </c>
      <c r="D796" s="882">
        <f>C796*B796</f>
        <v>5170.9578499999998</v>
      </c>
      <c r="E796" s="921">
        <f>(C796-C785)/C785</f>
        <v>3.3454396644329594E-2</v>
      </c>
      <c r="F796" s="1042">
        <f>D796/D799</f>
        <v>1.4579813788124675E-2</v>
      </c>
      <c r="G796" s="794">
        <v>1.69</v>
      </c>
      <c r="H796" s="785" t="s">
        <v>146</v>
      </c>
      <c r="I796" s="786">
        <f>(C796-C785)*B785</f>
        <v>167.3912999999998</v>
      </c>
      <c r="N796" s="1040">
        <f>"1/29/2019"+85</f>
        <v>43579</v>
      </c>
      <c r="O796" s="1041">
        <f t="shared" ca="1" si="104"/>
        <v>-1593</v>
      </c>
    </row>
    <row r="797" spans="1:15" ht="16" hidden="1" outlineLevel="1" thickBot="1" x14ac:dyDescent="0.4">
      <c r="A797" s="859" t="s">
        <v>7</v>
      </c>
      <c r="B797" s="860"/>
      <c r="C797" s="897"/>
      <c r="D797" s="862">
        <v>1709.75</v>
      </c>
      <c r="E797" s="923"/>
      <c r="F797" s="665">
        <f>D797/D799</f>
        <v>4.8207387001319626E-3</v>
      </c>
      <c r="G797" s="797">
        <f>AVERAGE(G793:G796)</f>
        <v>1.1349999999999998</v>
      </c>
      <c r="H797" s="948"/>
      <c r="I797" s="786">
        <f>SUM(I793:I796)</f>
        <v>3964.1165399999836</v>
      </c>
      <c r="N797" s="1040">
        <f>"2/4/2019"+90</f>
        <v>43590</v>
      </c>
      <c r="O797" s="1041">
        <f t="shared" ca="1" si="104"/>
        <v>-1582</v>
      </c>
    </row>
    <row r="798" spans="1:15" ht="16" hidden="1" outlineLevel="1" thickBot="1" x14ac:dyDescent="0.4">
      <c r="A798" s="879" t="s">
        <v>60</v>
      </c>
      <c r="B798" s="880"/>
      <c r="C798" s="902"/>
      <c r="D798" s="882">
        <f>1523.92</f>
        <v>1523.92</v>
      </c>
      <c r="E798" s="921"/>
      <c r="F798" s="665"/>
      <c r="N798" s="1040">
        <f>"1/24/2019"+90</f>
        <v>43579</v>
      </c>
      <c r="O798" s="1041">
        <f t="shared" ca="1" si="104"/>
        <v>-1593</v>
      </c>
    </row>
    <row r="799" spans="1:15" ht="19" hidden="1" outlineLevel="1" thickBot="1" x14ac:dyDescent="0.5">
      <c r="A799" s="726" t="s">
        <v>62</v>
      </c>
      <c r="B799" s="583"/>
      <c r="C799" s="584"/>
      <c r="D799" s="585">
        <f>SUM(D793:D798)</f>
        <v>354665.56192999997</v>
      </c>
      <c r="E799" s="780">
        <f>D799-D788</f>
        <v>4305.0565399999032</v>
      </c>
      <c r="F799" s="1045">
        <f>(D799-D788)/D788</f>
        <v>1.2287505223249336E-2</v>
      </c>
      <c r="G799" s="1046" t="s">
        <v>207</v>
      </c>
      <c r="H799" s="1047"/>
      <c r="I799" s="148"/>
    </row>
    <row r="800" spans="1:15" hidden="1" outlineLevel="1" x14ac:dyDescent="0.35"/>
    <row r="801" spans="1:15" hidden="1" outlineLevel="1" x14ac:dyDescent="0.35">
      <c r="A801" s="701" t="s">
        <v>25</v>
      </c>
      <c r="B801" s="702" t="s">
        <v>26</v>
      </c>
      <c r="C801" s="703" t="s">
        <v>27</v>
      </c>
      <c r="D801" s="704">
        <f>D790+7</f>
        <v>43252</v>
      </c>
      <c r="E801" s="705" t="s">
        <v>28</v>
      </c>
      <c r="F801" s="511" t="s">
        <v>101</v>
      </c>
      <c r="G801" s="252">
        <v>17555</v>
      </c>
      <c r="H801" s="253">
        <f>(C802-G801)/G801</f>
        <v>0.40330390202221589</v>
      </c>
    </row>
    <row r="802" spans="1:15" hidden="1" outlineLevel="1" x14ac:dyDescent="0.35">
      <c r="A802" s="706" t="s">
        <v>32</v>
      </c>
      <c r="B802" s="255" t="str">
        <f ca="1">TEXT(TODAY(),"ddd")</f>
        <v>Sun</v>
      </c>
      <c r="C802" s="256">
        <v>24635</v>
      </c>
      <c r="D802" s="257">
        <f>C802-C791</f>
        <v>-117</v>
      </c>
      <c r="E802" s="707"/>
      <c r="F802" s="708"/>
      <c r="G802" s="801">
        <v>4766</v>
      </c>
      <c r="H802" s="685">
        <f>(C803-G802)/G802</f>
        <v>0.58497691984892997</v>
      </c>
    </row>
    <row r="803" spans="1:15" ht="19" hidden="1" outlineLevel="1" thickBot="1" x14ac:dyDescent="0.5">
      <c r="A803" s="709" t="s">
        <v>36</v>
      </c>
      <c r="B803" s="263"/>
      <c r="C803" s="419">
        <v>7554</v>
      </c>
      <c r="D803" s="223">
        <f>C803-C792</f>
        <v>121</v>
      </c>
      <c r="E803" s="792">
        <f>(C803-C792)/C792</f>
        <v>1.6278756894928022E-2</v>
      </c>
      <c r="F803" s="617" t="s">
        <v>37</v>
      </c>
      <c r="G803" s="783" t="s">
        <v>143</v>
      </c>
      <c r="H803" s="784" t="s">
        <v>144</v>
      </c>
    </row>
    <row r="804" spans="1:15" hidden="1" outlineLevel="1" x14ac:dyDescent="0.35">
      <c r="A804" s="859" t="s">
        <v>137</v>
      </c>
      <c r="B804" s="860">
        <v>525</v>
      </c>
      <c r="C804" s="897">
        <v>392.25</v>
      </c>
      <c r="D804" s="862">
        <f>C804*B804</f>
        <v>205931.25</v>
      </c>
      <c r="E804" s="923">
        <f>(C804-C793)/C793</f>
        <v>-5.1486253423961978E-3</v>
      </c>
      <c r="F804" s="793">
        <f>D804/D810</f>
        <v>0.57183035659229653</v>
      </c>
      <c r="G804" s="796">
        <v>0.59</v>
      </c>
      <c r="H804" s="785" t="s">
        <v>145</v>
      </c>
      <c r="I804" s="1026">
        <f>(C804-C793)*B793</f>
        <v>-1065.7499999999857</v>
      </c>
    </row>
    <row r="805" spans="1:15" hidden="1" outlineLevel="1" x14ac:dyDescent="0.35">
      <c r="A805" s="879" t="s">
        <v>96</v>
      </c>
      <c r="B805" s="880">
        <v>250</v>
      </c>
      <c r="C805" s="902">
        <v>479.25</v>
      </c>
      <c r="D805" s="882">
        <f>C805*B805</f>
        <v>119812.5</v>
      </c>
      <c r="E805" s="921">
        <f>(C805-C794)/C794</f>
        <v>4.9697739618012958E-2</v>
      </c>
      <c r="F805" s="795">
        <f>D805/D810</f>
        <v>0.33269561855820584</v>
      </c>
      <c r="G805" s="794">
        <v>0.87</v>
      </c>
      <c r="H805" s="785" t="s">
        <v>192</v>
      </c>
      <c r="I805" s="1027">
        <f>(C805-C794)*B794</f>
        <v>5672.4999999999991</v>
      </c>
      <c r="N805" s="1031" t="s">
        <v>43</v>
      </c>
      <c r="O805" s="1032" t="s">
        <v>198</v>
      </c>
    </row>
    <row r="806" spans="1:15" hidden="1" outlineLevel="1" x14ac:dyDescent="0.35">
      <c r="A806" s="859" t="s">
        <v>49</v>
      </c>
      <c r="B806" s="860">
        <v>100.786</v>
      </c>
      <c r="C806" s="897">
        <v>257.62</v>
      </c>
      <c r="D806" s="862">
        <f>C806*B806</f>
        <v>25964.489320000001</v>
      </c>
      <c r="E806" s="923">
        <f>(C806-C795)/C795</f>
        <v>3.345635430038512E-2</v>
      </c>
      <c r="F806" s="795">
        <f>D806/D810</f>
        <v>7.2098252142850955E-2</v>
      </c>
      <c r="G806" s="794">
        <v>1.39</v>
      </c>
      <c r="H806" s="785" t="s">
        <v>146</v>
      </c>
      <c r="I806" s="1027">
        <f>(C806-C795)*B795</f>
        <v>840.55524000000037</v>
      </c>
      <c r="N806" s="1040">
        <v>43510</v>
      </c>
      <c r="O806" s="1041">
        <f ca="1">N806-TODAY()</f>
        <v>-1662</v>
      </c>
    </row>
    <row r="807" spans="1:15" ht="16" hidden="1" outlineLevel="1" thickBot="1" x14ac:dyDescent="0.4">
      <c r="A807" s="879" t="s">
        <v>135</v>
      </c>
      <c r="B807" s="880">
        <v>25.594999999999999</v>
      </c>
      <c r="C807" s="902">
        <v>202.68</v>
      </c>
      <c r="D807" s="882">
        <f>C807*B807</f>
        <v>5187.5946000000004</v>
      </c>
      <c r="E807" s="921">
        <f>(C807-C796)/C796</f>
        <v>3.2173439588180255E-3</v>
      </c>
      <c r="F807" s="1042">
        <f>D807/D810</f>
        <v>1.4404924313207793E-2</v>
      </c>
      <c r="G807" s="794">
        <v>1.69</v>
      </c>
      <c r="H807" s="785" t="s">
        <v>146</v>
      </c>
      <c r="I807" s="1029">
        <f>(C807-C796)*B796</f>
        <v>16.636750000000145</v>
      </c>
      <c r="N807" s="1040">
        <v>43509</v>
      </c>
      <c r="O807" s="1041">
        <f ca="1">N807-TODAY()</f>
        <v>-1663</v>
      </c>
    </row>
    <row r="808" spans="1:15" ht="16" hidden="1" outlineLevel="1" thickBot="1" x14ac:dyDescent="0.4">
      <c r="A808" s="859" t="s">
        <v>7</v>
      </c>
      <c r="B808" s="860"/>
      <c r="C808" s="897"/>
      <c r="D808" s="862">
        <v>1707.49</v>
      </c>
      <c r="E808" s="923"/>
      <c r="F808" s="665">
        <f>D808/D810</f>
        <v>4.741362059317274E-3</v>
      </c>
      <c r="G808" s="797">
        <f>AVERAGE(G804:G807)</f>
        <v>1.1349999999999998</v>
      </c>
      <c r="H808" s="789"/>
      <c r="I808" s="1030">
        <f>SUM(I804:I807)</f>
        <v>5463.9419900000148</v>
      </c>
      <c r="N808" s="1040">
        <v>43489</v>
      </c>
      <c r="O808" s="1041"/>
    </row>
    <row r="809" spans="1:15" ht="16" hidden="1" outlineLevel="1" thickBot="1" x14ac:dyDescent="0.4">
      <c r="A809" s="879" t="s">
        <v>60</v>
      </c>
      <c r="B809" s="880"/>
      <c r="C809" s="902"/>
      <c r="D809" s="882">
        <f>1514.05+9.1</f>
        <v>1523.1499999999999</v>
      </c>
      <c r="E809" s="921"/>
      <c r="F809" s="665"/>
      <c r="N809" s="1040">
        <v>43496</v>
      </c>
      <c r="O809" s="1041">
        <f ca="1">N809-TODAY()</f>
        <v>-1676</v>
      </c>
    </row>
    <row r="810" spans="1:15" ht="19" hidden="1" outlineLevel="1" thickBot="1" x14ac:dyDescent="0.5">
      <c r="A810" s="726" t="s">
        <v>62</v>
      </c>
      <c r="B810" s="583"/>
      <c r="C810" s="584"/>
      <c r="D810" s="585">
        <f>SUM(D804:D809)</f>
        <v>360126.47392000002</v>
      </c>
      <c r="E810" s="780">
        <f>D810-D799</f>
        <v>5460.9119900000514</v>
      </c>
      <c r="F810" s="792">
        <f>(D810-D799)/D799</f>
        <v>1.5397356203075242E-2</v>
      </c>
      <c r="G810" s="574">
        <f>E810/1333</f>
        <v>4.0967081695424241</v>
      </c>
      <c r="H810" s="1043">
        <f>(G810/10)/8</f>
        <v>5.12088521192803E-2</v>
      </c>
      <c r="I810" s="148"/>
      <c r="N810" s="1033">
        <v>43522</v>
      </c>
      <c r="O810" s="1034">
        <f ca="1">N810-TODAY()</f>
        <v>-1650</v>
      </c>
    </row>
    <row r="811" spans="1:15" hidden="1" outlineLevel="1" x14ac:dyDescent="0.35">
      <c r="N811" s="1040">
        <v>43494</v>
      </c>
      <c r="O811" s="1041">
        <f ca="1">N811-TODAY()</f>
        <v>-1678</v>
      </c>
    </row>
    <row r="812" spans="1:15" hidden="1" outlineLevel="1" x14ac:dyDescent="0.35">
      <c r="A812" s="701" t="s">
        <v>25</v>
      </c>
      <c r="B812" s="702" t="s">
        <v>26</v>
      </c>
      <c r="C812" s="703" t="s">
        <v>27</v>
      </c>
      <c r="D812" s="704">
        <f>D801+7</f>
        <v>43259</v>
      </c>
      <c r="E812" s="705" t="s">
        <v>28</v>
      </c>
      <c r="F812" s="511" t="s">
        <v>101</v>
      </c>
      <c r="G812" s="252">
        <v>17555</v>
      </c>
      <c r="H812" s="253">
        <f>(C813-G812)/G812</f>
        <v>0.44209626886926801</v>
      </c>
      <c r="N812" s="1040">
        <v>43500</v>
      </c>
      <c r="O812" s="1041">
        <f ca="1">N812-TODAY()</f>
        <v>-1672</v>
      </c>
    </row>
    <row r="813" spans="1:15" hidden="1" outlineLevel="1" x14ac:dyDescent="0.35">
      <c r="A813" s="706" t="s">
        <v>32</v>
      </c>
      <c r="B813" s="255" t="str">
        <f ca="1">TEXT(TODAY(),"ddd")</f>
        <v>Sun</v>
      </c>
      <c r="C813" s="256">
        <v>25316</v>
      </c>
      <c r="D813" s="322">
        <f>C813-C802</f>
        <v>681</v>
      </c>
      <c r="E813" s="707"/>
      <c r="F813" s="708"/>
      <c r="G813" s="801">
        <v>4766</v>
      </c>
      <c r="H813" s="685">
        <f>(C814-G813)/G813</f>
        <v>0.60407049937054136</v>
      </c>
      <c r="N813" s="1040">
        <v>43489</v>
      </c>
      <c r="O813" s="1041"/>
    </row>
    <row r="814" spans="1:15" ht="19" hidden="1" outlineLevel="1" thickBot="1" x14ac:dyDescent="0.5">
      <c r="A814" s="709" t="s">
        <v>36</v>
      </c>
      <c r="B814" s="263"/>
      <c r="C814" s="419">
        <v>7645</v>
      </c>
      <c r="D814" s="223">
        <f>C814-C803</f>
        <v>91</v>
      </c>
      <c r="E814" s="792">
        <f>(C814-C803)/C803</f>
        <v>1.2046597828964787E-2</v>
      </c>
      <c r="F814" s="617" t="s">
        <v>37</v>
      </c>
      <c r="G814" s="783" t="s">
        <v>143</v>
      </c>
      <c r="H814" s="784" t="s">
        <v>144</v>
      </c>
    </row>
    <row r="815" spans="1:15" hidden="1" outlineLevel="1" x14ac:dyDescent="0.35">
      <c r="A815" s="859" t="s">
        <v>137</v>
      </c>
      <c r="B815" s="860">
        <v>525</v>
      </c>
      <c r="C815" s="897">
        <v>409.77</v>
      </c>
      <c r="D815" s="862">
        <f>C815*B815</f>
        <v>215129.25</v>
      </c>
      <c r="E815" s="923">
        <f>(C815-C804)/C804</f>
        <v>4.466539196940722E-2</v>
      </c>
      <c r="F815" s="793">
        <f>D815/D821</f>
        <v>0.58021668629663603</v>
      </c>
      <c r="G815" s="796">
        <v>0.59</v>
      </c>
      <c r="H815" s="785" t="s">
        <v>145</v>
      </c>
      <c r="I815" s="1044">
        <f>(C815-C804)*B804</f>
        <v>9197.9999999999909</v>
      </c>
    </row>
    <row r="816" spans="1:15" hidden="1" outlineLevel="1" x14ac:dyDescent="0.35">
      <c r="A816" s="879" t="s">
        <v>96</v>
      </c>
      <c r="B816" s="880">
        <v>250</v>
      </c>
      <c r="C816" s="902">
        <v>484.6</v>
      </c>
      <c r="D816" s="882">
        <f>C816*B816</f>
        <v>121150</v>
      </c>
      <c r="E816" s="921">
        <f>(C816-C805)/C805</f>
        <v>1.1163275952008394E-2</v>
      </c>
      <c r="F816" s="795">
        <f>D816/D821</f>
        <v>0.32674892672585176</v>
      </c>
      <c r="G816" s="794">
        <v>0.87</v>
      </c>
      <c r="H816" s="785" t="s">
        <v>145</v>
      </c>
      <c r="I816" s="399">
        <f>(C816-C805)*B805</f>
        <v>1337.5000000000057</v>
      </c>
    </row>
    <row r="817" spans="1:15" hidden="1" outlineLevel="1" x14ac:dyDescent="0.35">
      <c r="A817" s="859" t="s">
        <v>49</v>
      </c>
      <c r="B817" s="860">
        <v>100.786</v>
      </c>
      <c r="C817" s="897">
        <v>262.27999999999997</v>
      </c>
      <c r="D817" s="862">
        <f>C817*B817</f>
        <v>26434.152079999996</v>
      </c>
      <c r="E817" s="923">
        <f>(C817-C806)/C806</f>
        <v>1.8088657712910364E-2</v>
      </c>
      <c r="F817" s="795">
        <f>D817/D821</f>
        <v>7.1294517713973923E-2</v>
      </c>
      <c r="G817" s="794">
        <v>1.39</v>
      </c>
      <c r="H817" s="785" t="s">
        <v>145</v>
      </c>
      <c r="I817" s="399">
        <f>(C817-C806)*B806</f>
        <v>469.66275999999681</v>
      </c>
    </row>
    <row r="818" spans="1:15" ht="16" hidden="1" outlineLevel="1" thickBot="1" x14ac:dyDescent="0.4">
      <c r="A818" s="879" t="s">
        <v>135</v>
      </c>
      <c r="B818" s="880">
        <v>25.594999999999999</v>
      </c>
      <c r="C818" s="902">
        <v>188.03</v>
      </c>
      <c r="D818" s="882">
        <f>C818*B818</f>
        <v>4812.6278499999999</v>
      </c>
      <c r="E818" s="921">
        <f>(C818-C807)/C807</f>
        <v>-7.2281428853364929E-2</v>
      </c>
      <c r="F818" s="1042">
        <f>D818/D821</f>
        <v>1.2979950348480755E-2</v>
      </c>
      <c r="G818" s="794">
        <v>1.69</v>
      </c>
      <c r="H818" s="785" t="s">
        <v>145</v>
      </c>
      <c r="I818" s="786">
        <f>(C818-C807)*B807</f>
        <v>-374.9667500000001</v>
      </c>
    </row>
    <row r="819" spans="1:15" ht="16" hidden="1" outlineLevel="1" thickBot="1" x14ac:dyDescent="0.4">
      <c r="A819" s="859" t="s">
        <v>7</v>
      </c>
      <c r="B819" s="860"/>
      <c r="C819" s="897"/>
      <c r="D819" s="862">
        <v>1723.95</v>
      </c>
      <c r="E819" s="923"/>
      <c r="F819" s="665">
        <f>D819/D821</f>
        <v>4.6495981199259776E-3</v>
      </c>
      <c r="G819" s="797">
        <f>AVERAGE(G815:G818)</f>
        <v>1.1349999999999998</v>
      </c>
      <c r="H819" s="948"/>
      <c r="I819" s="786">
        <f>SUM(I815:I818)</f>
        <v>10630.196009999994</v>
      </c>
    </row>
    <row r="820" spans="1:15" ht="16" hidden="1" outlineLevel="1" thickBot="1" x14ac:dyDescent="0.4">
      <c r="A820" s="879" t="s">
        <v>60</v>
      </c>
      <c r="B820" s="880"/>
      <c r="C820" s="902"/>
      <c r="D820" s="882">
        <f>1514.05+9.95</f>
        <v>1524</v>
      </c>
      <c r="E820" s="921"/>
      <c r="F820" s="665"/>
      <c r="N820" s="1031" t="s">
        <v>43</v>
      </c>
      <c r="O820" s="1032" t="s">
        <v>198</v>
      </c>
    </row>
    <row r="821" spans="1:15" ht="19" hidden="1" outlineLevel="1" thickBot="1" x14ac:dyDescent="0.5">
      <c r="A821" s="726" t="s">
        <v>62</v>
      </c>
      <c r="B821" s="583"/>
      <c r="C821" s="584"/>
      <c r="D821" s="585">
        <f>SUM(D815:D820)</f>
        <v>370773.97992999997</v>
      </c>
      <c r="E821" s="780">
        <f>D821-D810</f>
        <v>10647.506009999954</v>
      </c>
      <c r="F821" s="792">
        <f>(D821-D810)/D810</f>
        <v>2.9566018554818146E-2</v>
      </c>
      <c r="G821" s="574">
        <f>E821/1333</f>
        <v>7.9876264141034907</v>
      </c>
      <c r="H821" s="1043">
        <f>(G821/10)/8</f>
        <v>9.9845330176293628E-2</v>
      </c>
      <c r="I821" s="148"/>
      <c r="N821" s="1033">
        <f>"2/14/2019"+90</f>
        <v>43600</v>
      </c>
      <c r="O821" s="1034">
        <f t="shared" ref="O821:O828" ca="1" si="105">N821-TODAY()</f>
        <v>-1572</v>
      </c>
    </row>
    <row r="822" spans="1:15" hidden="1" outlineLevel="1" x14ac:dyDescent="0.35">
      <c r="N822" s="1033">
        <f>"2/26/2019"+90</f>
        <v>43612</v>
      </c>
      <c r="O822" s="1034">
        <f t="shared" ca="1" si="105"/>
        <v>-1560</v>
      </c>
    </row>
    <row r="823" spans="1:15" hidden="1" outlineLevel="1" x14ac:dyDescent="0.35">
      <c r="A823" s="701" t="s">
        <v>25</v>
      </c>
      <c r="B823" s="702" t="s">
        <v>26</v>
      </c>
      <c r="C823" s="703" t="s">
        <v>27</v>
      </c>
      <c r="D823" s="704">
        <f>D812+7</f>
        <v>43266</v>
      </c>
      <c r="E823" s="705" t="s">
        <v>28</v>
      </c>
      <c r="F823" s="511" t="s">
        <v>101</v>
      </c>
      <c r="G823" s="252">
        <v>17555</v>
      </c>
      <c r="H823" s="253">
        <f>(C824-G823)/G823</f>
        <v>0.42922244374821988</v>
      </c>
      <c r="N823" s="1033">
        <f>"2/13/2019"+90</f>
        <v>43599</v>
      </c>
      <c r="O823" s="1034">
        <f t="shared" ca="1" si="105"/>
        <v>-1573</v>
      </c>
    </row>
    <row r="824" spans="1:15" hidden="1" outlineLevel="1" x14ac:dyDescent="0.35">
      <c r="A824" s="706" t="s">
        <v>32</v>
      </c>
      <c r="B824" s="255" t="str">
        <f ca="1">TEXT(TODAY(),"ddd")</f>
        <v>Sun</v>
      </c>
      <c r="C824" s="256">
        <v>25090</v>
      </c>
      <c r="D824" s="257">
        <f>C824-C813</f>
        <v>-226</v>
      </c>
      <c r="E824" s="707"/>
      <c r="F824" s="708"/>
      <c r="G824" s="801">
        <v>4766</v>
      </c>
      <c r="H824" s="685">
        <f>(C825-G824)/G824</f>
        <v>0.62526227444397819</v>
      </c>
      <c r="N824" s="1048">
        <f>"1/24/2019"+90</f>
        <v>43579</v>
      </c>
      <c r="O824" s="1049">
        <f t="shared" ca="1" si="105"/>
        <v>-1593</v>
      </c>
    </row>
    <row r="825" spans="1:15" ht="19" hidden="1" outlineLevel="1" thickBot="1" x14ac:dyDescent="0.5">
      <c r="A825" s="709" t="s">
        <v>36</v>
      </c>
      <c r="B825" s="263"/>
      <c r="C825" s="419">
        <v>7746</v>
      </c>
      <c r="D825" s="223">
        <f>C825-C814</f>
        <v>101</v>
      </c>
      <c r="E825" s="792">
        <f>(C825-C814)/C814</f>
        <v>1.3211249182472204E-2</v>
      </c>
      <c r="F825" s="617" t="s">
        <v>37</v>
      </c>
      <c r="G825" s="783" t="s">
        <v>143</v>
      </c>
      <c r="H825" s="784" t="s">
        <v>144</v>
      </c>
      <c r="N825" s="1033">
        <f>"1/31/2019"+90</f>
        <v>43586</v>
      </c>
      <c r="O825" s="1034">
        <f t="shared" ca="1" si="105"/>
        <v>-1586</v>
      </c>
    </row>
    <row r="826" spans="1:15" hidden="1" outlineLevel="1" x14ac:dyDescent="0.35">
      <c r="A826" s="859" t="s">
        <v>137</v>
      </c>
      <c r="B826" s="860">
        <v>525</v>
      </c>
      <c r="C826" s="897">
        <v>443.58</v>
      </c>
      <c r="D826" s="862">
        <f>C826*B826</f>
        <v>232879.5</v>
      </c>
      <c r="E826" s="923">
        <f>(C826-C815)/C815</f>
        <v>8.2509700563730887E-2</v>
      </c>
      <c r="F826" s="793">
        <f>D826/D833</f>
        <v>0.59946476166732565</v>
      </c>
      <c r="G826" s="796">
        <v>0.59</v>
      </c>
      <c r="H826" s="785" t="s">
        <v>145</v>
      </c>
      <c r="I826" s="1044">
        <f>(C826-C815)*B815</f>
        <v>17750.25</v>
      </c>
      <c r="N826" s="1033">
        <f>"1/29/2019"+90</f>
        <v>43584</v>
      </c>
      <c r="O826" s="1034">
        <f t="shared" ca="1" si="105"/>
        <v>-1588</v>
      </c>
    </row>
    <row r="827" spans="1:15" hidden="1" outlineLevel="1" x14ac:dyDescent="0.35">
      <c r="A827" s="879" t="s">
        <v>96</v>
      </c>
      <c r="B827" s="880">
        <v>175</v>
      </c>
      <c r="C827" s="902">
        <v>490.49</v>
      </c>
      <c r="D827" s="882">
        <f>C827*B827</f>
        <v>85835.75</v>
      </c>
      <c r="E827" s="921">
        <f>(C827-C816)/C816</f>
        <v>1.2154354106479541E-2</v>
      </c>
      <c r="F827" s="795">
        <f>D827/D833</f>
        <v>0.22095335749297879</v>
      </c>
      <c r="G827" s="794">
        <v>0.87</v>
      </c>
      <c r="H827" s="785" t="s">
        <v>192</v>
      </c>
      <c r="I827" s="399">
        <f>(C827-C816)*B816</f>
        <v>1472.4999999999966</v>
      </c>
      <c r="N827" s="1033">
        <f>"2/4/2019"+90</f>
        <v>43590</v>
      </c>
      <c r="O827" s="1034">
        <f t="shared" ca="1" si="105"/>
        <v>-1582</v>
      </c>
    </row>
    <row r="828" spans="1:15" hidden="1" outlineLevel="1" x14ac:dyDescent="0.35">
      <c r="A828" s="859" t="s">
        <v>49</v>
      </c>
      <c r="B828" s="860">
        <v>100.843</v>
      </c>
      <c r="C828" s="897">
        <v>265.26</v>
      </c>
      <c r="D828" s="862">
        <f>C828*B828</f>
        <v>26749.61418</v>
      </c>
      <c r="E828" s="923">
        <f>(C828-C817)/C817</f>
        <v>1.1361903309440364E-2</v>
      </c>
      <c r="F828" s="795">
        <f>D828/D833</f>
        <v>6.885728923802488E-2</v>
      </c>
      <c r="G828" s="794">
        <v>1.39</v>
      </c>
      <c r="H828" s="785" t="s">
        <v>145</v>
      </c>
      <c r="I828" s="399">
        <f>(C828-C817)*B817</f>
        <v>300.34228000000184</v>
      </c>
      <c r="N828" s="1033">
        <f>"1/24/2019"+90</f>
        <v>43579</v>
      </c>
      <c r="O828" s="1034">
        <f t="shared" ca="1" si="105"/>
        <v>-1593</v>
      </c>
    </row>
    <row r="829" spans="1:15" hidden="1" outlineLevel="1" x14ac:dyDescent="0.35">
      <c r="A829" s="879" t="s">
        <v>208</v>
      </c>
      <c r="B829" s="880">
        <v>100</v>
      </c>
      <c r="C829" s="902">
        <v>362.66</v>
      </c>
      <c r="D829" s="882">
        <f>C829*B829</f>
        <v>36266</v>
      </c>
      <c r="E829" s="921">
        <f>(C829-362.76)/362.76</f>
        <v>-2.7566435108602354E-4</v>
      </c>
      <c r="F829" s="795">
        <f>D829/D833</f>
        <v>9.3353811935474068E-2</v>
      </c>
      <c r="G829" s="794">
        <v>1.69</v>
      </c>
      <c r="H829" s="785" t="s">
        <v>146</v>
      </c>
      <c r="I829" s="399">
        <f>(C829-362.76)*100</f>
        <v>-9.9999999999965894</v>
      </c>
    </row>
    <row r="830" spans="1:15" ht="16" hidden="1" outlineLevel="1" thickBot="1" x14ac:dyDescent="0.4">
      <c r="A830" s="859" t="s">
        <v>135</v>
      </c>
      <c r="B830" s="860">
        <v>25.594999999999999</v>
      </c>
      <c r="C830" s="897">
        <v>178.41</v>
      </c>
      <c r="D830" s="862">
        <f>C830*B830</f>
        <v>4566.4039499999999</v>
      </c>
      <c r="E830" s="923">
        <f>(C830-C818)/C818</f>
        <v>-5.1162048609264502E-2</v>
      </c>
      <c r="F830" s="1042">
        <f>D830/D833</f>
        <v>1.1754569447132464E-2</v>
      </c>
      <c r="G830" s="794">
        <v>1.69</v>
      </c>
      <c r="H830" s="785" t="s">
        <v>146</v>
      </c>
      <c r="I830" s="786">
        <f>(C830-C818)*B818</f>
        <v>-246.2239000000001</v>
      </c>
    </row>
    <row r="831" spans="1:15" ht="16" hidden="1" outlineLevel="1" thickBot="1" x14ac:dyDescent="0.4">
      <c r="A831" s="879" t="s">
        <v>7</v>
      </c>
      <c r="B831" s="880"/>
      <c r="C831" s="902"/>
      <c r="D831" s="882">
        <v>1724.13</v>
      </c>
      <c r="E831" s="921"/>
      <c r="F831" s="665">
        <f>D831/D833</f>
        <v>4.4381544083248476E-3</v>
      </c>
      <c r="G831" s="797">
        <f>AVERAGE(G826:G830)</f>
        <v>1.2459999999999998</v>
      </c>
      <c r="H831" s="948"/>
      <c r="I831" s="786">
        <f>SUM(I826:I830)</f>
        <v>19266.86838</v>
      </c>
    </row>
    <row r="832" spans="1:15" ht="16" hidden="1" outlineLevel="1" thickBot="1" x14ac:dyDescent="0.4">
      <c r="A832" s="859" t="s">
        <v>60</v>
      </c>
      <c r="B832" s="860"/>
      <c r="C832" s="897"/>
      <c r="D832" s="862">
        <v>457.65</v>
      </c>
      <c r="E832" s="923"/>
      <c r="F832" s="665"/>
    </row>
    <row r="833" spans="1:15" ht="19" hidden="1" outlineLevel="1" thickBot="1" x14ac:dyDescent="0.5">
      <c r="A833" s="726" t="s">
        <v>62</v>
      </c>
      <c r="B833" s="583"/>
      <c r="C833" s="584"/>
      <c r="D833" s="585">
        <f>SUM(D826:D832)</f>
        <v>388479.04813000001</v>
      </c>
      <c r="E833" s="780">
        <f>D833-D821</f>
        <v>17705.068200000038</v>
      </c>
      <c r="F833" s="792">
        <f>(D833-D821)/D821</f>
        <v>4.7751646982732321E-2</v>
      </c>
      <c r="G833" s="574">
        <f>E833/1333</f>
        <v>13.282121680420133</v>
      </c>
      <c r="H833" s="1043">
        <f>(G833/10)/8</f>
        <v>0.16602652100525167</v>
      </c>
      <c r="I833" s="148"/>
    </row>
    <row r="834" spans="1:15" hidden="1" outlineLevel="1" x14ac:dyDescent="0.35"/>
    <row r="835" spans="1:15" hidden="1" outlineLevel="1" x14ac:dyDescent="0.35">
      <c r="A835" s="701" t="s">
        <v>25</v>
      </c>
      <c r="B835" s="702" t="s">
        <v>26</v>
      </c>
      <c r="C835" s="703" t="s">
        <v>27</v>
      </c>
      <c r="D835" s="704">
        <f>D823+7</f>
        <v>43273</v>
      </c>
      <c r="E835" s="705" t="s">
        <v>28</v>
      </c>
      <c r="F835" s="511" t="s">
        <v>101</v>
      </c>
      <c r="G835" s="252">
        <v>17555</v>
      </c>
      <c r="H835" s="253">
        <f>(C836-G835)/G835</f>
        <v>0.40017089148390772</v>
      </c>
      <c r="N835" s="1031" t="s">
        <v>43</v>
      </c>
      <c r="O835" s="1032" t="s">
        <v>198</v>
      </c>
    </row>
    <row r="836" spans="1:15" hidden="1" outlineLevel="1" x14ac:dyDescent="0.35">
      <c r="A836" s="706" t="s">
        <v>32</v>
      </c>
      <c r="B836" s="255" t="str">
        <f ca="1">TEXT(TODAY(),"ddd")</f>
        <v>Sun</v>
      </c>
      <c r="C836" s="256">
        <v>24580</v>
      </c>
      <c r="D836" s="257">
        <f>C836-C824</f>
        <v>-510</v>
      </c>
      <c r="E836" s="707"/>
      <c r="F836" s="708"/>
      <c r="G836" s="801">
        <v>4766</v>
      </c>
      <c r="H836" s="685">
        <f>(C837-G836)/G836</f>
        <v>0.61393201846412082</v>
      </c>
      <c r="N836" s="1033">
        <f>"2/14/2019"+90</f>
        <v>43600</v>
      </c>
      <c r="O836" s="1034">
        <f t="shared" ref="O836:O843" ca="1" si="106">N836-TODAY()</f>
        <v>-1572</v>
      </c>
    </row>
    <row r="837" spans="1:15" ht="19" hidden="1" outlineLevel="1" thickBot="1" x14ac:dyDescent="0.5">
      <c r="A837" s="709" t="s">
        <v>36</v>
      </c>
      <c r="B837" s="263"/>
      <c r="C837" s="419">
        <v>7692</v>
      </c>
      <c r="D837" s="264">
        <f>C837-C825</f>
        <v>-54</v>
      </c>
      <c r="E837" s="830">
        <f t="shared" ref="E837:E842" si="107">(C837-C825)/C825</f>
        <v>-6.9713400464756006E-3</v>
      </c>
      <c r="F837" s="617" t="s">
        <v>37</v>
      </c>
      <c r="G837" s="783" t="s">
        <v>143</v>
      </c>
      <c r="H837" s="784" t="s">
        <v>144</v>
      </c>
      <c r="N837" s="1033">
        <f>"2/26/2019"+90</f>
        <v>43612</v>
      </c>
      <c r="O837" s="1034">
        <f t="shared" ca="1" si="106"/>
        <v>-1560</v>
      </c>
    </row>
    <row r="838" spans="1:15" hidden="1" outlineLevel="1" x14ac:dyDescent="0.35">
      <c r="A838" s="859" t="s">
        <v>137</v>
      </c>
      <c r="B838" s="860">
        <v>525</v>
      </c>
      <c r="C838" s="897">
        <v>427.29</v>
      </c>
      <c r="D838" s="862">
        <f>C838*B838</f>
        <v>224327.25</v>
      </c>
      <c r="E838" s="863">
        <f t="shared" si="107"/>
        <v>-3.6723928040037795E-2</v>
      </c>
      <c r="F838" s="793">
        <f>D838/D845</f>
        <v>0.59636038808523384</v>
      </c>
      <c r="G838" s="1050">
        <v>0.59</v>
      </c>
      <c r="H838" s="785" t="s">
        <v>145</v>
      </c>
      <c r="I838" s="1051">
        <f>(C838-C826)*B826</f>
        <v>-8552.2499999999818</v>
      </c>
      <c r="K838" s="118">
        <f>I838+I850+I862</f>
        <v>-19734.749999999985</v>
      </c>
      <c r="N838" s="1033">
        <f>"2/13/2019"+90</f>
        <v>43599</v>
      </c>
      <c r="O838" s="1034">
        <f t="shared" ca="1" si="106"/>
        <v>-1573</v>
      </c>
    </row>
    <row r="839" spans="1:15" hidden="1" outlineLevel="1" x14ac:dyDescent="0.35">
      <c r="A839" s="879" t="s">
        <v>96</v>
      </c>
      <c r="B839" s="880">
        <v>175</v>
      </c>
      <c r="C839" s="902">
        <v>483.21</v>
      </c>
      <c r="D839" s="882">
        <f>C839*B839</f>
        <v>84561.75</v>
      </c>
      <c r="E839" s="883">
        <f t="shared" si="107"/>
        <v>-1.484230055658633E-2</v>
      </c>
      <c r="F839" s="795">
        <f>D839/D845</f>
        <v>0.22480228348168366</v>
      </c>
      <c r="G839" s="794">
        <v>0.87</v>
      </c>
      <c r="H839" s="785" t="s">
        <v>192</v>
      </c>
      <c r="I839" s="542">
        <f>(C839-C827)*B827</f>
        <v>-1274.0000000000052</v>
      </c>
      <c r="N839" s="1033">
        <f>"1/24/2019"+90</f>
        <v>43579</v>
      </c>
      <c r="O839" s="1034">
        <f t="shared" ca="1" si="106"/>
        <v>-1593</v>
      </c>
    </row>
    <row r="840" spans="1:15" hidden="1" outlineLevel="1" x14ac:dyDescent="0.35">
      <c r="A840" s="859" t="s">
        <v>49</v>
      </c>
      <c r="B840" s="860">
        <v>100.843</v>
      </c>
      <c r="C840" s="897">
        <v>250.95</v>
      </c>
      <c r="D840" s="862">
        <f>C840*B840</f>
        <v>25306.55085</v>
      </c>
      <c r="E840" s="863">
        <f t="shared" si="107"/>
        <v>-5.3947070798461894E-2</v>
      </c>
      <c r="F840" s="795">
        <f>D840/D845</f>
        <v>6.727593052562586E-2</v>
      </c>
      <c r="G840" s="794">
        <v>1.39</v>
      </c>
      <c r="H840" s="785" t="s">
        <v>145</v>
      </c>
      <c r="I840" s="542">
        <f>(C840-C828)*B828</f>
        <v>-1443.0633300000002</v>
      </c>
      <c r="N840" s="1033">
        <f>"1/31/2019"+90</f>
        <v>43586</v>
      </c>
      <c r="O840" s="1034">
        <f t="shared" ca="1" si="106"/>
        <v>-1586</v>
      </c>
    </row>
    <row r="841" spans="1:15" hidden="1" outlineLevel="1" x14ac:dyDescent="0.35">
      <c r="A841" s="879" t="s">
        <v>208</v>
      </c>
      <c r="B841" s="880">
        <v>100</v>
      </c>
      <c r="C841" s="902">
        <v>353.27</v>
      </c>
      <c r="D841" s="882">
        <f>C841*B841</f>
        <v>35327</v>
      </c>
      <c r="E841" s="883">
        <f t="shared" si="107"/>
        <v>-2.5892020073898535E-2</v>
      </c>
      <c r="F841" s="795">
        <f>D841/D845</f>
        <v>9.3914686824213528E-2</v>
      </c>
      <c r="G841" s="794"/>
      <c r="H841" s="785" t="s">
        <v>146</v>
      </c>
      <c r="I841" s="542">
        <f>(C841-C829)*B829</f>
        <v>-939.00000000000432</v>
      </c>
      <c r="N841" s="1033">
        <f>"1/29/2019"+90</f>
        <v>43584</v>
      </c>
      <c r="O841" s="1034">
        <f t="shared" ca="1" si="106"/>
        <v>-1588</v>
      </c>
    </row>
    <row r="842" spans="1:15" ht="16" hidden="1" outlineLevel="1" thickBot="1" x14ac:dyDescent="0.4">
      <c r="A842" s="859" t="s">
        <v>135</v>
      </c>
      <c r="B842" s="860">
        <v>25.594999999999999</v>
      </c>
      <c r="C842" s="897">
        <v>174.7</v>
      </c>
      <c r="D842" s="862">
        <f>C842*B842</f>
        <v>4471.4464999999991</v>
      </c>
      <c r="E842" s="863">
        <f t="shared" si="107"/>
        <v>-2.0794798497842094E-2</v>
      </c>
      <c r="F842" s="1042">
        <f>D842/D845</f>
        <v>1.1887069315218548E-2</v>
      </c>
      <c r="G842" s="1052">
        <v>1.69</v>
      </c>
      <c r="H842" s="785" t="s">
        <v>145</v>
      </c>
      <c r="I842" s="592">
        <f>(C842-C830)*B830</f>
        <v>-94.957450000000193</v>
      </c>
      <c r="N842" s="1033">
        <f>"2/4/2019"+90</f>
        <v>43590</v>
      </c>
      <c r="O842" s="1034">
        <f t="shared" ca="1" si="106"/>
        <v>-1582</v>
      </c>
    </row>
    <row r="843" spans="1:15" ht="16" hidden="1" outlineLevel="1" thickBot="1" x14ac:dyDescent="0.4">
      <c r="A843" s="879" t="s">
        <v>7</v>
      </c>
      <c r="B843" s="880"/>
      <c r="C843" s="902"/>
      <c r="D843" s="882">
        <v>1708.9</v>
      </c>
      <c r="E843" s="921"/>
      <c r="F843" s="665">
        <f>D843/D845</f>
        <v>4.5430070007048007E-3</v>
      </c>
      <c r="G843" s="797">
        <f>AVERAGE(G838:G842)</f>
        <v>1.1349999999999998</v>
      </c>
      <c r="H843" s="948"/>
      <c r="I843" s="592">
        <f>SUM(I838:I842)</f>
        <v>-12303.270779999992</v>
      </c>
      <c r="N843" s="1033">
        <f>"1/24/2019"+90</f>
        <v>43579</v>
      </c>
      <c r="O843" s="1034">
        <f t="shared" ca="1" si="106"/>
        <v>-1593</v>
      </c>
    </row>
    <row r="844" spans="1:15" ht="16" hidden="1" outlineLevel="1" thickBot="1" x14ac:dyDescent="0.4">
      <c r="A844" s="859" t="s">
        <v>60</v>
      </c>
      <c r="B844" s="860"/>
      <c r="C844" s="897"/>
      <c r="D844" s="862">
        <v>457.65</v>
      </c>
      <c r="E844" s="923"/>
      <c r="F844" s="665"/>
    </row>
    <row r="845" spans="1:15" ht="19" hidden="1" outlineLevel="1" thickBot="1" x14ac:dyDescent="0.5">
      <c r="A845" s="726" t="s">
        <v>62</v>
      </c>
      <c r="B845" s="583"/>
      <c r="C845" s="584"/>
      <c r="D845" s="585">
        <f>SUM(D838:D844)</f>
        <v>376160.54735000007</v>
      </c>
      <c r="E845" s="771">
        <f>D845-D833</f>
        <v>-12318.500779999944</v>
      </c>
      <c r="F845" s="1053">
        <f>(D845-D833)/D833</f>
        <v>-3.1709562817600657E-2</v>
      </c>
      <c r="G845" s="574">
        <f>E845/1333</f>
        <v>-9.2411858814703258</v>
      </c>
      <c r="H845" s="1043">
        <f>(G845/10)/8</f>
        <v>-0.11551482351837908</v>
      </c>
      <c r="I845" s="148"/>
    </row>
    <row r="846" spans="1:15" hidden="1" outlineLevel="1" x14ac:dyDescent="0.35"/>
    <row r="847" spans="1:15" hidden="1" outlineLevel="1" x14ac:dyDescent="0.35">
      <c r="A847" s="701" t="s">
        <v>25</v>
      </c>
      <c r="B847" s="702" t="s">
        <v>26</v>
      </c>
      <c r="C847" s="703" t="s">
        <v>27</v>
      </c>
      <c r="D847" s="704">
        <f>D835+7</f>
        <v>43280</v>
      </c>
      <c r="E847" s="705" t="s">
        <v>28</v>
      </c>
      <c r="F847" s="511" t="s">
        <v>101</v>
      </c>
      <c r="G847" s="252">
        <v>17555</v>
      </c>
      <c r="H847" s="253">
        <f>(C848-G847)/G847</f>
        <v>0.38256906864141271</v>
      </c>
    </row>
    <row r="848" spans="1:15" hidden="1" outlineLevel="1" x14ac:dyDescent="0.35">
      <c r="A848" s="706" t="s">
        <v>32</v>
      </c>
      <c r="B848" s="255" t="str">
        <f ca="1">TEXT(TODAY(),"ddd")</f>
        <v>Sun</v>
      </c>
      <c r="C848" s="256">
        <v>24271</v>
      </c>
      <c r="D848" s="257">
        <f>C848-C836</f>
        <v>-309</v>
      </c>
      <c r="E848" s="707"/>
      <c r="F848" s="708"/>
      <c r="G848" s="801">
        <v>4766</v>
      </c>
      <c r="H848" s="685">
        <f>(C849-G848)/G848</f>
        <v>0.57574485942089804</v>
      </c>
    </row>
    <row r="849" spans="1:15" ht="19" hidden="1" outlineLevel="1" thickBot="1" x14ac:dyDescent="0.5">
      <c r="A849" s="709" t="s">
        <v>36</v>
      </c>
      <c r="B849" s="263"/>
      <c r="C849" s="419">
        <v>7510</v>
      </c>
      <c r="D849" s="264">
        <f>C849-C837</f>
        <v>-182</v>
      </c>
      <c r="E849" s="830">
        <f t="shared" ref="E849:E854" si="108">(C849-C837)/C837</f>
        <v>-2.3660946437857513E-2</v>
      </c>
      <c r="F849" s="617" t="s">
        <v>37</v>
      </c>
      <c r="G849" s="783" t="s">
        <v>143</v>
      </c>
      <c r="H849" s="784" t="s">
        <v>144</v>
      </c>
    </row>
    <row r="850" spans="1:15" hidden="1" outlineLevel="1" x14ac:dyDescent="0.35">
      <c r="A850" s="859" t="s">
        <v>137</v>
      </c>
      <c r="B850" s="860">
        <v>525</v>
      </c>
      <c r="C850" s="897">
        <v>409.05</v>
      </c>
      <c r="D850" s="862">
        <f>C850*B850</f>
        <v>214751.25</v>
      </c>
      <c r="E850" s="1054">
        <f t="shared" si="108"/>
        <v>-4.2687636031734907E-2</v>
      </c>
      <c r="F850" s="793">
        <f>D850/D857</f>
        <v>0.59126808950150811</v>
      </c>
      <c r="G850" s="796">
        <v>0.59</v>
      </c>
      <c r="H850" s="785" t="s">
        <v>145</v>
      </c>
      <c r="I850" s="1051">
        <f>(C850-C838)*B838</f>
        <v>-9576.0000000000055</v>
      </c>
      <c r="N850" s="1031" t="s">
        <v>43</v>
      </c>
      <c r="O850" s="1032" t="s">
        <v>198</v>
      </c>
    </row>
    <row r="851" spans="1:15" hidden="1" outlineLevel="1" x14ac:dyDescent="0.35">
      <c r="A851" s="879" t="s">
        <v>96</v>
      </c>
      <c r="B851" s="880">
        <v>175</v>
      </c>
      <c r="C851" s="902">
        <v>478.48</v>
      </c>
      <c r="D851" s="882">
        <f>C851*B851</f>
        <v>83734</v>
      </c>
      <c r="E851" s="1055">
        <f t="shared" si="108"/>
        <v>-9.7887047039588622E-3</v>
      </c>
      <c r="F851" s="795">
        <f>D851/D857</f>
        <v>0.23054227719894194</v>
      </c>
      <c r="G851" s="794">
        <v>0.87</v>
      </c>
      <c r="H851" s="785" t="s">
        <v>192</v>
      </c>
      <c r="I851" s="542">
        <f>(C851-C839)*B839</f>
        <v>-827.74999999999318</v>
      </c>
      <c r="N851" s="1033">
        <f>"2/14/2019"+90</f>
        <v>43600</v>
      </c>
      <c r="O851" s="1034">
        <f t="shared" ref="O851:O857" ca="1" si="109">N851-TODAY()</f>
        <v>-1572</v>
      </c>
    </row>
    <row r="852" spans="1:15" hidden="1" outlineLevel="1" x14ac:dyDescent="0.35">
      <c r="A852" s="859" t="s">
        <v>49</v>
      </c>
      <c r="B852" s="860">
        <v>100.843</v>
      </c>
      <c r="C852" s="897">
        <v>236.9</v>
      </c>
      <c r="D852" s="862">
        <f>C852*B852</f>
        <v>23889.706700000002</v>
      </c>
      <c r="E852" s="1054">
        <f t="shared" si="108"/>
        <v>-5.5987248455867639E-2</v>
      </c>
      <c r="F852" s="795">
        <f>D852/D857</f>
        <v>6.5774803356256961E-2</v>
      </c>
      <c r="G852" s="794">
        <v>1.39</v>
      </c>
      <c r="H852" s="785" t="s">
        <v>145</v>
      </c>
      <c r="I852" s="542">
        <f>(C852-C840)*B840</f>
        <v>-1416.8441499999983</v>
      </c>
      <c r="N852" s="1033">
        <f>"2/26/2019"+90</f>
        <v>43612</v>
      </c>
      <c r="O852" s="1034">
        <f t="shared" ca="1" si="109"/>
        <v>-1560</v>
      </c>
    </row>
    <row r="853" spans="1:15" hidden="1" outlineLevel="1" x14ac:dyDescent="0.35">
      <c r="A853" s="879" t="s">
        <v>208</v>
      </c>
      <c r="B853" s="880">
        <v>100</v>
      </c>
      <c r="C853" s="902">
        <v>342.14</v>
      </c>
      <c r="D853" s="882">
        <f>C853*B853</f>
        <v>34214</v>
      </c>
      <c r="E853" s="1056">
        <f t="shared" si="108"/>
        <v>-3.1505647238655975E-2</v>
      </c>
      <c r="F853" s="795">
        <f>D853/D857</f>
        <v>9.4200366303826388E-2</v>
      </c>
      <c r="G853" s="794">
        <v>1.81</v>
      </c>
      <c r="H853" s="785" t="s">
        <v>146</v>
      </c>
      <c r="I853" s="542">
        <f>(C853-C841)*B841</f>
        <v>-1112.9999999999995</v>
      </c>
      <c r="N853" s="1033">
        <f>"1/24/2019"+90</f>
        <v>43579</v>
      </c>
      <c r="O853" s="1034">
        <f t="shared" ca="1" si="109"/>
        <v>-1593</v>
      </c>
    </row>
    <row r="854" spans="1:15" ht="16" hidden="1" outlineLevel="1" thickBot="1" x14ac:dyDescent="0.4">
      <c r="A854" s="859" t="s">
        <v>135</v>
      </c>
      <c r="B854" s="860">
        <v>25.594999999999999</v>
      </c>
      <c r="C854" s="897">
        <v>172.85</v>
      </c>
      <c r="D854" s="862">
        <f>C854*B854</f>
        <v>4424.0957499999995</v>
      </c>
      <c r="E854" s="1054">
        <f t="shared" si="108"/>
        <v>-1.058958214081279E-2</v>
      </c>
      <c r="F854" s="1042">
        <f>D854/D857</f>
        <v>1.2180728363044412E-2</v>
      </c>
      <c r="G854" s="794">
        <v>1.69</v>
      </c>
      <c r="H854" s="785" t="s">
        <v>145</v>
      </c>
      <c r="I854" s="592">
        <f>(C854-C842)*B842</f>
        <v>-47.350749999999856</v>
      </c>
      <c r="N854" s="1033">
        <f>"1/31/2019"+90</f>
        <v>43586</v>
      </c>
      <c r="O854" s="1034">
        <f t="shared" ca="1" si="109"/>
        <v>-1586</v>
      </c>
    </row>
    <row r="855" spans="1:15" ht="16" hidden="1" outlineLevel="1" thickBot="1" x14ac:dyDescent="0.4">
      <c r="A855" s="879" t="s">
        <v>7</v>
      </c>
      <c r="B855" s="880"/>
      <c r="C855" s="902"/>
      <c r="D855" s="882">
        <v>1703.83</v>
      </c>
      <c r="E855" s="1056"/>
      <c r="F855" s="665">
        <f>D855/D857</f>
        <v>4.691103352997268E-3</v>
      </c>
      <c r="G855" s="797">
        <f>AVERAGE(G850:G854)</f>
        <v>1.27</v>
      </c>
      <c r="H855" s="948"/>
      <c r="I855" s="826">
        <f>SUM(I850:I854)</f>
        <v>-12980.944899999997</v>
      </c>
      <c r="J855" s="1057" t="s">
        <v>209</v>
      </c>
      <c r="N855" s="1033">
        <f>"1/29/2019"+90</f>
        <v>43584</v>
      </c>
      <c r="O855" s="1034">
        <f t="shared" ca="1" si="109"/>
        <v>-1588</v>
      </c>
    </row>
    <row r="856" spans="1:15" ht="16" hidden="1" outlineLevel="1" thickBot="1" x14ac:dyDescent="0.4">
      <c r="A856" s="859" t="s">
        <v>60</v>
      </c>
      <c r="B856" s="860"/>
      <c r="C856" s="897"/>
      <c r="D856" s="862">
        <f>477.7+9.95</f>
        <v>487.65</v>
      </c>
      <c r="E856" s="1054"/>
      <c r="F856" s="665"/>
      <c r="N856" s="1033">
        <f>"2/4/2019"+90</f>
        <v>43590</v>
      </c>
      <c r="O856" s="1034">
        <f t="shared" ca="1" si="109"/>
        <v>-1582</v>
      </c>
    </row>
    <row r="857" spans="1:15" ht="19" hidden="1" outlineLevel="1" thickBot="1" x14ac:dyDescent="0.5">
      <c r="A857" s="726" t="s">
        <v>62</v>
      </c>
      <c r="B857" s="583"/>
      <c r="C857" s="584"/>
      <c r="D857" s="585">
        <f>SUM(D850:D856)</f>
        <v>363204.53245</v>
      </c>
      <c r="E857" s="771">
        <f>D857-D845</f>
        <v>-12956.014900000067</v>
      </c>
      <c r="F857" s="907">
        <f>(D857-D845)/D845</f>
        <v>-3.4442779795152444E-2</v>
      </c>
      <c r="G857" s="574">
        <f>E857/1333</f>
        <v>-9.7194410352588658</v>
      </c>
      <c r="H857" s="1043">
        <f>(G857/10)/8</f>
        <v>-0.12149301294073582</v>
      </c>
      <c r="I857" s="148"/>
      <c r="N857" s="1033">
        <f>"1/24/2019"+90</f>
        <v>43579</v>
      </c>
      <c r="O857" s="1034">
        <f t="shared" ca="1" si="109"/>
        <v>-1593</v>
      </c>
    </row>
    <row r="858" spans="1:15" hidden="1" outlineLevel="1" x14ac:dyDescent="0.35"/>
    <row r="859" spans="1:15" hidden="1" outlineLevel="1" x14ac:dyDescent="0.35">
      <c r="A859" s="701" t="s">
        <v>25</v>
      </c>
      <c r="B859" s="702" t="s">
        <v>26</v>
      </c>
      <c r="C859" s="703" t="s">
        <v>27</v>
      </c>
      <c r="D859" s="704">
        <f>D847+7</f>
        <v>43287</v>
      </c>
      <c r="E859" s="705" t="s">
        <v>28</v>
      </c>
      <c r="F859" s="511" t="s">
        <v>101</v>
      </c>
      <c r="G859" s="252">
        <v>17555</v>
      </c>
      <c r="H859" s="253">
        <f>(C860-G859)/G859</f>
        <v>0.393107376815722</v>
      </c>
    </row>
    <row r="860" spans="1:15" hidden="1" outlineLevel="1" x14ac:dyDescent="0.35">
      <c r="A860" s="706" t="s">
        <v>32</v>
      </c>
      <c r="B860" s="255" t="str">
        <f ca="1">TEXT(TODAY(),"ddd")</f>
        <v>Sun</v>
      </c>
      <c r="C860" s="256">
        <v>24456</v>
      </c>
      <c r="D860" s="322">
        <f>C860-C848</f>
        <v>185</v>
      </c>
      <c r="E860" s="707"/>
      <c r="F860" s="708"/>
      <c r="G860" s="801">
        <v>4766</v>
      </c>
      <c r="H860" s="685">
        <f>(C861-G860)/G860</f>
        <v>0.61309274024339067</v>
      </c>
    </row>
    <row r="861" spans="1:15" ht="19" hidden="1" outlineLevel="1" thickBot="1" x14ac:dyDescent="0.5">
      <c r="A861" s="709" t="s">
        <v>36</v>
      </c>
      <c r="B861" s="263"/>
      <c r="C861" s="419">
        <v>7688</v>
      </c>
      <c r="D861" s="223">
        <f>C861-C849</f>
        <v>178</v>
      </c>
      <c r="E861" s="792">
        <f>(C861-C849)/C849</f>
        <v>2.3701731025299599E-2</v>
      </c>
      <c r="F861" s="617" t="s">
        <v>37</v>
      </c>
      <c r="G861" s="783" t="s">
        <v>143</v>
      </c>
      <c r="H861" s="784" t="s">
        <v>144</v>
      </c>
    </row>
    <row r="862" spans="1:15" hidden="1" outlineLevel="1" x14ac:dyDescent="0.35">
      <c r="A862" s="859" t="s">
        <v>137</v>
      </c>
      <c r="B862" s="860">
        <v>525</v>
      </c>
      <c r="C862" s="897">
        <v>405.99</v>
      </c>
      <c r="D862" s="862">
        <f>C862*B862</f>
        <v>213144.75</v>
      </c>
      <c r="E862" s="923">
        <f>(C862-C850)/C850</f>
        <v>-7.4807480748074863E-3</v>
      </c>
      <c r="F862" s="793">
        <f>D862/D868</f>
        <v>0.58208719827588229</v>
      </c>
      <c r="G862" s="796">
        <v>0.59</v>
      </c>
      <c r="H862" s="785" t="s">
        <v>192</v>
      </c>
      <c r="I862" s="1051">
        <f>(C862-C850)*B850</f>
        <v>-1606.5000000000011</v>
      </c>
    </row>
    <row r="863" spans="1:15" hidden="1" outlineLevel="1" x14ac:dyDescent="0.35">
      <c r="A863" s="879" t="s">
        <v>96</v>
      </c>
      <c r="B863" s="880">
        <v>246</v>
      </c>
      <c r="C863" s="902">
        <v>495.46</v>
      </c>
      <c r="D863" s="882">
        <f>C863*B863</f>
        <v>121883.15999999999</v>
      </c>
      <c r="E863" s="921">
        <f>(C863-C851)/C851</f>
        <v>3.5487376692860645E-2</v>
      </c>
      <c r="F863" s="795">
        <f>D863/D868</f>
        <v>0.33285655462501929</v>
      </c>
      <c r="G863" s="794">
        <v>0.87</v>
      </c>
      <c r="H863" s="785" t="s">
        <v>192</v>
      </c>
      <c r="I863" s="399">
        <f>(C863-C851)*B851</f>
        <v>2971.4999999999932</v>
      </c>
    </row>
    <row r="864" spans="1:15" hidden="1" outlineLevel="1" x14ac:dyDescent="0.35">
      <c r="A864" s="859" t="s">
        <v>49</v>
      </c>
      <c r="B864" s="860">
        <v>100.84</v>
      </c>
      <c r="C864" s="897">
        <v>247.33</v>
      </c>
      <c r="D864" s="862">
        <f>C864*B864</f>
        <v>24940.757200000004</v>
      </c>
      <c r="E864" s="923">
        <f>(C864-C852)/C852</f>
        <v>4.4027015618404421E-2</v>
      </c>
      <c r="F864" s="795">
        <f>D864/D868</f>
        <v>6.81119074311098E-2</v>
      </c>
      <c r="G864" s="794">
        <v>1.39</v>
      </c>
      <c r="H864" s="785" t="s">
        <v>192</v>
      </c>
      <c r="I864" s="399">
        <f>(C864-C852)*B852</f>
        <v>1051.7924900000007</v>
      </c>
      <c r="N864" s="1031" t="s">
        <v>43</v>
      </c>
      <c r="O864" s="1032" t="s">
        <v>198</v>
      </c>
    </row>
    <row r="865" spans="1:15" ht="16" hidden="1" outlineLevel="1" thickBot="1" x14ac:dyDescent="0.4">
      <c r="A865" s="879" t="s">
        <v>135</v>
      </c>
      <c r="B865" s="1058">
        <v>25.76</v>
      </c>
      <c r="C865" s="902">
        <v>173.86</v>
      </c>
      <c r="D865" s="882">
        <f>C865*B865</f>
        <v>4478.633600000001</v>
      </c>
      <c r="E865" s="921">
        <f>(C865-C854)/C854</f>
        <v>5.8432166618456426E-3</v>
      </c>
      <c r="F865" s="1042">
        <f>D865/D868</f>
        <v>1.2230914832892808E-2</v>
      </c>
      <c r="G865" s="794">
        <v>1.69</v>
      </c>
      <c r="H865" s="785" t="s">
        <v>192</v>
      </c>
      <c r="I865" s="592">
        <f>(C865-C854)*B854</f>
        <v>25.850950000000495</v>
      </c>
      <c r="N865" s="1033">
        <f>"2/14/2019"+90</f>
        <v>43600</v>
      </c>
      <c r="O865" s="1034">
        <f t="shared" ref="O865:O870" ca="1" si="110">N865-TODAY()</f>
        <v>-1572</v>
      </c>
    </row>
    <row r="866" spans="1:15" ht="16" hidden="1" outlineLevel="1" thickBot="1" x14ac:dyDescent="0.4">
      <c r="A866" s="859" t="s">
        <v>7</v>
      </c>
      <c r="B866" s="860"/>
      <c r="C866" s="897"/>
      <c r="D866" s="862">
        <v>1707.17</v>
      </c>
      <c r="E866" s="923"/>
      <c r="F866" s="665">
        <f>D866/D868</f>
        <v>4.66219225329565E-3</v>
      </c>
      <c r="G866" s="797">
        <f>AVERAGE(G862:G865)</f>
        <v>1.1349999999999998</v>
      </c>
      <c r="H866" s="948"/>
      <c r="I866" s="786">
        <f>SUM(I861:I865)</f>
        <v>2442.643439999993</v>
      </c>
      <c r="N866" s="1033">
        <f>"1/24/2019"+90</f>
        <v>43579</v>
      </c>
      <c r="O866" s="1034">
        <f t="shared" ca="1" si="110"/>
        <v>-1593</v>
      </c>
    </row>
    <row r="867" spans="1:15" ht="16" hidden="1" outlineLevel="1" thickBot="1" x14ac:dyDescent="0.4">
      <c r="A867" s="879" t="s">
        <v>60</v>
      </c>
      <c r="B867" s="880"/>
      <c r="C867" s="902"/>
      <c r="D867" s="882">
        <v>18.760000000000002</v>
      </c>
      <c r="E867" s="921"/>
      <c r="F867" s="665"/>
      <c r="N867" s="1033">
        <f>"1/31/2019"+90</f>
        <v>43586</v>
      </c>
      <c r="O867" s="1034">
        <f t="shared" ca="1" si="110"/>
        <v>-1586</v>
      </c>
    </row>
    <row r="868" spans="1:15" ht="19" hidden="1" outlineLevel="1" thickBot="1" x14ac:dyDescent="0.5">
      <c r="A868" s="726" t="s">
        <v>62</v>
      </c>
      <c r="B868" s="583"/>
      <c r="C868" s="584"/>
      <c r="D868" s="585">
        <f>SUM(D862:D867)</f>
        <v>366173.23079999996</v>
      </c>
      <c r="E868" s="780">
        <f>D868-D857</f>
        <v>2968.6983499999624</v>
      </c>
      <c r="F868" s="792">
        <f>(D868-D857)/D857</f>
        <v>8.1736269367966765E-3</v>
      </c>
      <c r="G868" s="1059">
        <f>E868/1333</f>
        <v>2.22708053263313</v>
      </c>
      <c r="H868" s="1043">
        <f>(G868/10)/8</f>
        <v>2.7838506657914125E-2</v>
      </c>
      <c r="I868" s="148"/>
      <c r="N868" s="1033">
        <f>"1/29/2019"+90</f>
        <v>43584</v>
      </c>
      <c r="O868" s="1034">
        <f t="shared" ca="1" si="110"/>
        <v>-1588</v>
      </c>
    </row>
    <row r="869" spans="1:15" hidden="1" outlineLevel="1" x14ac:dyDescent="0.35">
      <c r="N869" s="1033">
        <f>"2/4/2019"+90</f>
        <v>43590</v>
      </c>
      <c r="O869" s="1034">
        <f t="shared" ca="1" si="110"/>
        <v>-1582</v>
      </c>
    </row>
    <row r="870" spans="1:15" hidden="1" outlineLevel="1" x14ac:dyDescent="0.35">
      <c r="A870" s="701" t="s">
        <v>25</v>
      </c>
      <c r="B870" s="702" t="s">
        <v>26</v>
      </c>
      <c r="C870" s="703" t="s">
        <v>27</v>
      </c>
      <c r="D870" s="704">
        <f>D859+7</f>
        <v>43294</v>
      </c>
      <c r="E870" s="705" t="s">
        <v>28</v>
      </c>
      <c r="F870" s="511" t="s">
        <v>101</v>
      </c>
      <c r="G870" s="252">
        <v>17555</v>
      </c>
      <c r="H870" s="253">
        <f>(C871-G870)/G870</f>
        <v>0.4251780119624039</v>
      </c>
      <c r="N870" s="1033">
        <f>"1/24/2019"+90</f>
        <v>43579</v>
      </c>
      <c r="O870" s="1034">
        <f t="shared" ca="1" si="110"/>
        <v>-1593</v>
      </c>
    </row>
    <row r="871" spans="1:15" hidden="1" outlineLevel="1" x14ac:dyDescent="0.35">
      <c r="A871" s="706" t="s">
        <v>32</v>
      </c>
      <c r="B871" s="255" t="str">
        <f ca="1">TEXT(TODAY(),"ddd")</f>
        <v>Sun</v>
      </c>
      <c r="C871" s="256">
        <v>25019</v>
      </c>
      <c r="D871" s="322">
        <f>C871-C860</f>
        <v>563</v>
      </c>
      <c r="E871" s="707"/>
      <c r="F871" s="708"/>
      <c r="G871" s="801">
        <v>4766</v>
      </c>
      <c r="H871" s="685">
        <f>(C872-G871)/G871</f>
        <v>0.64183801930339912</v>
      </c>
    </row>
    <row r="872" spans="1:15" ht="19" hidden="1" outlineLevel="1" thickBot="1" x14ac:dyDescent="0.5">
      <c r="A872" s="709" t="s">
        <v>36</v>
      </c>
      <c r="B872" s="263"/>
      <c r="C872" s="419">
        <v>7825</v>
      </c>
      <c r="D872" s="223">
        <f>C872-C861</f>
        <v>137</v>
      </c>
      <c r="E872" s="792">
        <f>(C872-C861)/C861</f>
        <v>1.7819979188345474E-2</v>
      </c>
      <c r="F872" s="617" t="s">
        <v>37</v>
      </c>
      <c r="G872" s="783" t="s">
        <v>143</v>
      </c>
      <c r="H872" s="784" t="s">
        <v>144</v>
      </c>
      <c r="J872" s="1060" t="s">
        <v>43</v>
      </c>
      <c r="K872" s="1061" t="s">
        <v>198</v>
      </c>
    </row>
    <row r="873" spans="1:15" hidden="1" outlineLevel="1" x14ac:dyDescent="0.35">
      <c r="A873" s="859" t="s">
        <v>210</v>
      </c>
      <c r="B873" s="860">
        <v>525</v>
      </c>
      <c r="C873" s="897">
        <v>418.76</v>
      </c>
      <c r="D873" s="862">
        <f>C873*B873</f>
        <v>219849</v>
      </c>
      <c r="E873" s="923">
        <f>(C873-C862)/C862</f>
        <v>3.1453976698933427E-2</v>
      </c>
      <c r="F873" s="793">
        <f>D873/D879</f>
        <v>0.57833146801887447</v>
      </c>
      <c r="G873" s="796">
        <v>0.59</v>
      </c>
      <c r="H873" s="785" t="s">
        <v>145</v>
      </c>
      <c r="I873" s="1062">
        <f>(C873-C862)*B862</f>
        <v>6704.2499999999909</v>
      </c>
      <c r="J873" s="1063">
        <v>43307</v>
      </c>
      <c r="K873" s="1064">
        <f ca="1">J873-TODAY()</f>
        <v>-1865</v>
      </c>
      <c r="L873" t="s">
        <v>211</v>
      </c>
    </row>
    <row r="874" spans="1:15" hidden="1" outlineLevel="1" x14ac:dyDescent="0.35">
      <c r="A874" s="879" t="s">
        <v>96</v>
      </c>
      <c r="B874" s="880">
        <v>246</v>
      </c>
      <c r="C874" s="902">
        <v>524.34</v>
      </c>
      <c r="D874" s="882">
        <f>C874*B874</f>
        <v>128987.64000000001</v>
      </c>
      <c r="E874" s="921">
        <f>(C874-C863)/C863</f>
        <v>5.8289266540184986E-2</v>
      </c>
      <c r="F874" s="795">
        <f>D874/D879</f>
        <v>0.33931294296307968</v>
      </c>
      <c r="G874" s="794">
        <v>0.87</v>
      </c>
      <c r="H874" s="785" t="s">
        <v>192</v>
      </c>
      <c r="I874" s="1027">
        <f>(C874-C863)*B863</f>
        <v>7104.4800000000132</v>
      </c>
      <c r="J874" s="1063">
        <v>43300</v>
      </c>
      <c r="K874" s="1064">
        <f ca="1">J874-TODAY()</f>
        <v>-1872</v>
      </c>
      <c r="L874" t="s">
        <v>74</v>
      </c>
    </row>
    <row r="875" spans="1:15" hidden="1" outlineLevel="1" x14ac:dyDescent="0.35">
      <c r="A875" s="859" t="s">
        <v>49</v>
      </c>
      <c r="B875" s="860">
        <v>100.84</v>
      </c>
      <c r="C875" s="897">
        <v>249.32</v>
      </c>
      <c r="D875" s="862">
        <f>C875*B875</f>
        <v>25141.428800000002</v>
      </c>
      <c r="E875" s="923">
        <f>(C875-C864)/C864</f>
        <v>8.0459305381473355E-3</v>
      </c>
      <c r="F875" s="795">
        <f>D875/D879</f>
        <v>6.6136663919308308E-2</v>
      </c>
      <c r="G875" s="794">
        <v>1.39</v>
      </c>
      <c r="H875" s="785" t="s">
        <v>145</v>
      </c>
      <c r="I875" s="1027">
        <f>(C875-C864)*B864</f>
        <v>200.67159999999805</v>
      </c>
      <c r="J875" s="1063">
        <v>43325</v>
      </c>
      <c r="K875" s="1064">
        <f ca="1">J875-TODAY()</f>
        <v>-1847</v>
      </c>
    </row>
    <row r="876" spans="1:15" ht="16" hidden="1" outlineLevel="1" thickBot="1" x14ac:dyDescent="0.4">
      <c r="A876" s="879" t="s">
        <v>135</v>
      </c>
      <c r="B876" s="1058">
        <v>25.76</v>
      </c>
      <c r="C876" s="902">
        <v>171.79</v>
      </c>
      <c r="D876" s="882">
        <f>C876*B876</f>
        <v>4425.3104000000003</v>
      </c>
      <c r="E876" s="883">
        <f>(C876-C865)/C865</f>
        <v>-1.1906131370067994E-2</v>
      </c>
      <c r="F876" s="1042">
        <f>D876/D879</f>
        <v>1.1641154883903011E-2</v>
      </c>
      <c r="G876" s="794">
        <v>1.69</v>
      </c>
      <c r="H876" s="785" t="s">
        <v>145</v>
      </c>
      <c r="I876" s="826">
        <f>(C876-C865)*B865</f>
        <v>-53.323200000000561</v>
      </c>
      <c r="J876" s="1065">
        <v>43307</v>
      </c>
      <c r="K876" s="1066">
        <f ca="1">J876-TODAY()</f>
        <v>-1865</v>
      </c>
    </row>
    <row r="877" spans="1:15" ht="16" hidden="1" outlineLevel="1" thickBot="1" x14ac:dyDescent="0.4">
      <c r="A877" s="859" t="s">
        <v>7</v>
      </c>
      <c r="B877" s="860"/>
      <c r="C877" s="897"/>
      <c r="D877" s="862">
        <v>1721.45</v>
      </c>
      <c r="E877" s="923"/>
      <c r="F877" s="665">
        <f>D877/D879</f>
        <v>4.5284204413988307E-3</v>
      </c>
      <c r="G877" s="797">
        <f>AVERAGE(G873:G876)</f>
        <v>1.1349999999999998</v>
      </c>
      <c r="H877" s="948"/>
      <c r="I877" s="786">
        <f>SUM(I872:I876)</f>
        <v>13956.0784</v>
      </c>
      <c r="N877" s="1031" t="s">
        <v>43</v>
      </c>
      <c r="O877" s="1032" t="s">
        <v>198</v>
      </c>
    </row>
    <row r="878" spans="1:15" ht="16" hidden="1" outlineLevel="1" thickBot="1" x14ac:dyDescent="0.4">
      <c r="A878" s="879" t="s">
        <v>60</v>
      </c>
      <c r="B878" s="880"/>
      <c r="C878" s="902"/>
      <c r="D878" s="882">
        <v>18.760000000000002</v>
      </c>
      <c r="E878" s="921"/>
      <c r="F878" s="665"/>
      <c r="N878" s="1033">
        <f>"2/14/2019"+90</f>
        <v>43600</v>
      </c>
      <c r="O878" s="1034">
        <f ca="1">N878-TODAY()</f>
        <v>-1572</v>
      </c>
    </row>
    <row r="879" spans="1:15" ht="19" hidden="1" outlineLevel="1" thickBot="1" x14ac:dyDescent="0.5">
      <c r="A879" s="726" t="s">
        <v>62</v>
      </c>
      <c r="B879" s="583"/>
      <c r="C879" s="584"/>
      <c r="D879" s="585">
        <f>SUM(D873:D878)</f>
        <v>380143.58920000005</v>
      </c>
      <c r="E879" s="780">
        <f>D879-D868</f>
        <v>13970.358400000085</v>
      </c>
      <c r="F879" s="792">
        <f>(D879-D868)/D868</f>
        <v>3.8152320336137704E-2</v>
      </c>
      <c r="G879" s="1059">
        <f>E879/1333</f>
        <v>10.480388897224369</v>
      </c>
      <c r="H879" s="1043">
        <f>(G879/10)/8</f>
        <v>0.13100486121530461</v>
      </c>
      <c r="I879" s="148"/>
      <c r="N879" s="1033">
        <v>43584</v>
      </c>
      <c r="O879" s="1034">
        <f ca="1">N879-TODAY()</f>
        <v>-1588</v>
      </c>
    </row>
    <row r="880" spans="1:15" hidden="1" outlineLevel="1" x14ac:dyDescent="0.35">
      <c r="N880" s="1033">
        <v>43613</v>
      </c>
      <c r="O880" s="1034">
        <f ca="1">N880-TODAY()</f>
        <v>-1559</v>
      </c>
    </row>
    <row r="881" spans="1:15" hidden="1" outlineLevel="1" x14ac:dyDescent="0.35">
      <c r="A881" s="701" t="s">
        <v>25</v>
      </c>
      <c r="B881" s="702" t="s">
        <v>26</v>
      </c>
      <c r="C881" s="703" t="s">
        <v>27</v>
      </c>
      <c r="D881" s="704">
        <f>D870+7</f>
        <v>43301</v>
      </c>
      <c r="E881" s="705" t="s">
        <v>28</v>
      </c>
      <c r="F881" s="511" t="s">
        <v>101</v>
      </c>
      <c r="G881" s="252">
        <v>17555</v>
      </c>
      <c r="H881" s="253">
        <f>(C882-G881)/G881</f>
        <v>0.4273996012532042</v>
      </c>
      <c r="N881" s="1033">
        <v>43573</v>
      </c>
      <c r="O881" s="1034">
        <f ca="1">N881-TODAY()</f>
        <v>-1599</v>
      </c>
    </row>
    <row r="882" spans="1:15" hidden="1" outlineLevel="1" x14ac:dyDescent="0.35">
      <c r="A882" s="706" t="s">
        <v>32</v>
      </c>
      <c r="B882" s="255" t="str">
        <f ca="1">TEXT(TODAY(),"ddd")</f>
        <v>Sun</v>
      </c>
      <c r="C882" s="256">
        <v>25058</v>
      </c>
      <c r="D882" s="322">
        <f>C882-C871</f>
        <v>39</v>
      </c>
      <c r="E882" s="707"/>
      <c r="F882" s="708"/>
      <c r="G882" s="801">
        <v>4766</v>
      </c>
      <c r="H882" s="685">
        <f>(C883-G882)/G882</f>
        <v>0.64078892152748634</v>
      </c>
      <c r="N882" s="1038"/>
      <c r="O882" s="1039"/>
    </row>
    <row r="883" spans="1:15" ht="19" hidden="1" outlineLevel="1" thickBot="1" x14ac:dyDescent="0.5">
      <c r="A883" s="709" t="s">
        <v>36</v>
      </c>
      <c r="B883" s="263"/>
      <c r="C883" s="419">
        <v>7820</v>
      </c>
      <c r="D883" s="264">
        <f>C883-C872</f>
        <v>-5</v>
      </c>
      <c r="E883" s="792">
        <f>(C883-C872)/C872</f>
        <v>-6.3897763578274762E-4</v>
      </c>
      <c r="F883" s="617" t="s">
        <v>37</v>
      </c>
      <c r="G883" s="783" t="s">
        <v>143</v>
      </c>
      <c r="H883" s="784" t="s">
        <v>144</v>
      </c>
      <c r="J883" s="1060" t="s">
        <v>43</v>
      </c>
      <c r="K883" s="1061" t="s">
        <v>198</v>
      </c>
      <c r="N883" s="1038"/>
      <c r="O883" s="1039"/>
    </row>
    <row r="884" spans="1:15" hidden="1" outlineLevel="1" x14ac:dyDescent="0.35">
      <c r="A884" s="859" t="s">
        <v>137</v>
      </c>
      <c r="B884" s="860">
        <v>525</v>
      </c>
      <c r="C884" s="897">
        <v>423.48</v>
      </c>
      <c r="D884" s="862">
        <f>C884*B884</f>
        <v>222327</v>
      </c>
      <c r="E884" s="923">
        <f>(C884-C873)/C873</f>
        <v>1.1271372623937403E-2</v>
      </c>
      <c r="F884" s="793">
        <f>D884/D890</f>
        <v>0.58341889751957554</v>
      </c>
      <c r="G884" s="796">
        <v>0.59</v>
      </c>
      <c r="H884" s="785" t="s">
        <v>145</v>
      </c>
      <c r="I884" s="1044">
        <f>(C884-C873)*B873</f>
        <v>2478.0000000000146</v>
      </c>
      <c r="J884" s="1063">
        <v>43307</v>
      </c>
      <c r="K884" s="1064">
        <f ca="1">J884-TODAY()</f>
        <v>-1865</v>
      </c>
      <c r="L884" t="s">
        <v>211</v>
      </c>
      <c r="N884" s="1033">
        <v>43579</v>
      </c>
      <c r="O884" s="1034">
        <f ca="1">N884-TODAY()</f>
        <v>-1593</v>
      </c>
    </row>
    <row r="885" spans="1:15" hidden="1" outlineLevel="1" x14ac:dyDescent="0.35">
      <c r="A885" s="879" t="s">
        <v>96</v>
      </c>
      <c r="B885" s="880">
        <v>246</v>
      </c>
      <c r="C885" s="902">
        <v>516.78</v>
      </c>
      <c r="D885" s="882">
        <f>C885*B885</f>
        <v>127127.87999999999</v>
      </c>
      <c r="E885" s="921">
        <f>(C885-C874)/C874</f>
        <v>-1.4418125643666435E-2</v>
      </c>
      <c r="F885" s="795">
        <f>D885/D890</f>
        <v>0.33360234066757927</v>
      </c>
      <c r="G885" s="794">
        <v>0.87</v>
      </c>
      <c r="H885" s="785" t="s">
        <v>192</v>
      </c>
      <c r="I885" s="399">
        <f>(C885-C874)*B874</f>
        <v>-1859.7600000000145</v>
      </c>
      <c r="J885" s="1063">
        <v>43300</v>
      </c>
      <c r="K885" s="1064">
        <f ca="1">J885-TODAY()</f>
        <v>-1872</v>
      </c>
      <c r="L885" t="s">
        <v>74</v>
      </c>
      <c r="N885" s="1033"/>
      <c r="O885" s="1034"/>
    </row>
    <row r="886" spans="1:15" hidden="1" outlineLevel="1" x14ac:dyDescent="0.35">
      <c r="A886" s="859" t="s">
        <v>49</v>
      </c>
      <c r="B886" s="860">
        <v>100.84</v>
      </c>
      <c r="C886" s="897">
        <v>250.89</v>
      </c>
      <c r="D886" s="862">
        <f>C886*B886</f>
        <v>25299.747599999999</v>
      </c>
      <c r="E886" s="923">
        <f>(C886-C875)/C875</f>
        <v>6.2971281886731638E-3</v>
      </c>
      <c r="F886" s="795">
        <f>D886/D890</f>
        <v>6.6390275820370562E-2</v>
      </c>
      <c r="G886" s="794">
        <v>1.39</v>
      </c>
      <c r="H886" s="785" t="s">
        <v>145</v>
      </c>
      <c r="I886" s="399">
        <f>(C886-C875)*B875</f>
        <v>158.31879999999933</v>
      </c>
      <c r="J886" s="1063">
        <v>43325</v>
      </c>
      <c r="K886" s="1064">
        <f ca="1">J886-TODAY()</f>
        <v>-1847</v>
      </c>
      <c r="N886" s="1033">
        <v>43591</v>
      </c>
      <c r="O886" s="1034">
        <f ca="1">N886-TODAY()</f>
        <v>-1581</v>
      </c>
    </row>
    <row r="887" spans="1:15" ht="16" hidden="1" outlineLevel="1" thickBot="1" x14ac:dyDescent="0.4">
      <c r="A887" s="879" t="s">
        <v>135</v>
      </c>
      <c r="B887" s="1058">
        <v>25.76</v>
      </c>
      <c r="C887" s="902">
        <v>177.81</v>
      </c>
      <c r="D887" s="882">
        <f>C887*B887</f>
        <v>4580.3856000000005</v>
      </c>
      <c r="E887" s="921">
        <f>(C887-C876)/C876</f>
        <v>3.5042784795389782E-2</v>
      </c>
      <c r="F887" s="1042">
        <f>D887/D890</f>
        <v>1.2019608580903533E-2</v>
      </c>
      <c r="G887" s="794">
        <v>1.69</v>
      </c>
      <c r="H887" s="785" t="s">
        <v>145</v>
      </c>
      <c r="I887" s="786">
        <f>(C887-C876)*B876</f>
        <v>155.07520000000028</v>
      </c>
      <c r="J887" s="1065">
        <v>43307</v>
      </c>
      <c r="K887" s="1066">
        <f ca="1">J887-TODAY()</f>
        <v>-1865</v>
      </c>
      <c r="N887" s="1033">
        <v>43600</v>
      </c>
      <c r="O887" s="1034">
        <f ca="1">N887-TODAY()</f>
        <v>-1572</v>
      </c>
    </row>
    <row r="888" spans="1:15" ht="16" hidden="1" outlineLevel="1" thickBot="1" x14ac:dyDescent="0.4">
      <c r="A888" s="859" t="s">
        <v>7</v>
      </c>
      <c r="B888" s="860"/>
      <c r="C888" s="897"/>
      <c r="D888" s="862">
        <v>1722.33</v>
      </c>
      <c r="E888" s="923"/>
      <c r="F888" s="665">
        <f>D888/D890</f>
        <v>4.5196483997215382E-3</v>
      </c>
      <c r="G888" s="797">
        <f>AVERAGE(G884:G887)</f>
        <v>1.1349999999999998</v>
      </c>
      <c r="H888" s="948"/>
      <c r="I888" s="786">
        <f>SUM(I883:I887)</f>
        <v>931.63399999999956</v>
      </c>
      <c r="N888" s="1033">
        <v>43570</v>
      </c>
      <c r="O888" s="1034">
        <f ca="1">N888-TODAY()</f>
        <v>-1602</v>
      </c>
    </row>
    <row r="889" spans="1:15" ht="16" hidden="1" outlineLevel="1" thickBot="1" x14ac:dyDescent="0.4">
      <c r="A889" s="879" t="s">
        <v>60</v>
      </c>
      <c r="B889" s="880"/>
      <c r="C889" s="902"/>
      <c r="D889" s="882">
        <v>18.760000000000002</v>
      </c>
      <c r="E889" s="921"/>
      <c r="F889" s="665"/>
    </row>
    <row r="890" spans="1:15" ht="19" hidden="1" outlineLevel="1" thickBot="1" x14ac:dyDescent="0.5">
      <c r="A890" s="726" t="s">
        <v>62</v>
      </c>
      <c r="B890" s="583"/>
      <c r="C890" s="584"/>
      <c r="D890" s="585">
        <f>SUM(D884:D889)</f>
        <v>381076.10320000001</v>
      </c>
      <c r="E890" s="780">
        <f>D890-D879</f>
        <v>932.51399999996647</v>
      </c>
      <c r="F890" s="792">
        <f>(D890-D879)/D879</f>
        <v>2.4530572828083521E-3</v>
      </c>
      <c r="G890" s="574"/>
      <c r="H890" s="1043">
        <f>(G890/10)/8</f>
        <v>0</v>
      </c>
      <c r="I890" s="148"/>
    </row>
    <row r="891" spans="1:15" hidden="1" outlineLevel="1" x14ac:dyDescent="0.35"/>
    <row r="892" spans="1:15" hidden="1" outlineLevel="1" x14ac:dyDescent="0.35">
      <c r="A892" s="701" t="s">
        <v>25</v>
      </c>
      <c r="B892" s="702" t="s">
        <v>26</v>
      </c>
      <c r="C892" s="703" t="s">
        <v>27</v>
      </c>
      <c r="D892" s="704">
        <f>D881+7</f>
        <v>43308</v>
      </c>
      <c r="E892" s="705" t="s">
        <v>28</v>
      </c>
      <c r="F892" s="511" t="s">
        <v>101</v>
      </c>
      <c r="G892" s="252">
        <v>17555</v>
      </c>
      <c r="H892" s="253">
        <f>(C893-G892)/G892</f>
        <v>0.44978638564511536</v>
      </c>
    </row>
    <row r="893" spans="1:15" hidden="1" outlineLevel="1" x14ac:dyDescent="0.35">
      <c r="A893" s="706" t="s">
        <v>32</v>
      </c>
      <c r="B893" s="255" t="str">
        <f ca="1">TEXT(TODAY(),"ddd")</f>
        <v>Sun</v>
      </c>
      <c r="C893" s="256">
        <v>25451</v>
      </c>
      <c r="D893" s="322">
        <f>C893-C882</f>
        <v>393</v>
      </c>
      <c r="E893" s="707"/>
      <c r="F893" s="708"/>
      <c r="G893" s="801">
        <v>4766</v>
      </c>
      <c r="H893" s="685">
        <f>(C894-G893)/G893</f>
        <v>0.62337389844733526</v>
      </c>
    </row>
    <row r="894" spans="1:15" ht="19" hidden="1" outlineLevel="1" thickBot="1" x14ac:dyDescent="0.5">
      <c r="A894" s="709" t="s">
        <v>36</v>
      </c>
      <c r="B894" s="263"/>
      <c r="C894" s="419">
        <v>7737</v>
      </c>
      <c r="D894" s="1067">
        <f>C894-C883</f>
        <v>-83</v>
      </c>
      <c r="E894" s="1068">
        <f>(C894-C883)/C883</f>
        <v>-1.061381074168798E-2</v>
      </c>
      <c r="F894" s="617" t="s">
        <v>37</v>
      </c>
      <c r="G894" s="783" t="s">
        <v>143</v>
      </c>
      <c r="H894" s="784" t="s">
        <v>144</v>
      </c>
      <c r="J894" s="1060" t="s">
        <v>43</v>
      </c>
      <c r="K894" s="1061" t="s">
        <v>198</v>
      </c>
    </row>
    <row r="895" spans="1:15" hidden="1" outlineLevel="1" x14ac:dyDescent="0.35">
      <c r="A895" s="859" t="s">
        <v>137</v>
      </c>
      <c r="B895" s="860">
        <v>275</v>
      </c>
      <c r="C895" s="897">
        <v>369.17</v>
      </c>
      <c r="D895" s="862">
        <f t="shared" ref="D895:D900" si="111">C895*B895</f>
        <v>101521.75</v>
      </c>
      <c r="E895" s="1069">
        <f>(C895-C884)/C884</f>
        <v>-0.12824690658354584</v>
      </c>
      <c r="F895" s="793">
        <f t="shared" ref="F895:F900" si="112">D895/D$903</f>
        <v>0.28874738362035668</v>
      </c>
      <c r="G895" s="796">
        <v>0.59</v>
      </c>
      <c r="H895" s="785" t="s">
        <v>145</v>
      </c>
      <c r="I895" s="1051">
        <f>(C895-C884)*B884</f>
        <v>-28512.75</v>
      </c>
      <c r="J895" s="1063">
        <v>43307</v>
      </c>
      <c r="K895" s="1064">
        <f ca="1">J895-TODAY()</f>
        <v>-1865</v>
      </c>
      <c r="L895" t="s">
        <v>211</v>
      </c>
      <c r="N895" s="1031" t="s">
        <v>43</v>
      </c>
      <c r="O895" s="1032" t="s">
        <v>198</v>
      </c>
    </row>
    <row r="896" spans="1:15" hidden="1" outlineLevel="1" x14ac:dyDescent="0.35">
      <c r="A896" s="879" t="s">
        <v>96</v>
      </c>
      <c r="B896" s="880">
        <v>246</v>
      </c>
      <c r="C896" s="902">
        <v>519.21</v>
      </c>
      <c r="D896" s="882">
        <f t="shared" si="111"/>
        <v>127725.66</v>
      </c>
      <c r="E896" s="921">
        <f>(C896-C885)/C885</f>
        <v>4.7021943573668946E-3</v>
      </c>
      <c r="F896" s="795">
        <f t="shared" si="112"/>
        <v>0.36327634370155404</v>
      </c>
      <c r="G896" s="794">
        <v>0.87</v>
      </c>
      <c r="H896" s="785" t="s">
        <v>192</v>
      </c>
      <c r="I896" s="399">
        <f>(C896-C885)*B885</f>
        <v>597.78000000001566</v>
      </c>
      <c r="J896" s="1063">
        <v>43392</v>
      </c>
      <c r="K896" s="1064">
        <f ca="1">J896-TODAY()</f>
        <v>-1780</v>
      </c>
      <c r="L896" t="s">
        <v>74</v>
      </c>
      <c r="N896" s="1033">
        <f>"2/14/2019"+90</f>
        <v>43600</v>
      </c>
      <c r="O896" s="1034">
        <f ca="1">N896-TODAY()</f>
        <v>-1572</v>
      </c>
    </row>
    <row r="897" spans="1:15" hidden="1" outlineLevel="1" x14ac:dyDescent="0.35">
      <c r="A897" s="859" t="s">
        <v>97</v>
      </c>
      <c r="B897" s="860">
        <v>200</v>
      </c>
      <c r="C897" s="897">
        <v>174.89</v>
      </c>
      <c r="D897" s="862">
        <f t="shared" si="111"/>
        <v>34978</v>
      </c>
      <c r="E897" s="1069"/>
      <c r="F897" s="795">
        <f t="shared" si="112"/>
        <v>9.9484159643355594E-2</v>
      </c>
      <c r="G897" s="794"/>
      <c r="H897" s="785"/>
      <c r="I897" s="399"/>
      <c r="J897" s="1063"/>
      <c r="K897" s="1064"/>
      <c r="N897" s="1070">
        <v>43584</v>
      </c>
      <c r="O897" s="1034">
        <f ca="1">N897-TODAY()</f>
        <v>-1588</v>
      </c>
    </row>
    <row r="898" spans="1:15" hidden="1" outlineLevel="1" x14ac:dyDescent="0.35">
      <c r="A898" s="879" t="s">
        <v>49</v>
      </c>
      <c r="B898" s="880">
        <v>151.84</v>
      </c>
      <c r="C898" s="902">
        <v>252.02</v>
      </c>
      <c r="D898" s="882">
        <f t="shared" si="111"/>
        <v>38266.716800000002</v>
      </c>
      <c r="E898" s="921"/>
      <c r="F898" s="795">
        <f t="shared" si="112"/>
        <v>0.10883790277197888</v>
      </c>
      <c r="G898" s="794">
        <v>1.39</v>
      </c>
      <c r="H898" s="785" t="s">
        <v>145</v>
      </c>
      <c r="I898" s="399"/>
      <c r="J898" s="1065">
        <v>43328</v>
      </c>
      <c r="K898" s="1066">
        <f ca="1">J898-TODAY()</f>
        <v>-1844</v>
      </c>
      <c r="N898" s="1070">
        <v>43613</v>
      </c>
      <c r="O898" s="1034">
        <f ca="1">N898-TODAY()</f>
        <v>-1559</v>
      </c>
    </row>
    <row r="899" spans="1:15" hidden="1" outlineLevel="1" x14ac:dyDescent="0.35">
      <c r="A899" s="859" t="s">
        <v>95</v>
      </c>
      <c r="B899" s="860">
        <v>118</v>
      </c>
      <c r="C899" s="897">
        <v>355.21</v>
      </c>
      <c r="D899" s="862">
        <f t="shared" si="111"/>
        <v>41914.78</v>
      </c>
      <c r="E899" s="1069"/>
      <c r="F899" s="795">
        <f t="shared" si="112"/>
        <v>0.11921369617863022</v>
      </c>
      <c r="G899" s="794">
        <v>1.85</v>
      </c>
      <c r="H899" s="785" t="s">
        <v>145</v>
      </c>
      <c r="I899" s="399"/>
      <c r="J899" s="1063">
        <v>43306</v>
      </c>
      <c r="K899" s="1064">
        <f ca="1">J899-TODAY()</f>
        <v>-1866</v>
      </c>
      <c r="L899" t="s">
        <v>74</v>
      </c>
      <c r="N899" s="1033">
        <v>43573</v>
      </c>
      <c r="O899" s="1034">
        <f ca="1">N899-TODAY()</f>
        <v>-1599</v>
      </c>
    </row>
    <row r="900" spans="1:15" ht="16" hidden="1" outlineLevel="1" thickBot="1" x14ac:dyDescent="0.4">
      <c r="A900" s="879" t="s">
        <v>135</v>
      </c>
      <c r="B900" s="880">
        <v>25.76</v>
      </c>
      <c r="C900" s="902">
        <v>190.02</v>
      </c>
      <c r="D900" s="882">
        <f t="shared" si="111"/>
        <v>4894.9152000000004</v>
      </c>
      <c r="E900" s="921">
        <f>(C900-C887)/C887</f>
        <v>6.8668803779315044E-2</v>
      </c>
      <c r="F900" s="1042">
        <f t="shared" si="112"/>
        <v>1.3922080313267993E-2</v>
      </c>
      <c r="G900" s="794">
        <v>1.69</v>
      </c>
      <c r="H900" s="785" t="s">
        <v>145</v>
      </c>
      <c r="I900" s="786">
        <f>(C900-C887)*B887</f>
        <v>314.52960000000024</v>
      </c>
      <c r="N900" s="1070"/>
      <c r="O900" s="1034"/>
    </row>
    <row r="901" spans="1:15" ht="16" hidden="1" outlineLevel="1" thickBot="1" x14ac:dyDescent="0.4">
      <c r="A901" s="859" t="s">
        <v>7</v>
      </c>
      <c r="B901" s="860"/>
      <c r="C901" s="897"/>
      <c r="D901" s="862">
        <v>1727.35</v>
      </c>
      <c r="E901" s="1069"/>
      <c r="F901" s="665">
        <f>D901/D903</f>
        <v>4.9129156372562828E-3</v>
      </c>
      <c r="G901" s="797">
        <f>AVERAGE(G895:G900)</f>
        <v>1.2779999999999998</v>
      </c>
      <c r="H901" s="948"/>
      <c r="I901" s="592">
        <f>SUM(I895:I900)</f>
        <v>-27600.440399999981</v>
      </c>
      <c r="N901" s="1033">
        <v>43579</v>
      </c>
      <c r="O901" s="1034">
        <f ca="1">N901-TODAY()</f>
        <v>-1593</v>
      </c>
    </row>
    <row r="902" spans="1:15" ht="16" hidden="1" outlineLevel="1" thickBot="1" x14ac:dyDescent="0.4">
      <c r="A902" s="879" t="s">
        <v>60</v>
      </c>
      <c r="B902" s="880"/>
      <c r="C902" s="902"/>
      <c r="D902" s="882">
        <f>554.54+9.95</f>
        <v>564.49</v>
      </c>
      <c r="E902" s="921"/>
      <c r="F902" s="665"/>
      <c r="N902" s="1070"/>
      <c r="O902" s="1034"/>
    </row>
    <row r="903" spans="1:15" ht="19" hidden="1" outlineLevel="1" thickBot="1" x14ac:dyDescent="0.5">
      <c r="A903" s="726" t="s">
        <v>62</v>
      </c>
      <c r="B903" s="583"/>
      <c r="C903" s="584"/>
      <c r="D903" s="585">
        <f>SUM(D895:D902)</f>
        <v>351593.66199999995</v>
      </c>
      <c r="E903" s="771">
        <f>D903-D890</f>
        <v>-29482.441200000059</v>
      </c>
      <c r="F903" s="907">
        <f>(D903-D890)/D890</f>
        <v>-7.7366281833019593E-2</v>
      </c>
      <c r="G903" s="574"/>
      <c r="H903" s="1043">
        <f>(G903/10)/8</f>
        <v>0</v>
      </c>
      <c r="I903" s="148"/>
      <c r="N903" s="1033">
        <v>43591</v>
      </c>
      <c r="O903" s="1034">
        <f ca="1">N903-TODAY()</f>
        <v>-1581</v>
      </c>
    </row>
    <row r="904" spans="1:15" hidden="1" outlineLevel="1" x14ac:dyDescent="0.35">
      <c r="N904" s="1033"/>
      <c r="O904" s="1034"/>
    </row>
    <row r="905" spans="1:15" hidden="1" outlineLevel="1" x14ac:dyDescent="0.35">
      <c r="A905" s="701" t="s">
        <v>25</v>
      </c>
      <c r="B905" s="702" t="s">
        <v>26</v>
      </c>
      <c r="C905" s="703" t="s">
        <v>27</v>
      </c>
      <c r="D905" s="704">
        <f>D892+7</f>
        <v>43315</v>
      </c>
      <c r="E905" s="705" t="s">
        <v>28</v>
      </c>
      <c r="F905" s="511" t="s">
        <v>101</v>
      </c>
      <c r="G905" s="252">
        <v>17555</v>
      </c>
      <c r="H905" s="253">
        <f>(C906-G905)/G905</f>
        <v>0.45041298775277699</v>
      </c>
      <c r="N905" s="1033">
        <v>43600</v>
      </c>
      <c r="O905" s="1034">
        <f ca="1">N905-TODAY()</f>
        <v>-1572</v>
      </c>
    </row>
    <row r="906" spans="1:15" hidden="1" outlineLevel="1" x14ac:dyDescent="0.35">
      <c r="A906" s="706" t="s">
        <v>32</v>
      </c>
      <c r="B906" s="255" t="str">
        <f ca="1">TEXT(TODAY(),"ddd")</f>
        <v>Sun</v>
      </c>
      <c r="C906" s="256">
        <v>25462</v>
      </c>
      <c r="D906" s="322">
        <f>C906-C893</f>
        <v>11</v>
      </c>
      <c r="E906" s="707"/>
      <c r="F906" s="708"/>
      <c r="G906" s="801">
        <v>4766</v>
      </c>
      <c r="H906" s="685">
        <f>(C907-G906)/G906</f>
        <v>0.63911036508602603</v>
      </c>
      <c r="N906" s="1033">
        <v>43570</v>
      </c>
      <c r="O906" s="1034">
        <f ca="1">N906-TODAY()</f>
        <v>-1602</v>
      </c>
    </row>
    <row r="907" spans="1:15" ht="19" hidden="1" outlineLevel="1" thickBot="1" x14ac:dyDescent="0.5">
      <c r="A907" s="709" t="s">
        <v>36</v>
      </c>
      <c r="B907" s="263"/>
      <c r="C907" s="419">
        <v>7812</v>
      </c>
      <c r="D907" s="1071">
        <f>C907-C894</f>
        <v>75</v>
      </c>
      <c r="E907" s="1072">
        <f>(C907-C894)/C894</f>
        <v>9.6936797208220238E-3</v>
      </c>
      <c r="F907" s="617" t="s">
        <v>37</v>
      </c>
      <c r="G907" s="783" t="s">
        <v>143</v>
      </c>
      <c r="H907" s="784" t="s">
        <v>144</v>
      </c>
      <c r="J907" s="1060" t="s">
        <v>43</v>
      </c>
      <c r="K907" s="1061" t="s">
        <v>198</v>
      </c>
    </row>
    <row r="908" spans="1:15" hidden="1" outlineLevel="1" x14ac:dyDescent="0.35">
      <c r="A908" s="859" t="s">
        <v>137</v>
      </c>
      <c r="B908" s="860">
        <v>275</v>
      </c>
      <c r="C908" s="897">
        <v>377.11</v>
      </c>
      <c r="D908" s="862">
        <f>C908*B908</f>
        <v>103705.25</v>
      </c>
      <c r="E908" s="1069">
        <f>(C908-C895)/C895</f>
        <v>2.1507706476690949E-2</v>
      </c>
      <c r="F908" s="793">
        <f>D908/D$903</f>
        <v>0.29495767759317576</v>
      </c>
      <c r="G908" s="796">
        <v>0.59</v>
      </c>
      <c r="H908" s="785" t="s">
        <v>145</v>
      </c>
      <c r="I908" s="1044">
        <f>(C908-C895)*B895</f>
        <v>2183.4999999999995</v>
      </c>
      <c r="J908" s="1063">
        <v>43402</v>
      </c>
      <c r="K908" s="1064">
        <f ca="1">J908-TODAY()</f>
        <v>-1770</v>
      </c>
      <c r="L908" t="s">
        <v>211</v>
      </c>
    </row>
    <row r="909" spans="1:15" hidden="1" outlineLevel="1" x14ac:dyDescent="0.35">
      <c r="A909" s="879" t="s">
        <v>96</v>
      </c>
      <c r="B909" s="880">
        <v>287</v>
      </c>
      <c r="C909" s="902">
        <v>522.6</v>
      </c>
      <c r="D909" s="882">
        <f>C909*B909</f>
        <v>149986.20000000001</v>
      </c>
      <c r="E909" s="921">
        <f>(C909-C896)/C896</f>
        <v>6.5291500548910579E-3</v>
      </c>
      <c r="F909" s="795">
        <f>D909/D$903</f>
        <v>0.42658960103780263</v>
      </c>
      <c r="G909" s="794">
        <v>0.87</v>
      </c>
      <c r="H909" s="785" t="s">
        <v>192</v>
      </c>
      <c r="I909" s="399">
        <f>(C909-C896)*B896</f>
        <v>833.93999999999664</v>
      </c>
      <c r="J909" s="1063">
        <v>43395</v>
      </c>
      <c r="K909" s="1064">
        <f ca="1">J909-TODAY()</f>
        <v>-1777</v>
      </c>
      <c r="L909" t="s">
        <v>74</v>
      </c>
    </row>
    <row r="910" spans="1:15" hidden="1" outlineLevel="1" x14ac:dyDescent="0.35">
      <c r="A910" s="859" t="s">
        <v>208</v>
      </c>
      <c r="B910" s="860">
        <v>150</v>
      </c>
      <c r="C910" s="897">
        <v>363.51</v>
      </c>
      <c r="D910" s="862">
        <f>C910*B910</f>
        <v>54526.5</v>
      </c>
      <c r="E910" s="1069">
        <f>(C910-C897)/C897</f>
        <v>1.0785064897935845</v>
      </c>
      <c r="F910" s="795">
        <f>D910/D$903</f>
        <v>0.15508385358778171</v>
      </c>
      <c r="G910" s="794"/>
      <c r="H910" s="785"/>
      <c r="I910" s="399"/>
      <c r="J910" s="1063">
        <v>43402</v>
      </c>
      <c r="K910" s="1064">
        <f ca="1">J910-TODAY()</f>
        <v>-1770</v>
      </c>
    </row>
    <row r="911" spans="1:15" hidden="1" outlineLevel="1" x14ac:dyDescent="0.35">
      <c r="A911" s="879" t="s">
        <v>49</v>
      </c>
      <c r="B911" s="880">
        <v>151.84</v>
      </c>
      <c r="C911" s="902">
        <v>252.1</v>
      </c>
      <c r="D911" s="882">
        <f>C911*B911</f>
        <v>38278.864000000001</v>
      </c>
      <c r="E911" s="921">
        <f>(C911-C898)/C898</f>
        <v>3.1743512419642915E-4</v>
      </c>
      <c r="F911" s="795">
        <f>D911/D$903</f>
        <v>0.10887245174516259</v>
      </c>
      <c r="G911" s="794">
        <v>1.39</v>
      </c>
      <c r="H911" s="785" t="s">
        <v>145</v>
      </c>
      <c r="I911" s="399">
        <f>(C911-C898)*B898</f>
        <v>12.147199999997584</v>
      </c>
      <c r="J911" s="1065">
        <v>43328</v>
      </c>
      <c r="K911" s="1066">
        <f ca="1">J911-TODAY()</f>
        <v>-1844</v>
      </c>
    </row>
    <row r="912" spans="1:15" ht="16" hidden="1" outlineLevel="1" thickBot="1" x14ac:dyDescent="0.4">
      <c r="A912" s="859" t="s">
        <v>135</v>
      </c>
      <c r="B912" s="860">
        <v>25.76</v>
      </c>
      <c r="C912" s="897">
        <v>187.29</v>
      </c>
      <c r="D912" s="862">
        <f>C912*B912</f>
        <v>4824.5904</v>
      </c>
      <c r="E912" s="1069">
        <f>(C912-C900)/C900</f>
        <v>-1.4366908746447837E-2</v>
      </c>
      <c r="F912" s="1042">
        <f>D912/D$903</f>
        <v>1.3722063055846554E-2</v>
      </c>
      <c r="G912" s="794">
        <v>1.69</v>
      </c>
      <c r="H912" s="785" t="s">
        <v>145</v>
      </c>
      <c r="I912" s="592">
        <f>(C912-C900)*C900</f>
        <v>-518.75460000000351</v>
      </c>
    </row>
    <row r="913" spans="1:15" ht="16" hidden="1" outlineLevel="1" thickBot="1" x14ac:dyDescent="0.4">
      <c r="A913" s="879" t="s">
        <v>7</v>
      </c>
      <c r="B913" s="880"/>
      <c r="C913" s="902"/>
      <c r="D913" s="882">
        <v>1729.67</v>
      </c>
      <c r="E913" s="921"/>
      <c r="F913" s="665">
        <f>D913/D915</f>
        <v>4.8931234918284288E-3</v>
      </c>
      <c r="G913" s="797">
        <f>AVERAGE(G908:G912)</f>
        <v>1.1349999999999998</v>
      </c>
      <c r="H913" s="948"/>
      <c r="I913" s="786">
        <f>SUM(I908:I912)</f>
        <v>2510.8325999999902</v>
      </c>
      <c r="N913" s="1031" t="s">
        <v>43</v>
      </c>
      <c r="O913" s="1032" t="s">
        <v>198</v>
      </c>
    </row>
    <row r="914" spans="1:15" ht="16" hidden="1" outlineLevel="1" thickBot="1" x14ac:dyDescent="0.4">
      <c r="A914" s="859" t="s">
        <v>60</v>
      </c>
      <c r="B914" s="860"/>
      <c r="C914" s="897"/>
      <c r="D914" s="862">
        <v>438.88</v>
      </c>
      <c r="E914" s="1069"/>
      <c r="F914" s="665"/>
      <c r="N914" s="1033">
        <f>"2/14/2019"+90</f>
        <v>43600</v>
      </c>
      <c r="O914" s="1034">
        <f t="shared" ref="O914:O920" ca="1" si="113">N914-TODAY()</f>
        <v>-1572</v>
      </c>
    </row>
    <row r="915" spans="1:15" ht="19" hidden="1" outlineLevel="1" thickBot="1" x14ac:dyDescent="0.5">
      <c r="A915" s="726" t="s">
        <v>62</v>
      </c>
      <c r="B915" s="583"/>
      <c r="C915" s="584"/>
      <c r="D915" s="585">
        <f>SUM(D908:D914)</f>
        <v>353489.95439999999</v>
      </c>
      <c r="E915" s="780">
        <f>D915-D903</f>
        <v>1896.2924000000348</v>
      </c>
      <c r="F915" s="1073">
        <f>(D915-D903)/D903</f>
        <v>5.3934203171160551E-3</v>
      </c>
      <c r="G915" s="574"/>
      <c r="H915" s="1043">
        <f>(G915/10)/8</f>
        <v>0</v>
      </c>
      <c r="I915" s="148"/>
      <c r="N915" s="1074">
        <v>43573</v>
      </c>
      <c r="O915" s="1075">
        <f t="shared" ca="1" si="113"/>
        <v>-1599</v>
      </c>
    </row>
    <row r="916" spans="1:15" hidden="1" outlineLevel="1" x14ac:dyDescent="0.35">
      <c r="N916" s="1033">
        <v>43579</v>
      </c>
      <c r="O916" s="1034">
        <f t="shared" ca="1" si="113"/>
        <v>-1593</v>
      </c>
    </row>
    <row r="917" spans="1:15" hidden="1" outlineLevel="1" x14ac:dyDescent="0.35">
      <c r="A917" s="701" t="s">
        <v>25</v>
      </c>
      <c r="B917" s="702" t="s">
        <v>26</v>
      </c>
      <c r="C917" s="703" t="s">
        <v>27</v>
      </c>
      <c r="D917" s="704">
        <f>D905+7</f>
        <v>43322</v>
      </c>
      <c r="E917" s="705" t="s">
        <v>28</v>
      </c>
      <c r="F917" s="511" t="s">
        <v>101</v>
      </c>
      <c r="G917" s="252">
        <v>17555</v>
      </c>
      <c r="H917" s="253">
        <f>(C918-G917)/G917</f>
        <v>0.44192537738536031</v>
      </c>
      <c r="N917" s="1033">
        <v>43591</v>
      </c>
      <c r="O917" s="1034">
        <f t="shared" ca="1" si="113"/>
        <v>-1581</v>
      </c>
    </row>
    <row r="918" spans="1:15" hidden="1" outlineLevel="1" x14ac:dyDescent="0.35">
      <c r="A918" s="706" t="s">
        <v>32</v>
      </c>
      <c r="B918" s="255" t="str">
        <f ca="1">TEXT(TODAY(),"ddd")</f>
        <v>Sun</v>
      </c>
      <c r="C918" s="256">
        <v>25313</v>
      </c>
      <c r="D918" s="257">
        <f>C918-C906</f>
        <v>-149</v>
      </c>
      <c r="E918" s="707"/>
      <c r="F918" s="708"/>
      <c r="G918" s="801">
        <v>4766</v>
      </c>
      <c r="H918" s="685">
        <f>(C919-G918)/G918</f>
        <v>0.64477549307595472</v>
      </c>
      <c r="N918" s="1033">
        <v>43584</v>
      </c>
      <c r="O918" s="1034">
        <f t="shared" ca="1" si="113"/>
        <v>-1588</v>
      </c>
    </row>
    <row r="919" spans="1:15" ht="19" hidden="1" outlineLevel="1" thickBot="1" x14ac:dyDescent="0.5">
      <c r="A919" s="709" t="s">
        <v>36</v>
      </c>
      <c r="B919" s="263"/>
      <c r="C919" s="419">
        <v>7839</v>
      </c>
      <c r="D919" s="1071">
        <f>C919-C907</f>
        <v>27</v>
      </c>
      <c r="E919" s="1072">
        <f t="shared" ref="E919:E924" si="114">(C919-C907)/C907</f>
        <v>3.4562211981566822E-3</v>
      </c>
      <c r="F919" s="617" t="s">
        <v>37</v>
      </c>
      <c r="G919" s="783" t="s">
        <v>143</v>
      </c>
      <c r="H919" s="784" t="s">
        <v>144</v>
      </c>
      <c r="J919" s="1060" t="s">
        <v>43</v>
      </c>
      <c r="K919" s="1061" t="s">
        <v>198</v>
      </c>
      <c r="N919" s="1033">
        <v>43600</v>
      </c>
      <c r="O919" s="1034">
        <f t="shared" ca="1" si="113"/>
        <v>-1572</v>
      </c>
    </row>
    <row r="920" spans="1:15" hidden="1" outlineLevel="1" x14ac:dyDescent="0.35">
      <c r="A920" s="859" t="s">
        <v>137</v>
      </c>
      <c r="B920" s="860">
        <v>275</v>
      </c>
      <c r="C920" s="897">
        <v>377.83</v>
      </c>
      <c r="D920" s="862">
        <f>C920*B920</f>
        <v>103903.25</v>
      </c>
      <c r="E920" s="1069">
        <f t="shared" si="114"/>
        <v>1.9092572458963444E-3</v>
      </c>
      <c r="F920" s="793">
        <f>D920/D$903</f>
        <v>0.29552082767635329</v>
      </c>
      <c r="G920" s="796">
        <v>0.59</v>
      </c>
      <c r="H920" s="785" t="s">
        <v>145</v>
      </c>
      <c r="I920" s="1044">
        <f>(C920-C908)*B908</f>
        <v>197.99999999999187</v>
      </c>
      <c r="J920" s="1063">
        <v>43402</v>
      </c>
      <c r="K920" s="1064">
        <f ca="1">J920-TODAY()</f>
        <v>-1770</v>
      </c>
      <c r="L920" t="s">
        <v>211</v>
      </c>
      <c r="N920" s="1033">
        <v>43570</v>
      </c>
      <c r="O920" s="1034">
        <f t="shared" ca="1" si="113"/>
        <v>-1602</v>
      </c>
    </row>
    <row r="921" spans="1:15" hidden="1" outlineLevel="1" x14ac:dyDescent="0.35">
      <c r="A921" s="879" t="s">
        <v>96</v>
      </c>
      <c r="B921" s="880">
        <v>287</v>
      </c>
      <c r="C921" s="902">
        <v>521.02</v>
      </c>
      <c r="D921" s="882">
        <f>C921*B921</f>
        <v>149532.74</v>
      </c>
      <c r="E921" s="921">
        <f t="shared" si="114"/>
        <v>-3.0233448143896688E-3</v>
      </c>
      <c r="F921" s="795">
        <f>D921/D$903</f>
        <v>0.42529987357963239</v>
      </c>
      <c r="G921" s="794">
        <v>0.87</v>
      </c>
      <c r="H921" s="785" t="s">
        <v>192</v>
      </c>
      <c r="I921" s="542">
        <f>(C921-C909)*B909</f>
        <v>-453.46000000001175</v>
      </c>
      <c r="J921" s="1063">
        <v>43395</v>
      </c>
      <c r="K921" s="1064">
        <f ca="1">J921-TODAY()</f>
        <v>-1777</v>
      </c>
      <c r="L921" t="s">
        <v>74</v>
      </c>
    </row>
    <row r="922" spans="1:15" hidden="1" outlineLevel="1" x14ac:dyDescent="0.35">
      <c r="A922" s="859" t="s">
        <v>208</v>
      </c>
      <c r="B922" s="860">
        <v>150</v>
      </c>
      <c r="C922" s="897">
        <v>364.53</v>
      </c>
      <c r="D922" s="862">
        <f>C922*B922</f>
        <v>54679.499999999993</v>
      </c>
      <c r="E922" s="1069">
        <f t="shared" si="114"/>
        <v>2.8059750763389777E-3</v>
      </c>
      <c r="F922" s="795">
        <f>D922/D$903</f>
        <v>0.1555190150156916</v>
      </c>
      <c r="G922" s="794"/>
      <c r="H922" s="785"/>
      <c r="I922" s="399">
        <f>(C922-C910)*B910</f>
        <v>152.99999999999727</v>
      </c>
      <c r="J922" s="1063">
        <v>43402</v>
      </c>
      <c r="K922" s="1064">
        <f ca="1">J922-TODAY()</f>
        <v>-1770</v>
      </c>
    </row>
    <row r="923" spans="1:15" hidden="1" outlineLevel="1" x14ac:dyDescent="0.35">
      <c r="A923" s="879" t="s">
        <v>49</v>
      </c>
      <c r="B923" s="880">
        <v>151.84</v>
      </c>
      <c r="C923" s="902">
        <v>254.79</v>
      </c>
      <c r="D923" s="882">
        <f>C923*B923</f>
        <v>38687.313600000001</v>
      </c>
      <c r="E923" s="921">
        <f t="shared" si="114"/>
        <v>1.0670368901229662E-2</v>
      </c>
      <c r="F923" s="795">
        <f>D923/D$903</f>
        <v>0.1100341609684648</v>
      </c>
      <c r="G923" s="794">
        <v>1.39</v>
      </c>
      <c r="H923" s="785" t="s">
        <v>145</v>
      </c>
      <c r="I923" s="399">
        <f>(C923-C911)*B911</f>
        <v>408.44959999999969</v>
      </c>
      <c r="J923" s="1065">
        <v>43328</v>
      </c>
      <c r="K923" s="1066">
        <f ca="1">J923-TODAY()</f>
        <v>-1844</v>
      </c>
    </row>
    <row r="924" spans="1:15" ht="16" hidden="1" outlineLevel="1" thickBot="1" x14ac:dyDescent="0.4">
      <c r="A924" s="859" t="s">
        <v>135</v>
      </c>
      <c r="B924" s="860">
        <v>25.76</v>
      </c>
      <c r="C924" s="897">
        <v>178.1</v>
      </c>
      <c r="D924" s="862">
        <f>C924*B924</f>
        <v>4587.8559999999998</v>
      </c>
      <c r="E924" s="1069">
        <f t="shared" si="114"/>
        <v>-4.9068289817929406E-2</v>
      </c>
      <c r="F924" s="1042">
        <f>D924/D$903</f>
        <v>1.3048744888922372E-2</v>
      </c>
      <c r="G924" s="794">
        <v>1.69</v>
      </c>
      <c r="H924" s="785" t="s">
        <v>145</v>
      </c>
      <c r="I924" s="592">
        <f>(C924-C912)*B912</f>
        <v>-236.73439999999997</v>
      </c>
    </row>
    <row r="925" spans="1:15" ht="16" hidden="1" outlineLevel="1" thickBot="1" x14ac:dyDescent="0.4">
      <c r="A925" s="879" t="s">
        <v>7</v>
      </c>
      <c r="B925" s="880"/>
      <c r="C925" s="902"/>
      <c r="D925" s="882">
        <v>1727.22</v>
      </c>
      <c r="E925" s="921"/>
      <c r="F925" s="665">
        <f>D925/D927</f>
        <v>4.8852693467213238E-3</v>
      </c>
      <c r="G925" s="797">
        <f>AVERAGE(G920:G924)</f>
        <v>1.1349999999999998</v>
      </c>
      <c r="H925" s="948"/>
      <c r="I925" s="786">
        <f>SUM(I920:I924)</f>
        <v>69.255199999977123</v>
      </c>
    </row>
    <row r="926" spans="1:15" ht="16" hidden="1" outlineLevel="1" thickBot="1" x14ac:dyDescent="0.4">
      <c r="A926" s="859" t="s">
        <v>60</v>
      </c>
      <c r="B926" s="860"/>
      <c r="C926" s="897"/>
      <c r="D926" s="862">
        <v>438.88</v>
      </c>
      <c r="E926" s="1069"/>
      <c r="F926" s="665"/>
    </row>
    <row r="927" spans="1:15" ht="19" hidden="1" outlineLevel="1" thickBot="1" x14ac:dyDescent="0.5">
      <c r="A927" s="726" t="s">
        <v>62</v>
      </c>
      <c r="B927" s="583"/>
      <c r="C927" s="584"/>
      <c r="D927" s="585">
        <f>SUM(D920:D926)</f>
        <v>353556.75959999999</v>
      </c>
      <c r="E927" s="780">
        <f>D927-D915</f>
        <v>66.805200000002515</v>
      </c>
      <c r="F927" s="1073">
        <f>(D927-D915)/D915</f>
        <v>1.8898754877884731E-4</v>
      </c>
      <c r="G927" s="574"/>
      <c r="H927" s="1043">
        <f>(G927/10)/8</f>
        <v>0</v>
      </c>
      <c r="I927" s="148"/>
      <c r="N927" s="1031" t="s">
        <v>43</v>
      </c>
      <c r="O927" s="1032" t="s">
        <v>198</v>
      </c>
    </row>
    <row r="928" spans="1:15" hidden="1" outlineLevel="1" x14ac:dyDescent="0.35">
      <c r="N928" s="1033">
        <f>"2/14/2019"+90</f>
        <v>43600</v>
      </c>
      <c r="O928" s="1034">
        <f ca="1">N928-TODAY()</f>
        <v>-1572</v>
      </c>
    </row>
    <row r="929" spans="1:15" hidden="1" outlineLevel="1" x14ac:dyDescent="0.35">
      <c r="A929" s="701" t="s">
        <v>25</v>
      </c>
      <c r="B929" s="702" t="s">
        <v>26</v>
      </c>
      <c r="C929" s="703" t="s">
        <v>27</v>
      </c>
      <c r="D929" s="704">
        <f>D917+14</f>
        <v>43336</v>
      </c>
      <c r="E929" s="705" t="s">
        <v>28</v>
      </c>
      <c r="F929" s="511" t="s">
        <v>101</v>
      </c>
      <c r="G929" s="252">
        <v>17555</v>
      </c>
      <c r="H929" s="253">
        <f>(C930-G929)/G929</f>
        <v>0.46909712332668757</v>
      </c>
      <c r="N929" s="1033"/>
      <c r="O929" s="1034"/>
    </row>
    <row r="930" spans="1:15" hidden="1" outlineLevel="1" x14ac:dyDescent="0.35">
      <c r="A930" s="706" t="s">
        <v>32</v>
      </c>
      <c r="B930" s="255" t="str">
        <f ca="1">TEXT(TODAY(),"ddd")</f>
        <v>Sun</v>
      </c>
      <c r="C930" s="256">
        <v>25790</v>
      </c>
      <c r="D930" s="322">
        <f>C930-C918</f>
        <v>477</v>
      </c>
      <c r="E930" s="707"/>
      <c r="F930" s="708"/>
      <c r="G930" s="801">
        <v>4766</v>
      </c>
      <c r="H930" s="685">
        <f>(C931-G930)/G930</f>
        <v>0.66701636592530422</v>
      </c>
      <c r="N930" s="1074">
        <v>43573</v>
      </c>
      <c r="O930" s="1075">
        <f ca="1">N930-TODAY()</f>
        <v>-1599</v>
      </c>
    </row>
    <row r="931" spans="1:15" ht="19" hidden="1" outlineLevel="1" thickBot="1" x14ac:dyDescent="0.5">
      <c r="A931" s="709" t="s">
        <v>36</v>
      </c>
      <c r="B931" s="263"/>
      <c r="C931" s="419">
        <v>7945</v>
      </c>
      <c r="D931" s="1071">
        <f>C931-C919</f>
        <v>106</v>
      </c>
      <c r="E931" s="1072">
        <f t="shared" ref="E931:E936" si="115">(C931-C919)/C919</f>
        <v>1.3522132925118001E-2</v>
      </c>
      <c r="F931" s="617" t="s">
        <v>37</v>
      </c>
      <c r="G931" s="783" t="s">
        <v>143</v>
      </c>
      <c r="H931" s="784" t="s">
        <v>144</v>
      </c>
      <c r="J931" s="1060" t="s">
        <v>43</v>
      </c>
      <c r="K931" s="1061" t="s">
        <v>198</v>
      </c>
      <c r="N931" s="1033">
        <v>43579</v>
      </c>
      <c r="O931" s="1034">
        <f ca="1">N931-TODAY()</f>
        <v>-1593</v>
      </c>
    </row>
    <row r="932" spans="1:15" hidden="1" outlineLevel="1" x14ac:dyDescent="0.35">
      <c r="A932" s="859" t="s">
        <v>137</v>
      </c>
      <c r="B932" s="860">
        <v>275</v>
      </c>
      <c r="C932" s="897">
        <v>381.03</v>
      </c>
      <c r="D932" s="862">
        <f>C932*B932</f>
        <v>104783.24999999999</v>
      </c>
      <c r="E932" s="1069">
        <f t="shared" si="115"/>
        <v>8.4694174628801022E-3</v>
      </c>
      <c r="F932" s="793">
        <f>D932/D$903</f>
        <v>0.29802371693492019</v>
      </c>
      <c r="G932" s="796">
        <v>0.59</v>
      </c>
      <c r="H932" s="785" t="s">
        <v>192</v>
      </c>
      <c r="I932" s="1044">
        <f>(C932-C920)*B920</f>
        <v>879.99999999999682</v>
      </c>
      <c r="J932" s="1063">
        <v>43402</v>
      </c>
      <c r="K932" s="1064">
        <v>66</v>
      </c>
      <c r="L932" t="s">
        <v>211</v>
      </c>
      <c r="N932" s="1033"/>
      <c r="O932" s="1034"/>
    </row>
    <row r="933" spans="1:15" hidden="1" outlineLevel="1" x14ac:dyDescent="0.35">
      <c r="A933" s="879" t="s">
        <v>96</v>
      </c>
      <c r="B933" s="880">
        <v>287</v>
      </c>
      <c r="C933" s="902">
        <v>541.52</v>
      </c>
      <c r="D933" s="882">
        <f>C933*B933</f>
        <v>155416.24</v>
      </c>
      <c r="E933" s="921">
        <f t="shared" si="115"/>
        <v>3.934589843000269E-2</v>
      </c>
      <c r="F933" s="795">
        <f>D933/D$903</f>
        <v>0.44203367920778963</v>
      </c>
      <c r="G933" s="794">
        <v>0.87</v>
      </c>
      <c r="H933" s="785" t="s">
        <v>192</v>
      </c>
      <c r="I933" s="399">
        <f>(C933-C921)*B921</f>
        <v>5883.5</v>
      </c>
      <c r="J933" s="1063">
        <v>43395</v>
      </c>
      <c r="K933" s="1064">
        <v>59</v>
      </c>
      <c r="L933" t="s">
        <v>74</v>
      </c>
      <c r="N933" s="1033">
        <v>43591</v>
      </c>
      <c r="O933" s="1034">
        <f ca="1">N933-TODAY()</f>
        <v>-1581</v>
      </c>
    </row>
    <row r="934" spans="1:15" hidden="1" outlineLevel="1" x14ac:dyDescent="0.35">
      <c r="A934" s="859" t="s">
        <v>208</v>
      </c>
      <c r="B934" s="860">
        <v>150</v>
      </c>
      <c r="C934" s="897">
        <v>367.6</v>
      </c>
      <c r="D934" s="862">
        <f>C934*B934</f>
        <v>55140</v>
      </c>
      <c r="E934" s="1069">
        <f t="shared" si="115"/>
        <v>8.4218034181001572E-3</v>
      </c>
      <c r="F934" s="795">
        <f>D934/D$903</f>
        <v>0.15682876558793032</v>
      </c>
      <c r="G934" s="794"/>
      <c r="H934" s="785" t="s">
        <v>212</v>
      </c>
      <c r="I934" s="399">
        <f>(C934-C922)*B922</f>
        <v>460.5000000000075</v>
      </c>
      <c r="J934" s="1063">
        <v>43402</v>
      </c>
      <c r="K934" s="1064">
        <v>66</v>
      </c>
      <c r="N934" s="1033">
        <v>43584</v>
      </c>
      <c r="O934" s="1034">
        <f ca="1">N934-TODAY()</f>
        <v>-1588</v>
      </c>
    </row>
    <row r="935" spans="1:15" hidden="1" outlineLevel="1" x14ac:dyDescent="0.35">
      <c r="A935" s="879" t="s">
        <v>49</v>
      </c>
      <c r="B935" s="880">
        <v>151.84</v>
      </c>
      <c r="C935" s="902">
        <v>272.22000000000003</v>
      </c>
      <c r="D935" s="882">
        <f>C935*B935</f>
        <v>41333.884800000007</v>
      </c>
      <c r="E935" s="921">
        <f t="shared" si="115"/>
        <v>6.8409278229130011E-2</v>
      </c>
      <c r="F935" s="795">
        <f>D935/D$903</f>
        <v>0.11756151850086539</v>
      </c>
      <c r="G935" s="794">
        <v>1.39</v>
      </c>
      <c r="H935" s="785" t="s">
        <v>192</v>
      </c>
      <c r="I935" s="399">
        <f>(C935-C923)*B923</f>
        <v>2646.5712000000053</v>
      </c>
      <c r="J935" s="1065">
        <v>43416</v>
      </c>
      <c r="K935" s="1066">
        <v>80</v>
      </c>
      <c r="L935" t="s">
        <v>213</v>
      </c>
      <c r="N935" s="1033"/>
      <c r="O935" s="1034"/>
    </row>
    <row r="936" spans="1:15" ht="16" hidden="1" outlineLevel="1" thickBot="1" x14ac:dyDescent="0.4">
      <c r="A936" s="859" t="s">
        <v>135</v>
      </c>
      <c r="B936" s="860">
        <v>25.76</v>
      </c>
      <c r="C936" s="897">
        <v>172.46</v>
      </c>
      <c r="D936" s="862">
        <f>C936*B936</f>
        <v>4442.5696000000007</v>
      </c>
      <c r="E936" s="1069">
        <f t="shared" si="115"/>
        <v>-3.1667602470522103E-2</v>
      </c>
      <c r="F936" s="1042">
        <f>D936/D$903</f>
        <v>1.2635522423040724E-2</v>
      </c>
      <c r="G936" s="794">
        <v>1.69</v>
      </c>
      <c r="H936" s="785" t="s">
        <v>145</v>
      </c>
      <c r="I936" s="592">
        <f>(C936-C924)*B924</f>
        <v>-145.28639999999965</v>
      </c>
      <c r="N936" s="1040">
        <v>43600</v>
      </c>
      <c r="O936" s="1041">
        <f ca="1">N936-TODAY()</f>
        <v>-1572</v>
      </c>
    </row>
    <row r="937" spans="1:15" ht="16" hidden="1" outlineLevel="1" thickBot="1" x14ac:dyDescent="0.4">
      <c r="A937" s="879" t="s">
        <v>7</v>
      </c>
      <c r="B937" s="880"/>
      <c r="C937" s="902"/>
      <c r="D937" s="882">
        <v>1739.52</v>
      </c>
      <c r="E937" s="921"/>
      <c r="F937" s="665">
        <f>D937/D939</f>
        <v>4.7881835399141981E-3</v>
      </c>
      <c r="G937" s="797">
        <f>AVERAGE(G932:G936)</f>
        <v>1.1349999999999998</v>
      </c>
      <c r="H937" s="948"/>
      <c r="I937" s="786">
        <f>SUM(I932:I936)</f>
        <v>9725.2848000000104</v>
      </c>
      <c r="N937" s="1040">
        <v>43570</v>
      </c>
      <c r="O937" s="1041">
        <f ca="1">N937-TODAY()</f>
        <v>-1602</v>
      </c>
    </row>
    <row r="938" spans="1:15" ht="16" hidden="1" outlineLevel="1" thickBot="1" x14ac:dyDescent="0.4">
      <c r="A938" s="859" t="s">
        <v>60</v>
      </c>
      <c r="B938" s="860"/>
      <c r="C938" s="897"/>
      <c r="D938" s="862">
        <v>438.88</v>
      </c>
      <c r="E938" s="1069"/>
      <c r="F938" s="665"/>
    </row>
    <row r="939" spans="1:15" ht="19" hidden="1" outlineLevel="1" thickBot="1" x14ac:dyDescent="0.5">
      <c r="A939" s="726" t="s">
        <v>62</v>
      </c>
      <c r="B939" s="583"/>
      <c r="C939" s="584"/>
      <c r="D939" s="585">
        <f>SUM(D932:D938)</f>
        <v>363294.3444</v>
      </c>
      <c r="E939" s="780">
        <f>D939-D927</f>
        <v>9737.5848000000115</v>
      </c>
      <c r="F939" s="1073">
        <f>(D939-D927)/D927</f>
        <v>2.7541786532427569E-2</v>
      </c>
      <c r="G939" s="574"/>
      <c r="H939" s="1043">
        <f>(G939/10)/8</f>
        <v>0</v>
      </c>
      <c r="I939" s="148"/>
    </row>
    <row r="940" spans="1:15" hidden="1" outlineLevel="1" x14ac:dyDescent="0.35"/>
    <row r="941" spans="1:15" hidden="1" outlineLevel="1" x14ac:dyDescent="0.35">
      <c r="A941" s="701" t="s">
        <v>25</v>
      </c>
      <c r="B941" s="702" t="s">
        <v>26</v>
      </c>
      <c r="C941" s="703" t="s">
        <v>27</v>
      </c>
      <c r="D941" s="704">
        <f>D929+7</f>
        <v>43343</v>
      </c>
      <c r="E941" s="705" t="s">
        <v>28</v>
      </c>
      <c r="F941" s="511" t="s">
        <v>101</v>
      </c>
      <c r="G941" s="252">
        <v>17555</v>
      </c>
      <c r="H941" s="253">
        <f>(C942-G941)/G941</f>
        <v>0.47900882939333522</v>
      </c>
    </row>
    <row r="942" spans="1:15" hidden="1" outlineLevel="1" x14ac:dyDescent="0.35">
      <c r="A942" s="706" t="s">
        <v>32</v>
      </c>
      <c r="B942" s="255" t="str">
        <f ca="1">TEXT(TODAY(),"ddd")</f>
        <v>Sun</v>
      </c>
      <c r="C942" s="256">
        <v>25964</v>
      </c>
      <c r="D942" s="322">
        <f>C942-C930</f>
        <v>174</v>
      </c>
      <c r="E942" s="707"/>
      <c r="F942" s="708"/>
      <c r="G942" s="801">
        <v>4766</v>
      </c>
      <c r="H942" s="685">
        <f>(C943-G942)/G942</f>
        <v>0.70142677297524125</v>
      </c>
    </row>
    <row r="943" spans="1:15" ht="19" hidden="1" outlineLevel="1" thickBot="1" x14ac:dyDescent="0.5">
      <c r="A943" s="709" t="s">
        <v>36</v>
      </c>
      <c r="B943" s="263"/>
      <c r="C943" s="419">
        <v>8109</v>
      </c>
      <c r="D943" s="1071">
        <f>C943-C931</f>
        <v>164</v>
      </c>
      <c r="E943" s="1072">
        <f t="shared" ref="E943:E948" si="116">(C943-C931)/C931</f>
        <v>2.0641913152926367E-2</v>
      </c>
      <c r="F943" s="617" t="s">
        <v>37</v>
      </c>
      <c r="G943" s="783" t="s">
        <v>143</v>
      </c>
      <c r="H943" s="784" t="s">
        <v>144</v>
      </c>
      <c r="J943" s="1060" t="s">
        <v>43</v>
      </c>
      <c r="K943" s="1061" t="s">
        <v>198</v>
      </c>
    </row>
    <row r="944" spans="1:15" hidden="1" outlineLevel="1" x14ac:dyDescent="0.35">
      <c r="A944" s="859" t="s">
        <v>137</v>
      </c>
      <c r="B944" s="860">
        <v>275</v>
      </c>
      <c r="C944" s="897">
        <v>406.58</v>
      </c>
      <c r="D944" s="862">
        <f>C944*B944</f>
        <v>111809.5</v>
      </c>
      <c r="E944" s="1069">
        <f t="shared" si="116"/>
        <v>6.7055087525916629E-2</v>
      </c>
      <c r="F944" s="793">
        <f>D944/D$903</f>
        <v>0.3180077233587903</v>
      </c>
      <c r="G944" s="796">
        <v>0.59</v>
      </c>
      <c r="H944" s="785" t="s">
        <v>192</v>
      </c>
      <c r="I944" s="1044">
        <f>(C944-C932)*B932</f>
        <v>7026.2500000000027</v>
      </c>
      <c r="J944" s="1063">
        <v>43402</v>
      </c>
      <c r="K944" s="1064">
        <f ca="1">J944-TODAY()</f>
        <v>-1770</v>
      </c>
      <c r="N944" s="1031" t="s">
        <v>43</v>
      </c>
      <c r="O944" s="1032" t="s">
        <v>198</v>
      </c>
    </row>
    <row r="945" spans="1:15" hidden="1" outlineLevel="1" x14ac:dyDescent="0.35">
      <c r="A945" s="879" t="s">
        <v>96</v>
      </c>
      <c r="B945" s="880">
        <v>287</v>
      </c>
      <c r="C945" s="902">
        <v>560</v>
      </c>
      <c r="D945" s="882">
        <f>C945*B945</f>
        <v>160720</v>
      </c>
      <c r="E945" s="921">
        <f t="shared" si="116"/>
        <v>3.4126163391933848E-2</v>
      </c>
      <c r="F945" s="795">
        <f>D945/D$903</f>
        <v>0.45711859276917233</v>
      </c>
      <c r="G945" s="794">
        <v>0.87</v>
      </c>
      <c r="H945" s="785" t="s">
        <v>192</v>
      </c>
      <c r="I945" s="399">
        <f>(C945-C933)*B933</f>
        <v>5303.7600000000057</v>
      </c>
      <c r="J945" s="1063">
        <v>43395</v>
      </c>
      <c r="K945" s="1064">
        <f ca="1">J945-TODAY()</f>
        <v>-1777</v>
      </c>
      <c r="N945" s="1033">
        <f>"2/14/2019"+90</f>
        <v>43600</v>
      </c>
      <c r="O945" s="1034">
        <f ca="1">N945-TODAY()</f>
        <v>-1572</v>
      </c>
    </row>
    <row r="946" spans="1:15" hidden="1" outlineLevel="1" x14ac:dyDescent="0.35">
      <c r="A946" s="859" t="s">
        <v>208</v>
      </c>
      <c r="B946" s="860">
        <v>150</v>
      </c>
      <c r="C946" s="897">
        <v>386.49</v>
      </c>
      <c r="D946" s="862">
        <f>C946*B946</f>
        <v>57973.5</v>
      </c>
      <c r="E946" s="1069">
        <f t="shared" si="116"/>
        <v>5.1387377584330755E-2</v>
      </c>
      <c r="F946" s="795">
        <f>D946/D$903</f>
        <v>0.16488778458128181</v>
      </c>
      <c r="G946" s="794">
        <v>1.82</v>
      </c>
      <c r="H946" s="785" t="s">
        <v>146</v>
      </c>
      <c r="I946" s="399">
        <f>(C946-C934)*B934</f>
        <v>2833.4999999999982</v>
      </c>
      <c r="J946" s="1063">
        <v>43402</v>
      </c>
      <c r="K946" s="1064">
        <f ca="1">J946-TODAY()</f>
        <v>-1770</v>
      </c>
      <c r="N946" s="1033"/>
      <c r="O946" s="1034"/>
    </row>
    <row r="947" spans="1:15" hidden="1" outlineLevel="1" x14ac:dyDescent="0.35">
      <c r="A947" s="879" t="s">
        <v>49</v>
      </c>
      <c r="B947" s="880">
        <v>151.84</v>
      </c>
      <c r="C947" s="902">
        <v>280.68</v>
      </c>
      <c r="D947" s="882">
        <f>C947*B947</f>
        <v>42618.451200000003</v>
      </c>
      <c r="E947" s="921">
        <f t="shared" si="116"/>
        <v>3.1077804716773121E-2</v>
      </c>
      <c r="F947" s="795">
        <f>D947/D$903</f>
        <v>0.12121507241504259</v>
      </c>
      <c r="G947" s="794">
        <v>1.39</v>
      </c>
      <c r="H947" s="785" t="s">
        <v>192</v>
      </c>
      <c r="I947" s="399">
        <f>(C947-C935)*B935</f>
        <v>1284.566399999997</v>
      </c>
      <c r="J947" s="1065">
        <v>43416</v>
      </c>
      <c r="K947" s="1066">
        <f ca="1">J947-TODAY()</f>
        <v>-1756</v>
      </c>
      <c r="N947" s="1074">
        <v>43579</v>
      </c>
      <c r="O947" s="1075">
        <f ca="1">N947-TODAY()</f>
        <v>-1593</v>
      </c>
    </row>
    <row r="948" spans="1:15" ht="16" hidden="1" outlineLevel="1" thickBot="1" x14ac:dyDescent="0.4">
      <c r="A948" s="859" t="s">
        <v>135</v>
      </c>
      <c r="B948" s="860">
        <v>25.76</v>
      </c>
      <c r="C948" s="897">
        <v>173.09</v>
      </c>
      <c r="D948" s="862">
        <f>C948*B948</f>
        <v>4458.7984000000006</v>
      </c>
      <c r="E948" s="1069">
        <f t="shared" si="116"/>
        <v>3.6530209903745531E-3</v>
      </c>
      <c r="F948" s="1042">
        <f>D948/D$903</f>
        <v>1.2681680251676441E-2</v>
      </c>
      <c r="G948" s="794">
        <v>1.69</v>
      </c>
      <c r="H948" s="785" t="s">
        <v>145</v>
      </c>
      <c r="I948" s="786">
        <f>(C948-C936)*B936</f>
        <v>16.228799999999882</v>
      </c>
      <c r="N948" s="1033"/>
      <c r="O948" s="1034"/>
    </row>
    <row r="949" spans="1:15" ht="16" hidden="1" outlineLevel="1" thickBot="1" x14ac:dyDescent="0.4">
      <c r="A949" s="879" t="s">
        <v>7</v>
      </c>
      <c r="B949" s="880"/>
      <c r="C949" s="902"/>
      <c r="D949" s="882">
        <v>1746.97</v>
      </c>
      <c r="E949" s="921"/>
      <c r="F949" s="665">
        <f>D949/D951</f>
        <v>4.6001209740417805E-3</v>
      </c>
      <c r="G949" s="797">
        <f>AVERAGE(G944:G948)</f>
        <v>1.2719999999999998</v>
      </c>
      <c r="H949" s="948"/>
      <c r="I949" s="786">
        <f>SUM(I944:I948)</f>
        <v>16464.305200000006</v>
      </c>
      <c r="N949" s="1074">
        <v>43573</v>
      </c>
      <c r="O949" s="1075">
        <f ca="1">N949-TODAY()</f>
        <v>-1599</v>
      </c>
    </row>
    <row r="950" spans="1:15" ht="16" hidden="1" outlineLevel="1" thickBot="1" x14ac:dyDescent="0.4">
      <c r="A950" s="859" t="s">
        <v>60</v>
      </c>
      <c r="B950" s="860"/>
      <c r="C950" s="897"/>
      <c r="D950" s="862">
        <v>438.88</v>
      </c>
      <c r="E950" s="1069"/>
      <c r="F950" s="665"/>
      <c r="N950" s="1033">
        <v>43591</v>
      </c>
      <c r="O950" s="1034">
        <f ca="1">N950-TODAY()</f>
        <v>-1581</v>
      </c>
    </row>
    <row r="951" spans="1:15" ht="19" hidden="1" outlineLevel="1" thickBot="1" x14ac:dyDescent="0.5">
      <c r="A951" s="726" t="s">
        <v>62</v>
      </c>
      <c r="B951" s="583"/>
      <c r="C951" s="584"/>
      <c r="D951" s="585">
        <f>SUM(D944:D950)</f>
        <v>379766.09960000002</v>
      </c>
      <c r="E951" s="780">
        <f>D951-D939</f>
        <v>16471.755200000014</v>
      </c>
      <c r="F951" s="1073">
        <f>(D951-D939)/D939</f>
        <v>4.5339971441625375E-2</v>
      </c>
      <c r="G951" s="574"/>
      <c r="H951" s="1043">
        <f>(G951/10)/8</f>
        <v>0</v>
      </c>
      <c r="I951" s="148"/>
      <c r="N951" s="1033">
        <v>43584</v>
      </c>
      <c r="O951" s="1034">
        <f ca="1">N951-TODAY()</f>
        <v>-1588</v>
      </c>
    </row>
    <row r="952" spans="1:15" hidden="1" outlineLevel="1" x14ac:dyDescent="0.35">
      <c r="N952" s="1033"/>
      <c r="O952" s="1034"/>
    </row>
    <row r="953" spans="1:15" hidden="1" outlineLevel="1" x14ac:dyDescent="0.35">
      <c r="A953" s="701" t="s">
        <v>25</v>
      </c>
      <c r="B953" s="702" t="s">
        <v>26</v>
      </c>
      <c r="C953" s="703" t="s">
        <v>27</v>
      </c>
      <c r="D953" s="704">
        <f>D941+7</f>
        <v>43350</v>
      </c>
      <c r="E953" s="705" t="s">
        <v>28</v>
      </c>
      <c r="F953" s="511" t="s">
        <v>101</v>
      </c>
      <c r="G953" s="252">
        <v>17555</v>
      </c>
      <c r="H953" s="253">
        <f>(C954-G953)/G953</f>
        <v>0.47627456565081172</v>
      </c>
      <c r="N953" s="1033">
        <v>43585</v>
      </c>
      <c r="O953" s="1034"/>
    </row>
    <row r="954" spans="1:15" hidden="1" outlineLevel="1" x14ac:dyDescent="0.35">
      <c r="A954" s="706" t="s">
        <v>32</v>
      </c>
      <c r="B954" s="255" t="str">
        <f ca="1">TEXT(TODAY(),"ddd")</f>
        <v>Sun</v>
      </c>
      <c r="C954" s="256">
        <v>25916</v>
      </c>
      <c r="D954" s="257">
        <f>C954-C942</f>
        <v>-48</v>
      </c>
      <c r="E954" s="707"/>
      <c r="F954" s="708"/>
      <c r="G954" s="801">
        <v>4766</v>
      </c>
      <c r="H954" s="685">
        <f>(C955-G954)/G954</f>
        <v>0.65799412505245491</v>
      </c>
    </row>
    <row r="955" spans="1:15" ht="19" hidden="1" outlineLevel="1" thickBot="1" x14ac:dyDescent="0.5">
      <c r="A955" s="709" t="s">
        <v>36</v>
      </c>
      <c r="B955" s="263"/>
      <c r="C955" s="419">
        <v>7902</v>
      </c>
      <c r="D955" s="1067">
        <f>C955-C943</f>
        <v>-207</v>
      </c>
      <c r="E955" s="1076">
        <f t="shared" ref="E955:E960" si="117">(C955-C943)/C943</f>
        <v>-2.5527192008879023E-2</v>
      </c>
      <c r="F955" s="617" t="s">
        <v>37</v>
      </c>
      <c r="G955" s="783" t="s">
        <v>143</v>
      </c>
      <c r="H955" s="784" t="s">
        <v>144</v>
      </c>
      <c r="J955" s="1060" t="s">
        <v>43</v>
      </c>
      <c r="K955" s="1061" t="s">
        <v>198</v>
      </c>
    </row>
    <row r="956" spans="1:15" hidden="1" outlineLevel="1" x14ac:dyDescent="0.35">
      <c r="A956" s="859" t="s">
        <v>137</v>
      </c>
      <c r="B956" s="860">
        <v>275</v>
      </c>
      <c r="C956" s="897">
        <v>377.49</v>
      </c>
      <c r="D956" s="862">
        <f>C956*B956</f>
        <v>103809.75</v>
      </c>
      <c r="E956" s="1077">
        <f t="shared" si="117"/>
        <v>-7.1548034827094237E-2</v>
      </c>
      <c r="F956" s="793">
        <f>D956/D$903</f>
        <v>0.29525489569263058</v>
      </c>
      <c r="G956" s="796">
        <v>0.59</v>
      </c>
      <c r="H956" s="785" t="s">
        <v>145</v>
      </c>
      <c r="I956" s="1051">
        <f>(C956-C944)*B944</f>
        <v>-7999.7499999999927</v>
      </c>
      <c r="J956" s="1063">
        <v>43402</v>
      </c>
      <c r="K956" s="1064">
        <f ca="1">J956-TODAY()</f>
        <v>-1770</v>
      </c>
    </row>
    <row r="957" spans="1:15" hidden="1" outlineLevel="1" x14ac:dyDescent="0.35">
      <c r="A957" s="879" t="s">
        <v>96</v>
      </c>
      <c r="B957" s="880">
        <v>287</v>
      </c>
      <c r="C957" s="902">
        <v>537.96</v>
      </c>
      <c r="D957" s="882">
        <f>C957*B957</f>
        <v>154394.52000000002</v>
      </c>
      <c r="E957" s="883">
        <f t="shared" si="117"/>
        <v>-3.9357142857142792E-2</v>
      </c>
      <c r="F957" s="795">
        <f>D957/D$903</f>
        <v>0.43912771101089998</v>
      </c>
      <c r="G957" s="794">
        <v>0.87</v>
      </c>
      <c r="H957" s="785" t="s">
        <v>192</v>
      </c>
      <c r="I957" s="542">
        <f>(C957-C945)*B945</f>
        <v>-6325.4799999999896</v>
      </c>
      <c r="J957" s="1063">
        <v>43395</v>
      </c>
      <c r="K957" s="1064">
        <f ca="1">J957-TODAY()</f>
        <v>-1777</v>
      </c>
    </row>
    <row r="958" spans="1:15" hidden="1" outlineLevel="1" x14ac:dyDescent="0.35">
      <c r="A958" s="859" t="s">
        <v>208</v>
      </c>
      <c r="B958" s="860">
        <v>150</v>
      </c>
      <c r="C958" s="897">
        <v>368.64</v>
      </c>
      <c r="D958" s="862">
        <f>C958*B958</f>
        <v>55296</v>
      </c>
      <c r="E958" s="1077">
        <f t="shared" si="117"/>
        <v>-4.6184894822634534E-2</v>
      </c>
      <c r="F958" s="795">
        <f>D958/D$903</f>
        <v>0.1572724595928581</v>
      </c>
      <c r="G958" s="794"/>
      <c r="H958" s="785"/>
      <c r="I958" s="542">
        <f>(C958-C946)*B946</f>
        <v>-2677.5000000000036</v>
      </c>
      <c r="J958" s="1063">
        <v>43402</v>
      </c>
      <c r="K958" s="1064">
        <f ca="1">J958-TODAY()</f>
        <v>-1770</v>
      </c>
    </row>
    <row r="959" spans="1:15" hidden="1" outlineLevel="1" x14ac:dyDescent="0.35">
      <c r="A959" s="879" t="s">
        <v>49</v>
      </c>
      <c r="B959" s="880">
        <v>151.84</v>
      </c>
      <c r="C959" s="902">
        <v>271.86</v>
      </c>
      <c r="D959" s="882">
        <f>C959*B959</f>
        <v>41279.222400000006</v>
      </c>
      <c r="E959" s="883">
        <f t="shared" si="117"/>
        <v>-3.1423685335613488E-2</v>
      </c>
      <c r="F959" s="795">
        <f>D959/D$903</f>
        <v>0.11740604812153869</v>
      </c>
      <c r="G959" s="794">
        <v>1.39</v>
      </c>
      <c r="H959" s="785" t="s">
        <v>145</v>
      </c>
      <c r="I959" s="542">
        <f>(C959-C947)*B947</f>
        <v>-1339.228799999999</v>
      </c>
      <c r="J959" s="1065">
        <v>43416</v>
      </c>
      <c r="K959" s="1066">
        <f ca="1">J959-TODAY()</f>
        <v>-1756</v>
      </c>
    </row>
    <row r="960" spans="1:15" ht="16" hidden="1" outlineLevel="1" thickBot="1" x14ac:dyDescent="0.4">
      <c r="A960" s="859" t="s">
        <v>135</v>
      </c>
      <c r="B960" s="860">
        <v>25.76</v>
      </c>
      <c r="C960" s="897">
        <v>159.58000000000001</v>
      </c>
      <c r="D960" s="862">
        <f>C960*B960</f>
        <v>4110.7808000000005</v>
      </c>
      <c r="E960" s="1077">
        <f t="shared" si="117"/>
        <v>-7.8051880524582534E-2</v>
      </c>
      <c r="F960" s="1042">
        <f>D960/D$903</f>
        <v>1.1691851259821633E-2</v>
      </c>
      <c r="G960" s="794">
        <v>1.69</v>
      </c>
      <c r="H960" s="785" t="s">
        <v>145</v>
      </c>
      <c r="I960" s="592">
        <f>(C960-C948)*B948</f>
        <v>-348.01759999999979</v>
      </c>
      <c r="N960" s="1031" t="s">
        <v>43</v>
      </c>
      <c r="O960" s="1032" t="s">
        <v>198</v>
      </c>
    </row>
    <row r="961" spans="1:15" ht="16" hidden="1" outlineLevel="1" thickBot="1" x14ac:dyDescent="0.4">
      <c r="A961" s="879" t="s">
        <v>7</v>
      </c>
      <c r="B961" s="880"/>
      <c r="C961" s="902"/>
      <c r="D961" s="882">
        <v>1730.52</v>
      </c>
      <c r="E961" s="921"/>
      <c r="F961" s="665">
        <f>D961/D963</f>
        <v>4.7928919468151771E-3</v>
      </c>
      <c r="G961" s="797">
        <f>AVERAGE(G956:G960)</f>
        <v>1.1349999999999998</v>
      </c>
      <c r="H961" s="948"/>
      <c r="I961" s="592">
        <f>SUM(I956:I960)</f>
        <v>-18689.976399999985</v>
      </c>
      <c r="N961" s="1033">
        <f>"2/14/2019"+90</f>
        <v>43600</v>
      </c>
      <c r="O961" s="1034">
        <f t="shared" ref="O961:O967" ca="1" si="118">N961-TODAY()</f>
        <v>-1572</v>
      </c>
    </row>
    <row r="962" spans="1:15" ht="16" hidden="1" outlineLevel="1" thickBot="1" x14ac:dyDescent="0.4">
      <c r="A962" s="859" t="s">
        <v>60</v>
      </c>
      <c r="B962" s="860"/>
      <c r="C962" s="897"/>
      <c r="D962" s="862">
        <v>438.88</v>
      </c>
      <c r="E962" s="1069"/>
      <c r="F962" s="665"/>
      <c r="N962" s="1033">
        <v>43606</v>
      </c>
      <c r="O962" s="1034">
        <f t="shared" ca="1" si="118"/>
        <v>-1566</v>
      </c>
    </row>
    <row r="963" spans="1:15" ht="19" hidden="1" outlineLevel="1" thickBot="1" x14ac:dyDescent="0.5">
      <c r="A963" s="726" t="s">
        <v>62</v>
      </c>
      <c r="B963" s="583"/>
      <c r="C963" s="584"/>
      <c r="D963" s="585">
        <f>SUM(D956:D962)</f>
        <v>361059.67320000008</v>
      </c>
      <c r="E963" s="771">
        <f>D963-D951</f>
        <v>-18706.426399999938</v>
      </c>
      <c r="F963" s="907">
        <f>(D963-D951)/D951</f>
        <v>-4.9257757392518815E-2</v>
      </c>
      <c r="G963" s="574"/>
      <c r="H963" s="1043">
        <f>(G963/10)/8</f>
        <v>0</v>
      </c>
      <c r="I963" s="148"/>
      <c r="N963" s="1033">
        <v>43601</v>
      </c>
      <c r="O963" s="1034">
        <f t="shared" ca="1" si="118"/>
        <v>-1571</v>
      </c>
    </row>
    <row r="964" spans="1:15" hidden="1" outlineLevel="1" x14ac:dyDescent="0.35">
      <c r="N964" s="1074">
        <v>43579</v>
      </c>
      <c r="O964" s="1075">
        <f t="shared" ca="1" si="118"/>
        <v>-1593</v>
      </c>
    </row>
    <row r="965" spans="1:15" hidden="1" outlineLevel="1" x14ac:dyDescent="0.35">
      <c r="A965" s="701" t="s">
        <v>25</v>
      </c>
      <c r="B965" s="702" t="s">
        <v>26</v>
      </c>
      <c r="C965" s="703" t="s">
        <v>27</v>
      </c>
      <c r="D965" s="704">
        <f>D953+7</f>
        <v>43357</v>
      </c>
      <c r="E965" s="705" t="s">
        <v>28</v>
      </c>
      <c r="F965" s="511" t="s">
        <v>101</v>
      </c>
      <c r="G965" s="252">
        <v>17555</v>
      </c>
      <c r="H965" s="253">
        <f>(C966-G965)/G965</f>
        <v>0.48983195670749075</v>
      </c>
      <c r="N965" s="1078">
        <v>43600</v>
      </c>
      <c r="O965" s="1079">
        <f t="shared" ca="1" si="118"/>
        <v>-1572</v>
      </c>
    </row>
    <row r="966" spans="1:15" hidden="1" outlineLevel="1" x14ac:dyDescent="0.35">
      <c r="A966" s="706" t="s">
        <v>32</v>
      </c>
      <c r="B966" s="255" t="str">
        <f ca="1">TEXT(TODAY(),"ddd")</f>
        <v>Sun</v>
      </c>
      <c r="C966" s="256">
        <v>26154</v>
      </c>
      <c r="D966" s="322">
        <f>C966-C954</f>
        <v>238</v>
      </c>
      <c r="E966" s="707"/>
      <c r="F966" s="708"/>
      <c r="G966" s="801">
        <v>4766</v>
      </c>
      <c r="H966" s="685">
        <f>(C967-G966)/G966</f>
        <v>0.68065463701216955</v>
      </c>
      <c r="N966" s="1033">
        <v>43591</v>
      </c>
      <c r="O966" s="1034">
        <f t="shared" ca="1" si="118"/>
        <v>-1581</v>
      </c>
    </row>
    <row r="967" spans="1:15" ht="19" hidden="1" outlineLevel="1" thickBot="1" x14ac:dyDescent="0.5">
      <c r="A967" s="709" t="s">
        <v>36</v>
      </c>
      <c r="B967" s="263"/>
      <c r="C967" s="419">
        <v>8010</v>
      </c>
      <c r="D967" s="1071">
        <f>C967-C955</f>
        <v>108</v>
      </c>
      <c r="E967" s="1072">
        <f t="shared" ref="E967:E972" si="119">(C967-C955)/C955</f>
        <v>1.366742596810934E-2</v>
      </c>
      <c r="F967" s="617" t="s">
        <v>37</v>
      </c>
      <c r="G967" s="783" t="s">
        <v>143</v>
      </c>
      <c r="H967" s="784" t="s">
        <v>144</v>
      </c>
      <c r="J967" s="1060" t="s">
        <v>43</v>
      </c>
      <c r="K967" s="1061" t="s">
        <v>198</v>
      </c>
      <c r="N967" s="1080">
        <v>43586</v>
      </c>
      <c r="O967" s="1081">
        <f t="shared" ca="1" si="118"/>
        <v>-1586</v>
      </c>
    </row>
    <row r="968" spans="1:15" hidden="1" outlineLevel="1" x14ac:dyDescent="0.35">
      <c r="A968" s="859" t="s">
        <v>137</v>
      </c>
      <c r="B968" s="860">
        <v>275</v>
      </c>
      <c r="C968" s="897">
        <v>395.67</v>
      </c>
      <c r="D968" s="862">
        <f>C968*B968</f>
        <v>108809.25</v>
      </c>
      <c r="E968" s="1069">
        <f t="shared" si="119"/>
        <v>4.8160216164666633E-2</v>
      </c>
      <c r="F968" s="793">
        <f>D968/D$903</f>
        <v>0.30947443529286378</v>
      </c>
      <c r="G968" s="796">
        <v>0.59</v>
      </c>
      <c r="H968" s="785" t="s">
        <v>145</v>
      </c>
      <c r="I968" s="1044">
        <f>(C968-C956)*B956</f>
        <v>4999.5000000000018</v>
      </c>
      <c r="J968" s="1063">
        <v>43402</v>
      </c>
      <c r="K968" s="1064">
        <f ca="1">J968-TODAY()</f>
        <v>-1770</v>
      </c>
      <c r="N968" s="1033"/>
      <c r="O968" s="1034"/>
    </row>
    <row r="969" spans="1:15" hidden="1" outlineLevel="1" x14ac:dyDescent="0.35">
      <c r="A969" s="879" t="s">
        <v>96</v>
      </c>
      <c r="B969" s="880">
        <v>287</v>
      </c>
      <c r="C969" s="902">
        <v>568.36</v>
      </c>
      <c r="D969" s="882">
        <f>C969*B969</f>
        <v>163119.32</v>
      </c>
      <c r="E969" s="921">
        <f t="shared" si="119"/>
        <v>5.6509777678637768E-2</v>
      </c>
      <c r="F969" s="795">
        <f>D969/D$903</f>
        <v>0.46394272033265499</v>
      </c>
      <c r="G969" s="794">
        <v>0.87</v>
      </c>
      <c r="H969" s="785" t="s">
        <v>192</v>
      </c>
      <c r="I969" s="399">
        <f>(C969-C957)*B957</f>
        <v>8724.7999999999938</v>
      </c>
      <c r="J969" s="1063">
        <v>43395</v>
      </c>
      <c r="K969" s="1064">
        <f ca="1">J969-TODAY()</f>
        <v>-1777</v>
      </c>
      <c r="N969" s="1082">
        <v>43585</v>
      </c>
      <c r="O969" s="1083">
        <f ca="1">N969-TODAY()</f>
        <v>-1587</v>
      </c>
    </row>
    <row r="970" spans="1:15" hidden="1" outlineLevel="1" x14ac:dyDescent="0.35">
      <c r="A970" s="859" t="s">
        <v>208</v>
      </c>
      <c r="B970" s="860">
        <v>150</v>
      </c>
      <c r="C970" s="897">
        <v>390.16</v>
      </c>
      <c r="D970" s="862">
        <f>C970*B970</f>
        <v>58524.000000000007</v>
      </c>
      <c r="E970" s="1069">
        <f t="shared" si="119"/>
        <v>5.8376736111111216E-2</v>
      </c>
      <c r="F970" s="795">
        <f>D970/D$903</f>
        <v>0.16645351246405579</v>
      </c>
      <c r="G970" s="794"/>
      <c r="H970" s="785"/>
      <c r="I970" s="399">
        <f>(C970-C958)*B958</f>
        <v>3228.0000000000059</v>
      </c>
      <c r="J970" s="1063">
        <v>43402</v>
      </c>
      <c r="K970" s="1064">
        <f ca="1">J970-TODAY()</f>
        <v>-1770</v>
      </c>
      <c r="N970" s="1084">
        <v>43585</v>
      </c>
      <c r="O970" s="1085">
        <f ca="1">N970-TODAY()</f>
        <v>-1587</v>
      </c>
    </row>
    <row r="971" spans="1:15" hidden="1" outlineLevel="1" x14ac:dyDescent="0.35">
      <c r="A971" s="879" t="s">
        <v>49</v>
      </c>
      <c r="B971" s="880">
        <v>111.84</v>
      </c>
      <c r="C971" s="902">
        <v>276.43</v>
      </c>
      <c r="D971" s="882">
        <f>C971*B971</f>
        <v>30915.931200000003</v>
      </c>
      <c r="E971" s="921">
        <f t="shared" si="119"/>
        <v>1.6810122857353022E-2</v>
      </c>
      <c r="F971" s="795">
        <f>D971/D$903</f>
        <v>8.7930854680765003E-2</v>
      </c>
      <c r="G971" s="794">
        <v>1.39</v>
      </c>
      <c r="H971" s="785" t="s">
        <v>145</v>
      </c>
      <c r="I971" s="399">
        <f>(C971-C959)*B959</f>
        <v>693.90879999999902</v>
      </c>
      <c r="J971" s="1065">
        <v>43328</v>
      </c>
      <c r="K971" s="1066">
        <f ca="1">J971-TODAY()</f>
        <v>-1844</v>
      </c>
      <c r="N971" s="7">
        <v>43669</v>
      </c>
      <c r="O971" s="1086">
        <f ca="1">N971-TODAY()</f>
        <v>-1503</v>
      </c>
    </row>
    <row r="972" spans="1:15" ht="16" hidden="1" outlineLevel="1" thickBot="1" x14ac:dyDescent="0.4">
      <c r="A972" s="859" t="s">
        <v>135</v>
      </c>
      <c r="B972" s="860">
        <v>25.76</v>
      </c>
      <c r="C972" s="897">
        <v>153.46</v>
      </c>
      <c r="D972" s="862">
        <f>C972*B972</f>
        <v>3953.1296000000007</v>
      </c>
      <c r="E972" s="1069">
        <f t="shared" si="119"/>
        <v>-3.8350670510089009E-2</v>
      </c>
      <c r="F972" s="1042">
        <f>D972/D$903</f>
        <v>1.1243460924503245E-2</v>
      </c>
      <c r="G972" s="794">
        <v>1.69</v>
      </c>
      <c r="H972" s="785" t="s">
        <v>145</v>
      </c>
      <c r="I972" s="592">
        <f>(C972-C960)*B960</f>
        <v>-157.65120000000013</v>
      </c>
    </row>
    <row r="973" spans="1:15" ht="16" hidden="1" outlineLevel="1" thickBot="1" x14ac:dyDescent="0.4">
      <c r="A973" s="879" t="s">
        <v>7</v>
      </c>
      <c r="B973" s="880"/>
      <c r="C973" s="902"/>
      <c r="D973" s="882">
        <v>1735.9</v>
      </c>
      <c r="E973" s="921"/>
      <c r="F973" s="665">
        <f>D973/D975</f>
        <v>4.5913213428942961E-3</v>
      </c>
      <c r="G973" s="797">
        <f>AVERAGE(G968:G972)</f>
        <v>1.1349999999999998</v>
      </c>
      <c r="H973" s="948"/>
      <c r="I973" s="786">
        <f>SUM(I968:I972)</f>
        <v>17488.5576</v>
      </c>
    </row>
    <row r="974" spans="1:15" ht="16" hidden="1" outlineLevel="1" thickBot="1" x14ac:dyDescent="0.4">
      <c r="A974" s="859" t="s">
        <v>60</v>
      </c>
      <c r="B974" s="860"/>
      <c r="C974" s="897"/>
      <c r="D974" s="862">
        <f>11025.35</f>
        <v>11025.35</v>
      </c>
      <c r="E974" s="1069"/>
      <c r="F974" s="665"/>
    </row>
    <row r="975" spans="1:15" ht="19" hidden="1" outlineLevel="1" thickBot="1" x14ac:dyDescent="0.5">
      <c r="A975" s="726" t="s">
        <v>62</v>
      </c>
      <c r="B975" s="583"/>
      <c r="C975" s="584"/>
      <c r="D975" s="585">
        <f>SUM(D968:D974)</f>
        <v>378082.88079999998</v>
      </c>
      <c r="E975" s="780">
        <f>D975-D963</f>
        <v>17023.207599999907</v>
      </c>
      <c r="F975" s="1073">
        <f>(D975-D963)/D963</f>
        <v>4.7147906187159049E-2</v>
      </c>
      <c r="G975" s="574"/>
      <c r="H975" s="1043">
        <f>(G975/10)/8</f>
        <v>0</v>
      </c>
      <c r="I975" s="148"/>
    </row>
    <row r="976" spans="1:15" hidden="1" outlineLevel="1" x14ac:dyDescent="0.35"/>
    <row r="977" spans="1:15" hidden="1" outlineLevel="1" x14ac:dyDescent="0.35">
      <c r="A977" s="701" t="s">
        <v>25</v>
      </c>
      <c r="B977" s="702" t="s">
        <v>26</v>
      </c>
      <c r="C977" s="703" t="s">
        <v>27</v>
      </c>
      <c r="D977" s="704">
        <f>D965+7</f>
        <v>43364</v>
      </c>
      <c r="E977" s="705" t="s">
        <v>28</v>
      </c>
      <c r="F977" s="511" t="s">
        <v>101</v>
      </c>
      <c r="G977" s="252">
        <v>17555</v>
      </c>
      <c r="H977" s="253">
        <f>(C978-G977)/G977</f>
        <v>0.52338365138137288</v>
      </c>
    </row>
    <row r="978" spans="1:15" hidden="1" outlineLevel="1" x14ac:dyDescent="0.35">
      <c r="A978" s="706" t="s">
        <v>32</v>
      </c>
      <c r="B978" s="255" t="str">
        <f ca="1">TEXT(TODAY(),"ddd")</f>
        <v>Sun</v>
      </c>
      <c r="C978" s="256">
        <v>26743</v>
      </c>
      <c r="D978" s="322">
        <f>C978-C966</f>
        <v>589</v>
      </c>
      <c r="E978" s="707"/>
      <c r="F978" s="708"/>
      <c r="G978" s="801">
        <v>4766</v>
      </c>
      <c r="H978" s="685">
        <f>(C979-G978)/G978</f>
        <v>0.67561896768778851</v>
      </c>
      <c r="N978" s="1031" t="s">
        <v>43</v>
      </c>
      <c r="O978" s="1032" t="s">
        <v>198</v>
      </c>
    </row>
    <row r="979" spans="1:15" ht="19" hidden="1" outlineLevel="1" thickBot="1" x14ac:dyDescent="0.5">
      <c r="A979" s="709" t="s">
        <v>36</v>
      </c>
      <c r="B979" s="263"/>
      <c r="C979" s="419">
        <v>7986</v>
      </c>
      <c r="D979" s="1067">
        <f>C979-C967</f>
        <v>-24</v>
      </c>
      <c r="E979" s="1068">
        <f t="shared" ref="E979:E984" si="120">(C979-C967)/C967</f>
        <v>-2.9962546816479402E-3</v>
      </c>
      <c r="F979" s="617" t="s">
        <v>37</v>
      </c>
      <c r="G979" s="783" t="s">
        <v>143</v>
      </c>
      <c r="H979" s="784" t="s">
        <v>144</v>
      </c>
      <c r="J979" s="1060" t="s">
        <v>43</v>
      </c>
      <c r="K979" s="1061" t="s">
        <v>198</v>
      </c>
      <c r="N979" s="1080">
        <v>43601</v>
      </c>
      <c r="O979" s="1081">
        <f t="shared" ref="O979:O984" ca="1" si="121">N979-TODAY()</f>
        <v>-1571</v>
      </c>
    </row>
    <row r="980" spans="1:15" hidden="1" outlineLevel="1" x14ac:dyDescent="0.35">
      <c r="A980" s="859" t="s">
        <v>137</v>
      </c>
      <c r="B980" s="860">
        <v>275</v>
      </c>
      <c r="C980" s="897">
        <v>384.88</v>
      </c>
      <c r="D980" s="862">
        <f>C980*B980</f>
        <v>105842</v>
      </c>
      <c r="E980" s="1077">
        <f t="shared" si="120"/>
        <v>-2.7270199914069856E-2</v>
      </c>
      <c r="F980" s="793">
        <f>D980/D$903</f>
        <v>0.30103500557413349</v>
      </c>
      <c r="G980" s="796">
        <v>0.59</v>
      </c>
      <c r="H980" s="785" t="s">
        <v>145</v>
      </c>
      <c r="I980" s="1051">
        <f>(C980-C968)*B968</f>
        <v>-2967.2500000000055</v>
      </c>
      <c r="J980" s="1063">
        <v>43402</v>
      </c>
      <c r="K980" s="1064">
        <f ca="1">J980-TODAY()</f>
        <v>-1770</v>
      </c>
      <c r="N980" s="1033">
        <f>"4/24/2019"+90</f>
        <v>43669</v>
      </c>
      <c r="O980" s="1034">
        <f t="shared" ca="1" si="121"/>
        <v>-1503</v>
      </c>
    </row>
    <row r="981" spans="1:15" hidden="1" outlineLevel="1" x14ac:dyDescent="0.35">
      <c r="A981" s="879" t="s">
        <v>96</v>
      </c>
      <c r="B981" s="880">
        <v>287</v>
      </c>
      <c r="C981" s="902">
        <v>556.77</v>
      </c>
      <c r="D981" s="882">
        <f>C981*B981</f>
        <v>159792.99</v>
      </c>
      <c r="E981" s="883">
        <f t="shared" si="120"/>
        <v>-2.0392005067210978E-2</v>
      </c>
      <c r="F981" s="795">
        <f>D981/D$903</f>
        <v>0.45448199802873585</v>
      </c>
      <c r="G981" s="794">
        <v>0.87</v>
      </c>
      <c r="H981" s="785" t="s">
        <v>192</v>
      </c>
      <c r="I981" s="542">
        <f>(C981-C969)*B969</f>
        <v>-3326.330000000009</v>
      </c>
      <c r="J981" s="1063">
        <v>43395</v>
      </c>
      <c r="K981" s="1064">
        <f ca="1">J981-TODAY()</f>
        <v>-1777</v>
      </c>
      <c r="N981" s="1080">
        <v>43600</v>
      </c>
      <c r="O981" s="1081">
        <f t="shared" ca="1" si="121"/>
        <v>-1572</v>
      </c>
    </row>
    <row r="982" spans="1:15" hidden="1" outlineLevel="1" x14ac:dyDescent="0.35">
      <c r="A982" s="859" t="s">
        <v>208</v>
      </c>
      <c r="B982" s="860">
        <v>150</v>
      </c>
      <c r="C982" s="897">
        <v>380.84</v>
      </c>
      <c r="D982" s="862">
        <f>C982*B982</f>
        <v>57125.999999999993</v>
      </c>
      <c r="E982" s="1077">
        <f t="shared" si="120"/>
        <v>-2.3887635841706095E-2</v>
      </c>
      <c r="F982" s="795">
        <f>D982/D$903</f>
        <v>0.1624773315737415</v>
      </c>
      <c r="G982" s="794"/>
      <c r="H982" s="785"/>
      <c r="I982" s="542">
        <f>(C982-C970)*B970</f>
        <v>-1398.0000000000075</v>
      </c>
      <c r="J982" s="1063">
        <v>43402</v>
      </c>
      <c r="K982" s="1064">
        <f ca="1">J982-TODAY()</f>
        <v>-1770</v>
      </c>
      <c r="N982" s="1087">
        <f>"4/30/2019"+90</f>
        <v>43675</v>
      </c>
      <c r="O982" s="1088">
        <f t="shared" ca="1" si="121"/>
        <v>-1497</v>
      </c>
    </row>
    <row r="983" spans="1:15" hidden="1" outlineLevel="1" x14ac:dyDescent="0.35">
      <c r="A983" s="879" t="s">
        <v>49</v>
      </c>
      <c r="B983" s="880">
        <v>111.93</v>
      </c>
      <c r="C983" s="902">
        <v>263.45</v>
      </c>
      <c r="D983" s="882">
        <f>C983*B983</f>
        <v>29487.958500000001</v>
      </c>
      <c r="E983" s="883">
        <f t="shared" si="120"/>
        <v>-4.6955829685634762E-2</v>
      </c>
      <c r="F983" s="795">
        <f>D983/D$903</f>
        <v>8.3869425666723216E-2</v>
      </c>
      <c r="G983" s="794">
        <v>1.39</v>
      </c>
      <c r="H983" s="785" t="s">
        <v>145</v>
      </c>
      <c r="I983" s="542">
        <f>(C983-C971)*B971</f>
        <v>-1451.683200000002</v>
      </c>
      <c r="J983" s="1065">
        <v>43416</v>
      </c>
      <c r="K983" s="1066">
        <f ca="1">J983-TODAY()</f>
        <v>-1756</v>
      </c>
      <c r="N983" s="1038">
        <f>"5/2/2019"+90</f>
        <v>43677</v>
      </c>
      <c r="O983" s="1039">
        <f t="shared" ca="1" si="121"/>
        <v>-1495</v>
      </c>
    </row>
    <row r="984" spans="1:15" ht="16" hidden="1" outlineLevel="1" thickBot="1" x14ac:dyDescent="0.4">
      <c r="A984" s="859" t="s">
        <v>135</v>
      </c>
      <c r="B984" s="860">
        <v>25.76</v>
      </c>
      <c r="C984" s="897">
        <v>155.68</v>
      </c>
      <c r="D984" s="862">
        <f>C984*B984</f>
        <v>4010.3168000000005</v>
      </c>
      <c r="E984" s="1069">
        <f t="shared" si="120"/>
        <v>1.4466310439202389E-2</v>
      </c>
      <c r="F984" s="1042">
        <f>D984/D$903</f>
        <v>1.140611232064815E-2</v>
      </c>
      <c r="G984" s="794">
        <v>1.69</v>
      </c>
      <c r="H984" s="785" t="s">
        <v>145</v>
      </c>
      <c r="I984" s="786">
        <f>(C984-C972)*B972</f>
        <v>57.187199999999976</v>
      </c>
      <c r="N984" s="1038">
        <f>"5/1/2019"+90</f>
        <v>43676</v>
      </c>
      <c r="O984" s="1039">
        <f t="shared" ca="1" si="121"/>
        <v>-1496</v>
      </c>
    </row>
    <row r="985" spans="1:15" ht="16" hidden="1" outlineLevel="1" thickBot="1" x14ac:dyDescent="0.4">
      <c r="A985" s="879" t="s">
        <v>7</v>
      </c>
      <c r="B985" s="880"/>
      <c r="C985" s="902"/>
      <c r="D985" s="882">
        <v>1744.09</v>
      </c>
      <c r="E985" s="921"/>
      <c r="F985" s="665">
        <f>D985/D987</f>
        <v>4.856448326911283E-3</v>
      </c>
      <c r="G985" s="797">
        <f>AVERAGE(G980:G984)</f>
        <v>1.1349999999999998</v>
      </c>
      <c r="H985" s="948"/>
      <c r="I985" s="592">
        <f>SUM(I980:I984)</f>
        <v>-9086.0760000000228</v>
      </c>
      <c r="N985" s="1038"/>
      <c r="O985" s="1039"/>
    </row>
    <row r="986" spans="1:15" ht="16" hidden="1" outlineLevel="1" thickBot="1" x14ac:dyDescent="0.4">
      <c r="A986" s="859" t="s">
        <v>60</v>
      </c>
      <c r="B986" s="860"/>
      <c r="C986" s="897"/>
      <c r="D986" s="862">
        <f>1115.4+9.95</f>
        <v>1125.3500000000001</v>
      </c>
      <c r="E986" s="1069"/>
      <c r="F986" s="665"/>
      <c r="N986" s="1089">
        <f>"4/30/2019"+90</f>
        <v>43675</v>
      </c>
      <c r="O986" s="1090">
        <f ca="1">N986-TODAY()</f>
        <v>-1497</v>
      </c>
    </row>
    <row r="987" spans="1:15" ht="19" hidden="1" outlineLevel="1" thickBot="1" x14ac:dyDescent="0.5">
      <c r="A987" s="726" t="s">
        <v>62</v>
      </c>
      <c r="B987" s="583"/>
      <c r="C987" s="584"/>
      <c r="D987" s="585">
        <f>SUM(D980:D986)</f>
        <v>359128.70529999997</v>
      </c>
      <c r="E987" s="771">
        <f>D987-D975</f>
        <v>-18954.175500000012</v>
      </c>
      <c r="F987" s="907">
        <f>(D987-D975)/D975</f>
        <v>-5.0132329345074153E-2</v>
      </c>
      <c r="G987" s="1091" t="s">
        <v>214</v>
      </c>
      <c r="H987" s="1092"/>
      <c r="I987" s="1093"/>
      <c r="J987" s="484"/>
      <c r="K987" s="483"/>
      <c r="N987" s="1087">
        <v>43669</v>
      </c>
      <c r="O987" s="1088">
        <f ca="1">N987-TODAY()</f>
        <v>-1503</v>
      </c>
    </row>
    <row r="988" spans="1:15" hidden="1" outlineLevel="1" x14ac:dyDescent="0.35">
      <c r="N988" s="1094"/>
      <c r="O988" s="1095"/>
    </row>
    <row r="989" spans="1:15" hidden="1" outlineLevel="1" x14ac:dyDescent="0.35">
      <c r="A989" s="701" t="s">
        <v>25</v>
      </c>
      <c r="B989" s="702" t="s">
        <v>26</v>
      </c>
      <c r="C989" s="703" t="s">
        <v>27</v>
      </c>
      <c r="D989" s="704">
        <f>D977+7</f>
        <v>43371</v>
      </c>
      <c r="E989" s="705" t="s">
        <v>28</v>
      </c>
      <c r="F989" s="511" t="s">
        <v>101</v>
      </c>
      <c r="G989" s="252">
        <v>17555</v>
      </c>
      <c r="H989" s="253">
        <f>(C990-G989)/G989</f>
        <v>0.50714896041013957</v>
      </c>
    </row>
    <row r="990" spans="1:15" hidden="1" outlineLevel="1" x14ac:dyDescent="0.35">
      <c r="A990" s="706" t="s">
        <v>32</v>
      </c>
      <c r="B990" s="255" t="str">
        <f ca="1">TEXT(TODAY(),"ddd")</f>
        <v>Sun</v>
      </c>
      <c r="C990" s="256">
        <v>26458</v>
      </c>
      <c r="D990" s="257">
        <f>C990-C978</f>
        <v>-285</v>
      </c>
      <c r="E990" s="707"/>
      <c r="F990" s="708"/>
      <c r="G990" s="801">
        <v>4766</v>
      </c>
      <c r="H990" s="685">
        <f>(C991-G990)/G990</f>
        <v>0.68820814099874106</v>
      </c>
    </row>
    <row r="991" spans="1:15" ht="19" hidden="1" outlineLevel="1" thickBot="1" x14ac:dyDescent="0.5">
      <c r="A991" s="709" t="s">
        <v>36</v>
      </c>
      <c r="B991" s="263"/>
      <c r="C991" s="419">
        <v>8046</v>
      </c>
      <c r="D991" s="1071">
        <f>C991-C979</f>
        <v>60</v>
      </c>
      <c r="E991" s="1072">
        <f>(C991-C979)/C979</f>
        <v>7.5131480090157776E-3</v>
      </c>
      <c r="F991" s="617" t="s">
        <v>37</v>
      </c>
      <c r="G991" s="783" t="s">
        <v>143</v>
      </c>
      <c r="H991" s="784" t="s">
        <v>144</v>
      </c>
      <c r="J991" s="1031" t="s">
        <v>43</v>
      </c>
      <c r="K991" s="1032" t="s">
        <v>198</v>
      </c>
    </row>
    <row r="992" spans="1:15" hidden="1" outlineLevel="1" x14ac:dyDescent="0.35">
      <c r="A992" s="859" t="s">
        <v>137</v>
      </c>
      <c r="B992" s="860">
        <v>275</v>
      </c>
      <c r="C992" s="897">
        <v>449.75</v>
      </c>
      <c r="D992" s="862">
        <f t="shared" ref="D992:D997" si="122">C992*B992</f>
        <v>123681.25</v>
      </c>
      <c r="E992" s="1069">
        <f>(C992-C980)/C980</f>
        <v>0.16854604032425693</v>
      </c>
      <c r="F992" s="793">
        <f t="shared" ref="F992:F997" si="123">D992/D$903</f>
        <v>0.35177326376264434</v>
      </c>
      <c r="G992" s="796">
        <v>0.59</v>
      </c>
      <c r="H992" s="785" t="s">
        <v>192</v>
      </c>
      <c r="I992" s="1044">
        <f>(C992-C980)*B980</f>
        <v>17839.25</v>
      </c>
      <c r="J992" s="1096">
        <v>43402</v>
      </c>
      <c r="K992" s="1097">
        <f ca="1">J992-TODAY()</f>
        <v>-1770</v>
      </c>
    </row>
    <row r="993" spans="1:15" hidden="1" outlineLevel="1" x14ac:dyDescent="0.35">
      <c r="A993" s="879" t="s">
        <v>96</v>
      </c>
      <c r="B993" s="880">
        <v>287</v>
      </c>
      <c r="C993" s="902">
        <v>574</v>
      </c>
      <c r="D993" s="882">
        <f t="shared" si="122"/>
        <v>164738</v>
      </c>
      <c r="E993" s="921">
        <f>(C993-C981)/C981</f>
        <v>3.0946351276110458E-2</v>
      </c>
      <c r="F993" s="795">
        <f t="shared" si="123"/>
        <v>0.46854655758840164</v>
      </c>
      <c r="G993" s="794">
        <v>0.87</v>
      </c>
      <c r="H993" s="785" t="s">
        <v>192</v>
      </c>
      <c r="I993" s="399">
        <f>(C993-C981)*B981</f>
        <v>4945.0100000000057</v>
      </c>
      <c r="J993" s="1098">
        <v>43395</v>
      </c>
      <c r="K993" s="1064">
        <f ca="1">J993-TODAY()</f>
        <v>-1777</v>
      </c>
    </row>
    <row r="994" spans="1:15" hidden="1" outlineLevel="1" x14ac:dyDescent="0.35">
      <c r="A994" s="859" t="s">
        <v>208</v>
      </c>
      <c r="B994" s="860">
        <v>150</v>
      </c>
      <c r="C994" s="897">
        <v>391.22</v>
      </c>
      <c r="D994" s="862">
        <f t="shared" si="122"/>
        <v>58683.000000000007</v>
      </c>
      <c r="E994" s="1069">
        <f>(C994-C982)/C982</f>
        <v>2.7255540384413541E-2</v>
      </c>
      <c r="F994" s="795">
        <f t="shared" si="123"/>
        <v>0.16690573904600139</v>
      </c>
      <c r="G994" s="794"/>
      <c r="H994" s="785" t="s">
        <v>192</v>
      </c>
      <c r="I994" s="399">
        <f>(C994-C982)*B982</f>
        <v>1557.0000000000077</v>
      </c>
      <c r="J994" s="1099">
        <v>43397</v>
      </c>
      <c r="K994" s="1064">
        <f ca="1">J994-TODAY()</f>
        <v>-1775</v>
      </c>
    </row>
    <row r="995" spans="1:15" hidden="1" outlineLevel="1" x14ac:dyDescent="0.35">
      <c r="A995" s="879" t="s">
        <v>49</v>
      </c>
      <c r="B995" s="880">
        <v>111.93</v>
      </c>
      <c r="C995" s="902">
        <v>281.02</v>
      </c>
      <c r="D995" s="882">
        <f t="shared" si="122"/>
        <v>31454.568599999999</v>
      </c>
      <c r="E995" s="921">
        <f>(C995-C983)/C983</f>
        <v>6.6691971911178566E-2</v>
      </c>
      <c r="F995" s="795">
        <f t="shared" si="123"/>
        <v>8.9462843047494994E-2</v>
      </c>
      <c r="G995" s="794">
        <v>1.39</v>
      </c>
      <c r="H995" s="785" t="s">
        <v>192</v>
      </c>
      <c r="I995" s="399">
        <f>(C995-C983)*B983</f>
        <v>1966.6100999999994</v>
      </c>
      <c r="J995" s="1098">
        <v>43416</v>
      </c>
      <c r="K995" s="1064">
        <f ca="1">J995-TODAY()</f>
        <v>-1756</v>
      </c>
      <c r="N995" s="1031" t="s">
        <v>43</v>
      </c>
      <c r="O995" s="1032" t="s">
        <v>198</v>
      </c>
    </row>
    <row r="996" spans="1:15" hidden="1" outlineLevel="1" x14ac:dyDescent="0.35">
      <c r="A996" s="859" t="s">
        <v>215</v>
      </c>
      <c r="B996" s="860">
        <v>66</v>
      </c>
      <c r="C996" s="897">
        <v>16.27</v>
      </c>
      <c r="D996" s="862">
        <f t="shared" si="122"/>
        <v>1073.82</v>
      </c>
      <c r="E996" s="1069"/>
      <c r="F996" s="795">
        <f t="shared" si="123"/>
        <v>3.0541506177662555E-3</v>
      </c>
      <c r="G996" s="794"/>
      <c r="H996" s="785" t="s">
        <v>192</v>
      </c>
      <c r="I996" s="542">
        <f>(C996-C985)*B985</f>
        <v>0</v>
      </c>
      <c r="J996" s="1100">
        <v>43228</v>
      </c>
      <c r="K996" s="1066">
        <f ca="1">J996-TODAY()</f>
        <v>-1944</v>
      </c>
      <c r="N996" s="7">
        <v>43601</v>
      </c>
      <c r="O996" s="1086">
        <f t="shared" ref="O996:O1001" ca="1" si="124">N996-TODAY()</f>
        <v>-1571</v>
      </c>
    </row>
    <row r="997" spans="1:15" hidden="1" outlineLevel="1" x14ac:dyDescent="0.35">
      <c r="A997" s="879" t="s">
        <v>135</v>
      </c>
      <c r="B997" s="880">
        <v>25.76</v>
      </c>
      <c r="C997" s="902">
        <v>151.16999999999999</v>
      </c>
      <c r="D997" s="882">
        <f t="shared" si="122"/>
        <v>3894.1392000000001</v>
      </c>
      <c r="E997" s="921">
        <f>(C997-C984)/C984</f>
        <v>-2.8969681397739075E-2</v>
      </c>
      <c r="F997" s="795">
        <f t="shared" si="123"/>
        <v>1.1075680880732146E-2</v>
      </c>
      <c r="G997" s="794">
        <v>1.69</v>
      </c>
      <c r="H997" s="785" t="s">
        <v>192</v>
      </c>
      <c r="I997" s="542">
        <f>(C997-C984)*B984</f>
        <v>-116.17760000000051</v>
      </c>
      <c r="N997" s="7">
        <f>"4/24/2019"+90</f>
        <v>43669</v>
      </c>
      <c r="O997" s="1086">
        <f t="shared" ca="1" si="124"/>
        <v>-1503</v>
      </c>
    </row>
    <row r="998" spans="1:15" ht="16" hidden="1" outlineLevel="1" thickBot="1" x14ac:dyDescent="0.4">
      <c r="A998" s="859" t="s">
        <v>7</v>
      </c>
      <c r="B998" s="860"/>
      <c r="C998" s="897"/>
      <c r="D998" s="862">
        <v>1729.67</v>
      </c>
      <c r="E998" s="1069"/>
      <c r="F998" s="1101">
        <f>D998/D1000</f>
        <v>4.4881711141311247E-3</v>
      </c>
      <c r="G998" s="794"/>
      <c r="H998" s="785" t="s">
        <v>192</v>
      </c>
      <c r="I998" s="786"/>
      <c r="N998" s="7">
        <v>43614</v>
      </c>
      <c r="O998" s="1086">
        <f t="shared" ca="1" si="124"/>
        <v>-1558</v>
      </c>
    </row>
    <row r="999" spans="1:15" ht="16" hidden="1" outlineLevel="1" thickBot="1" x14ac:dyDescent="0.4">
      <c r="A999" s="879" t="s">
        <v>60</v>
      </c>
      <c r="B999" s="880"/>
      <c r="C999" s="902"/>
      <c r="D999" s="882">
        <v>129.69999999999999</v>
      </c>
      <c r="E999" s="921"/>
      <c r="F999" s="665"/>
      <c r="I999" s="786">
        <f>SUM(I992:I998)</f>
        <v>26191.692500000012</v>
      </c>
      <c r="N999" s="7">
        <v>43669</v>
      </c>
      <c r="O999" s="1086">
        <f t="shared" ca="1" si="124"/>
        <v>-1503</v>
      </c>
    </row>
    <row r="1000" spans="1:15" ht="19" hidden="1" outlineLevel="1" thickBot="1" x14ac:dyDescent="0.5">
      <c r="A1000" s="726" t="s">
        <v>62</v>
      </c>
      <c r="B1000" s="583"/>
      <c r="C1000" s="584"/>
      <c r="D1000" s="585">
        <f>SUM(D992:D999)</f>
        <v>385384.14779999998</v>
      </c>
      <c r="E1000" s="780">
        <f>D1000-D987</f>
        <v>26255.442500000005</v>
      </c>
      <c r="F1000" s="1073">
        <f>(D1000-D987)/D987</f>
        <v>7.3108727073396676E-2</v>
      </c>
      <c r="G1000" s="574"/>
      <c r="H1000" s="1043">
        <f>(G1000/10)/8</f>
        <v>0</v>
      </c>
      <c r="I1000" s="148"/>
      <c r="N1000" s="7">
        <f>"4/30/2019"+90</f>
        <v>43675</v>
      </c>
      <c r="O1000" s="1086">
        <f t="shared" ca="1" si="124"/>
        <v>-1497</v>
      </c>
    </row>
    <row r="1001" spans="1:15" hidden="1" outlineLevel="1" x14ac:dyDescent="0.35">
      <c r="N1001" s="7">
        <f>"5/1/2019"+90</f>
        <v>43676</v>
      </c>
      <c r="O1001" s="1086">
        <f t="shared" ca="1" si="124"/>
        <v>-1496</v>
      </c>
    </row>
    <row r="1002" spans="1:15" hidden="1" outlineLevel="1" x14ac:dyDescent="0.35">
      <c r="A1002" s="701" t="s">
        <v>25</v>
      </c>
      <c r="B1002" s="702" t="s">
        <v>26</v>
      </c>
      <c r="C1002" s="703" t="s">
        <v>27</v>
      </c>
      <c r="D1002" s="704">
        <f>D989+7</f>
        <v>43378</v>
      </c>
      <c r="E1002" s="705" t="s">
        <v>28</v>
      </c>
      <c r="F1002" s="511"/>
      <c r="G1002" s="252"/>
      <c r="H1002" s="253"/>
      <c r="N1002" s="7"/>
      <c r="O1002" s="1086"/>
    </row>
    <row r="1003" spans="1:15" hidden="1" outlineLevel="1" x14ac:dyDescent="0.35">
      <c r="A1003" s="706" t="s">
        <v>32</v>
      </c>
      <c r="B1003" s="255" t="str">
        <f ca="1">TEXT(TODAY(),"ddd")</f>
        <v>Sun</v>
      </c>
      <c r="C1003" s="256">
        <v>26447</v>
      </c>
      <c r="D1003" s="257">
        <f>C1003-C990</f>
        <v>-11</v>
      </c>
      <c r="E1003" s="707"/>
      <c r="F1003" s="708"/>
      <c r="G1003" s="801"/>
      <c r="H1003" s="685"/>
      <c r="N1003" s="7">
        <f>"4/30/2019"+90</f>
        <v>43675</v>
      </c>
      <c r="O1003" s="1086">
        <f ca="1">N1003-TODAY()</f>
        <v>-1497</v>
      </c>
    </row>
    <row r="1004" spans="1:15" ht="19" hidden="1" outlineLevel="1" thickBot="1" x14ac:dyDescent="0.5">
      <c r="A1004" s="709" t="s">
        <v>36</v>
      </c>
      <c r="B1004" s="263"/>
      <c r="C1004" s="419">
        <v>7788</v>
      </c>
      <c r="D1004" s="1067">
        <f>C1004-C991</f>
        <v>-258</v>
      </c>
      <c r="E1004" s="1076">
        <f>(C1004-C991)/C991</f>
        <v>-3.2065622669649518E-2</v>
      </c>
      <c r="F1004" s="617" t="s">
        <v>37</v>
      </c>
      <c r="G1004" s="783" t="s">
        <v>143</v>
      </c>
      <c r="H1004" s="784" t="s">
        <v>144</v>
      </c>
      <c r="J1004" s="1031" t="s">
        <v>43</v>
      </c>
      <c r="K1004" s="1032" t="s">
        <v>198</v>
      </c>
      <c r="N1004" s="7"/>
      <c r="O1004" s="1086"/>
    </row>
    <row r="1005" spans="1:15" hidden="1" outlineLevel="1" x14ac:dyDescent="0.35">
      <c r="A1005" s="859" t="s">
        <v>137</v>
      </c>
      <c r="B1005" s="860">
        <v>275</v>
      </c>
      <c r="C1005" s="897">
        <v>415.71</v>
      </c>
      <c r="D1005" s="862">
        <f t="shared" ref="D1005:D1010" si="125">C1005*B1005</f>
        <v>114320.25</v>
      </c>
      <c r="E1005" s="1077">
        <f t="shared" ref="E1005:E1010" si="126">(C1005-C992)/C992</f>
        <v>-7.5686492495831065E-2</v>
      </c>
      <c r="F1005" s="793">
        <f t="shared" ref="F1005:F1010" si="127">D1005/D$903</f>
        <v>0.32514877927463898</v>
      </c>
      <c r="G1005" s="794">
        <v>0.59</v>
      </c>
      <c r="H1005" s="785" t="s">
        <v>192</v>
      </c>
      <c r="I1005" s="1051">
        <f t="shared" ref="I1005:I1010" si="128">(C1005-C992)*B992</f>
        <v>-9361.0000000000055</v>
      </c>
      <c r="J1005" s="1096">
        <v>43402</v>
      </c>
      <c r="K1005" s="1097">
        <f ca="1">J1005-TODAY()</f>
        <v>-1770</v>
      </c>
      <c r="N1005" s="7"/>
      <c r="O1005" s="1086"/>
    </row>
    <row r="1006" spans="1:15" hidden="1" outlineLevel="1" x14ac:dyDescent="0.35">
      <c r="A1006" s="879" t="s">
        <v>96</v>
      </c>
      <c r="B1006" s="880">
        <v>287</v>
      </c>
      <c r="C1006" s="902">
        <v>548.71</v>
      </c>
      <c r="D1006" s="882">
        <f t="shared" si="125"/>
        <v>157479.77000000002</v>
      </c>
      <c r="E1006" s="883">
        <f t="shared" si="126"/>
        <v>-4.4059233449477292E-2</v>
      </c>
      <c r="F1006" s="795">
        <f t="shared" si="127"/>
        <v>0.44790275542566532</v>
      </c>
      <c r="G1006" s="794">
        <v>0.87</v>
      </c>
      <c r="H1006" s="785" t="s">
        <v>192</v>
      </c>
      <c r="I1006" s="542">
        <f t="shared" si="128"/>
        <v>-7258.2299999999896</v>
      </c>
      <c r="J1006" s="1098">
        <v>43395</v>
      </c>
      <c r="K1006" s="1064">
        <f ca="1">J1006-TODAY()</f>
        <v>-1777</v>
      </c>
      <c r="N1006" s="7">
        <v>43669</v>
      </c>
      <c r="O1006" s="1086">
        <f ca="1">N1006-TODAY()</f>
        <v>-1503</v>
      </c>
    </row>
    <row r="1007" spans="1:15" hidden="1" outlineLevel="1" x14ac:dyDescent="0.35">
      <c r="A1007" s="859" t="s">
        <v>208</v>
      </c>
      <c r="B1007" s="860">
        <v>150</v>
      </c>
      <c r="C1007" s="897">
        <v>353.11</v>
      </c>
      <c r="D1007" s="862">
        <f t="shared" si="125"/>
        <v>52966.5</v>
      </c>
      <c r="E1007" s="1077">
        <f t="shared" si="126"/>
        <v>-9.7413220183017263E-2</v>
      </c>
      <c r="F1007" s="795">
        <f t="shared" si="127"/>
        <v>0.15064691353850401</v>
      </c>
      <c r="G1007" s="794">
        <v>1.75</v>
      </c>
      <c r="H1007" s="785" t="s">
        <v>192</v>
      </c>
      <c r="I1007" s="542">
        <f t="shared" si="128"/>
        <v>-5716.5000000000018</v>
      </c>
      <c r="J1007" s="1099">
        <v>43397</v>
      </c>
      <c r="K1007" s="1064">
        <f ca="1">J1007-TODAY()</f>
        <v>-1775</v>
      </c>
    </row>
    <row r="1008" spans="1:15" hidden="1" outlineLevel="1" x14ac:dyDescent="0.35">
      <c r="A1008" s="879" t="s">
        <v>49</v>
      </c>
      <c r="B1008" s="880">
        <v>111.93</v>
      </c>
      <c r="C1008" s="902">
        <v>269.86</v>
      </c>
      <c r="D1008" s="882">
        <f t="shared" si="125"/>
        <v>30205.429800000002</v>
      </c>
      <c r="E1008" s="1102">
        <f t="shared" si="126"/>
        <v>-3.9712475980357161E-2</v>
      </c>
      <c r="F1008" s="795">
        <f t="shared" si="127"/>
        <v>8.5910052041836882E-2</v>
      </c>
      <c r="G1008" s="794">
        <v>1.39</v>
      </c>
      <c r="H1008" s="785" t="s">
        <v>192</v>
      </c>
      <c r="I1008" s="542">
        <f t="shared" si="128"/>
        <v>-1249.1387999999965</v>
      </c>
      <c r="J1008" s="1098">
        <v>43416</v>
      </c>
      <c r="K1008" s="1064">
        <f ca="1">J1008-TODAY()</f>
        <v>-1756</v>
      </c>
    </row>
    <row r="1009" spans="1:15" hidden="1" outlineLevel="1" x14ac:dyDescent="0.35">
      <c r="A1009" s="859" t="s">
        <v>215</v>
      </c>
      <c r="B1009" s="860">
        <v>244</v>
      </c>
      <c r="C1009" s="897">
        <v>19.8</v>
      </c>
      <c r="D1009" s="862">
        <f t="shared" si="125"/>
        <v>4831.2</v>
      </c>
      <c r="E1009" s="1069">
        <f t="shared" si="126"/>
        <v>0.21696373693915189</v>
      </c>
      <c r="F1009" s="795">
        <f t="shared" si="127"/>
        <v>1.3740862029532263E-2</v>
      </c>
      <c r="G1009" s="794">
        <v>1.41</v>
      </c>
      <c r="H1009" s="785" t="s">
        <v>192</v>
      </c>
      <c r="I1009" s="399">
        <f t="shared" si="128"/>
        <v>232.98000000000008</v>
      </c>
      <c r="J1009" s="1100">
        <v>43411</v>
      </c>
      <c r="K1009" s="1066">
        <f ca="1">J1009-TODAY()</f>
        <v>-1761</v>
      </c>
    </row>
    <row r="1010" spans="1:15" hidden="1" outlineLevel="1" x14ac:dyDescent="0.35">
      <c r="A1010" s="879" t="s">
        <v>135</v>
      </c>
      <c r="B1010" s="880">
        <v>5.94</v>
      </c>
      <c r="C1010" s="902">
        <v>147.9</v>
      </c>
      <c r="D1010" s="882">
        <f t="shared" si="125"/>
        <v>878.52600000000007</v>
      </c>
      <c r="E1010" s="883">
        <f t="shared" si="126"/>
        <v>-2.1631276046834572E-2</v>
      </c>
      <c r="F1010" s="795">
        <f t="shared" si="127"/>
        <v>2.4986969190587973E-3</v>
      </c>
      <c r="G1010" s="794">
        <v>1.69</v>
      </c>
      <c r="H1010" s="785"/>
      <c r="I1010" s="542">
        <f t="shared" si="128"/>
        <v>-84.235199999999537</v>
      </c>
    </row>
    <row r="1011" spans="1:15" ht="16" hidden="1" outlineLevel="1" thickBot="1" x14ac:dyDescent="0.4">
      <c r="A1011" s="859" t="s">
        <v>7</v>
      </c>
      <c r="B1011" s="860"/>
      <c r="C1011" s="897"/>
      <c r="D1011" s="862">
        <v>1717.52</v>
      </c>
      <c r="E1011" s="1069"/>
      <c r="F1011" s="1101">
        <f>D1011/D1013</f>
        <v>4.7380158008700031E-3</v>
      </c>
      <c r="G1011" s="794"/>
      <c r="H1011" s="785"/>
      <c r="I1011" s="786"/>
    </row>
    <row r="1012" spans="1:15" ht="16" hidden="1" outlineLevel="1" thickBot="1" x14ac:dyDescent="0.4">
      <c r="A1012" s="879" t="s">
        <v>60</v>
      </c>
      <c r="B1012" s="880"/>
      <c r="C1012" s="902"/>
      <c r="D1012" s="882">
        <f>88.59+9.95</f>
        <v>98.54</v>
      </c>
      <c r="E1012" s="921"/>
      <c r="F1012" s="665"/>
      <c r="I1012" s="592">
        <f>SUM(I1005:I1011)</f>
        <v>-23436.123999999993</v>
      </c>
    </row>
    <row r="1013" spans="1:15" ht="19" hidden="1" outlineLevel="1" thickBot="1" x14ac:dyDescent="0.5">
      <c r="A1013" s="726" t="s">
        <v>62</v>
      </c>
      <c r="B1013" s="583"/>
      <c r="C1013" s="584"/>
      <c r="D1013" s="585">
        <f>SUM(D1005:D1012)</f>
        <v>362497.73580000002</v>
      </c>
      <c r="E1013" s="771">
        <f>D1013-D1000</f>
        <v>-22886.411999999953</v>
      </c>
      <c r="F1013" s="907">
        <f>(D1013-D1000)/D1000</f>
        <v>-5.9385971453805489E-2</v>
      </c>
      <c r="G1013" s="574"/>
      <c r="H1013" s="1043"/>
      <c r="I1013" s="148"/>
      <c r="N1013" s="1031" t="s">
        <v>43</v>
      </c>
      <c r="O1013" s="1032" t="s">
        <v>198</v>
      </c>
    </row>
    <row r="1014" spans="1:15" hidden="1" outlineLevel="1" x14ac:dyDescent="0.35">
      <c r="N1014" s="7">
        <f>"5/16/2019"+90</f>
        <v>43691</v>
      </c>
      <c r="O1014" s="1086">
        <f ca="1">N1014-TODAY()</f>
        <v>-1481</v>
      </c>
    </row>
    <row r="1015" spans="1:15" hidden="1" outlineLevel="1" x14ac:dyDescent="0.35">
      <c r="A1015" s="701" t="s">
        <v>25</v>
      </c>
      <c r="B1015" s="702" t="s">
        <v>26</v>
      </c>
      <c r="C1015" s="703" t="s">
        <v>27</v>
      </c>
      <c r="D1015" s="704">
        <f>D1002+7</f>
        <v>43385</v>
      </c>
      <c r="E1015" s="1103" t="s">
        <v>28</v>
      </c>
      <c r="F1015" s="1104"/>
      <c r="G1015" s="252"/>
      <c r="H1015" s="253"/>
      <c r="N1015" s="7">
        <f>"4/24/2019"+90</f>
        <v>43669</v>
      </c>
      <c r="O1015" s="1086">
        <f ca="1">N1015-TODAY()</f>
        <v>-1503</v>
      </c>
    </row>
    <row r="1016" spans="1:15" ht="16" hidden="1" outlineLevel="1" thickBot="1" x14ac:dyDescent="0.4">
      <c r="A1016" s="706" t="s">
        <v>32</v>
      </c>
      <c r="B1016" s="255" t="str">
        <f ca="1">TEXT(TODAY(),"ddd")</f>
        <v>Sun</v>
      </c>
      <c r="C1016" s="256">
        <v>25339</v>
      </c>
      <c r="D1016" s="257">
        <f>C1016-C1003</f>
        <v>-1108</v>
      </c>
      <c r="E1016" s="1105"/>
      <c r="F1016" s="1106"/>
      <c r="G1016" s="801"/>
      <c r="H1016" s="685"/>
      <c r="N1016" s="7">
        <v>43669</v>
      </c>
      <c r="O1016" s="1086">
        <f ca="1">N1016-TODAY()</f>
        <v>-1503</v>
      </c>
    </row>
    <row r="1017" spans="1:15" ht="19" hidden="1" outlineLevel="1" thickBot="1" x14ac:dyDescent="0.5">
      <c r="A1017" s="709" t="s">
        <v>36</v>
      </c>
      <c r="B1017" s="263"/>
      <c r="C1017" s="419">
        <v>7496</v>
      </c>
      <c r="D1017" s="1067">
        <f>C1017-C1004</f>
        <v>-292</v>
      </c>
      <c r="E1017" s="1076">
        <f>(C1017-C1004)/C1004</f>
        <v>-3.7493579866461221E-2</v>
      </c>
      <c r="F1017" s="645" t="s">
        <v>37</v>
      </c>
      <c r="G1017" s="783" t="s">
        <v>143</v>
      </c>
      <c r="H1017" s="784" t="s">
        <v>144</v>
      </c>
      <c r="J1017" s="1031" t="s">
        <v>43</v>
      </c>
      <c r="K1017" s="1032" t="s">
        <v>198</v>
      </c>
      <c r="N1017" s="7">
        <f>"4/30/2019"+90</f>
        <v>43675</v>
      </c>
      <c r="O1017" s="1086">
        <f ca="1">N1017-TODAY()</f>
        <v>-1497</v>
      </c>
    </row>
    <row r="1018" spans="1:15" hidden="1" outlineLevel="1" x14ac:dyDescent="0.35">
      <c r="A1018" s="859" t="s">
        <v>137</v>
      </c>
      <c r="B1018" s="860">
        <v>275</v>
      </c>
      <c r="C1018" s="897">
        <v>384.78</v>
      </c>
      <c r="D1018" s="862">
        <f t="shared" ref="D1018:D1023" si="129">C1018*B1018</f>
        <v>105814.49999999999</v>
      </c>
      <c r="E1018" s="1077">
        <f t="shared" ref="E1018:E1023" si="130">(C1018-C1005)/C1005</f>
        <v>-7.4402828895143269E-2</v>
      </c>
      <c r="F1018" s="793">
        <f t="shared" ref="F1018:F1023" si="131">D1018/D$903</f>
        <v>0.30095679028480327</v>
      </c>
      <c r="G1018" s="794">
        <v>0.59</v>
      </c>
      <c r="H1018" s="785" t="s">
        <v>192</v>
      </c>
      <c r="I1018" s="1051">
        <f t="shared" ref="I1018:I1023" si="132">(C1018-C1005)*B1005</f>
        <v>-8505.7500000000018</v>
      </c>
      <c r="J1018" s="1096">
        <v>43402</v>
      </c>
      <c r="K1018" s="1097">
        <f ca="1">J1018-TODAY()</f>
        <v>-1770</v>
      </c>
      <c r="N1018" s="7"/>
      <c r="O1018" s="1086"/>
    </row>
    <row r="1019" spans="1:15" hidden="1" outlineLevel="1" x14ac:dyDescent="0.35">
      <c r="A1019" s="879" t="s">
        <v>96</v>
      </c>
      <c r="B1019" s="880">
        <v>287</v>
      </c>
      <c r="C1019" s="902">
        <v>532.02</v>
      </c>
      <c r="D1019" s="882">
        <f t="shared" si="129"/>
        <v>152689.74</v>
      </c>
      <c r="E1019" s="883">
        <f t="shared" si="130"/>
        <v>-3.0416795757321816E-2</v>
      </c>
      <c r="F1019" s="795">
        <f t="shared" si="131"/>
        <v>0.43427898879474114</v>
      </c>
      <c r="G1019" s="794">
        <v>0.87</v>
      </c>
      <c r="H1019" s="785" t="s">
        <v>192</v>
      </c>
      <c r="I1019" s="542">
        <f t="shared" si="132"/>
        <v>-4790.0300000000152</v>
      </c>
      <c r="J1019" s="1098">
        <v>43391</v>
      </c>
      <c r="K1019" s="1064">
        <f ca="1">J1019-TODAY()</f>
        <v>-1781</v>
      </c>
      <c r="L1019" t="s">
        <v>74</v>
      </c>
      <c r="N1019" s="7">
        <f>"5/1/2019"+90</f>
        <v>43676</v>
      </c>
      <c r="O1019" s="1086">
        <f ca="1">N1019-TODAY()</f>
        <v>-1496</v>
      </c>
    </row>
    <row r="1020" spans="1:15" hidden="1" outlineLevel="1" x14ac:dyDescent="0.35">
      <c r="A1020" s="859" t="s">
        <v>208</v>
      </c>
      <c r="B1020" s="860">
        <v>150</v>
      </c>
      <c r="C1020" s="897">
        <v>327.5</v>
      </c>
      <c r="D1020" s="862">
        <f t="shared" si="129"/>
        <v>49125</v>
      </c>
      <c r="E1020" s="1077">
        <f t="shared" si="130"/>
        <v>-7.2526974597151059E-2</v>
      </c>
      <c r="F1020" s="795">
        <f t="shared" si="131"/>
        <v>0.13972094866715773</v>
      </c>
      <c r="G1020" s="794">
        <v>1.75</v>
      </c>
      <c r="H1020" s="785" t="s">
        <v>192</v>
      </c>
      <c r="I1020" s="542">
        <f t="shared" si="132"/>
        <v>-3841.5000000000018</v>
      </c>
      <c r="J1020" s="1099">
        <v>43397</v>
      </c>
      <c r="K1020" s="1064">
        <f ca="1">J1020-TODAY()</f>
        <v>-1775</v>
      </c>
      <c r="N1020" s="7">
        <f>"4/30/2019"+90</f>
        <v>43675</v>
      </c>
      <c r="O1020" s="1086">
        <f ca="1">N1020-TODAY()</f>
        <v>-1497</v>
      </c>
    </row>
    <row r="1021" spans="1:15" hidden="1" outlineLevel="1" x14ac:dyDescent="0.35">
      <c r="A1021" s="879" t="s">
        <v>49</v>
      </c>
      <c r="B1021" s="880">
        <v>111.93</v>
      </c>
      <c r="C1021" s="902">
        <v>246.54</v>
      </c>
      <c r="D1021" s="882">
        <f t="shared" si="129"/>
        <v>27595.2222</v>
      </c>
      <c r="E1021" s="1102">
        <f t="shared" si="130"/>
        <v>-8.6415178240569254E-2</v>
      </c>
      <c r="F1021" s="795">
        <f t="shared" si="131"/>
        <v>7.8486119581984967E-2</v>
      </c>
      <c r="G1021" s="794">
        <v>1.39</v>
      </c>
      <c r="H1021" s="785" t="s">
        <v>192</v>
      </c>
      <c r="I1021" s="542">
        <f t="shared" si="132"/>
        <v>-2610.2076000000025</v>
      </c>
      <c r="J1021" s="1098">
        <v>43416</v>
      </c>
      <c r="K1021" s="1064">
        <f ca="1">J1021-TODAY()</f>
        <v>-1756</v>
      </c>
      <c r="N1021" s="7"/>
      <c r="O1021" s="1086"/>
    </row>
    <row r="1022" spans="1:15" hidden="1" outlineLevel="1" x14ac:dyDescent="0.35">
      <c r="A1022" s="859" t="s">
        <v>215</v>
      </c>
      <c r="B1022" s="860">
        <v>244</v>
      </c>
      <c r="C1022" s="897">
        <v>19.649999999999999</v>
      </c>
      <c r="D1022" s="862">
        <f t="shared" si="129"/>
        <v>4794.5999999999995</v>
      </c>
      <c r="E1022" s="1077">
        <f t="shared" si="130"/>
        <v>-7.5757575757576835E-3</v>
      </c>
      <c r="F1022" s="795">
        <f t="shared" si="131"/>
        <v>1.3636764589914594E-2</v>
      </c>
      <c r="G1022" s="794">
        <v>1.41</v>
      </c>
      <c r="H1022" s="785" t="s">
        <v>216</v>
      </c>
      <c r="I1022" s="542">
        <f t="shared" si="132"/>
        <v>-36.60000000000052</v>
      </c>
      <c r="J1022" s="1100">
        <v>43411</v>
      </c>
      <c r="K1022" s="1066">
        <f ca="1">J1022-TODAY()</f>
        <v>-1761</v>
      </c>
      <c r="N1022" s="7"/>
      <c r="O1022" s="1086"/>
    </row>
    <row r="1023" spans="1:15" hidden="1" outlineLevel="1" x14ac:dyDescent="0.35">
      <c r="A1023" s="879" t="s">
        <v>135</v>
      </c>
      <c r="B1023" s="880">
        <v>5.94</v>
      </c>
      <c r="C1023" s="902">
        <v>143.61000000000001</v>
      </c>
      <c r="D1023" s="882">
        <f t="shared" si="129"/>
        <v>853.04340000000013</v>
      </c>
      <c r="E1023" s="883">
        <f t="shared" si="130"/>
        <v>-2.9006085192697713E-2</v>
      </c>
      <c r="F1023" s="795">
        <f t="shared" si="131"/>
        <v>2.4262195033538467E-3</v>
      </c>
      <c r="G1023" s="794">
        <v>1.69</v>
      </c>
      <c r="H1023" s="785" t="s">
        <v>192</v>
      </c>
      <c r="I1023" s="542">
        <f t="shared" si="132"/>
        <v>-25.482599999999955</v>
      </c>
      <c r="N1023" s="7">
        <v>43669</v>
      </c>
      <c r="O1023" s="1086">
        <f ca="1">N1023-TODAY()</f>
        <v>-1503</v>
      </c>
    </row>
    <row r="1024" spans="1:15" ht="16" hidden="1" outlineLevel="1" thickBot="1" x14ac:dyDescent="0.4">
      <c r="A1024" s="859" t="s">
        <v>7</v>
      </c>
      <c r="B1024" s="860"/>
      <c r="C1024" s="897"/>
      <c r="D1024" s="862">
        <v>1675.89</v>
      </c>
      <c r="E1024" s="1077"/>
      <c r="F1024" s="1101"/>
      <c r="G1024" s="1052"/>
      <c r="H1024" s="1107"/>
      <c r="I1024" s="592"/>
    </row>
    <row r="1025" spans="1:15" ht="16" hidden="1" outlineLevel="1" thickBot="1" x14ac:dyDescent="0.4">
      <c r="A1025" s="879" t="s">
        <v>60</v>
      </c>
      <c r="B1025" s="880"/>
      <c r="C1025" s="902"/>
      <c r="D1025" s="882">
        <f>88.59+9.95</f>
        <v>98.54</v>
      </c>
      <c r="E1025" s="883"/>
      <c r="F1025" s="665"/>
      <c r="I1025" s="592">
        <f>SUM(I1018:I1024)</f>
        <v>-19809.570200000024</v>
      </c>
    </row>
    <row r="1026" spans="1:15" ht="19" hidden="1" outlineLevel="1" thickBot="1" x14ac:dyDescent="0.5">
      <c r="A1026" s="726" t="s">
        <v>62</v>
      </c>
      <c r="B1026" s="583"/>
      <c r="C1026" s="584"/>
      <c r="D1026" s="585">
        <f>SUM(D1018:D1025)</f>
        <v>342646.5356</v>
      </c>
      <c r="E1026" s="771">
        <f>D1026-D1013</f>
        <v>-19851.200200000021</v>
      </c>
      <c r="F1026" s="907">
        <f>(D1026-D1013)/D1013</f>
        <v>-5.4762273635144784E-2</v>
      </c>
      <c r="G1026" s="574">
        <f>E1026+E1013</f>
        <v>-42737.612199999974</v>
      </c>
      <c r="H1026" s="1043"/>
      <c r="I1026" s="148"/>
    </row>
    <row r="1027" spans="1:15" hidden="1" outlineLevel="1" x14ac:dyDescent="0.35"/>
    <row r="1028" spans="1:15" hidden="1" outlineLevel="1" x14ac:dyDescent="0.35">
      <c r="A1028" s="701" t="s">
        <v>25</v>
      </c>
      <c r="B1028" s="702" t="s">
        <v>26</v>
      </c>
      <c r="C1028" s="703" t="s">
        <v>27</v>
      </c>
      <c r="D1028" s="704">
        <f>D1015+7</f>
        <v>43392</v>
      </c>
      <c r="E1028" s="705" t="s">
        <v>28</v>
      </c>
      <c r="F1028" s="511"/>
      <c r="G1028" s="252"/>
      <c r="H1028" s="253"/>
    </row>
    <row r="1029" spans="1:15" hidden="1" outlineLevel="1" x14ac:dyDescent="0.35">
      <c r="A1029" s="706" t="s">
        <v>32</v>
      </c>
      <c r="B1029" s="255" t="str">
        <f ca="1">TEXT(TODAY(),"ddd")</f>
        <v>Sun</v>
      </c>
      <c r="C1029" s="256">
        <v>25444</v>
      </c>
      <c r="D1029" s="322">
        <f>C1029-C1016</f>
        <v>105</v>
      </c>
      <c r="E1029" s="707"/>
      <c r="F1029" s="1094"/>
      <c r="G1029" s="801"/>
      <c r="H1029" s="685"/>
    </row>
    <row r="1030" spans="1:15" ht="19" hidden="1" outlineLevel="1" thickBot="1" x14ac:dyDescent="0.5">
      <c r="A1030" s="709" t="s">
        <v>36</v>
      </c>
      <c r="B1030" s="263"/>
      <c r="C1030" s="419">
        <v>7449</v>
      </c>
      <c r="D1030" s="1067">
        <f>C1030-C1017</f>
        <v>-47</v>
      </c>
      <c r="E1030" s="1068">
        <f>(C1030-C1017)/C1017</f>
        <v>-6.270010672358591E-3</v>
      </c>
      <c r="F1030" s="617" t="s">
        <v>37</v>
      </c>
      <c r="G1030" s="783" t="s">
        <v>143</v>
      </c>
      <c r="H1030" s="784" t="s">
        <v>144</v>
      </c>
      <c r="J1030" s="1031" t="s">
        <v>43</v>
      </c>
      <c r="K1030" s="1032" t="s">
        <v>198</v>
      </c>
      <c r="N1030" s="1031" t="s">
        <v>43</v>
      </c>
      <c r="O1030" s="1032" t="s">
        <v>198</v>
      </c>
    </row>
    <row r="1031" spans="1:15" hidden="1" outlineLevel="1" x14ac:dyDescent="0.35">
      <c r="A1031" s="859" t="s">
        <v>137</v>
      </c>
      <c r="B1031" s="860">
        <v>275</v>
      </c>
      <c r="C1031" s="897">
        <v>362.42</v>
      </c>
      <c r="D1031" s="862">
        <f t="shared" ref="D1031:D1036" si="133">C1031*B1031</f>
        <v>99665.5</v>
      </c>
      <c r="E1031" s="1077">
        <f t="shared" ref="E1031:E1036" si="134">(C1031-C1018)/C1018</f>
        <v>-5.8111128437028842E-2</v>
      </c>
      <c r="F1031" s="793">
        <f t="shared" ref="F1031:F1036" si="135">D1031/D$903</f>
        <v>0.28346785159056709</v>
      </c>
      <c r="G1031" s="794">
        <v>0.59</v>
      </c>
      <c r="H1031" s="785" t="s">
        <v>145</v>
      </c>
      <c r="I1031" s="1051">
        <f t="shared" ref="I1031:I1036" si="136">(C1031-C1018)*B1018</f>
        <v>-6148.9999999999882</v>
      </c>
      <c r="J1031" s="1096">
        <v>43405</v>
      </c>
      <c r="K1031" s="1097">
        <f ca="1">J1031-TODAY()</f>
        <v>-1767</v>
      </c>
      <c r="L1031" t="s">
        <v>211</v>
      </c>
      <c r="M1031" s="1108" t="str">
        <f>TEXT(J1031,"DDD")</f>
        <v>Thu</v>
      </c>
      <c r="N1031" s="7">
        <f>"5/16/2019"+90</f>
        <v>43691</v>
      </c>
      <c r="O1031" s="1086">
        <f ca="1">N1031-TODAY()</f>
        <v>-1481</v>
      </c>
    </row>
    <row r="1032" spans="1:15" hidden="1" outlineLevel="1" x14ac:dyDescent="0.35">
      <c r="A1032" s="879" t="s">
        <v>96</v>
      </c>
      <c r="B1032" s="880">
        <v>287</v>
      </c>
      <c r="C1032" s="902">
        <v>504.26</v>
      </c>
      <c r="D1032" s="882">
        <f t="shared" si="133"/>
        <v>144722.62</v>
      </c>
      <c r="E1032" s="883">
        <f t="shared" si="134"/>
        <v>-5.2178489530468761E-2</v>
      </c>
      <c r="F1032" s="795">
        <f t="shared" si="135"/>
        <v>0.41161896712461221</v>
      </c>
      <c r="G1032" s="794">
        <v>0.87</v>
      </c>
      <c r="H1032" s="785" t="s">
        <v>192</v>
      </c>
      <c r="I1032" s="542">
        <f t="shared" si="136"/>
        <v>-7967.1199999999972</v>
      </c>
      <c r="J1032" s="1098">
        <v>43391</v>
      </c>
      <c r="K1032" s="1064">
        <f ca="1">J1032-TODAY()</f>
        <v>-1781</v>
      </c>
      <c r="L1032" t="s">
        <v>74</v>
      </c>
      <c r="M1032" s="1109" t="str">
        <f>TEXT(J1032,"ddd")</f>
        <v>Thu</v>
      </c>
      <c r="N1032" s="7">
        <f>"4/24/2019"+90</f>
        <v>43669</v>
      </c>
      <c r="O1032" s="1086">
        <f ca="1">N1032-TODAY()</f>
        <v>-1503</v>
      </c>
    </row>
    <row r="1033" spans="1:15" hidden="1" outlineLevel="1" x14ac:dyDescent="0.35">
      <c r="A1033" s="859" t="s">
        <v>208</v>
      </c>
      <c r="B1033" s="860">
        <v>150</v>
      </c>
      <c r="C1033" s="897">
        <v>312.79000000000002</v>
      </c>
      <c r="D1033" s="862">
        <f t="shared" si="133"/>
        <v>46918.5</v>
      </c>
      <c r="E1033" s="1077">
        <f t="shared" si="134"/>
        <v>-4.491603053435108E-2</v>
      </c>
      <c r="F1033" s="795">
        <f t="shared" si="135"/>
        <v>0.13344523827053517</v>
      </c>
      <c r="G1033" s="794">
        <v>1.75</v>
      </c>
      <c r="H1033" s="785" t="s">
        <v>192</v>
      </c>
      <c r="I1033" s="542">
        <f t="shared" si="136"/>
        <v>-2206.4999999999968</v>
      </c>
      <c r="J1033" s="1098">
        <v>43397</v>
      </c>
      <c r="K1033" s="1064">
        <f ca="1">J1033-TODAY()</f>
        <v>-1775</v>
      </c>
      <c r="L1033" t="s">
        <v>74</v>
      </c>
      <c r="M1033" s="1109" t="str">
        <f>TEXT(J1033,"ddd")</f>
        <v>Wed</v>
      </c>
      <c r="N1033" s="7">
        <v>43669</v>
      </c>
      <c r="O1033" s="1086">
        <f ca="1">N1033-TODAY()</f>
        <v>-1503</v>
      </c>
    </row>
    <row r="1034" spans="1:15" hidden="1" outlineLevel="1" x14ac:dyDescent="0.35">
      <c r="A1034" s="879" t="s">
        <v>49</v>
      </c>
      <c r="B1034" s="880">
        <v>111.92700000000001</v>
      </c>
      <c r="C1034" s="902">
        <v>229.17</v>
      </c>
      <c r="D1034" s="882">
        <f t="shared" si="133"/>
        <v>25650.310590000001</v>
      </c>
      <c r="E1034" s="1102">
        <f t="shared" si="134"/>
        <v>-7.0455098564127544E-2</v>
      </c>
      <c r="F1034" s="795">
        <f t="shared" si="135"/>
        <v>7.2954416880245135E-2</v>
      </c>
      <c r="G1034" s="794">
        <v>1.39</v>
      </c>
      <c r="H1034" s="785" t="s">
        <v>192</v>
      </c>
      <c r="I1034" s="542">
        <f t="shared" si="136"/>
        <v>-1944.2241000000006</v>
      </c>
      <c r="J1034" s="1098">
        <v>43422</v>
      </c>
      <c r="K1034" s="1064">
        <f ca="1">J1034-TODAY()</f>
        <v>-1750</v>
      </c>
      <c r="M1034" s="1109" t="str">
        <f>TEXT(J1034,"ddd")</f>
        <v>Sun</v>
      </c>
      <c r="N1034" s="7">
        <f>"4/30/2019"+90</f>
        <v>43675</v>
      </c>
      <c r="O1034" s="1086">
        <f ca="1">N1034-TODAY()</f>
        <v>-1497</v>
      </c>
    </row>
    <row r="1035" spans="1:15" ht="16" hidden="1" outlineLevel="1" thickBot="1" x14ac:dyDescent="0.4">
      <c r="A1035" s="859" t="s">
        <v>215</v>
      </c>
      <c r="B1035" s="860">
        <v>244</v>
      </c>
      <c r="C1035" s="897">
        <v>19.71</v>
      </c>
      <c r="D1035" s="862">
        <f t="shared" si="133"/>
        <v>4809.24</v>
      </c>
      <c r="E1035" s="1069">
        <f t="shared" si="134"/>
        <v>3.0534351145039326E-3</v>
      </c>
      <c r="F1035" s="795">
        <f t="shared" si="135"/>
        <v>1.3678403565761662E-2</v>
      </c>
      <c r="G1035" s="794">
        <v>1.41</v>
      </c>
      <c r="H1035" s="785" t="s">
        <v>192</v>
      </c>
      <c r="I1035" s="399">
        <f t="shared" si="136"/>
        <v>14.640000000000555</v>
      </c>
      <c r="J1035" s="1100">
        <v>43411</v>
      </c>
      <c r="K1035" s="1066">
        <f ca="1">J1035-TODAY()</f>
        <v>-1761</v>
      </c>
      <c r="M1035" s="1110" t="str">
        <f>TEXT(J1035,"ddd")</f>
        <v>Wed</v>
      </c>
      <c r="N1035" s="7"/>
      <c r="O1035" s="1086"/>
    </row>
    <row r="1036" spans="1:15" hidden="1" outlineLevel="1" x14ac:dyDescent="0.35">
      <c r="A1036" s="879" t="s">
        <v>135</v>
      </c>
      <c r="B1036" s="880">
        <v>5.944</v>
      </c>
      <c r="C1036" s="902">
        <v>145.19999999999999</v>
      </c>
      <c r="D1036" s="882">
        <f t="shared" si="133"/>
        <v>863.0687999999999</v>
      </c>
      <c r="E1036" s="921">
        <f t="shared" si="134"/>
        <v>1.1071652391894539E-2</v>
      </c>
      <c r="F1036" s="795">
        <f t="shared" si="135"/>
        <v>2.4547336692320692E-3</v>
      </c>
      <c r="G1036" s="794">
        <v>1.69</v>
      </c>
      <c r="H1036" s="785"/>
      <c r="I1036" s="399">
        <f t="shared" si="136"/>
        <v>9.444599999999852</v>
      </c>
      <c r="N1036" s="7">
        <f>"5/1/2019"+90</f>
        <v>43676</v>
      </c>
      <c r="O1036" s="1086">
        <f ca="1">N1036-TODAY()</f>
        <v>-1496</v>
      </c>
    </row>
    <row r="1037" spans="1:15" ht="16" hidden="1" outlineLevel="1" thickBot="1" x14ac:dyDescent="0.4">
      <c r="A1037" s="859" t="s">
        <v>7</v>
      </c>
      <c r="B1037" s="860"/>
      <c r="C1037" s="897"/>
      <c r="D1037" s="862">
        <v>1681.18</v>
      </c>
      <c r="E1037" s="1069"/>
      <c r="F1037" s="1101">
        <f>D1037/D1039</f>
        <v>5.1822859737326449E-3</v>
      </c>
      <c r="G1037" s="1052"/>
      <c r="H1037" s="1107"/>
      <c r="I1037" s="786"/>
      <c r="N1037" s="7"/>
      <c r="O1037" s="1086"/>
    </row>
    <row r="1038" spans="1:15" ht="16" hidden="1" outlineLevel="1" thickBot="1" x14ac:dyDescent="0.4">
      <c r="A1038" s="879" t="s">
        <v>60</v>
      </c>
      <c r="B1038" s="880"/>
      <c r="C1038" s="902"/>
      <c r="D1038" s="882">
        <v>98.54</v>
      </c>
      <c r="E1038" s="921"/>
      <c r="F1038" s="665"/>
      <c r="I1038" s="592">
        <f>SUM(I1031:I1037)</f>
        <v>-18242.759499999982</v>
      </c>
      <c r="N1038" s="7">
        <f>"4/30/2019"+90</f>
        <v>43675</v>
      </c>
      <c r="O1038" s="1086">
        <f ca="1">N1038-TODAY()</f>
        <v>-1497</v>
      </c>
    </row>
    <row r="1039" spans="1:15" ht="19" hidden="1" outlineLevel="1" thickBot="1" x14ac:dyDescent="0.5">
      <c r="A1039" s="726" t="s">
        <v>62</v>
      </c>
      <c r="B1039" s="583"/>
      <c r="C1039" s="584"/>
      <c r="D1039" s="585">
        <f>SUM(D1031:D1038)</f>
        <v>324408.95938999997</v>
      </c>
      <c r="E1039" s="771">
        <f>D1039-D1026</f>
        <v>-18237.576210000028</v>
      </c>
      <c r="F1039" s="907">
        <f>(D1039-D1026)/D1026</f>
        <v>-5.322562557962144E-2</v>
      </c>
      <c r="G1039" s="574"/>
      <c r="H1039" s="1043"/>
      <c r="I1039" s="148"/>
      <c r="N1039" s="7">
        <v>43669</v>
      </c>
      <c r="O1039" s="1086">
        <f ca="1">N1039-TODAY()</f>
        <v>-1503</v>
      </c>
    </row>
    <row r="1040" spans="1:15" hidden="1" outlineLevel="1" x14ac:dyDescent="0.35"/>
    <row r="1041" spans="1:15" hidden="1" outlineLevel="1" x14ac:dyDescent="0.35">
      <c r="A1041" s="701" t="s">
        <v>25</v>
      </c>
      <c r="B1041" s="702" t="s">
        <v>26</v>
      </c>
      <c r="C1041" s="703" t="s">
        <v>27</v>
      </c>
      <c r="D1041" s="704">
        <f>D1028+7</f>
        <v>43399</v>
      </c>
      <c r="E1041" s="705" t="s">
        <v>28</v>
      </c>
      <c r="F1041" s="511" t="s">
        <v>217</v>
      </c>
      <c r="G1041" s="252"/>
      <c r="H1041" s="253"/>
    </row>
    <row r="1042" spans="1:15" hidden="1" outlineLevel="1" x14ac:dyDescent="0.35">
      <c r="A1042" s="706" t="s">
        <v>32</v>
      </c>
      <c r="B1042" s="255" t="str">
        <f ca="1">TEXT(TODAY(),"ddd")</f>
        <v>Sun</v>
      </c>
      <c r="C1042" s="256">
        <v>24688.31</v>
      </c>
      <c r="D1042" s="257">
        <f>C1042-C1029</f>
        <v>-755.68999999999869</v>
      </c>
      <c r="E1042" s="707"/>
      <c r="F1042" s="1094"/>
      <c r="G1042" s="801"/>
      <c r="H1042" s="685"/>
    </row>
    <row r="1043" spans="1:15" ht="19" hidden="1" outlineLevel="1" thickBot="1" x14ac:dyDescent="0.5">
      <c r="A1043" s="709" t="s">
        <v>36</v>
      </c>
      <c r="B1043" s="263"/>
      <c r="C1043" s="419">
        <v>7167.21</v>
      </c>
      <c r="D1043" s="1067">
        <f>C1043-C1030</f>
        <v>-281.78999999999996</v>
      </c>
      <c r="E1043" s="1068">
        <f>(C1043-C1030)/C1030</f>
        <v>-3.7829238824003214E-2</v>
      </c>
      <c r="F1043" s="617" t="s">
        <v>37</v>
      </c>
      <c r="G1043" s="783" t="s">
        <v>143</v>
      </c>
      <c r="H1043" s="784" t="s">
        <v>144</v>
      </c>
      <c r="J1043" s="1031" t="s">
        <v>43</v>
      </c>
      <c r="K1043" s="1032" t="s">
        <v>198</v>
      </c>
    </row>
    <row r="1044" spans="1:15" hidden="1" outlineLevel="1" x14ac:dyDescent="0.35">
      <c r="A1044" s="859" t="s">
        <v>137</v>
      </c>
      <c r="B1044" s="860">
        <v>275</v>
      </c>
      <c r="C1044" s="897">
        <v>330.35</v>
      </c>
      <c r="D1044" s="862">
        <f t="shared" ref="D1044:D1049" si="137">C1044*B1044</f>
        <v>90846.25</v>
      </c>
      <c r="E1044" s="1077">
        <f t="shared" ref="E1044:E1049" si="138">(C1044-C1031)/C1031</f>
        <v>-8.8488494012471691E-2</v>
      </c>
      <c r="F1044" s="793">
        <f t="shared" ref="F1044:F1049" si="139">D1044/D$903</f>
        <v>0.25838420830236697</v>
      </c>
      <c r="G1044" s="794">
        <v>0.59</v>
      </c>
      <c r="H1044" s="785" t="s">
        <v>192</v>
      </c>
      <c r="I1044" s="1051">
        <f t="shared" ref="I1044:I1049" si="140">(C1044-C1031)*B1031</f>
        <v>-8819.2499999999982</v>
      </c>
      <c r="J1044" s="1096">
        <v>43405</v>
      </c>
      <c r="K1044" s="1097">
        <f ca="1">J1044-TODAY()</f>
        <v>-1767</v>
      </c>
      <c r="L1044" t="s">
        <v>211</v>
      </c>
      <c r="M1044" s="1108" t="str">
        <f>TEXT(J1044,"DDD")</f>
        <v>Thu</v>
      </c>
    </row>
    <row r="1045" spans="1:15" hidden="1" outlineLevel="1" x14ac:dyDescent="0.35">
      <c r="A1045" s="879" t="s">
        <v>96</v>
      </c>
      <c r="B1045" s="880">
        <v>287</v>
      </c>
      <c r="C1045" s="902">
        <v>486.89</v>
      </c>
      <c r="D1045" s="882">
        <f t="shared" si="137"/>
        <v>139737.43</v>
      </c>
      <c r="E1045" s="883">
        <f t="shared" si="138"/>
        <v>-3.4446515686352291E-2</v>
      </c>
      <c r="F1045" s="795">
        <f t="shared" si="139"/>
        <v>0.39744012791675409</v>
      </c>
      <c r="G1045" s="794">
        <v>0.87</v>
      </c>
      <c r="H1045" s="785" t="s">
        <v>192</v>
      </c>
      <c r="I1045" s="542">
        <f t="shared" si="140"/>
        <v>-4985.1900000000014</v>
      </c>
      <c r="J1045" s="1098">
        <v>43391</v>
      </c>
      <c r="K1045" s="1064">
        <f ca="1">J1045-TODAY()</f>
        <v>-1781</v>
      </c>
      <c r="L1045" t="s">
        <v>74</v>
      </c>
      <c r="M1045" s="1109" t="str">
        <f>TEXT(J1045,"ddd")</f>
        <v>Thu</v>
      </c>
    </row>
    <row r="1046" spans="1:15" hidden="1" outlineLevel="1" x14ac:dyDescent="0.35">
      <c r="A1046" s="859" t="s">
        <v>208</v>
      </c>
      <c r="B1046" s="860">
        <v>150</v>
      </c>
      <c r="C1046" s="897">
        <v>230.13</v>
      </c>
      <c r="D1046" s="862">
        <f t="shared" si="137"/>
        <v>34519.5</v>
      </c>
      <c r="E1046" s="1077">
        <f t="shared" si="138"/>
        <v>-0.26426676044630587</v>
      </c>
      <c r="F1046" s="795">
        <f t="shared" si="139"/>
        <v>9.8180097455795451E-2</v>
      </c>
      <c r="G1046" s="794">
        <v>1.75</v>
      </c>
      <c r="H1046" s="785" t="s">
        <v>192</v>
      </c>
      <c r="I1046" s="542">
        <f t="shared" si="140"/>
        <v>-12399.000000000004</v>
      </c>
      <c r="J1046" s="1111">
        <v>43397</v>
      </c>
      <c r="K1046" s="1064">
        <f ca="1">J1046-TODAY()</f>
        <v>-1775</v>
      </c>
      <c r="L1046" t="s">
        <v>74</v>
      </c>
      <c r="M1046" s="1109" t="str">
        <f>TEXT(J1046,"ddd")</f>
        <v>Wed</v>
      </c>
      <c r="N1046" s="1031" t="s">
        <v>43</v>
      </c>
      <c r="O1046" s="1032" t="s">
        <v>198</v>
      </c>
    </row>
    <row r="1047" spans="1:15" hidden="1" outlineLevel="1" x14ac:dyDescent="0.35">
      <c r="A1047" s="879" t="s">
        <v>49</v>
      </c>
      <c r="B1047" s="880">
        <v>111.93</v>
      </c>
      <c r="C1047" s="902">
        <v>198.29</v>
      </c>
      <c r="D1047" s="882">
        <f t="shared" si="137"/>
        <v>22194.599699999999</v>
      </c>
      <c r="E1047" s="1102">
        <f t="shared" si="138"/>
        <v>-0.13474713095082252</v>
      </c>
      <c r="F1047" s="795">
        <f t="shared" si="139"/>
        <v>6.3125710440138719E-2</v>
      </c>
      <c r="G1047" s="794">
        <v>1.39</v>
      </c>
      <c r="H1047" s="785" t="s">
        <v>192</v>
      </c>
      <c r="I1047" s="542">
        <f t="shared" si="140"/>
        <v>-3456.3057599999997</v>
      </c>
      <c r="J1047" s="1098">
        <v>43422</v>
      </c>
      <c r="K1047" s="1064">
        <f ca="1">J1047-TODAY()</f>
        <v>-1750</v>
      </c>
      <c r="M1047" s="1109" t="str">
        <f>TEXT(J1047,"ddd")</f>
        <v>Sun</v>
      </c>
      <c r="N1047" s="7">
        <f>"4/24/2019"+90</f>
        <v>43669</v>
      </c>
      <c r="O1047" s="1086">
        <f t="shared" ref="O1047:O1053" ca="1" si="141">N1047-TODAY()</f>
        <v>-1503</v>
      </c>
    </row>
    <row r="1048" spans="1:15" ht="16" hidden="1" outlineLevel="1" thickBot="1" x14ac:dyDescent="0.4">
      <c r="A1048" s="859" t="s">
        <v>215</v>
      </c>
      <c r="B1048" s="860">
        <v>744</v>
      </c>
      <c r="C1048" s="897">
        <v>21.96</v>
      </c>
      <c r="D1048" s="862">
        <f t="shared" si="137"/>
        <v>16338.24</v>
      </c>
      <c r="E1048" s="1077">
        <f t="shared" si="138"/>
        <v>0.11415525114155251</v>
      </c>
      <c r="F1048" s="795">
        <f t="shared" si="139"/>
        <v>4.6469097045327291E-2</v>
      </c>
      <c r="G1048" s="794">
        <v>1.41</v>
      </c>
      <c r="H1048" s="785" t="s">
        <v>192</v>
      </c>
      <c r="I1048" s="542">
        <f t="shared" si="140"/>
        <v>549</v>
      </c>
      <c r="J1048" s="1100">
        <v>43411</v>
      </c>
      <c r="K1048" s="1066">
        <f ca="1">J1048-TODAY()</f>
        <v>-1761</v>
      </c>
      <c r="M1048" s="1110" t="str">
        <f>TEXT(J1048,"ddd")</f>
        <v>Wed</v>
      </c>
      <c r="N1048" s="7">
        <v>43669</v>
      </c>
      <c r="O1048" s="1086">
        <f t="shared" ca="1" si="141"/>
        <v>-1503</v>
      </c>
    </row>
    <row r="1049" spans="1:15" hidden="1" outlineLevel="1" x14ac:dyDescent="0.35">
      <c r="A1049" s="879" t="s">
        <v>135</v>
      </c>
      <c r="B1049" s="880">
        <v>73.944000000000003</v>
      </c>
      <c r="C1049" s="902">
        <v>139.1</v>
      </c>
      <c r="D1049" s="882">
        <f t="shared" si="137"/>
        <v>10285.6104</v>
      </c>
      <c r="E1049" s="883">
        <f t="shared" si="138"/>
        <v>-4.2011019283746523E-2</v>
      </c>
      <c r="F1049" s="795">
        <f t="shared" si="139"/>
        <v>2.9254254304504502E-2</v>
      </c>
      <c r="G1049" s="794">
        <v>1.69</v>
      </c>
      <c r="H1049" s="785"/>
      <c r="I1049" s="542">
        <f t="shared" si="140"/>
        <v>-36.258399999999966</v>
      </c>
      <c r="N1049" s="7">
        <f>"6/7/2019"+90</f>
        <v>43713</v>
      </c>
      <c r="O1049" s="1086">
        <f t="shared" ca="1" si="141"/>
        <v>-1459</v>
      </c>
    </row>
    <row r="1050" spans="1:15" ht="16" hidden="1" outlineLevel="1" thickBot="1" x14ac:dyDescent="0.4">
      <c r="A1050" s="859" t="s">
        <v>7</v>
      </c>
      <c r="B1050" s="860"/>
      <c r="C1050" s="897"/>
      <c r="D1050" s="862">
        <v>1660.55</v>
      </c>
      <c r="E1050" s="1077"/>
      <c r="F1050" s="1101">
        <f>D1050/D1052</f>
        <v>5.2103243067346443E-3</v>
      </c>
      <c r="G1050" s="1052"/>
      <c r="H1050" s="1107"/>
      <c r="I1050" s="786"/>
      <c r="N1050" s="7">
        <f>"6/7/2019"+90</f>
        <v>43713</v>
      </c>
      <c r="O1050" s="1086">
        <f t="shared" ca="1" si="141"/>
        <v>-1459</v>
      </c>
    </row>
    <row r="1051" spans="1:15" ht="16" hidden="1" outlineLevel="1" thickBot="1" x14ac:dyDescent="0.4">
      <c r="A1051" s="879" t="s">
        <v>60</v>
      </c>
      <c r="B1051" s="880"/>
      <c r="C1051" s="902"/>
      <c r="D1051" s="882">
        <v>3121.59</v>
      </c>
      <c r="E1051" s="883"/>
      <c r="F1051" s="1112">
        <f>E1047+E1034+E1021+E1008+E1073+E109+E1090+E1106</f>
        <v>-0.6930057992828631</v>
      </c>
      <c r="G1051" s="1113">
        <f>(C995-C1106)/C1106</f>
        <v>0.93806896551724128</v>
      </c>
      <c r="I1051" s="592">
        <f>SUM(I1044:I1050)</f>
        <v>-29147.00416</v>
      </c>
      <c r="N1051" s="7">
        <f>"5/1/2019"+90</f>
        <v>43676</v>
      </c>
      <c r="O1051" s="1086">
        <f t="shared" ca="1" si="141"/>
        <v>-1496</v>
      </c>
    </row>
    <row r="1052" spans="1:15" ht="19" hidden="1" outlineLevel="1" thickBot="1" x14ac:dyDescent="0.5">
      <c r="A1052" s="726" t="s">
        <v>62</v>
      </c>
      <c r="B1052" s="583"/>
      <c r="C1052" s="584"/>
      <c r="D1052" s="585">
        <f>SUM(D1044:D1051)</f>
        <v>318703.77010000002</v>
      </c>
      <c r="E1052" s="771">
        <f>D1052-D1039</f>
        <v>-5705.1892899999511</v>
      </c>
      <c r="F1052" s="907">
        <f>(D1052-D1039)/D1039</f>
        <v>-1.7586410994097273E-2</v>
      </c>
      <c r="G1052" s="574">
        <f>281+(1*G1051)</f>
        <v>281.93806896551723</v>
      </c>
      <c r="H1052" s="1043"/>
      <c r="I1052" s="148"/>
      <c r="N1052" s="7">
        <f>"4/30/2019"+90</f>
        <v>43675</v>
      </c>
      <c r="O1052" s="1086">
        <f t="shared" ca="1" si="141"/>
        <v>-1497</v>
      </c>
    </row>
    <row r="1053" spans="1:15" hidden="1" outlineLevel="1" x14ac:dyDescent="0.35">
      <c r="N1053" s="7">
        <v>43669</v>
      </c>
      <c r="O1053" s="1086">
        <f t="shared" ca="1" si="141"/>
        <v>-1503</v>
      </c>
    </row>
    <row r="1054" spans="1:15" hidden="1" outlineLevel="1" x14ac:dyDescent="0.35">
      <c r="A1054" s="701" t="s">
        <v>25</v>
      </c>
      <c r="B1054" s="702" t="s">
        <v>26</v>
      </c>
      <c r="C1054" s="703" t="s">
        <v>27</v>
      </c>
      <c r="D1054" s="704">
        <f>D1041+7</f>
        <v>43406</v>
      </c>
      <c r="E1054" s="705" t="s">
        <v>28</v>
      </c>
      <c r="F1054" s="511"/>
      <c r="G1054" s="252"/>
      <c r="H1054" s="253"/>
    </row>
    <row r="1055" spans="1:15" hidden="1" outlineLevel="1" x14ac:dyDescent="0.35">
      <c r="A1055" s="706" t="s">
        <v>32</v>
      </c>
      <c r="B1055" s="255" t="str">
        <f ca="1">TEXT(TODAY(),"ddd")</f>
        <v>Sun</v>
      </c>
      <c r="C1055" s="256">
        <v>25270</v>
      </c>
      <c r="D1055" s="1114">
        <f>C1055-C1042</f>
        <v>581.68999999999869</v>
      </c>
      <c r="E1055" s="707"/>
      <c r="F1055" s="1094"/>
      <c r="G1055" s="801"/>
      <c r="H1055" s="685"/>
    </row>
    <row r="1056" spans="1:15" ht="19" hidden="1" outlineLevel="1" thickBot="1" x14ac:dyDescent="0.5">
      <c r="A1056" s="709" t="s">
        <v>36</v>
      </c>
      <c r="B1056" s="263"/>
      <c r="C1056" s="419">
        <v>7356</v>
      </c>
      <c r="D1056" s="1115">
        <f>C1056-C1043</f>
        <v>188.78999999999996</v>
      </c>
      <c r="E1056" s="1116">
        <f>(C1056-C1043)/C1043</f>
        <v>2.6340793697966148E-2</v>
      </c>
      <c r="F1056" s="617" t="s">
        <v>37</v>
      </c>
      <c r="G1056" s="783" t="s">
        <v>143</v>
      </c>
      <c r="H1056" s="784" t="s">
        <v>144</v>
      </c>
      <c r="J1056" s="1031" t="s">
        <v>43</v>
      </c>
      <c r="K1056" s="1032" t="s">
        <v>198</v>
      </c>
    </row>
    <row r="1057" spans="1:15" hidden="1" outlineLevel="1" x14ac:dyDescent="0.35">
      <c r="A1057" s="859" t="s">
        <v>137</v>
      </c>
      <c r="B1057" s="860">
        <v>275</v>
      </c>
      <c r="C1057" s="897">
        <v>384.13</v>
      </c>
      <c r="D1057" s="862">
        <f t="shared" ref="D1057:D1062" si="142">C1057*B1057</f>
        <v>105635.75</v>
      </c>
      <c r="E1057" s="1117">
        <f t="shared" ref="E1057:E1062" si="143">(C1057-C1044)/C1044</f>
        <v>0.1627970334493718</v>
      </c>
      <c r="F1057" s="793">
        <f t="shared" ref="F1057:F1062" si="144">D1057/D$903</f>
        <v>0.30044839090415687</v>
      </c>
      <c r="G1057" s="794">
        <v>0.59</v>
      </c>
      <c r="H1057" s="785" t="s">
        <v>145</v>
      </c>
      <c r="I1057" s="1118">
        <f t="shared" ref="I1057:I1062" si="145">(C1057-C1044)*B1044</f>
        <v>14789.499999999993</v>
      </c>
      <c r="J1057" s="1096">
        <v>43497</v>
      </c>
      <c r="K1057" s="1097">
        <f ca="1">J1057-TODAY()</f>
        <v>-1675</v>
      </c>
      <c r="L1057" t="s">
        <v>211</v>
      </c>
      <c r="M1057" s="1108" t="str">
        <f>TEXT(J1057,"DDD")</f>
        <v>Fri</v>
      </c>
    </row>
    <row r="1058" spans="1:15" hidden="1" outlineLevel="1" x14ac:dyDescent="0.35">
      <c r="A1058" s="879" t="s">
        <v>96</v>
      </c>
      <c r="B1058" s="880">
        <v>287</v>
      </c>
      <c r="C1058" s="902">
        <v>516.22</v>
      </c>
      <c r="D1058" s="882">
        <f t="shared" si="142"/>
        <v>148155.14000000001</v>
      </c>
      <c r="E1058" s="1119">
        <f t="shared" si="143"/>
        <v>6.0239479143133032E-2</v>
      </c>
      <c r="F1058" s="795">
        <f t="shared" si="144"/>
        <v>0.4213817142130396</v>
      </c>
      <c r="G1058" s="794">
        <v>0.87</v>
      </c>
      <c r="H1058" s="785" t="s">
        <v>192</v>
      </c>
      <c r="I1058" s="1120">
        <f t="shared" si="145"/>
        <v>8417.7100000000119</v>
      </c>
      <c r="J1058" s="1098">
        <v>43483</v>
      </c>
      <c r="K1058" s="1064">
        <f ca="1">J1058-TODAY()</f>
        <v>-1689</v>
      </c>
      <c r="L1058" t="s">
        <v>74</v>
      </c>
      <c r="M1058" s="1109" t="str">
        <f>TEXT(J1058,"ddd")</f>
        <v>Fri</v>
      </c>
    </row>
    <row r="1059" spans="1:15" hidden="1" outlineLevel="1" x14ac:dyDescent="0.35">
      <c r="A1059" s="859" t="s">
        <v>208</v>
      </c>
      <c r="B1059" s="860">
        <v>150</v>
      </c>
      <c r="C1059" s="897">
        <v>229.75</v>
      </c>
      <c r="D1059" s="862">
        <f t="shared" si="142"/>
        <v>34462.5</v>
      </c>
      <c r="E1059" s="1117">
        <f t="shared" si="143"/>
        <v>-1.6512406031373374E-3</v>
      </c>
      <c r="F1059" s="795">
        <f t="shared" si="144"/>
        <v>9.8017978492456456E-2</v>
      </c>
      <c r="G1059" s="794">
        <v>1.75</v>
      </c>
      <c r="H1059" s="785" t="s">
        <v>192</v>
      </c>
      <c r="I1059" s="1120">
        <f t="shared" si="145"/>
        <v>-56.999999999999318</v>
      </c>
      <c r="J1059" s="1111">
        <v>43489</v>
      </c>
      <c r="K1059" s="1064">
        <f ca="1">J1059-TODAY()</f>
        <v>-1683</v>
      </c>
      <c r="L1059" t="s">
        <v>74</v>
      </c>
      <c r="M1059" s="1109" t="str">
        <f>TEXT(J1059,"ddd")</f>
        <v>Thu</v>
      </c>
    </row>
    <row r="1060" spans="1:15" hidden="1" outlineLevel="1" x14ac:dyDescent="0.35">
      <c r="A1060" s="879" t="s">
        <v>49</v>
      </c>
      <c r="B1060" s="880">
        <v>111.93</v>
      </c>
      <c r="C1060" s="902">
        <v>214.91</v>
      </c>
      <c r="D1060" s="882">
        <f t="shared" si="142"/>
        <v>24054.8763</v>
      </c>
      <c r="E1060" s="1119">
        <f t="shared" si="143"/>
        <v>8.3816632205355818E-2</v>
      </c>
      <c r="F1060" s="795">
        <f t="shared" si="144"/>
        <v>6.8416694894801608E-2</v>
      </c>
      <c r="G1060" s="794">
        <v>1.39</v>
      </c>
      <c r="H1060" s="785" t="s">
        <v>192</v>
      </c>
      <c r="I1060" s="1120">
        <f t="shared" si="145"/>
        <v>1860.2766000000006</v>
      </c>
      <c r="J1060" s="1098">
        <v>43422</v>
      </c>
      <c r="K1060" s="1064">
        <f ca="1">J1060-TODAY()</f>
        <v>-1750</v>
      </c>
      <c r="M1060" s="1109" t="str">
        <f>TEXT(J1060,"ddd")</f>
        <v>Sun</v>
      </c>
      <c r="N1060" s="1031" t="s">
        <v>43</v>
      </c>
      <c r="O1060" s="1032" t="s">
        <v>198</v>
      </c>
    </row>
    <row r="1061" spans="1:15" ht="16" hidden="1" outlineLevel="1" thickBot="1" x14ac:dyDescent="0.4">
      <c r="A1061" s="859" t="s">
        <v>215</v>
      </c>
      <c r="B1061" s="860">
        <v>744</v>
      </c>
      <c r="C1061" s="897">
        <v>22.87</v>
      </c>
      <c r="D1061" s="862">
        <f t="shared" si="142"/>
        <v>17015.280000000002</v>
      </c>
      <c r="E1061" s="1117">
        <f t="shared" si="143"/>
        <v>4.1438979963570134E-2</v>
      </c>
      <c r="F1061" s="795">
        <f t="shared" si="144"/>
        <v>4.8394729026713809E-2</v>
      </c>
      <c r="G1061" s="794">
        <v>1.41</v>
      </c>
      <c r="H1061" s="785" t="s">
        <v>192</v>
      </c>
      <c r="I1061" s="1120">
        <f t="shared" si="145"/>
        <v>677.04000000000008</v>
      </c>
      <c r="J1061" s="1100">
        <v>43414</v>
      </c>
      <c r="K1061" s="1066">
        <f ca="1">J1061-TODAY()</f>
        <v>-1758</v>
      </c>
      <c r="M1061" s="1110" t="str">
        <f>TEXT(J1061,"ddd")</f>
        <v>Sat</v>
      </c>
      <c r="N1061" s="7">
        <f>"4/24/2019"+90</f>
        <v>43669</v>
      </c>
      <c r="O1061" s="1086">
        <f ca="1">N1061-TODAY()</f>
        <v>-1503</v>
      </c>
    </row>
    <row r="1062" spans="1:15" hidden="1" outlineLevel="1" x14ac:dyDescent="0.35">
      <c r="A1062" s="879" t="s">
        <v>135</v>
      </c>
      <c r="B1062" s="880">
        <v>73.944000000000003</v>
      </c>
      <c r="C1062" s="902">
        <v>151.51</v>
      </c>
      <c r="D1062" s="882">
        <f t="shared" si="142"/>
        <v>11203.255439999999</v>
      </c>
      <c r="E1062" s="1119">
        <f t="shared" si="143"/>
        <v>8.9216391085549948E-2</v>
      </c>
      <c r="F1062" s="795">
        <f t="shared" si="144"/>
        <v>3.1864213297451309E-2</v>
      </c>
      <c r="G1062" s="794">
        <v>1.69</v>
      </c>
      <c r="H1062" s="785"/>
      <c r="I1062" s="1120">
        <f t="shared" si="145"/>
        <v>917.64503999999977</v>
      </c>
      <c r="N1062" s="7">
        <v>43669</v>
      </c>
      <c r="O1062" s="1086">
        <f ca="1">N1062-TODAY()</f>
        <v>-1503</v>
      </c>
    </row>
    <row r="1063" spans="1:15" ht="16" hidden="1" outlineLevel="1" thickBot="1" x14ac:dyDescent="0.4">
      <c r="A1063" s="859" t="s">
        <v>7</v>
      </c>
      <c r="B1063" s="860"/>
      <c r="C1063" s="897"/>
      <c r="D1063" s="862">
        <v>1674.57</v>
      </c>
      <c r="E1063" s="1077"/>
      <c r="F1063" s="1101">
        <f>D1063/D1065</f>
        <v>4.8492754742824971E-3</v>
      </c>
      <c r="G1063" s="1052"/>
      <c r="H1063" s="1107"/>
      <c r="I1063" s="1121"/>
      <c r="N1063" s="7"/>
      <c r="O1063" s="1086"/>
    </row>
    <row r="1064" spans="1:15" ht="16" hidden="1" outlineLevel="1" thickBot="1" x14ac:dyDescent="0.4">
      <c r="A1064" s="879" t="s">
        <v>60</v>
      </c>
      <c r="B1064" s="880"/>
      <c r="C1064" s="902"/>
      <c r="D1064" s="882">
        <v>3122.38</v>
      </c>
      <c r="E1064" s="883"/>
      <c r="F1064" s="665"/>
      <c r="I1064" s="1121">
        <f>SUM(I1057:I1063)</f>
        <v>26605.171640000008</v>
      </c>
      <c r="N1064" s="7"/>
      <c r="O1064" s="1086"/>
    </row>
    <row r="1065" spans="1:15" ht="19" hidden="1" outlineLevel="1" thickBot="1" x14ac:dyDescent="0.5">
      <c r="A1065" s="726" t="s">
        <v>62</v>
      </c>
      <c r="B1065" s="583"/>
      <c r="C1065" s="584"/>
      <c r="D1065" s="585">
        <f>SUM(D1057:D1064)</f>
        <v>345323.75174000004</v>
      </c>
      <c r="E1065" s="1122">
        <f>D1065-D1052</f>
        <v>26619.981640000013</v>
      </c>
      <c r="F1065" s="1073">
        <f>(D1065-D1052)/D1052</f>
        <v>8.352578205035803E-2</v>
      </c>
      <c r="G1065" s="574"/>
      <c r="H1065" s="1043"/>
      <c r="I1065" s="148"/>
      <c r="N1065" s="7">
        <f>"5/1/2019"+90</f>
        <v>43676</v>
      </c>
      <c r="O1065" s="1086">
        <f ca="1">N1065-TODAY()</f>
        <v>-1496</v>
      </c>
    </row>
    <row r="1066" spans="1:15" hidden="1" outlineLevel="1" x14ac:dyDescent="0.35">
      <c r="N1066" s="7">
        <f>"4/30/2019"+90</f>
        <v>43675</v>
      </c>
      <c r="O1066" s="1086">
        <f ca="1">N1066-TODAY()</f>
        <v>-1497</v>
      </c>
    </row>
    <row r="1067" spans="1:15" hidden="1" outlineLevel="1" x14ac:dyDescent="0.35">
      <c r="A1067" s="701" t="s">
        <v>25</v>
      </c>
      <c r="B1067" s="702" t="s">
        <v>26</v>
      </c>
      <c r="C1067" s="703" t="s">
        <v>27</v>
      </c>
      <c r="D1067" s="704">
        <f>D1054+7</f>
        <v>43413</v>
      </c>
      <c r="E1067" s="705" t="s">
        <v>28</v>
      </c>
      <c r="F1067" s="511"/>
      <c r="G1067" s="252"/>
      <c r="H1067" s="253"/>
      <c r="N1067" s="7">
        <f>"4/30/2019"+90</f>
        <v>43675</v>
      </c>
      <c r="O1067" s="1086">
        <f ca="1">N1067-TODAY()</f>
        <v>-1497</v>
      </c>
    </row>
    <row r="1068" spans="1:15" hidden="1" outlineLevel="1" x14ac:dyDescent="0.35">
      <c r="A1068" s="706" t="s">
        <v>32</v>
      </c>
      <c r="B1068" s="255" t="str">
        <f ca="1">TEXT(TODAY(),"ddd")</f>
        <v>Sun</v>
      </c>
      <c r="C1068" s="256">
        <v>25989</v>
      </c>
      <c r="D1068" s="1114">
        <f>C1068-C1055</f>
        <v>719</v>
      </c>
      <c r="E1068" s="707"/>
      <c r="F1068" s="1094"/>
      <c r="G1068" s="801"/>
      <c r="H1068" s="685"/>
      <c r="N1068" s="7">
        <v>43669</v>
      </c>
      <c r="O1068" s="1086">
        <f ca="1">N1068-TODAY()</f>
        <v>-1503</v>
      </c>
    </row>
    <row r="1069" spans="1:15" ht="19" hidden="1" outlineLevel="1" thickBot="1" x14ac:dyDescent="0.5">
      <c r="A1069" s="709" t="s">
        <v>36</v>
      </c>
      <c r="B1069" s="263"/>
      <c r="C1069" s="419">
        <v>7406</v>
      </c>
      <c r="D1069" s="1115">
        <f>C1069-C1056</f>
        <v>50</v>
      </c>
      <c r="E1069" s="1116">
        <f>(C1069-C1056)/C1056</f>
        <v>6.797172376291463E-3</v>
      </c>
      <c r="F1069" s="617" t="s">
        <v>37</v>
      </c>
      <c r="G1069" s="783" t="s">
        <v>143</v>
      </c>
      <c r="H1069" s="784" t="s">
        <v>144</v>
      </c>
      <c r="J1069" s="1031" t="s">
        <v>43</v>
      </c>
      <c r="K1069" s="1032" t="s">
        <v>198</v>
      </c>
    </row>
    <row r="1070" spans="1:15" hidden="1" outlineLevel="1" x14ac:dyDescent="0.35">
      <c r="A1070" s="859" t="s">
        <v>137</v>
      </c>
      <c r="B1070" s="860">
        <v>275</v>
      </c>
      <c r="C1070" s="897">
        <v>405.17</v>
      </c>
      <c r="D1070" s="862">
        <f t="shared" ref="D1070:D1075" si="146">C1070*B1070</f>
        <v>111421.75</v>
      </c>
      <c r="E1070" s="1117">
        <f t="shared" ref="E1070:E1075" si="147">(C1070-C1057)/C1057</f>
        <v>5.4773123682086845E-2</v>
      </c>
      <c r="F1070" s="793">
        <f t="shared" ref="F1070:F1075" si="148">D1070/D$903</f>
        <v>0.31690488777923426</v>
      </c>
      <c r="G1070" s="794">
        <v>0.59</v>
      </c>
      <c r="H1070" s="785" t="s">
        <v>192</v>
      </c>
      <c r="I1070" s="1118">
        <f t="shared" ref="I1070:I1075" si="149">(C1070-C1057)*B1057</f>
        <v>5786.0000000000055</v>
      </c>
      <c r="J1070" s="1096">
        <v>43497</v>
      </c>
      <c r="K1070" s="1097">
        <f ca="1">J1070-TODAY()</f>
        <v>-1675</v>
      </c>
      <c r="L1070" t="s">
        <v>211</v>
      </c>
      <c r="M1070" s="1108" t="str">
        <f>TEXT(J1070,"DDD")</f>
        <v>Fri</v>
      </c>
    </row>
    <row r="1071" spans="1:15" hidden="1" outlineLevel="1" x14ac:dyDescent="0.35">
      <c r="A1071" s="879" t="s">
        <v>96</v>
      </c>
      <c r="B1071" s="880">
        <v>287</v>
      </c>
      <c r="C1071" s="902">
        <v>532.55999999999995</v>
      </c>
      <c r="D1071" s="882">
        <f t="shared" si="146"/>
        <v>152844.71999999997</v>
      </c>
      <c r="E1071" s="1119">
        <f t="shared" si="147"/>
        <v>3.1653171128588425E-2</v>
      </c>
      <c r="F1071" s="795">
        <f t="shared" si="148"/>
        <v>0.4347197817234828</v>
      </c>
      <c r="G1071" s="794">
        <v>0.87</v>
      </c>
      <c r="H1071" s="785" t="s">
        <v>192</v>
      </c>
      <c r="I1071" s="1120">
        <f t="shared" si="149"/>
        <v>4689.5799999999763</v>
      </c>
      <c r="J1071" s="1098">
        <v>43483</v>
      </c>
      <c r="K1071" s="1064">
        <f ca="1">J1071-TODAY()</f>
        <v>-1689</v>
      </c>
      <c r="L1071" t="s">
        <v>74</v>
      </c>
      <c r="M1071" s="1109" t="str">
        <f>TEXT(J1071,"ddd")</f>
        <v>Fri</v>
      </c>
    </row>
    <row r="1072" spans="1:15" hidden="1" outlineLevel="1" x14ac:dyDescent="0.35">
      <c r="A1072" s="859" t="s">
        <v>208</v>
      </c>
      <c r="B1072" s="860">
        <v>150</v>
      </c>
      <c r="C1072" s="897">
        <v>235.96</v>
      </c>
      <c r="D1072" s="862">
        <f t="shared" si="146"/>
        <v>35394</v>
      </c>
      <c r="E1072" s="1117">
        <f t="shared" si="147"/>
        <v>2.7029379760609394E-2</v>
      </c>
      <c r="F1072" s="795">
        <f t="shared" si="148"/>
        <v>0.10066734365649631</v>
      </c>
      <c r="G1072" s="794">
        <v>1.75</v>
      </c>
      <c r="H1072" s="785" t="s">
        <v>192</v>
      </c>
      <c r="I1072" s="1120">
        <f t="shared" si="149"/>
        <v>931.50000000000114</v>
      </c>
      <c r="J1072" s="1111">
        <v>43489</v>
      </c>
      <c r="K1072" s="1064">
        <f ca="1">J1072-TODAY()</f>
        <v>-1683</v>
      </c>
      <c r="L1072" t="s">
        <v>74</v>
      </c>
      <c r="M1072" s="1109" t="str">
        <f>TEXT(J1072,"ddd")</f>
        <v>Thu</v>
      </c>
    </row>
    <row r="1073" spans="1:15" hidden="1" outlineLevel="1" x14ac:dyDescent="0.35">
      <c r="A1073" s="879" t="s">
        <v>49</v>
      </c>
      <c r="B1073" s="880">
        <v>111.93</v>
      </c>
      <c r="C1073" s="902">
        <v>205.67</v>
      </c>
      <c r="D1073" s="882">
        <f t="shared" si="146"/>
        <v>23020.643100000001</v>
      </c>
      <c r="E1073" s="1102">
        <f t="shared" si="147"/>
        <v>-4.2994741985017029E-2</v>
      </c>
      <c r="F1073" s="795">
        <f t="shared" si="148"/>
        <v>6.5475136750331994E-2</v>
      </c>
      <c r="G1073" s="794">
        <v>1.39</v>
      </c>
      <c r="H1073" s="785" t="s">
        <v>192</v>
      </c>
      <c r="I1073" s="542">
        <f t="shared" si="149"/>
        <v>-1034.233200000001</v>
      </c>
      <c r="J1073" s="1098">
        <v>43422</v>
      </c>
      <c r="K1073" s="1064">
        <f ca="1">J1073-TODAY()</f>
        <v>-1750</v>
      </c>
      <c r="M1073" s="1109" t="str">
        <f>TEXT(J1073,"ddd")</f>
        <v>Sun</v>
      </c>
    </row>
    <row r="1074" spans="1:15" ht="16" hidden="1" outlineLevel="1" thickBot="1" x14ac:dyDescent="0.4">
      <c r="A1074" s="859" t="s">
        <v>215</v>
      </c>
      <c r="B1074" s="860">
        <v>444</v>
      </c>
      <c r="C1074" s="897">
        <v>21.05</v>
      </c>
      <c r="D1074" s="862">
        <f t="shared" si="146"/>
        <v>9346.2000000000007</v>
      </c>
      <c r="E1074" s="1077">
        <f t="shared" si="147"/>
        <v>-7.9580236117184094E-2</v>
      </c>
      <c r="F1074" s="795">
        <f t="shared" si="148"/>
        <v>2.6582390441384014E-2</v>
      </c>
      <c r="G1074" s="794">
        <v>1.41</v>
      </c>
      <c r="H1074" s="785" t="s">
        <v>192</v>
      </c>
      <c r="I1074" s="542">
        <f t="shared" si="149"/>
        <v>-1354.0800000000002</v>
      </c>
      <c r="J1074" s="1100">
        <v>43414</v>
      </c>
      <c r="K1074" s="1066">
        <f ca="1">J1074-TODAY()</f>
        <v>-1758</v>
      </c>
      <c r="M1074" s="1110" t="str">
        <f>TEXT(J1074,"ddd")</f>
        <v>Sat</v>
      </c>
    </row>
    <row r="1075" spans="1:15" hidden="1" outlineLevel="1" x14ac:dyDescent="0.35">
      <c r="A1075" s="879" t="s">
        <v>135</v>
      </c>
      <c r="B1075" s="880">
        <v>73.944000000000003</v>
      </c>
      <c r="C1075" s="902">
        <v>147.85</v>
      </c>
      <c r="D1075" s="882">
        <f t="shared" si="146"/>
        <v>10932.6204</v>
      </c>
      <c r="E1075" s="883">
        <f t="shared" si="147"/>
        <v>-2.4156821331925264E-2</v>
      </c>
      <c r="F1075" s="795">
        <f t="shared" si="148"/>
        <v>3.1094475189942419E-2</v>
      </c>
      <c r="G1075" s="794">
        <v>1.69</v>
      </c>
      <c r="H1075" s="785"/>
      <c r="I1075" s="542">
        <f t="shared" si="149"/>
        <v>-270.63503999999978</v>
      </c>
      <c r="N1075" s="1031" t="s">
        <v>43</v>
      </c>
      <c r="O1075" s="1032" t="s">
        <v>198</v>
      </c>
    </row>
    <row r="1076" spans="1:15" ht="16" hidden="1" outlineLevel="1" thickBot="1" x14ac:dyDescent="0.4">
      <c r="A1076" s="859" t="s">
        <v>7</v>
      </c>
      <c r="B1076" s="860"/>
      <c r="C1076" s="897"/>
      <c r="D1076" s="862">
        <v>1690.65</v>
      </c>
      <c r="E1076" s="1117"/>
      <c r="F1076" s="1101">
        <f>D1076/D1078</f>
        <v>4.7735027306156528E-3</v>
      </c>
      <c r="G1076" s="1052"/>
      <c r="H1076" s="1107"/>
      <c r="I1076" s="1121"/>
      <c r="N1076" s="7">
        <v>43669</v>
      </c>
      <c r="O1076" s="1086">
        <f ca="1">N1076-TODAY()</f>
        <v>-1503</v>
      </c>
    </row>
    <row r="1077" spans="1:15" ht="16" hidden="1" outlineLevel="1" thickBot="1" x14ac:dyDescent="0.4">
      <c r="A1077" s="879" t="s">
        <v>60</v>
      </c>
      <c r="B1077" s="880"/>
      <c r="C1077" s="902"/>
      <c r="D1077" s="882">
        <f>3122.38+6400.92</f>
        <v>9523.2999999999993</v>
      </c>
      <c r="E1077" s="1119"/>
      <c r="F1077" s="665"/>
      <c r="I1077" s="1121">
        <f>SUM(I1070:I1076)</f>
        <v>8748.1317599999838</v>
      </c>
      <c r="K1077" s="1123">
        <f>(405-316)/316</f>
        <v>0.28164556962025317</v>
      </c>
      <c r="N1077" s="7"/>
      <c r="O1077" s="1086"/>
    </row>
    <row r="1078" spans="1:15" ht="19" hidden="1" outlineLevel="1" thickBot="1" x14ac:dyDescent="0.5">
      <c r="A1078" s="726" t="s">
        <v>62</v>
      </c>
      <c r="B1078" s="583"/>
      <c r="C1078" s="584"/>
      <c r="D1078" s="585">
        <f>SUM(D1070:D1077)</f>
        <v>354173.8835</v>
      </c>
      <c r="E1078" s="1122">
        <f>D1078-D1065</f>
        <v>8850.1317599999602</v>
      </c>
      <c r="F1078" s="1073">
        <f>(D1078-D1065)/D1065</f>
        <v>2.5628505758455246E-2</v>
      </c>
      <c r="G1078" s="574"/>
      <c r="H1078" s="1043"/>
      <c r="I1078" s="148"/>
      <c r="J1078" s="118">
        <f>C1070 - (1+K1078)</f>
        <v>404.17</v>
      </c>
      <c r="N1078" s="7">
        <f>"4/24/2019"+90</f>
        <v>43669</v>
      </c>
      <c r="O1078" s="1086">
        <f ca="1">N1078-TODAY()</f>
        <v>-1503</v>
      </c>
    </row>
    <row r="1079" spans="1:15" hidden="1" outlineLevel="1" x14ac:dyDescent="0.35">
      <c r="N1079" s="7"/>
      <c r="O1079" s="1086"/>
    </row>
    <row r="1080" spans="1:15" hidden="1" outlineLevel="1" x14ac:dyDescent="0.35">
      <c r="A1080" s="701" t="s">
        <v>25</v>
      </c>
      <c r="B1080" s="702" t="s">
        <v>26</v>
      </c>
      <c r="C1080" s="703" t="s">
        <v>27</v>
      </c>
      <c r="D1080" s="1124">
        <f>D1067+7</f>
        <v>43420</v>
      </c>
      <c r="E1080" s="705" t="s">
        <v>28</v>
      </c>
      <c r="F1080" s="1125" t="s">
        <v>218</v>
      </c>
      <c r="G1080" s="252"/>
      <c r="H1080" s="253"/>
      <c r="N1080" s="7"/>
      <c r="O1080" s="1086"/>
    </row>
    <row r="1081" spans="1:15" hidden="1" outlineLevel="1" x14ac:dyDescent="0.35">
      <c r="A1081" s="706" t="s">
        <v>32</v>
      </c>
      <c r="B1081" s="255" t="str">
        <f ca="1">TEXT(TODAY(),"ddd")</f>
        <v>Sun</v>
      </c>
      <c r="C1081" s="256">
        <v>25457</v>
      </c>
      <c r="D1081" s="257">
        <f>C1081-C1068</f>
        <v>-532</v>
      </c>
      <c r="E1081" s="1126">
        <f>(C1081-C1068)/C1068</f>
        <v>-2.0470198930316673E-2</v>
      </c>
      <c r="F1081" s="1127" t="s">
        <v>219</v>
      </c>
      <c r="G1081" s="801"/>
      <c r="H1081" s="685"/>
      <c r="N1081" s="7">
        <f>"5/1/2019"+90</f>
        <v>43676</v>
      </c>
      <c r="O1081" s="1086">
        <f ca="1">N1081-TODAY()</f>
        <v>-1496</v>
      </c>
    </row>
    <row r="1082" spans="1:15" hidden="1" outlineLevel="1" x14ac:dyDescent="0.35">
      <c r="A1082" s="709" t="s">
        <v>36</v>
      </c>
      <c r="B1082" s="263"/>
      <c r="C1082" s="419">
        <v>7272</v>
      </c>
      <c r="D1082" s="264">
        <f>C1082-C1069</f>
        <v>-134</v>
      </c>
      <c r="E1082" s="1126">
        <f>(C1082-C1069)/C1069</f>
        <v>-1.8093437753173104E-2</v>
      </c>
      <c r="F1082" s="1128" t="s">
        <v>37</v>
      </c>
      <c r="G1082" s="1129" t="s">
        <v>38</v>
      </c>
      <c r="H1082" s="1130" t="s">
        <v>144</v>
      </c>
      <c r="J1082" s="3199" t="s">
        <v>220</v>
      </c>
      <c r="K1082" s="3200"/>
      <c r="L1082" s="3201"/>
      <c r="N1082" s="7">
        <f>"4/30/2019"+90</f>
        <v>43675</v>
      </c>
      <c r="O1082" s="1086">
        <f ca="1">N1082-TODAY()</f>
        <v>-1497</v>
      </c>
    </row>
    <row r="1083" spans="1:15" hidden="1" outlineLevel="1" x14ac:dyDescent="0.35">
      <c r="A1083" s="1087" t="s">
        <v>96</v>
      </c>
      <c r="B1083" s="1131">
        <v>262</v>
      </c>
      <c r="C1083" s="1132">
        <v>518.54</v>
      </c>
      <c r="D1083" s="1133">
        <f t="shared" ref="D1083:D1091" si="150">C1083*B1083</f>
        <v>135857.47999999998</v>
      </c>
      <c r="E1083" s="1134">
        <f>(C1083-C1071)/C1071</f>
        <v>-2.6325672224725823E-2</v>
      </c>
      <c r="F1083" s="1135">
        <f t="shared" ref="F1083:F1092" si="151">D1083/D$1094</f>
        <v>0.41859664747922304</v>
      </c>
      <c r="G1083" s="1136">
        <v>77.790000000000006</v>
      </c>
      <c r="H1083" s="1137" t="s">
        <v>146</v>
      </c>
      <c r="I1083" s="1138"/>
      <c r="J1083" s="1139"/>
      <c r="K1083" s="1140"/>
      <c r="L1083" s="1141"/>
      <c r="N1083" s="7">
        <f>"4/30/2019"+90</f>
        <v>43675</v>
      </c>
      <c r="O1083" s="1086">
        <f ca="1">N1083-TODAY()</f>
        <v>-1497</v>
      </c>
    </row>
    <row r="1084" spans="1:15" hidden="1" outlineLevel="1" x14ac:dyDescent="0.35">
      <c r="A1084" s="7" t="s">
        <v>137</v>
      </c>
      <c r="B1084" s="1142">
        <v>250</v>
      </c>
      <c r="C1084" s="1143">
        <v>319.77999999999997</v>
      </c>
      <c r="D1084" s="1144">
        <f t="shared" si="150"/>
        <v>79945</v>
      </c>
      <c r="E1084" s="1145">
        <f>(C1084-C1070)/C1070</f>
        <v>-0.2107510427721698</v>
      </c>
      <c r="F1084" s="1146">
        <f t="shared" si="151"/>
        <v>0.24632216777998894</v>
      </c>
      <c r="G1084" s="1147">
        <v>77.63</v>
      </c>
      <c r="H1084" s="1148" t="s">
        <v>146</v>
      </c>
      <c r="I1084" s="1149"/>
      <c r="J1084" s="1150" t="s">
        <v>221</v>
      </c>
      <c r="K1084" s="1151"/>
      <c r="L1084" s="1152"/>
      <c r="N1084" s="7">
        <v>43669</v>
      </c>
      <c r="O1084" s="1086">
        <f ca="1">N1084-TODAY()</f>
        <v>-1503</v>
      </c>
    </row>
    <row r="1085" spans="1:15" hidden="1" outlineLevel="1" x14ac:dyDescent="0.35">
      <c r="A1085" s="1087" t="s">
        <v>208</v>
      </c>
      <c r="B1085" s="1131">
        <v>150</v>
      </c>
      <c r="C1085" s="1132">
        <v>225.41</v>
      </c>
      <c r="D1085" s="1133">
        <f t="shared" si="150"/>
        <v>33811.5</v>
      </c>
      <c r="E1085" s="1134">
        <f>(C1085-C1072)/C1072</f>
        <v>-4.4710967960671345E-2</v>
      </c>
      <c r="F1085" s="1135">
        <f t="shared" si="151"/>
        <v>0.1041781471748464</v>
      </c>
      <c r="G1085" s="1136">
        <v>62.5</v>
      </c>
      <c r="H1085" s="1137" t="s">
        <v>216</v>
      </c>
      <c r="I1085" s="1149"/>
      <c r="J1085" s="1139"/>
      <c r="K1085" s="1140"/>
      <c r="L1085" s="1141"/>
    </row>
    <row r="1086" spans="1:15" hidden="1" outlineLevel="1" x14ac:dyDescent="0.35">
      <c r="A1086" s="7" t="s">
        <v>222</v>
      </c>
      <c r="B1086" s="1142">
        <v>150</v>
      </c>
      <c r="C1086" s="1143">
        <v>180.7</v>
      </c>
      <c r="D1086" s="1144">
        <f t="shared" si="150"/>
        <v>27105</v>
      </c>
      <c r="E1086" s="1153" t="s">
        <v>223</v>
      </c>
      <c r="F1086" s="1146">
        <f t="shared" si="151"/>
        <v>8.3514445652343491E-2</v>
      </c>
      <c r="G1086" s="1147">
        <v>57.63</v>
      </c>
      <c r="H1086" s="1148" t="s">
        <v>192</v>
      </c>
      <c r="I1086" s="1149"/>
      <c r="J1086" s="1154" t="s">
        <v>224</v>
      </c>
      <c r="K1086" s="1155"/>
      <c r="L1086" s="1156"/>
    </row>
    <row r="1087" spans="1:15" hidden="1" outlineLevel="1" x14ac:dyDescent="0.35">
      <c r="A1087" s="1087" t="s">
        <v>225</v>
      </c>
      <c r="B1087" s="1131">
        <v>150</v>
      </c>
      <c r="C1087" s="1132">
        <v>154.46</v>
      </c>
      <c r="D1087" s="1133">
        <f t="shared" si="150"/>
        <v>23169</v>
      </c>
      <c r="E1087" s="1157" t="s">
        <v>223</v>
      </c>
      <c r="F1087" s="1135">
        <f t="shared" si="151"/>
        <v>7.1387057418157027E-2</v>
      </c>
      <c r="G1087" s="1136">
        <v>31.37</v>
      </c>
      <c r="H1087" s="1137" t="s">
        <v>216</v>
      </c>
      <c r="I1087" s="1149"/>
      <c r="J1087" s="1150" t="s">
        <v>226</v>
      </c>
      <c r="K1087" s="1158"/>
      <c r="L1087" s="1159"/>
    </row>
    <row r="1088" spans="1:15" hidden="1" outlineLevel="1" x14ac:dyDescent="0.35">
      <c r="A1088" s="7" t="s">
        <v>227</v>
      </c>
      <c r="B1088" s="1142">
        <v>250</v>
      </c>
      <c r="C1088" s="1143">
        <v>41.68</v>
      </c>
      <c r="D1088" s="1144">
        <f t="shared" si="150"/>
        <v>10420</v>
      </c>
      <c r="E1088" s="1153" t="s">
        <v>223</v>
      </c>
      <c r="F1088" s="1146">
        <f t="shared" si="151"/>
        <v>3.210553490859322E-2</v>
      </c>
      <c r="G1088" s="1147" t="s">
        <v>228</v>
      </c>
      <c r="H1088" s="1148" t="s">
        <v>229</v>
      </c>
      <c r="I1088" s="1149"/>
      <c r="J1088" s="1160" t="s">
        <v>230</v>
      </c>
      <c r="K1088" s="1161"/>
      <c r="L1088" s="1162"/>
    </row>
    <row r="1089" spans="1:15" hidden="1" outlineLevel="1" x14ac:dyDescent="0.35">
      <c r="A1089" s="1087" t="s">
        <v>215</v>
      </c>
      <c r="B1089" s="1131">
        <v>400</v>
      </c>
      <c r="C1089" s="1132">
        <v>18.149999999999999</v>
      </c>
      <c r="D1089" s="1133">
        <f t="shared" si="150"/>
        <v>7259.9999999999991</v>
      </c>
      <c r="E1089" s="1134">
        <f>(C1089-C1074)/C1074</f>
        <v>-0.13776722090261292</v>
      </c>
      <c r="F1089" s="1135">
        <f t="shared" si="151"/>
        <v>2.2369115492935385E-2</v>
      </c>
      <c r="G1089" s="1136" t="s">
        <v>228</v>
      </c>
      <c r="H1089" s="1137" t="s">
        <v>216</v>
      </c>
      <c r="I1089" s="1149"/>
      <c r="J1089" s="1163"/>
      <c r="K1089" s="1164"/>
      <c r="L1089" s="1165"/>
    </row>
    <row r="1090" spans="1:15" hidden="1" outlineLevel="1" x14ac:dyDescent="0.35">
      <c r="A1090" s="7" t="s">
        <v>49</v>
      </c>
      <c r="B1090" s="1142">
        <v>1.93</v>
      </c>
      <c r="C1090" s="1166">
        <v>164.43</v>
      </c>
      <c r="D1090" s="1144">
        <f t="shared" si="150"/>
        <v>317.34989999999999</v>
      </c>
      <c r="E1090" s="1167">
        <f>(C1090-C1073)/C1073</f>
        <v>-0.20051538872951807</v>
      </c>
      <c r="F1090" s="1146">
        <f t="shared" si="151"/>
        <v>9.7780117972059185E-4</v>
      </c>
      <c r="G1090" s="1147"/>
      <c r="H1090" s="1148"/>
      <c r="I1090" s="1149"/>
      <c r="J1090" s="1168" t="s">
        <v>231</v>
      </c>
      <c r="K1090" s="1169"/>
      <c r="L1090" s="1152"/>
    </row>
    <row r="1091" spans="1:15" hidden="1" outlineLevel="1" x14ac:dyDescent="0.35">
      <c r="A1091" s="1087" t="s">
        <v>135</v>
      </c>
      <c r="B1091" s="1131">
        <v>1.94</v>
      </c>
      <c r="C1091" s="1132">
        <v>148</v>
      </c>
      <c r="D1091" s="1133">
        <f t="shared" si="150"/>
        <v>287.12</v>
      </c>
      <c r="E1091" s="1157">
        <f>(C1091-C1075)/C1075</f>
        <v>1.0145417653027102E-3</v>
      </c>
      <c r="F1091" s="1135">
        <f t="shared" si="151"/>
        <v>8.8465846285559356E-4</v>
      </c>
      <c r="G1091" s="1136"/>
      <c r="H1091" s="1137"/>
      <c r="I1091" s="1149"/>
      <c r="J1091" s="1170"/>
      <c r="K1091" s="1171"/>
      <c r="L1091" s="1172"/>
      <c r="N1091" s="1031" t="s">
        <v>43</v>
      </c>
      <c r="O1091" s="1032" t="s">
        <v>198</v>
      </c>
    </row>
    <row r="1092" spans="1:15" hidden="1" outlineLevel="1" x14ac:dyDescent="0.35">
      <c r="A1092" s="7" t="s">
        <v>7</v>
      </c>
      <c r="B1092" s="1142"/>
      <c r="C1092" s="1143"/>
      <c r="D1092" s="1144">
        <v>1671.8</v>
      </c>
      <c r="E1092" s="1173"/>
      <c r="F1092" s="1146">
        <f t="shared" si="151"/>
        <v>5.1510588541445433E-3</v>
      </c>
      <c r="G1092" s="1174"/>
      <c r="H1092" s="1175"/>
      <c r="I1092" s="1176"/>
      <c r="N1092" s="7">
        <v>43669</v>
      </c>
      <c r="O1092" s="1086">
        <f ca="1">N1092-TODAY()</f>
        <v>-1503</v>
      </c>
    </row>
    <row r="1093" spans="1:15" ht="16" hidden="1" outlineLevel="1" thickBot="1" x14ac:dyDescent="0.4">
      <c r="A1093" s="1087" t="s">
        <v>60</v>
      </c>
      <c r="B1093" s="1131"/>
      <c r="C1093" s="1132"/>
      <c r="D1093" s="1133">
        <v>4710.38</v>
      </c>
      <c r="E1093" s="1134">
        <f>(D1093-D1077)/D1077</f>
        <v>-0.50538363802463426</v>
      </c>
      <c r="F1093" s="1177"/>
      <c r="G1093" s="1178"/>
      <c r="H1093" s="1179"/>
      <c r="I1093" s="592">
        <f>SUM(I1083:I1092)</f>
        <v>0</v>
      </c>
      <c r="N1093" s="7"/>
      <c r="O1093" s="1086"/>
    </row>
    <row r="1094" spans="1:15" ht="19" hidden="1" outlineLevel="1" thickBot="1" x14ac:dyDescent="0.5">
      <c r="A1094" s="726" t="s">
        <v>62</v>
      </c>
      <c r="B1094" s="583"/>
      <c r="C1094" s="584"/>
      <c r="D1094" s="585">
        <f>SUM(D1083:D1093)</f>
        <v>324554.62989999994</v>
      </c>
      <c r="E1094" s="771">
        <f>D1094-D1078</f>
        <v>-29619.253600000055</v>
      </c>
      <c r="F1094" s="1180">
        <f>(D1094-D1078)/D1078</f>
        <v>-8.3629129588263545E-2</v>
      </c>
      <c r="G1094" s="574"/>
      <c r="H1094" s="1043"/>
      <c r="I1094" s="148"/>
      <c r="N1094" s="7">
        <f>"4/24/2019"+90</f>
        <v>43669</v>
      </c>
      <c r="O1094" s="1086">
        <f ca="1">N1094-TODAY()</f>
        <v>-1503</v>
      </c>
    </row>
    <row r="1095" spans="1:15" hidden="1" outlineLevel="1" x14ac:dyDescent="0.35">
      <c r="N1095" s="7"/>
      <c r="O1095" s="1086"/>
    </row>
    <row r="1096" spans="1:15" hidden="1" outlineLevel="1" x14ac:dyDescent="0.35">
      <c r="A1096" s="701" t="s">
        <v>25</v>
      </c>
      <c r="B1096" s="702" t="s">
        <v>26</v>
      </c>
      <c r="C1096" s="703" t="s">
        <v>27</v>
      </c>
      <c r="D1096" s="1124">
        <f>D1080+7</f>
        <v>43427</v>
      </c>
      <c r="E1096" s="705" t="s">
        <v>28</v>
      </c>
      <c r="F1096" s="1125" t="s">
        <v>232</v>
      </c>
      <c r="G1096" s="252"/>
      <c r="H1096" s="1181"/>
      <c r="I1096" s="1182">
        <f>D1110-D542</f>
        <v>40126.145099999907</v>
      </c>
      <c r="J1096" s="1183" t="s">
        <v>233</v>
      </c>
      <c r="N1096" s="7"/>
      <c r="O1096" s="1086"/>
    </row>
    <row r="1097" spans="1:15" hidden="1" outlineLevel="1" x14ac:dyDescent="0.35">
      <c r="A1097" s="706" t="s">
        <v>32</v>
      </c>
      <c r="B1097" s="255" t="str">
        <f ca="1">TEXT(TODAY(),"ddd")</f>
        <v>Sun</v>
      </c>
      <c r="C1097" s="256">
        <v>24285</v>
      </c>
      <c r="D1097" s="1184">
        <f>C1097-C1081</f>
        <v>-1172</v>
      </c>
      <c r="E1097" s="1185">
        <f>(C1097-C1081)/C1081</f>
        <v>-4.6038417724005187E-2</v>
      </c>
      <c r="F1097" s="1127" t="s">
        <v>219</v>
      </c>
      <c r="G1097" s="801"/>
      <c r="H1097" s="1186"/>
      <c r="I1097" s="1187">
        <f>329286.2-D1110</f>
        <v>21441.886400000076</v>
      </c>
      <c r="J1097" s="1188" t="s">
        <v>234</v>
      </c>
      <c r="N1097" s="7">
        <f>"5/1/2019"+90</f>
        <v>43676</v>
      </c>
      <c r="O1097" s="1086">
        <f ca="1">N1097-TODAY()</f>
        <v>-1496</v>
      </c>
    </row>
    <row r="1098" spans="1:15" hidden="1" outlineLevel="1" x14ac:dyDescent="0.35">
      <c r="A1098" s="709" t="s">
        <v>36</v>
      </c>
      <c r="B1098" s="263"/>
      <c r="C1098" s="419">
        <v>6938</v>
      </c>
      <c r="D1098" s="1189">
        <f>C1098-C1082</f>
        <v>-334</v>
      </c>
      <c r="E1098" s="1185">
        <f t="shared" ref="E1098:E1107" si="152">(C1098-C1082)/C1082</f>
        <v>-4.5929592959295933E-2</v>
      </c>
      <c r="F1098" s="1128" t="s">
        <v>37</v>
      </c>
      <c r="G1098" s="1129" t="s">
        <v>38</v>
      </c>
      <c r="H1098" s="1130" t="s">
        <v>144</v>
      </c>
      <c r="J1098" s="3202" t="s">
        <v>42</v>
      </c>
      <c r="K1098" s="3122"/>
      <c r="L1098" s="3123"/>
      <c r="N1098" s="7">
        <f>"4/30/2019"+90</f>
        <v>43675</v>
      </c>
      <c r="O1098" s="1086">
        <f ca="1">N1098-TODAY()</f>
        <v>-1497</v>
      </c>
    </row>
    <row r="1099" spans="1:15" hidden="1" outlineLevel="1" x14ac:dyDescent="0.35">
      <c r="A1099" s="1087" t="s">
        <v>96</v>
      </c>
      <c r="B1099" s="1131">
        <v>262</v>
      </c>
      <c r="C1099" s="1132">
        <v>489.57</v>
      </c>
      <c r="D1099" s="1133">
        <f t="shared" ref="D1099:D1107" si="153">C1099*B1099</f>
        <v>128267.34</v>
      </c>
      <c r="E1099" s="1134">
        <f t="shared" si="152"/>
        <v>-5.5868399737725095E-2</v>
      </c>
      <c r="F1099" s="1135">
        <f t="shared" ref="F1099:F1108" si="154">D1099/D$1094</f>
        <v>0.39521032264898226</v>
      </c>
      <c r="G1099" s="1136">
        <v>77.790000000000006</v>
      </c>
      <c r="H1099" s="1137" t="s">
        <v>146</v>
      </c>
      <c r="I1099" s="1138">
        <f>D1099-D1083</f>
        <v>-7590.1399999999849</v>
      </c>
      <c r="J1099" s="1190"/>
      <c r="K1099" s="1191"/>
      <c r="L1099" s="1192"/>
      <c r="N1099" s="7">
        <f>"4/30/2019"+90</f>
        <v>43675</v>
      </c>
      <c r="O1099" s="1086">
        <f ca="1">N1099-TODAY()</f>
        <v>-1497</v>
      </c>
    </row>
    <row r="1100" spans="1:15" hidden="1" outlineLevel="1" x14ac:dyDescent="0.35">
      <c r="A1100" s="7" t="s">
        <v>137</v>
      </c>
      <c r="B1100" s="1142">
        <v>250</v>
      </c>
      <c r="C1100" s="1143">
        <v>299.41000000000003</v>
      </c>
      <c r="D1100" s="1144">
        <f t="shared" si="153"/>
        <v>74852.5</v>
      </c>
      <c r="E1100" s="1173">
        <f t="shared" si="152"/>
        <v>-6.3700043780098664E-2</v>
      </c>
      <c r="F1100" s="1146">
        <f t="shared" si="154"/>
        <v>0.2306314349083948</v>
      </c>
      <c r="G1100" s="1147">
        <v>77.63</v>
      </c>
      <c r="H1100" s="1148" t="s">
        <v>146</v>
      </c>
      <c r="I1100" s="1149">
        <f t="shared" ref="I1100:I1105" si="155">D1100-D1084</f>
        <v>-5092.5</v>
      </c>
      <c r="J1100" s="1150"/>
      <c r="K1100" s="1151"/>
      <c r="L1100" s="1152"/>
      <c r="N1100" s="7">
        <v>43669</v>
      </c>
      <c r="O1100" s="1086">
        <f ca="1">N1100-TODAY()</f>
        <v>-1503</v>
      </c>
    </row>
    <row r="1101" spans="1:15" hidden="1" outlineLevel="1" x14ac:dyDescent="0.35">
      <c r="A1101" s="1087" t="s">
        <v>208</v>
      </c>
      <c r="B1101" s="1131">
        <v>150</v>
      </c>
      <c r="C1101" s="1132">
        <v>218.87</v>
      </c>
      <c r="D1101" s="1133">
        <f t="shared" si="153"/>
        <v>32830.5</v>
      </c>
      <c r="E1101" s="1134">
        <f t="shared" si="152"/>
        <v>-2.9013797080874815E-2</v>
      </c>
      <c r="F1101" s="1135">
        <f t="shared" si="154"/>
        <v>0.1011555435524539</v>
      </c>
      <c r="G1101" s="1136">
        <v>62.5</v>
      </c>
      <c r="H1101" s="1137" t="s">
        <v>216</v>
      </c>
      <c r="I1101" s="1149">
        <f t="shared" si="155"/>
        <v>-981</v>
      </c>
      <c r="J1101" s="1190"/>
      <c r="K1101" s="1191"/>
      <c r="L1101" s="1192"/>
    </row>
    <row r="1102" spans="1:15" hidden="1" outlineLevel="1" x14ac:dyDescent="0.35">
      <c r="A1102" s="7" t="s">
        <v>222</v>
      </c>
      <c r="B1102" s="1142">
        <v>150</v>
      </c>
      <c r="C1102" s="1143">
        <v>165</v>
      </c>
      <c r="D1102" s="1144">
        <f t="shared" si="153"/>
        <v>24750</v>
      </c>
      <c r="E1102" s="1173">
        <f t="shared" si="152"/>
        <v>-8.688433868289977E-2</v>
      </c>
      <c r="F1102" s="1146">
        <f t="shared" si="154"/>
        <v>7.6258348271370652E-2</v>
      </c>
      <c r="G1102" s="1147">
        <v>57.63</v>
      </c>
      <c r="H1102" s="1148" t="s">
        <v>192</v>
      </c>
      <c r="I1102" s="1149">
        <f t="shared" si="155"/>
        <v>-2355</v>
      </c>
      <c r="J1102" s="1154" t="s">
        <v>224</v>
      </c>
      <c r="K1102" s="1155"/>
      <c r="L1102" s="1156"/>
    </row>
    <row r="1103" spans="1:15" hidden="1" outlineLevel="1" x14ac:dyDescent="0.35">
      <c r="A1103" s="1087" t="s">
        <v>225</v>
      </c>
      <c r="B1103" s="1131">
        <v>150</v>
      </c>
      <c r="C1103" s="1132">
        <v>149.80000000000001</v>
      </c>
      <c r="D1103" s="1133">
        <f t="shared" si="153"/>
        <v>22470</v>
      </c>
      <c r="E1103" s="1134">
        <f t="shared" si="152"/>
        <v>-3.0169623203418337E-2</v>
      </c>
      <c r="F1103" s="1135">
        <f t="shared" si="154"/>
        <v>6.9233336794250436E-2</v>
      </c>
      <c r="G1103" s="1136">
        <v>31.37</v>
      </c>
      <c r="H1103" s="1137" t="s">
        <v>216</v>
      </c>
      <c r="I1103" s="1149">
        <f t="shared" si="155"/>
        <v>-699</v>
      </c>
      <c r="J1103" s="1150"/>
      <c r="K1103" s="1158"/>
      <c r="L1103" s="1159"/>
    </row>
    <row r="1104" spans="1:15" hidden="1" outlineLevel="1" x14ac:dyDescent="0.35">
      <c r="A1104" s="7" t="s">
        <v>227</v>
      </c>
      <c r="B1104" s="1142">
        <v>250</v>
      </c>
      <c r="C1104" s="1143">
        <v>40.29</v>
      </c>
      <c r="D1104" s="1144">
        <f t="shared" si="153"/>
        <v>10072.5</v>
      </c>
      <c r="E1104" s="1173">
        <f t="shared" si="152"/>
        <v>-3.3349328214971226E-2</v>
      </c>
      <c r="F1104" s="1146">
        <f t="shared" si="154"/>
        <v>3.1034836887409326E-2</v>
      </c>
      <c r="G1104" s="1147" t="s">
        <v>228</v>
      </c>
      <c r="H1104" s="1148" t="s">
        <v>229</v>
      </c>
      <c r="I1104" s="1149">
        <f t="shared" si="155"/>
        <v>-347.5</v>
      </c>
      <c r="J1104" s="1160"/>
      <c r="K1104" s="1161"/>
      <c r="L1104" s="1162"/>
    </row>
    <row r="1105" spans="1:15" hidden="1" outlineLevel="1" x14ac:dyDescent="0.35">
      <c r="A1105" s="1087" t="s">
        <v>215</v>
      </c>
      <c r="B1105" s="1131">
        <v>400</v>
      </c>
      <c r="C1105" s="1132">
        <v>19.2</v>
      </c>
      <c r="D1105" s="1133">
        <f t="shared" si="153"/>
        <v>7680</v>
      </c>
      <c r="E1105" s="1134">
        <f t="shared" si="152"/>
        <v>5.7851239669421531E-2</v>
      </c>
      <c r="F1105" s="1135">
        <f t="shared" si="154"/>
        <v>2.3663196554510164E-2</v>
      </c>
      <c r="G1105" s="1136" t="s">
        <v>228</v>
      </c>
      <c r="H1105" s="1137" t="s">
        <v>216</v>
      </c>
      <c r="I1105" s="1149">
        <f t="shared" si="155"/>
        <v>420.00000000000091</v>
      </c>
      <c r="J1105" s="1193"/>
      <c r="K1105" s="1169"/>
      <c r="L1105" s="1152"/>
    </row>
    <row r="1106" spans="1:15" hidden="1" outlineLevel="1" x14ac:dyDescent="0.35">
      <c r="A1106" s="7" t="s">
        <v>49</v>
      </c>
      <c r="B1106" s="1142">
        <v>1.93</v>
      </c>
      <c r="C1106" s="1166">
        <v>145</v>
      </c>
      <c r="D1106" s="1144">
        <f t="shared" si="153"/>
        <v>279.84999999999997</v>
      </c>
      <c r="E1106" s="1167">
        <f t="shared" si="152"/>
        <v>-0.11816578483245153</v>
      </c>
      <c r="F1106" s="1146">
        <f t="shared" si="154"/>
        <v>8.62258535908811E-4</v>
      </c>
      <c r="G1106" s="1147"/>
      <c r="H1106" s="1148"/>
      <c r="I1106" s="1149"/>
      <c r="J1106" s="1194"/>
      <c r="K1106" s="1195"/>
      <c r="L1106" s="1192"/>
    </row>
    <row r="1107" spans="1:15" hidden="1" outlineLevel="1" x14ac:dyDescent="0.35">
      <c r="A1107" s="1087" t="s">
        <v>135</v>
      </c>
      <c r="B1107" s="1131">
        <v>1.94</v>
      </c>
      <c r="C1107" s="1132">
        <v>143.94</v>
      </c>
      <c r="D1107" s="1133">
        <f t="shared" si="153"/>
        <v>279.24360000000001</v>
      </c>
      <c r="E1107" s="1134">
        <f t="shared" si="152"/>
        <v>-2.7432432432432447E-2</v>
      </c>
      <c r="F1107" s="1135">
        <f t="shared" si="154"/>
        <v>8.6039012934752796E-4</v>
      </c>
      <c r="G1107" s="1136"/>
      <c r="H1107" s="1137"/>
      <c r="I1107" s="1149"/>
      <c r="J1107" s="1196"/>
      <c r="K1107" s="1197"/>
      <c r="L1107" s="1198"/>
      <c r="N1107" s="1199" t="s">
        <v>43</v>
      </c>
      <c r="O1107" s="1200" t="s">
        <v>198</v>
      </c>
    </row>
    <row r="1108" spans="1:15" hidden="1" outlineLevel="1" x14ac:dyDescent="0.35">
      <c r="A1108" s="7" t="s">
        <v>7</v>
      </c>
      <c r="B1108" s="1142"/>
      <c r="C1108" s="1143"/>
      <c r="D1108" s="1144">
        <v>1652</v>
      </c>
      <c r="E1108" s="1173"/>
      <c r="F1108" s="1146">
        <f t="shared" si="154"/>
        <v>5.090052175527447E-3</v>
      </c>
      <c r="G1108" s="1174"/>
      <c r="H1108" s="1175"/>
      <c r="I1108" s="1176"/>
      <c r="N1108" s="1199"/>
      <c r="O1108" s="1200"/>
    </row>
    <row r="1109" spans="1:15" ht="16" hidden="1" outlineLevel="1" thickBot="1" x14ac:dyDescent="0.4">
      <c r="A1109" s="1087" t="s">
        <v>60</v>
      </c>
      <c r="B1109" s="1131"/>
      <c r="C1109" s="1132"/>
      <c r="D1109" s="1133">
        <v>4710.38</v>
      </c>
      <c r="E1109" s="1134">
        <f>(D1109-D1093)/D1093</f>
        <v>0</v>
      </c>
      <c r="F1109" s="1177"/>
      <c r="G1109" s="1178"/>
      <c r="H1109" s="1179"/>
      <c r="I1109" s="592">
        <f>SUM(I1099:I1108)</f>
        <v>-16645.139999999985</v>
      </c>
      <c r="N1109" s="1199"/>
      <c r="O1109" s="1200"/>
    </row>
    <row r="1110" spans="1:15" ht="19" hidden="1" outlineLevel="1" thickBot="1" x14ac:dyDescent="0.5">
      <c r="A1110" s="726" t="s">
        <v>62</v>
      </c>
      <c r="B1110" s="583"/>
      <c r="C1110" s="584"/>
      <c r="D1110" s="585">
        <f>SUM(D1099:D1109)</f>
        <v>307844.31359999994</v>
      </c>
      <c r="E1110" s="771">
        <f>D1110-D1094</f>
        <v>-16710.316300000006</v>
      </c>
      <c r="F1110" s="1180">
        <f>(D1110-D1094)/D1094</f>
        <v>-5.1486913944653018E-2</v>
      </c>
      <c r="G1110" s="574"/>
      <c r="H1110" s="1043"/>
      <c r="I1110" s="148"/>
      <c r="N1110" s="1199"/>
      <c r="O1110" s="1200"/>
    </row>
    <row r="1111" spans="1:15" hidden="1" outlineLevel="1" x14ac:dyDescent="0.35">
      <c r="N1111" s="1199"/>
      <c r="O1111" s="1200"/>
    </row>
    <row r="1112" spans="1:15" hidden="1" outlineLevel="1" x14ac:dyDescent="0.35">
      <c r="A1112" s="701" t="s">
        <v>25</v>
      </c>
      <c r="B1112" s="702" t="s">
        <v>26</v>
      </c>
      <c r="C1112" s="703" t="s">
        <v>27</v>
      </c>
      <c r="D1112" s="704">
        <f>D1096+7</f>
        <v>43434</v>
      </c>
      <c r="E1112" s="705" t="s">
        <v>28</v>
      </c>
      <c r="F1112" s="1125"/>
      <c r="G1112" s="252"/>
      <c r="H1112" s="253"/>
      <c r="N1112" s="1199"/>
      <c r="O1112" s="1200"/>
    </row>
    <row r="1113" spans="1:15" hidden="1" outlineLevel="1" x14ac:dyDescent="0.35">
      <c r="A1113" s="706" t="s">
        <v>32</v>
      </c>
      <c r="B1113" s="255" t="str">
        <f ca="1">TEXT(TODAY(),"ddd")</f>
        <v>Sun</v>
      </c>
      <c r="C1113" s="256">
        <v>25538</v>
      </c>
      <c r="D1113" s="1201">
        <f>C1113-C1097</f>
        <v>1253</v>
      </c>
      <c r="E1113" s="32">
        <f>(C1113-C1097)/C1097</f>
        <v>5.1595635165740165E-2</v>
      </c>
      <c r="F1113" s="1127" t="s">
        <v>219</v>
      </c>
      <c r="G1113" s="801"/>
      <c r="H1113" s="685"/>
      <c r="N1113" s="1199"/>
      <c r="O1113" s="1200"/>
    </row>
    <row r="1114" spans="1:15" hidden="1" outlineLevel="1" x14ac:dyDescent="0.35">
      <c r="A1114" s="709" t="s">
        <v>36</v>
      </c>
      <c r="B1114" s="263"/>
      <c r="C1114" s="419">
        <v>7330</v>
      </c>
      <c r="D1114" s="1202">
        <f>C1114-C1098</f>
        <v>392</v>
      </c>
      <c r="E1114" s="32">
        <f t="shared" ref="E1114:E1123" si="156">(C1114-C1098)/C1098</f>
        <v>5.6500432401268376E-2</v>
      </c>
      <c r="F1114" s="1128" t="s">
        <v>37</v>
      </c>
      <c r="G1114" s="1129" t="s">
        <v>38</v>
      </c>
      <c r="H1114" s="1130" t="s">
        <v>144</v>
      </c>
      <c r="J1114" s="3137" t="s">
        <v>42</v>
      </c>
      <c r="K1114" s="3122"/>
      <c r="L1114" s="3123"/>
      <c r="N1114" s="7">
        <v>43669</v>
      </c>
      <c r="O1114" s="1086">
        <f ca="1">N1114-TODAY()</f>
        <v>-1503</v>
      </c>
    </row>
    <row r="1115" spans="1:15" hidden="1" outlineLevel="1" x14ac:dyDescent="0.35">
      <c r="A1115" s="1087" t="s">
        <v>96</v>
      </c>
      <c r="B1115" s="1131">
        <v>262</v>
      </c>
      <c r="C1115" s="1132">
        <v>530.87</v>
      </c>
      <c r="D1115" s="1133">
        <f t="shared" ref="D1115:D1123" si="157">C1115*B1115</f>
        <v>139087.94</v>
      </c>
      <c r="E1115" s="1157">
        <f t="shared" si="156"/>
        <v>8.4359744265375763E-2</v>
      </c>
      <c r="F1115" s="1135">
        <f t="shared" ref="F1115:F1124" si="158">D1115/D$1094</f>
        <v>0.42855016439868704</v>
      </c>
      <c r="G1115" s="1136">
        <v>77.790000000000006</v>
      </c>
      <c r="H1115" s="1137" t="s">
        <v>145</v>
      </c>
      <c r="I1115" s="1203">
        <f t="shared" ref="I1115:I1120" si="159">D1115-D1099</f>
        <v>10820.600000000006</v>
      </c>
      <c r="J1115" s="1139"/>
      <c r="K1115" s="1140"/>
      <c r="L1115" s="1141"/>
      <c r="N1115" s="1199"/>
      <c r="O1115" s="1200"/>
    </row>
    <row r="1116" spans="1:15" hidden="1" outlineLevel="1" x14ac:dyDescent="0.35">
      <c r="A1116" s="7" t="s">
        <v>137</v>
      </c>
      <c r="B1116" s="1142">
        <v>250</v>
      </c>
      <c r="C1116" s="1143">
        <v>332.68</v>
      </c>
      <c r="D1116" s="1144">
        <f t="shared" si="157"/>
        <v>83170</v>
      </c>
      <c r="E1116" s="1153">
        <f t="shared" si="156"/>
        <v>0.11111853311512634</v>
      </c>
      <c r="F1116" s="1146">
        <f t="shared" si="158"/>
        <v>0.25625886164565237</v>
      </c>
      <c r="G1116" s="1147">
        <v>77.63</v>
      </c>
      <c r="H1116" s="1148" t="s">
        <v>146</v>
      </c>
      <c r="I1116" s="1204">
        <f t="shared" si="159"/>
        <v>8317.5</v>
      </c>
      <c r="J1116" s="1205"/>
      <c r="K1116" s="1206"/>
      <c r="L1116" s="1165"/>
    </row>
    <row r="1117" spans="1:15" hidden="1" outlineLevel="1" x14ac:dyDescent="0.35">
      <c r="A1117" s="1087" t="s">
        <v>208</v>
      </c>
      <c r="B1117" s="1131">
        <v>150</v>
      </c>
      <c r="C1117" s="1132">
        <v>229.89</v>
      </c>
      <c r="D1117" s="1133">
        <f t="shared" si="157"/>
        <v>34483.5</v>
      </c>
      <c r="E1117" s="1157">
        <f t="shared" si="156"/>
        <v>5.0349522547630927E-2</v>
      </c>
      <c r="F1117" s="1135">
        <f t="shared" si="158"/>
        <v>0.10624867687336605</v>
      </c>
      <c r="G1117" s="1136">
        <v>62.5</v>
      </c>
      <c r="H1117" s="1137" t="s">
        <v>216</v>
      </c>
      <c r="I1117" s="1204">
        <f t="shared" si="159"/>
        <v>1653</v>
      </c>
      <c r="J1117" s="1139"/>
      <c r="K1117" s="1140"/>
      <c r="L1117" s="1141"/>
    </row>
    <row r="1118" spans="1:15" hidden="1" outlineLevel="1" x14ac:dyDescent="0.35">
      <c r="A1118" s="7" t="s">
        <v>222</v>
      </c>
      <c r="B1118" s="1142">
        <v>150</v>
      </c>
      <c r="C1118" s="1143">
        <v>179.8</v>
      </c>
      <c r="D1118" s="1144">
        <f t="shared" si="157"/>
        <v>26970</v>
      </c>
      <c r="E1118" s="1153">
        <f t="shared" si="156"/>
        <v>8.9696969696969761E-2</v>
      </c>
      <c r="F1118" s="1146">
        <f t="shared" si="158"/>
        <v>8.3098491025408741E-2</v>
      </c>
      <c r="G1118" s="1147">
        <v>57.63</v>
      </c>
      <c r="H1118" s="1148" t="s">
        <v>146</v>
      </c>
      <c r="I1118" s="1204">
        <f t="shared" si="159"/>
        <v>2220</v>
      </c>
      <c r="J1118" s="1207"/>
      <c r="K1118" s="1208"/>
      <c r="L1118" s="1209"/>
    </row>
    <row r="1119" spans="1:15" hidden="1" outlineLevel="1" x14ac:dyDescent="0.35">
      <c r="A1119" s="1087" t="s">
        <v>225</v>
      </c>
      <c r="B1119" s="1131">
        <v>150</v>
      </c>
      <c r="C1119" s="1132">
        <v>157.77000000000001</v>
      </c>
      <c r="D1119" s="1133">
        <f t="shared" si="157"/>
        <v>23665.5</v>
      </c>
      <c r="E1119" s="1157">
        <f t="shared" si="156"/>
        <v>5.3204272363150854E-2</v>
      </c>
      <c r="F1119" s="1135">
        <f t="shared" si="158"/>
        <v>7.2916846101661492E-2</v>
      </c>
      <c r="G1119" s="1136">
        <v>31.37</v>
      </c>
      <c r="H1119" s="1137" t="s">
        <v>192</v>
      </c>
      <c r="I1119" s="1204">
        <f t="shared" si="159"/>
        <v>1195.5</v>
      </c>
      <c r="J1119" s="1205"/>
      <c r="K1119" s="1210"/>
      <c r="L1119" s="1211"/>
    </row>
    <row r="1120" spans="1:15" hidden="1" outlineLevel="1" x14ac:dyDescent="0.35">
      <c r="A1120" s="7" t="s">
        <v>227</v>
      </c>
      <c r="B1120" s="1142">
        <v>250</v>
      </c>
      <c r="C1120" s="1143">
        <v>41.01</v>
      </c>
      <c r="D1120" s="1144">
        <f t="shared" si="157"/>
        <v>10252.5</v>
      </c>
      <c r="E1120" s="1153">
        <f t="shared" si="156"/>
        <v>1.7870439314966464E-2</v>
      </c>
      <c r="F1120" s="1146">
        <f t="shared" si="158"/>
        <v>3.1589443056655661E-2</v>
      </c>
      <c r="G1120" s="1147" t="s">
        <v>228</v>
      </c>
      <c r="H1120" s="1148" t="s">
        <v>216</v>
      </c>
      <c r="I1120" s="1204">
        <f t="shared" si="159"/>
        <v>180</v>
      </c>
      <c r="J1120" s="1212"/>
      <c r="K1120" s="1213"/>
      <c r="L1120" s="1214"/>
    </row>
    <row r="1121" spans="1:15" hidden="1" outlineLevel="1" x14ac:dyDescent="0.35">
      <c r="A1121" s="1087" t="s">
        <v>215</v>
      </c>
      <c r="B1121" s="1131">
        <v>200</v>
      </c>
      <c r="C1121" s="1132">
        <v>18</v>
      </c>
      <c r="D1121" s="1133">
        <f t="shared" si="157"/>
        <v>3600</v>
      </c>
      <c r="E1121" s="1134">
        <f t="shared" si="156"/>
        <v>-6.2499999999999965E-2</v>
      </c>
      <c r="F1121" s="1135">
        <f t="shared" si="158"/>
        <v>1.109212338492664E-2</v>
      </c>
      <c r="G1121" s="1136" t="s">
        <v>228</v>
      </c>
      <c r="H1121" s="1137" t="s">
        <v>216</v>
      </c>
      <c r="I1121" s="1204"/>
      <c r="J1121" s="1163" t="s">
        <v>235</v>
      </c>
      <c r="K1121" s="1164"/>
      <c r="L1121" s="1165"/>
    </row>
    <row r="1122" spans="1:15" hidden="1" outlineLevel="1" x14ac:dyDescent="0.35">
      <c r="A1122" s="7" t="s">
        <v>49</v>
      </c>
      <c r="B1122" s="1142">
        <v>1.93</v>
      </c>
      <c r="C1122" s="1143">
        <v>163.43</v>
      </c>
      <c r="D1122" s="1144">
        <f t="shared" si="157"/>
        <v>315.41989999999998</v>
      </c>
      <c r="E1122" s="1153">
        <f t="shared" si="156"/>
        <v>0.12710344827586212</v>
      </c>
      <c r="F1122" s="1146">
        <f t="shared" si="158"/>
        <v>9.7185456912811722E-4</v>
      </c>
      <c r="G1122" s="1147"/>
      <c r="H1122" s="1148"/>
      <c r="I1122" s="1204"/>
      <c r="J1122" s="1163"/>
      <c r="K1122" s="1164"/>
      <c r="L1122" s="1165"/>
      <c r="N1122" s="1199" t="s">
        <v>43</v>
      </c>
      <c r="O1122" s="1200" t="s">
        <v>198</v>
      </c>
    </row>
    <row r="1123" spans="1:15" hidden="1" outlineLevel="1" x14ac:dyDescent="0.35">
      <c r="A1123" s="1087" t="s">
        <v>135</v>
      </c>
      <c r="B1123" s="1131">
        <v>1.94</v>
      </c>
      <c r="C1123" s="1132">
        <v>156.96</v>
      </c>
      <c r="D1123" s="1133">
        <f t="shared" si="157"/>
        <v>304.50240000000002</v>
      </c>
      <c r="E1123" s="1157">
        <f t="shared" si="156"/>
        <v>9.0454355981659101E-2</v>
      </c>
      <c r="F1123" s="1135">
        <f t="shared" si="158"/>
        <v>9.3821616439063497E-4</v>
      </c>
      <c r="G1123" s="1136"/>
      <c r="H1123" s="1137"/>
      <c r="I1123" s="1204"/>
      <c r="J1123" s="1170"/>
      <c r="K1123" s="1171"/>
      <c r="L1123" s="1172"/>
      <c r="N1123" s="1084">
        <v>43699</v>
      </c>
      <c r="O1123" s="1215">
        <f t="shared" ref="O1123:O1130" ca="1" si="160">IF(N1123=0,"",N1123-TODAY())</f>
        <v>-1473</v>
      </c>
    </row>
    <row r="1124" spans="1:15" hidden="1" outlineLevel="1" x14ac:dyDescent="0.35">
      <c r="A1124" s="7" t="s">
        <v>7</v>
      </c>
      <c r="B1124" s="1142"/>
      <c r="C1124" s="1143"/>
      <c r="D1124" s="1144">
        <v>1679.85</v>
      </c>
      <c r="E1124" s="1153"/>
      <c r="F1124" s="1146">
        <f t="shared" si="158"/>
        <v>5.1758620744913929E-3</v>
      </c>
      <c r="G1124" s="1174"/>
      <c r="H1124" s="1175"/>
      <c r="I1124" s="1216"/>
      <c r="N1124" s="1084"/>
      <c r="O1124" s="1215" t="str">
        <f t="shared" ca="1" si="160"/>
        <v/>
      </c>
    </row>
    <row r="1125" spans="1:15" ht="16" hidden="1" outlineLevel="1" thickBot="1" x14ac:dyDescent="0.4">
      <c r="A1125" s="1087" t="s">
        <v>60</v>
      </c>
      <c r="B1125" s="1131"/>
      <c r="C1125" s="1132"/>
      <c r="D1125" s="1133">
        <f>9.95+3299.02+3500.43</f>
        <v>6809.4</v>
      </c>
      <c r="E1125" s="1157">
        <f>(D1125-D1109)/D1109</f>
        <v>0.44561585264883075</v>
      </c>
      <c r="F1125" s="1177"/>
      <c r="G1125" s="1178"/>
      <c r="H1125" s="1179"/>
      <c r="I1125" s="1121">
        <f>SUM(I1115:I1124)</f>
        <v>24386.600000000006</v>
      </c>
      <c r="N1125" s="1084"/>
      <c r="O1125" s="1215" t="str">
        <f t="shared" ca="1" si="160"/>
        <v/>
      </c>
    </row>
    <row r="1126" spans="1:15" ht="19" hidden="1" outlineLevel="1" thickBot="1" x14ac:dyDescent="0.5">
      <c r="A1126" s="726" t="s">
        <v>62</v>
      </c>
      <c r="B1126" s="583"/>
      <c r="C1126" s="584"/>
      <c r="D1126" s="585">
        <f>SUM(D1115:D1125)</f>
        <v>330338.61229999998</v>
      </c>
      <c r="E1126" s="1217">
        <f>D1126-D1110</f>
        <v>22494.298700000043</v>
      </c>
      <c r="F1126" s="1218">
        <f>(D1126-D1110)/D1110</f>
        <v>7.307037260798066E-2</v>
      </c>
      <c r="G1126" s="574"/>
      <c r="H1126" s="1043"/>
      <c r="I1126" s="148"/>
      <c r="N1126" s="1084">
        <v>43670</v>
      </c>
      <c r="O1126" s="1215">
        <f t="shared" ca="1" si="160"/>
        <v>-1502</v>
      </c>
    </row>
    <row r="1127" spans="1:15" hidden="1" outlineLevel="1" x14ac:dyDescent="0.35">
      <c r="N1127" s="1084"/>
      <c r="O1127" s="1215" t="str">
        <f t="shared" ca="1" si="160"/>
        <v/>
      </c>
    </row>
    <row r="1128" spans="1:15" hidden="1" outlineLevel="1" x14ac:dyDescent="0.35">
      <c r="A1128" s="701" t="s">
        <v>25</v>
      </c>
      <c r="B1128" s="702" t="s">
        <v>26</v>
      </c>
      <c r="C1128" s="703" t="s">
        <v>27</v>
      </c>
      <c r="D1128" s="704">
        <f>D1112+7</f>
        <v>43441</v>
      </c>
      <c r="E1128" s="705" t="s">
        <v>28</v>
      </c>
      <c r="F1128" s="1125"/>
      <c r="G1128" s="252"/>
      <c r="H1128" s="253"/>
      <c r="I1128" s="1182">
        <f>D1142-D542</f>
        <v>37248.407000000007</v>
      </c>
      <c r="J1128" s="1183" t="s">
        <v>233</v>
      </c>
      <c r="N1128" s="1084">
        <v>43691</v>
      </c>
      <c r="O1128" s="1215">
        <f t="shared" ca="1" si="160"/>
        <v>-1481</v>
      </c>
    </row>
    <row r="1129" spans="1:15" hidden="1" outlineLevel="1" x14ac:dyDescent="0.35">
      <c r="A1129" s="706" t="s">
        <v>32</v>
      </c>
      <c r="B1129" s="255" t="str">
        <f ca="1">TEXT(TODAY(),"ddd")</f>
        <v>Sun</v>
      </c>
      <c r="C1129" s="256">
        <v>24388</v>
      </c>
      <c r="D1129" s="1184">
        <f>C1129-C1113</f>
        <v>-1150</v>
      </c>
      <c r="E1129" s="1185">
        <f>(C1129-C1113)/C1113</f>
        <v>-4.5030934293993262E-2</v>
      </c>
      <c r="F1129" s="1127" t="s">
        <v>236</v>
      </c>
      <c r="G1129" s="801"/>
      <c r="H1129" s="1186"/>
      <c r="I1129" s="1219">
        <f>D1142-D1126</f>
        <v>-25372.036799999943</v>
      </c>
      <c r="J1129" s="1188" t="s">
        <v>234</v>
      </c>
      <c r="K1129" s="1220" t="s">
        <v>34</v>
      </c>
      <c r="L1129" s="111" t="s">
        <v>237</v>
      </c>
      <c r="N1129" s="1084">
        <v>43663</v>
      </c>
      <c r="O1129" s="1215">
        <f t="shared" ca="1" si="160"/>
        <v>-1509</v>
      </c>
    </row>
    <row r="1130" spans="1:15" hidden="1" outlineLevel="1" x14ac:dyDescent="0.35">
      <c r="A1130" s="709" t="s">
        <v>36</v>
      </c>
      <c r="B1130" s="263"/>
      <c r="C1130" s="419">
        <v>6969</v>
      </c>
      <c r="D1130" s="1189">
        <f>C1130-C1114</f>
        <v>-361</v>
      </c>
      <c r="E1130" s="1185">
        <f t="shared" ref="E1130:E1139" si="161">(C1130-C1114)/C1114</f>
        <v>-4.9249658935879945E-2</v>
      </c>
      <c r="F1130" s="1128" t="s">
        <v>37</v>
      </c>
      <c r="G1130" s="1129" t="s">
        <v>38</v>
      </c>
      <c r="H1130" s="1130" t="s">
        <v>144</v>
      </c>
      <c r="I1130" s="95"/>
      <c r="J1130" s="3202" t="s">
        <v>42</v>
      </c>
      <c r="K1130" s="3122"/>
      <c r="L1130" s="3123"/>
      <c r="N1130" s="1084">
        <v>43741</v>
      </c>
      <c r="O1130" s="1215">
        <f t="shared" ca="1" si="160"/>
        <v>-1431</v>
      </c>
    </row>
    <row r="1131" spans="1:15" hidden="1" outlineLevel="1" x14ac:dyDescent="0.35">
      <c r="A1131" s="1087" t="s">
        <v>96</v>
      </c>
      <c r="B1131" s="1131">
        <v>262</v>
      </c>
      <c r="C1131" s="1132">
        <v>491.69</v>
      </c>
      <c r="D1131" s="1221">
        <f t="shared" ref="D1131:D1139" si="162">C1131*B1131</f>
        <v>128822.78</v>
      </c>
      <c r="E1131" s="1157">
        <f t="shared" si="161"/>
        <v>-7.3803379358411678E-2</v>
      </c>
      <c r="F1131" s="1222">
        <f t="shared" ref="F1131:F1140" si="163">D1131/D$1094</f>
        <v>0.39692171404146104</v>
      </c>
      <c r="G1131" s="1136">
        <v>77.790000000000006</v>
      </c>
      <c r="H1131" s="1137" t="s">
        <v>145</v>
      </c>
      <c r="I1131" s="1203">
        <f>D1131-D1115</f>
        <v>-10265.160000000003</v>
      </c>
      <c r="J1131" s="1139" t="s">
        <v>238</v>
      </c>
      <c r="K1131" s="1140"/>
      <c r="L1131" s="1141"/>
    </row>
    <row r="1132" spans="1:15" hidden="1" outlineLevel="1" x14ac:dyDescent="0.35">
      <c r="A1132" s="7" t="s">
        <v>137</v>
      </c>
      <c r="B1132" s="1142">
        <v>250</v>
      </c>
      <c r="C1132" s="1143">
        <v>317.52</v>
      </c>
      <c r="D1132" s="1223">
        <f t="shared" si="162"/>
        <v>79380</v>
      </c>
      <c r="E1132" s="1153">
        <f t="shared" si="161"/>
        <v>-4.556931585908388E-2</v>
      </c>
      <c r="F1132" s="1224">
        <f t="shared" si="163"/>
        <v>0.24458132063763238</v>
      </c>
      <c r="G1132" s="1147">
        <v>77.63</v>
      </c>
      <c r="H1132" s="1148" t="s">
        <v>146</v>
      </c>
      <c r="I1132" s="1204">
        <f t="shared" ref="I1132:I1137" si="164">D1132-D1116</f>
        <v>-3790</v>
      </c>
      <c r="J1132" s="1205"/>
      <c r="K1132" s="1206"/>
      <c r="L1132" s="1165"/>
    </row>
    <row r="1133" spans="1:15" hidden="1" outlineLevel="1" x14ac:dyDescent="0.35">
      <c r="A1133" s="1087" t="s">
        <v>208</v>
      </c>
      <c r="B1133" s="1131">
        <v>150</v>
      </c>
      <c r="C1133" s="1132">
        <v>210.28</v>
      </c>
      <c r="D1133" s="1221">
        <f t="shared" si="162"/>
        <v>31542</v>
      </c>
      <c r="E1133" s="1157">
        <f t="shared" si="161"/>
        <v>-8.5301666014180641E-2</v>
      </c>
      <c r="F1133" s="1222">
        <f t="shared" si="163"/>
        <v>9.7185487724265565E-2</v>
      </c>
      <c r="G1133" s="1136">
        <v>62.5</v>
      </c>
      <c r="H1133" s="1137" t="s">
        <v>216</v>
      </c>
      <c r="I1133" s="1204">
        <f t="shared" si="164"/>
        <v>-2941.5</v>
      </c>
      <c r="J1133" s="1139"/>
      <c r="K1133" s="1140"/>
      <c r="L1133" s="1141"/>
    </row>
    <row r="1134" spans="1:15" hidden="1" outlineLevel="1" x14ac:dyDescent="0.35">
      <c r="A1134" s="7" t="s">
        <v>222</v>
      </c>
      <c r="B1134" s="1142">
        <v>150</v>
      </c>
      <c r="C1134" s="1143">
        <v>165.34</v>
      </c>
      <c r="D1134" s="1223">
        <f t="shared" si="162"/>
        <v>24801</v>
      </c>
      <c r="E1134" s="1153">
        <f t="shared" si="161"/>
        <v>-8.0422691879866559E-2</v>
      </c>
      <c r="F1134" s="1224">
        <f t="shared" si="163"/>
        <v>7.6415486685990436E-2</v>
      </c>
      <c r="G1134" s="1147">
        <v>57.63</v>
      </c>
      <c r="H1134" s="1148" t="s">
        <v>146</v>
      </c>
      <c r="I1134" s="1204">
        <f t="shared" si="164"/>
        <v>-2169</v>
      </c>
      <c r="J1134" s="1207"/>
      <c r="K1134" s="1208"/>
      <c r="L1134" s="1209"/>
    </row>
    <row r="1135" spans="1:15" hidden="1" outlineLevel="1" x14ac:dyDescent="0.35">
      <c r="A1135" s="1087" t="s">
        <v>225</v>
      </c>
      <c r="B1135" s="1131">
        <v>150</v>
      </c>
      <c r="C1135" s="1132">
        <v>145.61000000000001</v>
      </c>
      <c r="D1135" s="1221">
        <f t="shared" si="162"/>
        <v>21841.500000000004</v>
      </c>
      <c r="E1135" s="1157">
        <f t="shared" si="161"/>
        <v>-7.7074221968688572E-2</v>
      </c>
      <c r="F1135" s="1222">
        <f t="shared" si="163"/>
        <v>6.7296836919965339E-2</v>
      </c>
      <c r="G1135" s="1136">
        <v>31.37</v>
      </c>
      <c r="H1135" s="1137" t="s">
        <v>192</v>
      </c>
      <c r="I1135" s="1204">
        <f t="shared" si="164"/>
        <v>-1823.9999999999964</v>
      </c>
      <c r="J1135" s="1205"/>
      <c r="K1135" s="1210"/>
      <c r="L1135" s="1211"/>
    </row>
    <row r="1136" spans="1:15" hidden="1" outlineLevel="1" x14ac:dyDescent="0.35">
      <c r="A1136" s="7" t="s">
        <v>227</v>
      </c>
      <c r="B1136" s="1142">
        <v>250</v>
      </c>
      <c r="C1136" s="1143">
        <v>40.549999999999997</v>
      </c>
      <c r="D1136" s="1223">
        <f t="shared" si="162"/>
        <v>10137.5</v>
      </c>
      <c r="E1136" s="1153">
        <f t="shared" si="161"/>
        <v>-1.1216776396000997E-2</v>
      </c>
      <c r="F1136" s="1224">
        <f t="shared" si="163"/>
        <v>3.1235111337414946E-2</v>
      </c>
      <c r="G1136" s="1147" t="s">
        <v>228</v>
      </c>
      <c r="H1136" s="1148" t="s">
        <v>216</v>
      </c>
      <c r="I1136" s="1204">
        <f t="shared" si="164"/>
        <v>-115</v>
      </c>
      <c r="J1136" s="1212"/>
      <c r="K1136" s="1213"/>
      <c r="L1136" s="1214"/>
    </row>
    <row r="1137" spans="1:15" hidden="1" outlineLevel="1" x14ac:dyDescent="0.35">
      <c r="A1137" s="1087" t="s">
        <v>215</v>
      </c>
      <c r="B1137" s="1131">
        <v>200</v>
      </c>
      <c r="C1137" s="1132">
        <v>16.91</v>
      </c>
      <c r="D1137" s="1221">
        <f t="shared" si="162"/>
        <v>3382</v>
      </c>
      <c r="E1137" s="1157">
        <f t="shared" si="161"/>
        <v>-6.055555555555555E-2</v>
      </c>
      <c r="F1137" s="1222">
        <f t="shared" si="163"/>
        <v>1.0420433691061637E-2</v>
      </c>
      <c r="G1137" s="1136" t="s">
        <v>228</v>
      </c>
      <c r="H1137" s="1137" t="s">
        <v>216</v>
      </c>
      <c r="I1137" s="1204">
        <f t="shared" si="164"/>
        <v>-218</v>
      </c>
      <c r="J1137" s="1163"/>
      <c r="K1137" s="1164"/>
      <c r="L1137" s="1165"/>
      <c r="N1137" s="1199" t="s">
        <v>43</v>
      </c>
      <c r="O1137" s="1200" t="s">
        <v>198</v>
      </c>
    </row>
    <row r="1138" spans="1:15" hidden="1" outlineLevel="1" x14ac:dyDescent="0.35">
      <c r="A1138" s="7" t="s">
        <v>49</v>
      </c>
      <c r="B1138" s="1142">
        <v>1.93</v>
      </c>
      <c r="C1138" s="1143">
        <v>147.61000000000001</v>
      </c>
      <c r="D1138" s="1223">
        <f t="shared" si="162"/>
        <v>284.88730000000004</v>
      </c>
      <c r="E1138" s="1153">
        <f t="shared" si="161"/>
        <v>-9.6799853148136772E-2</v>
      </c>
      <c r="F1138" s="1224">
        <f t="shared" si="163"/>
        <v>8.7777918955516982E-4</v>
      </c>
      <c r="G1138" s="1147"/>
      <c r="H1138" s="1148"/>
      <c r="I1138" s="1204"/>
      <c r="J1138" s="1225"/>
      <c r="K1138" s="1226"/>
      <c r="L1138" s="1141"/>
      <c r="N1138" s="1199"/>
      <c r="O1138" s="1200"/>
    </row>
    <row r="1139" spans="1:15" hidden="1" outlineLevel="1" x14ac:dyDescent="0.35">
      <c r="A1139" s="1087" t="s">
        <v>135</v>
      </c>
      <c r="B1139" s="1131">
        <v>1.94</v>
      </c>
      <c r="C1139" s="1132">
        <v>138.03</v>
      </c>
      <c r="D1139" s="1221">
        <f t="shared" si="162"/>
        <v>267.77819999999997</v>
      </c>
      <c r="E1139" s="1157">
        <f t="shared" si="161"/>
        <v>-0.12060397553516823</v>
      </c>
      <c r="F1139" s="1222">
        <f t="shared" si="163"/>
        <v>8.2506356505376724E-4</v>
      </c>
      <c r="G1139" s="1136"/>
      <c r="H1139" s="1137"/>
      <c r="I1139" s="1204"/>
      <c r="J1139" s="1170"/>
      <c r="K1139" s="1171"/>
      <c r="L1139" s="1172"/>
      <c r="N1139" s="1199"/>
      <c r="O1139" s="1200"/>
    </row>
    <row r="1140" spans="1:15" hidden="1" outlineLevel="1" x14ac:dyDescent="0.35">
      <c r="A1140" s="7" t="s">
        <v>7</v>
      </c>
      <c r="B1140" s="1142"/>
      <c r="C1140" s="1143"/>
      <c r="D1140" s="1223">
        <v>1669.29</v>
      </c>
      <c r="E1140" s="1153"/>
      <c r="F1140" s="1224">
        <f t="shared" si="163"/>
        <v>5.1433251792289414E-3</v>
      </c>
      <c r="G1140" s="1147"/>
      <c r="H1140" s="1148"/>
      <c r="I1140" s="1216"/>
      <c r="N1140" s="1199"/>
      <c r="O1140" s="1200"/>
    </row>
    <row r="1141" spans="1:15" ht="16" hidden="1" outlineLevel="1" thickBot="1" x14ac:dyDescent="0.4">
      <c r="A1141" s="1087" t="s">
        <v>60</v>
      </c>
      <c r="B1141" s="1131"/>
      <c r="C1141" s="1132"/>
      <c r="D1141" s="1221">
        <v>2837.84</v>
      </c>
      <c r="E1141" s="1157">
        <f>(D1141-D1125)/D1125</f>
        <v>-0.58324668840132754</v>
      </c>
      <c r="F1141" s="1227"/>
      <c r="G1141" s="1228"/>
      <c r="H1141" s="1229"/>
      <c r="I1141" s="1121">
        <f>SUM(I1131:I1140)</f>
        <v>-21322.66</v>
      </c>
      <c r="N1141" s="1199"/>
      <c r="O1141" s="1200"/>
    </row>
    <row r="1142" spans="1:15" ht="19" hidden="1" outlineLevel="1" thickBot="1" x14ac:dyDescent="0.5">
      <c r="A1142" s="726" t="s">
        <v>62</v>
      </c>
      <c r="B1142" s="583"/>
      <c r="C1142" s="584"/>
      <c r="D1142" s="1230">
        <f>SUM(D1131:D1141)</f>
        <v>304966.57550000004</v>
      </c>
      <c r="E1142" s="771">
        <f>D1142-D1126</f>
        <v>-25372.036799999943</v>
      </c>
      <c r="F1142" s="1180">
        <f>(D1142-D1126)/D1126</f>
        <v>-7.6806149373050275E-2</v>
      </c>
      <c r="G1142" s="679"/>
      <c r="H1142" s="1231"/>
      <c r="I1142" s="680"/>
      <c r="K1142" s="1232">
        <f>304966.68-D1142</f>
        <v>0.10449999995762482</v>
      </c>
      <c r="N1142" s="1199"/>
      <c r="O1142" s="1200"/>
    </row>
    <row r="1143" spans="1:15" hidden="1" outlineLevel="1" x14ac:dyDescent="0.35">
      <c r="N1143" s="1199"/>
      <c r="O1143" s="1200"/>
    </row>
    <row r="1144" spans="1:15" hidden="1" outlineLevel="1" x14ac:dyDescent="0.35">
      <c r="A1144" s="701" t="s">
        <v>25</v>
      </c>
      <c r="B1144" s="702" t="s">
        <v>26</v>
      </c>
      <c r="C1144" s="703" t="s">
        <v>27</v>
      </c>
      <c r="D1144" s="704">
        <f>D1128+7</f>
        <v>43448</v>
      </c>
      <c r="E1144" s="705" t="s">
        <v>28</v>
      </c>
      <c r="F1144" s="1125"/>
      <c r="G1144" s="252"/>
      <c r="H1144" s="253"/>
      <c r="I1144" s="1182"/>
      <c r="J1144" s="1183" t="s">
        <v>233</v>
      </c>
      <c r="N1144" s="1199"/>
      <c r="O1144" s="1200"/>
    </row>
    <row r="1145" spans="1:15" hidden="1" outlineLevel="1" x14ac:dyDescent="0.35">
      <c r="A1145" s="706" t="s">
        <v>32</v>
      </c>
      <c r="B1145" s="255" t="str">
        <f ca="1">TEXT(TODAY(),"ddd")</f>
        <v>Sun</v>
      </c>
      <c r="C1145" s="256">
        <v>24100</v>
      </c>
      <c r="D1145" s="1184">
        <f>C1145-C1129</f>
        <v>-288</v>
      </c>
      <c r="E1145" s="1185">
        <f>(C1145-C1129)/C1129</f>
        <v>-1.1809086435952108E-2</v>
      </c>
      <c r="F1145" s="1127" t="s">
        <v>236</v>
      </c>
      <c r="G1145" s="801"/>
      <c r="H1145" s="685"/>
      <c r="I1145" s="1187"/>
      <c r="J1145" s="1188" t="s">
        <v>234</v>
      </c>
      <c r="K1145" s="1220" t="s">
        <v>34</v>
      </c>
      <c r="L1145" s="111" t="s">
        <v>239</v>
      </c>
      <c r="N1145" s="1199"/>
      <c r="O1145" s="1200"/>
    </row>
    <row r="1146" spans="1:15" hidden="1" outlineLevel="1" x14ac:dyDescent="0.35">
      <c r="A1146" s="709" t="s">
        <v>36</v>
      </c>
      <c r="B1146" s="263"/>
      <c r="C1146" s="419">
        <v>6910</v>
      </c>
      <c r="D1146" s="1189">
        <f>C1146-C1130</f>
        <v>-59</v>
      </c>
      <c r="E1146" s="1185">
        <f t="shared" ref="E1146:E1155" si="165">(C1146-C1130)/C1130</f>
        <v>-8.4660639977041183E-3</v>
      </c>
      <c r="F1146" s="1128" t="s">
        <v>37</v>
      </c>
      <c r="G1146" s="1129" t="s">
        <v>38</v>
      </c>
      <c r="H1146" s="1130" t="s">
        <v>144</v>
      </c>
      <c r="J1146" s="3137" t="s">
        <v>42</v>
      </c>
      <c r="K1146" s="3122"/>
      <c r="L1146" s="3123"/>
    </row>
    <row r="1147" spans="1:15" hidden="1" outlineLevel="1" x14ac:dyDescent="0.35">
      <c r="A1147" s="1087" t="s">
        <v>96</v>
      </c>
      <c r="B1147" s="1131">
        <v>262</v>
      </c>
      <c r="C1147" s="1132">
        <v>491.81</v>
      </c>
      <c r="D1147" s="1221">
        <f t="shared" ref="D1147:D1155" si="166">C1147*B1147</f>
        <v>128854.22</v>
      </c>
      <c r="E1147" s="1157">
        <f t="shared" si="165"/>
        <v>2.4405621428136539E-4</v>
      </c>
      <c r="F1147" s="1222">
        <f t="shared" ref="F1147:F1156" si="167">D1147/D$1094</f>
        <v>0.39701858525235606</v>
      </c>
      <c r="G1147" s="1136">
        <v>77.790000000000006</v>
      </c>
      <c r="H1147" s="1137" t="s">
        <v>146</v>
      </c>
      <c r="I1147" s="1203">
        <f>D1147-D1131</f>
        <v>31.440000000002328</v>
      </c>
      <c r="J1147" s="1139"/>
      <c r="K1147" s="1140"/>
      <c r="L1147" s="1141"/>
    </row>
    <row r="1148" spans="1:15" hidden="1" outlineLevel="1" x14ac:dyDescent="0.35">
      <c r="A1148" s="7" t="s">
        <v>137</v>
      </c>
      <c r="B1148" s="1142">
        <v>250</v>
      </c>
      <c r="C1148" s="1143">
        <v>316.19</v>
      </c>
      <c r="D1148" s="1223">
        <f t="shared" si="166"/>
        <v>79047.5</v>
      </c>
      <c r="E1148" s="1153">
        <f t="shared" si="165"/>
        <v>-4.1887125220458057E-3</v>
      </c>
      <c r="F1148" s="1224">
        <f t="shared" si="167"/>
        <v>0.24355683979721904</v>
      </c>
      <c r="G1148" s="1147">
        <v>77.63</v>
      </c>
      <c r="H1148" s="1148" t="s">
        <v>146</v>
      </c>
      <c r="I1148" s="1149">
        <f t="shared" ref="I1148:I1153" si="168">D1148-D1132</f>
        <v>-332.5</v>
      </c>
      <c r="J1148" s="1205"/>
      <c r="K1148" s="1206"/>
      <c r="L1148" s="1165"/>
    </row>
    <row r="1149" spans="1:15" hidden="1" outlineLevel="1" x14ac:dyDescent="0.35">
      <c r="A1149" s="1087" t="s">
        <v>208</v>
      </c>
      <c r="B1149" s="1131">
        <v>150</v>
      </c>
      <c r="C1149" s="1132">
        <v>215.57</v>
      </c>
      <c r="D1149" s="1221">
        <f t="shared" si="166"/>
        <v>32335.5</v>
      </c>
      <c r="E1149" s="1233">
        <f t="shared" si="165"/>
        <v>2.5156933612326383E-2</v>
      </c>
      <c r="F1149" s="1234">
        <f t="shared" si="167"/>
        <v>9.963037658702649E-2</v>
      </c>
      <c r="G1149" s="1235">
        <v>62.5</v>
      </c>
      <c r="H1149" s="1137" t="s">
        <v>216</v>
      </c>
      <c r="I1149" s="1204">
        <f t="shared" si="168"/>
        <v>793.5</v>
      </c>
      <c r="J1149" s="1139"/>
      <c r="K1149" s="1140"/>
      <c r="L1149" s="1141"/>
    </row>
    <row r="1150" spans="1:15" hidden="1" outlineLevel="1" x14ac:dyDescent="0.35">
      <c r="A1150" s="7" t="s">
        <v>222</v>
      </c>
      <c r="B1150" s="1142">
        <v>150</v>
      </c>
      <c r="C1150" s="1143">
        <v>171.89</v>
      </c>
      <c r="D1150" s="1223">
        <f t="shared" si="166"/>
        <v>25783.499999999996</v>
      </c>
      <c r="E1150" s="1233">
        <f t="shared" si="165"/>
        <v>3.9615338091205897E-2</v>
      </c>
      <c r="F1150" s="1234">
        <f t="shared" si="167"/>
        <v>7.9442712026459986E-2</v>
      </c>
      <c r="G1150" s="1235">
        <v>57.63</v>
      </c>
      <c r="H1150" s="1148" t="s">
        <v>192</v>
      </c>
      <c r="I1150" s="1204">
        <f t="shared" si="168"/>
        <v>982.49999999999636</v>
      </c>
      <c r="J1150" s="1207"/>
      <c r="K1150" s="1208"/>
      <c r="L1150" s="1209"/>
    </row>
    <row r="1151" spans="1:15" hidden="1" outlineLevel="1" x14ac:dyDescent="0.35">
      <c r="A1151" s="1087" t="s">
        <v>225</v>
      </c>
      <c r="B1151" s="1131">
        <v>150</v>
      </c>
      <c r="C1151" s="1132">
        <v>136.86000000000001</v>
      </c>
      <c r="D1151" s="1221">
        <f t="shared" si="166"/>
        <v>20529.000000000004</v>
      </c>
      <c r="E1151" s="1157">
        <f t="shared" si="165"/>
        <v>-6.0092026646521524E-2</v>
      </c>
      <c r="F1151" s="1222">
        <f t="shared" si="167"/>
        <v>6.3252833602544176E-2</v>
      </c>
      <c r="G1151" s="1136">
        <v>31.37</v>
      </c>
      <c r="H1151" s="1137" t="s">
        <v>216</v>
      </c>
      <c r="I1151" s="1149">
        <f t="shared" si="168"/>
        <v>-1312.5</v>
      </c>
      <c r="J1151" s="1205"/>
      <c r="K1151" s="1210"/>
      <c r="L1151" s="1211"/>
    </row>
    <row r="1152" spans="1:15" hidden="1" outlineLevel="1" x14ac:dyDescent="0.35">
      <c r="A1152" s="7" t="s">
        <v>227</v>
      </c>
      <c r="B1152" s="1142">
        <v>250</v>
      </c>
      <c r="C1152" s="1143">
        <v>41.09</v>
      </c>
      <c r="D1152" s="1223">
        <f t="shared" si="166"/>
        <v>10272.5</v>
      </c>
      <c r="E1152" s="1233">
        <f t="shared" si="165"/>
        <v>1.3316892725030982E-2</v>
      </c>
      <c r="F1152" s="1234">
        <f t="shared" si="167"/>
        <v>3.1651065964349696E-2</v>
      </c>
      <c r="G1152" s="1235" t="s">
        <v>228</v>
      </c>
      <c r="H1152" s="1148" t="s">
        <v>229</v>
      </c>
      <c r="I1152" s="1204">
        <f t="shared" si="168"/>
        <v>135</v>
      </c>
      <c r="J1152" s="1212"/>
      <c r="K1152" s="1213"/>
      <c r="L1152" s="1214"/>
      <c r="N1152" s="1199" t="s">
        <v>43</v>
      </c>
      <c r="O1152" s="1200" t="s">
        <v>198</v>
      </c>
    </row>
    <row r="1153" spans="1:15" hidden="1" outlineLevel="1" x14ac:dyDescent="0.35">
      <c r="A1153" s="1087" t="s">
        <v>215</v>
      </c>
      <c r="B1153" s="1131">
        <v>200</v>
      </c>
      <c r="C1153" s="1132">
        <v>16.059999999999999</v>
      </c>
      <c r="D1153" s="1221">
        <f t="shared" si="166"/>
        <v>3211.9999999999995</v>
      </c>
      <c r="E1153" s="1157">
        <f t="shared" si="165"/>
        <v>-5.0266114725014868E-2</v>
      </c>
      <c r="F1153" s="1222">
        <f t="shared" si="167"/>
        <v>9.8966389756623228E-3</v>
      </c>
      <c r="G1153" s="1136" t="s">
        <v>228</v>
      </c>
      <c r="H1153" s="1137" t="s">
        <v>216</v>
      </c>
      <c r="I1153" s="1149">
        <f t="shared" si="168"/>
        <v>-170.00000000000045</v>
      </c>
      <c r="J1153" s="1163"/>
      <c r="K1153" s="1164"/>
      <c r="L1153" s="1165"/>
      <c r="N1153" s="1199"/>
      <c r="O1153" s="1200"/>
    </row>
    <row r="1154" spans="1:15" hidden="1" outlineLevel="1" x14ac:dyDescent="0.35">
      <c r="A1154" s="7" t="s">
        <v>49</v>
      </c>
      <c r="B1154" s="1142">
        <v>1.927</v>
      </c>
      <c r="C1154" s="1143">
        <v>146.44999999999999</v>
      </c>
      <c r="D1154" s="1223">
        <f t="shared" si="166"/>
        <v>282.20914999999997</v>
      </c>
      <c r="E1154" s="1153">
        <f t="shared" si="165"/>
        <v>-7.8585461689589121E-3</v>
      </c>
      <c r="F1154" s="1224">
        <f t="shared" si="167"/>
        <v>8.6952742004313031E-4</v>
      </c>
      <c r="G1154" s="1147"/>
      <c r="H1154" s="1148"/>
      <c r="I1154" s="1204"/>
      <c r="J1154" s="1225"/>
      <c r="K1154" s="1226"/>
      <c r="L1154" s="1141"/>
      <c r="N1154" s="1199"/>
      <c r="O1154" s="1200"/>
    </row>
    <row r="1155" spans="1:15" hidden="1" outlineLevel="1" x14ac:dyDescent="0.35">
      <c r="A1155" s="1087" t="s">
        <v>135</v>
      </c>
      <c r="B1155" s="1131">
        <v>1.944</v>
      </c>
      <c r="C1155" s="1132">
        <v>135.37</v>
      </c>
      <c r="D1155" s="1221">
        <f t="shared" si="166"/>
        <v>263.15928000000002</v>
      </c>
      <c r="E1155" s="1157">
        <f t="shared" si="165"/>
        <v>-1.9271172933420247E-2</v>
      </c>
      <c r="F1155" s="1222">
        <f t="shared" si="167"/>
        <v>8.1083200101346041E-4</v>
      </c>
      <c r="G1155" s="1136"/>
      <c r="H1155" s="1137"/>
      <c r="I1155" s="1204"/>
      <c r="J1155" s="1170"/>
      <c r="K1155" s="1171"/>
      <c r="L1155" s="1172"/>
      <c r="N1155" s="1199"/>
      <c r="O1155" s="1200"/>
    </row>
    <row r="1156" spans="1:15" hidden="1" outlineLevel="1" x14ac:dyDescent="0.35">
      <c r="A1156" s="7" t="s">
        <v>7</v>
      </c>
      <c r="B1156" s="1142"/>
      <c r="C1156" s="1143"/>
      <c r="D1156" s="1223">
        <v>1658.7</v>
      </c>
      <c r="E1156" s="1153"/>
      <c r="F1156" s="1224">
        <f t="shared" si="167"/>
        <v>5.1106958496049491E-3</v>
      </c>
      <c r="G1156" s="1147"/>
      <c r="H1156" s="1148"/>
      <c r="I1156" s="1216"/>
      <c r="N1156" s="1199"/>
      <c r="O1156" s="1200"/>
    </row>
    <row r="1157" spans="1:15" ht="16" hidden="1" outlineLevel="1" thickBot="1" x14ac:dyDescent="0.4">
      <c r="A1157" s="1087" t="s">
        <v>60</v>
      </c>
      <c r="B1157" s="1131"/>
      <c r="C1157" s="1132"/>
      <c r="D1157" s="1221">
        <v>837.84</v>
      </c>
      <c r="E1157" s="1157">
        <f>(D1157-D1141)/D1141</f>
        <v>-0.70476136780086263</v>
      </c>
      <c r="F1157" s="1227"/>
      <c r="G1157" s="1228"/>
      <c r="H1157" s="1229"/>
      <c r="I1157" s="1121">
        <f>SUM(I1147:I1156)</f>
        <v>127.43999999999824</v>
      </c>
      <c r="N1157" s="1199"/>
      <c r="O1157" s="1200"/>
    </row>
    <row r="1158" spans="1:15" ht="19" hidden="1" outlineLevel="1" thickBot="1" x14ac:dyDescent="0.5">
      <c r="A1158" s="726" t="s">
        <v>62</v>
      </c>
      <c r="B1158" s="583"/>
      <c r="C1158" s="584"/>
      <c r="D1158" s="1230">
        <f>SUM(D1147:D1157)</f>
        <v>303076.12843000004</v>
      </c>
      <c r="E1158" s="771">
        <f>D1158-D1142</f>
        <v>-1890.4470699999947</v>
      </c>
      <c r="F1158" s="1180">
        <f>(D1158-D1142)/D1142</f>
        <v>-6.1988664393813038E-3</v>
      </c>
      <c r="G1158" s="679"/>
      <c r="H1158" s="1231"/>
      <c r="I1158" s="680"/>
      <c r="N1158" s="7">
        <v>43669</v>
      </c>
      <c r="O1158" s="1086">
        <f ca="1">N1158-TODAY()</f>
        <v>-1503</v>
      </c>
    </row>
    <row r="1159" spans="1:15" hidden="1" outlineLevel="1" x14ac:dyDescent="0.35">
      <c r="N1159" s="7"/>
      <c r="O1159" s="1086"/>
    </row>
    <row r="1160" spans="1:15" hidden="1" outlineLevel="1" x14ac:dyDescent="0.35">
      <c r="A1160" s="701" t="s">
        <v>25</v>
      </c>
      <c r="B1160" s="702" t="s">
        <v>26</v>
      </c>
      <c r="C1160" s="703" t="s">
        <v>27</v>
      </c>
      <c r="D1160" s="1124">
        <f>D1144+7</f>
        <v>43455</v>
      </c>
      <c r="E1160" s="705" t="s">
        <v>28</v>
      </c>
      <c r="F1160" s="1125"/>
      <c r="G1160" s="252"/>
      <c r="H1160" s="253"/>
      <c r="I1160" s="1182"/>
      <c r="J1160" s="1183" t="s">
        <v>233</v>
      </c>
      <c r="N1160" s="1199"/>
      <c r="O1160" s="1200"/>
    </row>
    <row r="1161" spans="1:15" hidden="1" outlineLevel="1" x14ac:dyDescent="0.35">
      <c r="A1161" s="706" t="s">
        <v>32</v>
      </c>
      <c r="B1161" s="255" t="str">
        <f ca="1">TEXT(TODAY(),"ddd")</f>
        <v>Sun</v>
      </c>
      <c r="C1161" s="256">
        <f>22878.45-1086.25</f>
        <v>21792.2</v>
      </c>
      <c r="D1161" s="1184">
        <f>C1161-C1145</f>
        <v>-2307.7999999999993</v>
      </c>
      <c r="E1161" s="1185">
        <f>(C1161-C1145)/C1145</f>
        <v>-9.5759336099585035E-2</v>
      </c>
      <c r="F1161" s="1127" t="s">
        <v>236</v>
      </c>
      <c r="G1161" s="801"/>
      <c r="H1161" s="685"/>
      <c r="I1161" s="1187"/>
      <c r="J1161" s="1188" t="s">
        <v>234</v>
      </c>
      <c r="K1161" s="1220" t="s">
        <v>34</v>
      </c>
      <c r="L1161" s="111" t="s">
        <v>240</v>
      </c>
      <c r="M1161">
        <f>36.07-21.62</f>
        <v>14.45</v>
      </c>
      <c r="N1161" s="7"/>
      <c r="O1161" s="1086"/>
    </row>
    <row r="1162" spans="1:15" hidden="1" outlineLevel="1" x14ac:dyDescent="0.35">
      <c r="A1162" s="709" t="s">
        <v>36</v>
      </c>
      <c r="B1162" s="263"/>
      <c r="C1162" s="419">
        <f>6553.25-361.44</f>
        <v>6191.81</v>
      </c>
      <c r="D1162" s="1189">
        <f>C1162-C1146</f>
        <v>-718.1899999999996</v>
      </c>
      <c r="E1162" s="1185">
        <f t="shared" ref="E1162:E1171" si="169">(C1162-C1146)/C1146</f>
        <v>-0.1039348769898697</v>
      </c>
      <c r="F1162" s="1128" t="s">
        <v>37</v>
      </c>
      <c r="G1162" s="1129" t="s">
        <v>38</v>
      </c>
      <c r="H1162" s="1130" t="s">
        <v>144</v>
      </c>
      <c r="J1162" s="3137" t="s">
        <v>42</v>
      </c>
      <c r="K1162" s="3122"/>
      <c r="L1162" s="3123"/>
    </row>
    <row r="1163" spans="1:15" hidden="1" outlineLevel="1" x14ac:dyDescent="0.35">
      <c r="A1163" s="1087" t="s">
        <v>96</v>
      </c>
      <c r="B1163" s="1131">
        <v>262</v>
      </c>
      <c r="C1163" s="1132">
        <f>461.98-27.09</f>
        <v>434.89000000000004</v>
      </c>
      <c r="D1163" s="1221">
        <f t="shared" ref="D1163:D1171" si="170">C1163*B1163</f>
        <v>113941.18000000001</v>
      </c>
      <c r="E1163" s="1134">
        <f t="shared" si="169"/>
        <v>-0.11573575161139456</v>
      </c>
      <c r="F1163" s="1222">
        <f t="shared" ref="F1163:F1172" si="171">D1163/D$1094</f>
        <v>0.35106934088448211</v>
      </c>
      <c r="G1163" s="1136">
        <v>77.790000000000006</v>
      </c>
      <c r="H1163" s="1137" t="s">
        <v>146</v>
      </c>
      <c r="I1163" s="1138">
        <f>D1163-D1147</f>
        <v>-14913.039999999994</v>
      </c>
      <c r="J1163" s="1139"/>
      <c r="K1163" s="1140"/>
      <c r="L1163" s="1141"/>
    </row>
    <row r="1164" spans="1:15" hidden="1" outlineLevel="1" x14ac:dyDescent="0.35">
      <c r="A1164" s="7" t="s">
        <v>137</v>
      </c>
      <c r="B1164" s="1142">
        <v>250</v>
      </c>
      <c r="C1164" s="1143">
        <f>307.44-26.36</f>
        <v>281.08</v>
      </c>
      <c r="D1164" s="1223">
        <f t="shared" si="170"/>
        <v>70270</v>
      </c>
      <c r="E1164" s="1173">
        <f t="shared" si="169"/>
        <v>-0.11104082988076794</v>
      </c>
      <c r="F1164" s="1224">
        <f t="shared" si="171"/>
        <v>0.21651208618299858</v>
      </c>
      <c r="G1164" s="1147">
        <v>77.63</v>
      </c>
      <c r="H1164" s="1148" t="s">
        <v>146</v>
      </c>
      <c r="I1164" s="1149">
        <f t="shared" ref="I1164:I1169" si="172">D1164-D1148</f>
        <v>-8777.5</v>
      </c>
      <c r="J1164" s="1205"/>
      <c r="K1164" s="1206"/>
      <c r="L1164" s="1165"/>
    </row>
    <row r="1165" spans="1:15" hidden="1" outlineLevel="1" x14ac:dyDescent="0.35">
      <c r="A1165" s="1087" t="s">
        <v>208</v>
      </c>
      <c r="B1165" s="1131">
        <v>150</v>
      </c>
      <c r="C1165" s="1132">
        <f>210.99-17.27</f>
        <v>193.72</v>
      </c>
      <c r="D1165" s="1221">
        <f t="shared" si="170"/>
        <v>29058</v>
      </c>
      <c r="E1165" s="1134">
        <f t="shared" si="169"/>
        <v>-0.10135918727095605</v>
      </c>
      <c r="F1165" s="1222">
        <f t="shared" si="171"/>
        <v>8.9531922588666185E-2</v>
      </c>
      <c r="G1165" s="1136">
        <v>62.5</v>
      </c>
      <c r="H1165" s="1137" t="s">
        <v>216</v>
      </c>
      <c r="I1165" s="1149">
        <f t="shared" si="172"/>
        <v>-3277.5</v>
      </c>
      <c r="J1165" s="1139"/>
      <c r="K1165" s="1140"/>
      <c r="L1165" s="1141"/>
    </row>
    <row r="1166" spans="1:15" hidden="1" outlineLevel="1" x14ac:dyDescent="0.35">
      <c r="A1166" s="7" t="s">
        <v>222</v>
      </c>
      <c r="B1166" s="1142">
        <v>150</v>
      </c>
      <c r="C1166" s="1143">
        <f>152.52-9.62</f>
        <v>142.9</v>
      </c>
      <c r="D1166" s="1223">
        <f t="shared" si="170"/>
        <v>21435</v>
      </c>
      <c r="E1166" s="1173">
        <f t="shared" si="169"/>
        <v>-0.16865437198208147</v>
      </c>
      <c r="F1166" s="1224">
        <f t="shared" si="171"/>
        <v>6.6044351321084035E-2</v>
      </c>
      <c r="G1166" s="1147">
        <v>57.63</v>
      </c>
      <c r="H1166" s="1148" t="s">
        <v>192</v>
      </c>
      <c r="I1166" s="1149">
        <f t="shared" si="172"/>
        <v>-4348.4999999999964</v>
      </c>
      <c r="J1166" s="1207"/>
      <c r="K1166" s="1208"/>
      <c r="L1166" s="1209"/>
    </row>
    <row r="1167" spans="1:15" hidden="1" outlineLevel="1" x14ac:dyDescent="0.35">
      <c r="A1167" s="1087" t="s">
        <v>225</v>
      </c>
      <c r="B1167" s="1131">
        <v>150</v>
      </c>
      <c r="C1167" s="1132">
        <f>137.86-9.5</f>
        <v>128.36000000000001</v>
      </c>
      <c r="D1167" s="1221">
        <f t="shared" si="170"/>
        <v>19254.000000000004</v>
      </c>
      <c r="E1167" s="1134">
        <f t="shared" si="169"/>
        <v>-6.2107262896390465E-2</v>
      </c>
      <c r="F1167" s="1222">
        <f t="shared" si="171"/>
        <v>5.9324373237049317E-2</v>
      </c>
      <c r="G1167" s="1136">
        <v>31.37</v>
      </c>
      <c r="H1167" s="1137" t="s">
        <v>216</v>
      </c>
      <c r="I1167" s="1149">
        <f t="shared" si="172"/>
        <v>-1275</v>
      </c>
      <c r="J1167" s="1205"/>
      <c r="K1167" s="1210"/>
      <c r="L1167" s="1211"/>
    </row>
    <row r="1168" spans="1:15" hidden="1" outlineLevel="1" x14ac:dyDescent="0.35">
      <c r="A1168" s="7" t="s">
        <v>227</v>
      </c>
      <c r="B1168" s="1142">
        <v>250</v>
      </c>
      <c r="C1168" s="1143">
        <f>37.93-1.64</f>
        <v>36.29</v>
      </c>
      <c r="D1168" s="1223">
        <f t="shared" si="170"/>
        <v>9072.5</v>
      </c>
      <c r="E1168" s="1173">
        <f t="shared" si="169"/>
        <v>-0.11681674373326853</v>
      </c>
      <c r="F1168" s="1224">
        <f t="shared" si="171"/>
        <v>2.7953691502707483E-2</v>
      </c>
      <c r="G1168" s="1147" t="s">
        <v>228</v>
      </c>
      <c r="H1168" s="1148" t="s">
        <v>229</v>
      </c>
      <c r="I1168" s="1149">
        <f t="shared" si="172"/>
        <v>-1200</v>
      </c>
      <c r="J1168" s="1212"/>
      <c r="K1168" s="1213"/>
      <c r="L1168" s="1214"/>
      <c r="N1168" s="1199" t="s">
        <v>43</v>
      </c>
      <c r="O1168" s="1200" t="s">
        <v>198</v>
      </c>
    </row>
    <row r="1169" spans="1:15" hidden="1" outlineLevel="1" x14ac:dyDescent="0.35">
      <c r="A1169" s="1087" t="s">
        <v>215</v>
      </c>
      <c r="B1169" s="1131">
        <v>200</v>
      </c>
      <c r="C1169" s="1132">
        <f>13.98-1.57</f>
        <v>12.41</v>
      </c>
      <c r="D1169" s="1221">
        <f t="shared" si="170"/>
        <v>2482</v>
      </c>
      <c r="E1169" s="1134">
        <f t="shared" si="169"/>
        <v>-0.22727272727272721</v>
      </c>
      <c r="F1169" s="1222">
        <f t="shared" si="171"/>
        <v>7.647402844829977E-3</v>
      </c>
      <c r="G1169" s="1136" t="s">
        <v>228</v>
      </c>
      <c r="H1169" s="1137" t="s">
        <v>216</v>
      </c>
      <c r="I1169" s="1149">
        <f t="shared" si="172"/>
        <v>-729.99999999999955</v>
      </c>
      <c r="J1169" s="1163"/>
      <c r="K1169" s="1164"/>
      <c r="L1169" s="1165"/>
      <c r="N1169" s="1199"/>
      <c r="O1169" s="1200"/>
    </row>
    <row r="1170" spans="1:15" hidden="1" outlineLevel="1" x14ac:dyDescent="0.35">
      <c r="A1170" s="7" t="s">
        <v>49</v>
      </c>
      <c r="B1170" s="1142">
        <v>1.927</v>
      </c>
      <c r="C1170" s="1166">
        <f>133.1-6.02</f>
        <v>127.08</v>
      </c>
      <c r="D1170" s="1223">
        <f t="shared" si="170"/>
        <v>244.88316</v>
      </c>
      <c r="E1170" s="1167">
        <f t="shared" si="169"/>
        <v>-0.13226357118470461</v>
      </c>
      <c r="F1170" s="1224">
        <f t="shared" si="171"/>
        <v>7.545206182252033E-4</v>
      </c>
      <c r="G1170" s="1147"/>
      <c r="H1170" s="1148"/>
      <c r="I1170" s="1204"/>
      <c r="J1170" s="1225"/>
      <c r="K1170" s="1226"/>
      <c r="L1170" s="1141"/>
      <c r="N1170" s="1199"/>
      <c r="O1170" s="1200"/>
    </row>
    <row r="1171" spans="1:15" hidden="1" outlineLevel="1" x14ac:dyDescent="0.35">
      <c r="A1171" s="1087" t="s">
        <v>135</v>
      </c>
      <c r="B1171" s="1131">
        <v>1.944</v>
      </c>
      <c r="C1171" s="1132">
        <f>130.84-7.56</f>
        <v>123.28</v>
      </c>
      <c r="D1171" s="1221">
        <f t="shared" si="170"/>
        <v>239.65631999999999</v>
      </c>
      <c r="E1171" s="1134">
        <f t="shared" si="169"/>
        <v>-8.9310777868065322E-2</v>
      </c>
      <c r="F1171" s="1222">
        <f t="shared" si="171"/>
        <v>7.3841596428262822E-4</v>
      </c>
      <c r="G1171" s="1136"/>
      <c r="H1171" s="1137"/>
      <c r="I1171" s="1204"/>
      <c r="J1171" s="1170"/>
      <c r="K1171" s="1171"/>
      <c r="L1171" s="1172"/>
      <c r="N1171" s="1199"/>
      <c r="O1171" s="1200"/>
    </row>
    <row r="1172" spans="1:15" hidden="1" outlineLevel="1" x14ac:dyDescent="0.35">
      <c r="A1172" s="7" t="s">
        <v>7</v>
      </c>
      <c r="B1172" s="1142"/>
      <c r="C1172" s="1143"/>
      <c r="D1172" s="1223">
        <v>1611.97</v>
      </c>
      <c r="E1172" s="1153"/>
      <c r="F1172" s="1224">
        <f t="shared" si="171"/>
        <v>4.9667139257778322E-3</v>
      </c>
      <c r="G1172" s="1147"/>
      <c r="H1172" s="1148"/>
      <c r="I1172" s="1216"/>
      <c r="N1172" s="1199"/>
      <c r="O1172" s="1200"/>
    </row>
    <row r="1173" spans="1:15" ht="16" hidden="1" outlineLevel="1" thickBot="1" x14ac:dyDescent="0.4">
      <c r="A1173" s="1087" t="s">
        <v>60</v>
      </c>
      <c r="B1173" s="1131"/>
      <c r="C1173" s="1132"/>
      <c r="D1173" s="1221">
        <v>837.84</v>
      </c>
      <c r="E1173" s="1157">
        <f>(D1173-D1157)/D1157</f>
        <v>0</v>
      </c>
      <c r="F1173" s="1227"/>
      <c r="G1173" s="1228"/>
      <c r="H1173" s="1229"/>
      <c r="I1173" s="592">
        <f>SUM(I1163:I1172)</f>
        <v>-34521.539999999994</v>
      </c>
      <c r="N1173" s="1199"/>
      <c r="O1173" s="1200"/>
    </row>
    <row r="1174" spans="1:15" ht="19" hidden="1" outlineLevel="1" thickBot="1" x14ac:dyDescent="0.5">
      <c r="A1174" s="726" t="s">
        <v>62</v>
      </c>
      <c r="B1174" s="583"/>
      <c r="C1174" s="584"/>
      <c r="D1174" s="1230">
        <f>SUM(D1163:D1173)</f>
        <v>268447.02948000003</v>
      </c>
      <c r="E1174" s="771">
        <f>D1174-D1158</f>
        <v>-34629.098950000014</v>
      </c>
      <c r="F1174" s="1180">
        <f>(D1174-D1158)/D1158</f>
        <v>-0.11425874789078982</v>
      </c>
      <c r="G1174" s="679"/>
      <c r="H1174" s="1231"/>
      <c r="I1174" s="680"/>
      <c r="N1174" s="1199"/>
      <c r="O1174" s="1200"/>
    </row>
    <row r="1175" spans="1:15" hidden="1" outlineLevel="1" x14ac:dyDescent="0.35">
      <c r="N1175" s="7">
        <v>43669</v>
      </c>
      <c r="O1175" s="1086">
        <f ca="1">N1175-TODAY()</f>
        <v>-1503</v>
      </c>
    </row>
    <row r="1176" spans="1:15" hidden="1" outlineLevel="1" x14ac:dyDescent="0.35">
      <c r="A1176" s="701" t="s">
        <v>25</v>
      </c>
      <c r="B1176" s="702" t="s">
        <v>26</v>
      </c>
      <c r="C1176" s="703" t="s">
        <v>27</v>
      </c>
      <c r="D1176" s="1236">
        <f>D1160+7</f>
        <v>43462</v>
      </c>
      <c r="E1176" s="705" t="s">
        <v>28</v>
      </c>
      <c r="F1176" s="1125"/>
      <c r="G1176" s="252"/>
      <c r="H1176" s="253"/>
      <c r="I1176" s="1182"/>
      <c r="J1176" s="1183" t="s">
        <v>233</v>
      </c>
      <c r="N1176" s="7"/>
      <c r="O1176" s="1086"/>
    </row>
    <row r="1177" spans="1:15" hidden="1" outlineLevel="1" x14ac:dyDescent="0.35">
      <c r="A1177" s="706" t="s">
        <v>32</v>
      </c>
      <c r="B1177" s="255" t="str">
        <f ca="1">TEXT(TODAY(),"ddd")</f>
        <v>Sun</v>
      </c>
      <c r="C1177" s="256">
        <v>23062</v>
      </c>
      <c r="D1177" s="1201">
        <f>C1177-C1161</f>
        <v>1269.7999999999993</v>
      </c>
      <c r="E1177" s="32">
        <f>(C1177-C1161)/C1161</f>
        <v>5.8268554804012412E-2</v>
      </c>
      <c r="F1177" s="1127" t="s">
        <v>236</v>
      </c>
      <c r="G1177" s="801"/>
      <c r="H1177" s="685"/>
      <c r="I1177" s="1187"/>
      <c r="J1177" s="1188" t="s">
        <v>234</v>
      </c>
      <c r="K1177" s="1220" t="s">
        <v>34</v>
      </c>
      <c r="L1177" s="111" t="s">
        <v>241</v>
      </c>
      <c r="M1177" s="1237">
        <f>RIGHT(L1161,4)-RIGHT(L1177,4)</f>
        <v>-2.2699999999999996</v>
      </c>
      <c r="N1177" s="1199"/>
      <c r="O1177" s="1200"/>
    </row>
    <row r="1178" spans="1:15" hidden="1" outlineLevel="1" x14ac:dyDescent="0.35">
      <c r="A1178" s="709" t="s">
        <v>36</v>
      </c>
      <c r="B1178" s="263"/>
      <c r="C1178" s="419">
        <v>6584</v>
      </c>
      <c r="D1178" s="1202">
        <f>C1178-C1162</f>
        <v>392.1899999999996</v>
      </c>
      <c r="E1178" s="32">
        <f t="shared" ref="E1178:E1187" si="173">(C1178-C1162)/C1162</f>
        <v>6.3340121870664567E-2</v>
      </c>
      <c r="F1178" s="1128" t="s">
        <v>37</v>
      </c>
      <c r="G1178" s="1129" t="s">
        <v>38</v>
      </c>
      <c r="H1178" s="1130" t="s">
        <v>144</v>
      </c>
      <c r="J1178" s="3137" t="s">
        <v>42</v>
      </c>
      <c r="K1178" s="3122"/>
      <c r="L1178" s="3123"/>
    </row>
    <row r="1179" spans="1:15" hidden="1" outlineLevel="1" x14ac:dyDescent="0.35">
      <c r="A1179" s="1087" t="s">
        <v>96</v>
      </c>
      <c r="B1179" s="1131">
        <v>262</v>
      </c>
      <c r="C1179" s="1132">
        <v>471.2</v>
      </c>
      <c r="D1179" s="1221">
        <f t="shared" ref="D1179:D1187" si="174">C1179*B1179</f>
        <v>123454.39999999999</v>
      </c>
      <c r="E1179" s="1157">
        <f t="shared" si="173"/>
        <v>8.3492377382786323E-2</v>
      </c>
      <c r="F1179" s="1222">
        <f t="shared" ref="F1179:F1188" si="175">D1179/D$1094</f>
        <v>0.38038095478113532</v>
      </c>
      <c r="G1179" s="1136">
        <v>70.39</v>
      </c>
      <c r="H1179" s="1137" t="s">
        <v>145</v>
      </c>
      <c r="I1179" s="1203">
        <f>D1179-D1163</f>
        <v>9513.2199999999866</v>
      </c>
      <c r="J1179" s="1139"/>
      <c r="K1179" s="1140"/>
      <c r="L1179" s="1141"/>
    </row>
    <row r="1180" spans="1:15" hidden="1" outlineLevel="1" x14ac:dyDescent="0.35">
      <c r="A1180" s="7" t="s">
        <v>137</v>
      </c>
      <c r="B1180" s="1142">
        <v>250</v>
      </c>
      <c r="C1180" s="1143">
        <v>318.17</v>
      </c>
      <c r="D1180" s="1223">
        <f t="shared" si="174"/>
        <v>79542.5</v>
      </c>
      <c r="E1180" s="1153">
        <f t="shared" si="173"/>
        <v>0.13195531521275095</v>
      </c>
      <c r="F1180" s="1224">
        <f t="shared" si="175"/>
        <v>0.24508200676264644</v>
      </c>
      <c r="G1180" s="1147">
        <v>76.959999999999994</v>
      </c>
      <c r="H1180" s="1148" t="s">
        <v>146</v>
      </c>
      <c r="I1180" s="1204">
        <f t="shared" ref="I1180:I1185" si="176">D1180-D1164</f>
        <v>9272.5</v>
      </c>
      <c r="J1180" s="1205"/>
      <c r="K1180" s="1206"/>
      <c r="L1180" s="1165"/>
    </row>
    <row r="1181" spans="1:15" hidden="1" outlineLevel="1" x14ac:dyDescent="0.35">
      <c r="A1181" s="1087" t="s">
        <v>208</v>
      </c>
      <c r="B1181" s="1131">
        <v>150</v>
      </c>
      <c r="C1181" s="1132">
        <v>208.29</v>
      </c>
      <c r="D1181" s="1221">
        <f t="shared" si="174"/>
        <v>31243.5</v>
      </c>
      <c r="E1181" s="1157">
        <f t="shared" si="173"/>
        <v>7.5211645674168867E-2</v>
      </c>
      <c r="F1181" s="1222">
        <f t="shared" si="175"/>
        <v>9.6265765826932068E-2</v>
      </c>
      <c r="G1181" s="1136">
        <v>54.43</v>
      </c>
      <c r="H1181" s="1137" t="s">
        <v>192</v>
      </c>
      <c r="I1181" s="1204">
        <f t="shared" si="176"/>
        <v>2185.5</v>
      </c>
      <c r="J1181" s="1139"/>
      <c r="K1181" s="1140"/>
      <c r="L1181" s="1141"/>
    </row>
    <row r="1182" spans="1:15" hidden="1" outlineLevel="1" x14ac:dyDescent="0.35">
      <c r="A1182" s="7" t="s">
        <v>222</v>
      </c>
      <c r="B1182" s="1142">
        <v>150</v>
      </c>
      <c r="C1182" s="1143">
        <v>155.97</v>
      </c>
      <c r="D1182" s="1223">
        <f t="shared" si="174"/>
        <v>23395.5</v>
      </c>
      <c r="E1182" s="1153">
        <f t="shared" si="173"/>
        <v>9.1462561231630463E-2</v>
      </c>
      <c r="F1182" s="1224">
        <f t="shared" si="175"/>
        <v>7.2084936847791992E-2</v>
      </c>
      <c r="G1182" s="1147">
        <v>27.27</v>
      </c>
      <c r="H1182" s="1148" t="s">
        <v>146</v>
      </c>
      <c r="I1182" s="1204">
        <f t="shared" si="176"/>
        <v>1960.5</v>
      </c>
      <c r="J1182" s="1207"/>
      <c r="K1182" s="1208"/>
      <c r="L1182" s="1209"/>
    </row>
    <row r="1183" spans="1:15" hidden="1" outlineLevel="1" x14ac:dyDescent="0.35">
      <c r="A1183" s="1087" t="s">
        <v>225</v>
      </c>
      <c r="B1183" s="1131">
        <v>150</v>
      </c>
      <c r="C1183" s="1132">
        <v>135.84</v>
      </c>
      <c r="D1183" s="1221">
        <f t="shared" si="174"/>
        <v>20376</v>
      </c>
      <c r="E1183" s="1157">
        <f t="shared" si="173"/>
        <v>5.8273605484574546E-2</v>
      </c>
      <c r="F1183" s="1222">
        <f t="shared" si="175"/>
        <v>6.2781418358684782E-2</v>
      </c>
      <c r="G1183" s="1136">
        <v>18.5</v>
      </c>
      <c r="H1183" s="1137" t="s">
        <v>192</v>
      </c>
      <c r="I1183" s="1204">
        <f t="shared" si="176"/>
        <v>1121.9999999999964</v>
      </c>
      <c r="J1183" s="1205"/>
      <c r="K1183" s="1210"/>
      <c r="L1183" s="1211"/>
    </row>
    <row r="1184" spans="1:15" hidden="1" outlineLevel="1" x14ac:dyDescent="0.35">
      <c r="A1184" s="7" t="s">
        <v>227</v>
      </c>
      <c r="B1184" s="1142">
        <v>250</v>
      </c>
      <c r="C1184" s="1143">
        <v>38.880000000000003</v>
      </c>
      <c r="D1184" s="1223">
        <f t="shared" si="174"/>
        <v>9720</v>
      </c>
      <c r="E1184" s="1153">
        <f t="shared" si="173"/>
        <v>7.1369523284651515E-2</v>
      </c>
      <c r="F1184" s="1224">
        <f t="shared" si="175"/>
        <v>2.9948733139301926E-2</v>
      </c>
      <c r="G1184" s="1147" t="s">
        <v>228</v>
      </c>
      <c r="H1184" s="1148" t="s">
        <v>216</v>
      </c>
      <c r="I1184" s="1204">
        <f t="shared" si="176"/>
        <v>647.5</v>
      </c>
      <c r="J1184" s="1212"/>
      <c r="K1184" s="1213"/>
      <c r="L1184" s="1214"/>
      <c r="N1184" s="1199" t="s">
        <v>43</v>
      </c>
      <c r="O1184" s="1200" t="s">
        <v>198</v>
      </c>
    </row>
    <row r="1185" spans="1:15" hidden="1" outlineLevel="1" x14ac:dyDescent="0.35">
      <c r="A1185" s="1087" t="s">
        <v>215</v>
      </c>
      <c r="B1185" s="1131">
        <v>200</v>
      </c>
      <c r="C1185" s="1132">
        <v>13.24</v>
      </c>
      <c r="D1185" s="1221">
        <f t="shared" si="174"/>
        <v>2648</v>
      </c>
      <c r="E1185" s="1157">
        <f t="shared" si="173"/>
        <v>6.688154713940371E-2</v>
      </c>
      <c r="F1185" s="1222">
        <f t="shared" si="175"/>
        <v>8.1588729786904839E-3</v>
      </c>
      <c r="G1185" s="1136" t="s">
        <v>228</v>
      </c>
      <c r="H1185" s="1137" t="s">
        <v>216</v>
      </c>
      <c r="I1185" s="1204">
        <f t="shared" si="176"/>
        <v>166</v>
      </c>
      <c r="J1185" s="1163"/>
      <c r="K1185" s="1164"/>
      <c r="L1185" s="1165"/>
      <c r="N1185" s="1199"/>
      <c r="O1185" s="1200"/>
    </row>
    <row r="1186" spans="1:15" hidden="1" outlineLevel="1" x14ac:dyDescent="0.35">
      <c r="A1186" s="7" t="s">
        <v>49</v>
      </c>
      <c r="B1186" s="1142">
        <v>1.927</v>
      </c>
      <c r="C1186" s="1143">
        <v>133.65</v>
      </c>
      <c r="D1186" s="1223">
        <f t="shared" si="174"/>
        <v>257.54355000000004</v>
      </c>
      <c r="E1186" s="1153">
        <f t="shared" si="173"/>
        <v>5.1699716713881079E-2</v>
      </c>
      <c r="F1186" s="1224">
        <f t="shared" si="175"/>
        <v>7.9352912044222874E-4</v>
      </c>
      <c r="G1186" s="1147"/>
      <c r="H1186" s="1148"/>
      <c r="I1186" s="1204"/>
      <c r="J1186" s="1225"/>
      <c r="K1186" s="1226"/>
      <c r="L1186" s="1141"/>
      <c r="N1186" s="1199"/>
      <c r="O1186" s="1200"/>
    </row>
    <row r="1187" spans="1:15" hidden="1" outlineLevel="1" x14ac:dyDescent="0.35">
      <c r="A1187" s="1087" t="s">
        <v>135</v>
      </c>
      <c r="B1187" s="1131">
        <v>1.944</v>
      </c>
      <c r="C1187" s="1132">
        <v>135.41999999999999</v>
      </c>
      <c r="D1187" s="1221">
        <f t="shared" si="174"/>
        <v>263.25647999999995</v>
      </c>
      <c r="E1187" s="1157">
        <f t="shared" si="173"/>
        <v>9.8475016223231557E-2</v>
      </c>
      <c r="F1187" s="1222">
        <f t="shared" si="175"/>
        <v>8.1113148834485325E-4</v>
      </c>
      <c r="G1187" s="1136"/>
      <c r="H1187" s="1137"/>
      <c r="I1187" s="1204"/>
      <c r="J1187" s="1170"/>
      <c r="K1187" s="1171"/>
      <c r="L1187" s="1172"/>
      <c r="N1187" s="1199"/>
      <c r="O1187" s="1200"/>
    </row>
    <row r="1188" spans="1:15" hidden="1" outlineLevel="1" x14ac:dyDescent="0.35">
      <c r="A1188" s="7" t="s">
        <v>7</v>
      </c>
      <c r="B1188" s="1142"/>
      <c r="C1188" s="1143"/>
      <c r="D1188" s="1223">
        <v>1612.94</v>
      </c>
      <c r="E1188" s="1153"/>
      <c r="F1188" s="1224">
        <f t="shared" si="175"/>
        <v>4.9697026368009925E-3</v>
      </c>
      <c r="G1188" s="1147"/>
      <c r="H1188" s="1148"/>
      <c r="I1188" s="1216"/>
      <c r="N1188" s="1199"/>
      <c r="O1188" s="1200"/>
    </row>
    <row r="1189" spans="1:15" ht="16" hidden="1" outlineLevel="1" thickBot="1" x14ac:dyDescent="0.4">
      <c r="A1189" s="1087" t="s">
        <v>60</v>
      </c>
      <c r="B1189" s="1131"/>
      <c r="C1189" s="1132"/>
      <c r="D1189" s="1221">
        <v>37.840000000000003</v>
      </c>
      <c r="E1189" s="1157">
        <f>(D1189-D1173)/D1173</f>
        <v>-0.95483624558388236</v>
      </c>
      <c r="F1189" s="1227"/>
      <c r="G1189" s="1228"/>
      <c r="H1189" s="1229"/>
      <c r="I1189" s="1121">
        <f>SUM(I1179:I1188)</f>
        <v>24867.219999999983</v>
      </c>
      <c r="N1189" s="1199"/>
      <c r="O1189" s="1200"/>
    </row>
    <row r="1190" spans="1:15" ht="19" hidden="1" outlineLevel="1" thickBot="1" x14ac:dyDescent="0.5">
      <c r="A1190" s="726" t="s">
        <v>62</v>
      </c>
      <c r="B1190" s="583"/>
      <c r="C1190" s="584"/>
      <c r="D1190" s="1230">
        <f>SUM(D1179:D1189)</f>
        <v>292551.48003000004</v>
      </c>
      <c r="E1190" s="1238">
        <f>D1190-D1174</f>
        <v>24104.450550000009</v>
      </c>
      <c r="F1190" s="1218">
        <f>(D1190-D1174)/D1174</f>
        <v>8.9792204431138431E-2</v>
      </c>
      <c r="G1190" s="679"/>
      <c r="H1190" s="1231"/>
      <c r="I1190" s="680"/>
      <c r="N1190" s="1199"/>
      <c r="O1190" s="1200"/>
    </row>
    <row r="1191" spans="1:15" hidden="1" outlineLevel="1" x14ac:dyDescent="0.35">
      <c r="N1191" s="7"/>
      <c r="O1191" s="1086"/>
    </row>
    <row r="1192" spans="1:15" hidden="1" outlineLevel="1" x14ac:dyDescent="0.35">
      <c r="A1192" s="701" t="s">
        <v>25</v>
      </c>
      <c r="B1192" s="702" t="s">
        <v>26</v>
      </c>
      <c r="C1192" s="703" t="s">
        <v>27</v>
      </c>
      <c r="D1192" s="1239">
        <f>D1176+7</f>
        <v>43469</v>
      </c>
      <c r="E1192" s="705" t="s">
        <v>28</v>
      </c>
      <c r="F1192" s="1125"/>
      <c r="G1192" s="252"/>
      <c r="H1192" s="253"/>
      <c r="I1192" s="1182"/>
      <c r="J1192" s="1183" t="s">
        <v>233</v>
      </c>
    </row>
    <row r="1193" spans="1:15" hidden="1" outlineLevel="1" x14ac:dyDescent="0.35">
      <c r="A1193" s="706" t="s">
        <v>32</v>
      </c>
      <c r="B1193" s="255" t="str">
        <f ca="1">TEXT(TODAY(),"ddd")</f>
        <v>Sun</v>
      </c>
      <c r="C1193" s="256">
        <v>22722</v>
      </c>
      <c r="D1193" s="1201">
        <f>C1193-C1177</f>
        <v>-340</v>
      </c>
      <c r="E1193" s="32">
        <f>(C1193-C1177)/C1177</f>
        <v>-1.4742867054028271E-2</v>
      </c>
      <c r="F1193" s="1127" t="s">
        <v>236</v>
      </c>
      <c r="G1193" s="801"/>
      <c r="H1193" s="685"/>
      <c r="I1193" s="1187"/>
      <c r="J1193" s="1188" t="s">
        <v>234</v>
      </c>
      <c r="K1193" s="1220" t="s">
        <v>34</v>
      </c>
      <c r="L1193" s="111" t="s">
        <v>242</v>
      </c>
      <c r="M1193">
        <f>RIGHT(L1177,4)-RIGHT(L1193,4)</f>
        <v>3.24</v>
      </c>
    </row>
    <row r="1194" spans="1:15" hidden="1" outlineLevel="1" x14ac:dyDescent="0.35">
      <c r="A1194" s="709" t="s">
        <v>36</v>
      </c>
      <c r="B1194" s="263"/>
      <c r="C1194" s="419">
        <v>6476</v>
      </c>
      <c r="D1194" s="1202">
        <f>C1194-C1178</f>
        <v>-108</v>
      </c>
      <c r="E1194" s="32">
        <f t="shared" ref="E1194:E1203" si="177">(C1194-C1178)/C1178</f>
        <v>-1.6403402187120292E-2</v>
      </c>
      <c r="F1194" s="1128" t="s">
        <v>37</v>
      </c>
      <c r="G1194" s="1129" t="s">
        <v>38</v>
      </c>
      <c r="H1194" s="1130" t="s">
        <v>144</v>
      </c>
      <c r="J1194" s="3137" t="s">
        <v>42</v>
      </c>
      <c r="K1194" s="3122"/>
      <c r="L1194" s="3123"/>
    </row>
    <row r="1195" spans="1:15" hidden="1" outlineLevel="1" x14ac:dyDescent="0.35">
      <c r="A1195" s="1087" t="s">
        <v>96</v>
      </c>
      <c r="B1195" s="1131">
        <v>262</v>
      </c>
      <c r="C1195" s="1132">
        <v>451.33</v>
      </c>
      <c r="D1195" s="1221">
        <f t="shared" ref="D1195:D1203" si="178">C1195*B1195</f>
        <v>118248.45999999999</v>
      </c>
      <c r="E1195" s="1157">
        <f t="shared" si="177"/>
        <v>-4.2168930390492368E-2</v>
      </c>
      <c r="F1195" s="1222">
        <f t="shared" ref="F1195:F1204" si="179">D1195/D$1094</f>
        <v>0.36434069677710063</v>
      </c>
      <c r="G1195" s="1136">
        <v>70.39</v>
      </c>
      <c r="H1195" s="1137" t="s">
        <v>145</v>
      </c>
      <c r="I1195" s="1138">
        <f>D1195-D1179</f>
        <v>-5205.9400000000023</v>
      </c>
      <c r="J1195" s="1139"/>
      <c r="K1195" s="1140"/>
      <c r="L1195" s="1141"/>
    </row>
    <row r="1196" spans="1:15" hidden="1" outlineLevel="1" x14ac:dyDescent="0.35">
      <c r="A1196" s="7" t="s">
        <v>137</v>
      </c>
      <c r="B1196" s="1142">
        <v>250</v>
      </c>
      <c r="C1196" s="1143">
        <v>301.77</v>
      </c>
      <c r="D1196" s="1223">
        <f t="shared" si="178"/>
        <v>75442.5</v>
      </c>
      <c r="E1196" s="1153">
        <f t="shared" si="177"/>
        <v>-5.1544771662947589E-2</v>
      </c>
      <c r="F1196" s="1224">
        <f t="shared" si="179"/>
        <v>0.23244931068536889</v>
      </c>
      <c r="G1196" s="1147">
        <v>76.959999999999994</v>
      </c>
      <c r="H1196" s="1148" t="s">
        <v>146</v>
      </c>
      <c r="I1196" s="1149">
        <f t="shared" ref="I1196:I1204" si="180">D1196-D1180</f>
        <v>-4100</v>
      </c>
      <c r="J1196" s="1205"/>
      <c r="K1196" s="1206"/>
      <c r="L1196" s="1165"/>
    </row>
    <row r="1197" spans="1:15" hidden="1" outlineLevel="1" x14ac:dyDescent="0.35">
      <c r="A1197" s="1087" t="s">
        <v>208</v>
      </c>
      <c r="B1197" s="1131">
        <v>150</v>
      </c>
      <c r="C1197" s="1132">
        <v>183.72</v>
      </c>
      <c r="D1197" s="1221">
        <f t="shared" si="178"/>
        <v>27558</v>
      </c>
      <c r="E1197" s="1157">
        <f t="shared" si="177"/>
        <v>-0.1179605357914446</v>
      </c>
      <c r="F1197" s="1222">
        <f t="shared" si="179"/>
        <v>8.4910204511613421E-2</v>
      </c>
      <c r="G1197" s="1136">
        <v>54.43</v>
      </c>
      <c r="H1197" s="1137" t="s">
        <v>192</v>
      </c>
      <c r="I1197" s="1149">
        <f t="shared" si="180"/>
        <v>-3685.5</v>
      </c>
      <c r="J1197" s="1139"/>
      <c r="K1197" s="1140"/>
      <c r="L1197" s="1141"/>
    </row>
    <row r="1198" spans="1:15" hidden="1" outlineLevel="1" x14ac:dyDescent="0.35">
      <c r="A1198" s="7" t="s">
        <v>222</v>
      </c>
      <c r="B1198" s="1142">
        <v>150</v>
      </c>
      <c r="C1198" s="1143">
        <v>148.04</v>
      </c>
      <c r="D1198" s="1223">
        <f t="shared" si="178"/>
        <v>22206</v>
      </c>
      <c r="E1198" s="1153">
        <f t="shared" si="177"/>
        <v>-5.0843110854651583E-2</v>
      </c>
      <c r="F1198" s="1224">
        <f t="shared" si="179"/>
        <v>6.8419914412689159E-2</v>
      </c>
      <c r="G1198" s="1147">
        <v>27.27</v>
      </c>
      <c r="H1198" s="1148" t="s">
        <v>146</v>
      </c>
      <c r="I1198" s="1149">
        <f t="shared" si="180"/>
        <v>-1189.5</v>
      </c>
      <c r="J1198" s="1207"/>
      <c r="K1198" s="1208"/>
      <c r="L1198" s="1209"/>
      <c r="N1198" s="1199" t="s">
        <v>43</v>
      </c>
      <c r="O1198" s="1200" t="s">
        <v>198</v>
      </c>
    </row>
    <row r="1199" spans="1:15" hidden="1" outlineLevel="1" x14ac:dyDescent="0.35">
      <c r="A1199" s="1087" t="s">
        <v>225</v>
      </c>
      <c r="B1199" s="1131">
        <v>150</v>
      </c>
      <c r="C1199" s="1132">
        <v>132.75</v>
      </c>
      <c r="D1199" s="1221">
        <f t="shared" si="178"/>
        <v>19912.5</v>
      </c>
      <c r="E1199" s="1157">
        <f t="shared" si="177"/>
        <v>-2.2747349823321578E-2</v>
      </c>
      <c r="F1199" s="1222">
        <f t="shared" si="179"/>
        <v>6.1353307472875471E-2</v>
      </c>
      <c r="G1199" s="1136">
        <v>18.5</v>
      </c>
      <c r="H1199" s="1137" t="s">
        <v>192</v>
      </c>
      <c r="I1199" s="1149">
        <f t="shared" si="180"/>
        <v>-463.5</v>
      </c>
      <c r="J1199" s="1205"/>
      <c r="K1199" s="1210"/>
      <c r="L1199" s="1211"/>
      <c r="N1199" s="1199"/>
      <c r="O1199" s="1200"/>
    </row>
    <row r="1200" spans="1:15" hidden="1" outlineLevel="1" x14ac:dyDescent="0.35">
      <c r="A1200" s="7" t="s">
        <v>227</v>
      </c>
      <c r="B1200" s="1142">
        <v>250</v>
      </c>
      <c r="C1200" s="1143">
        <v>39.68</v>
      </c>
      <c r="D1200" s="1223">
        <f t="shared" si="178"/>
        <v>9920</v>
      </c>
      <c r="E1200" s="1153">
        <f t="shared" si="177"/>
        <v>2.0576131687242726E-2</v>
      </c>
      <c r="F1200" s="1224">
        <f t="shared" si="179"/>
        <v>3.0564962216242296E-2</v>
      </c>
      <c r="G1200" s="1147" t="s">
        <v>228</v>
      </c>
      <c r="H1200" s="1148" t="s">
        <v>216</v>
      </c>
      <c r="I1200" s="1204">
        <f t="shared" si="180"/>
        <v>200</v>
      </c>
      <c r="J1200" s="1212"/>
      <c r="K1200" s="1213"/>
      <c r="L1200" s="1214"/>
      <c r="N1200" s="1199"/>
      <c r="O1200" s="1200"/>
    </row>
    <row r="1201" spans="1:16" hidden="1" outlineLevel="1" x14ac:dyDescent="0.35">
      <c r="A1201" s="1087" t="s">
        <v>215</v>
      </c>
      <c r="B1201" s="1131">
        <v>200</v>
      </c>
      <c r="C1201" s="1132">
        <v>12.5</v>
      </c>
      <c r="D1201" s="1221">
        <f t="shared" si="178"/>
        <v>2500</v>
      </c>
      <c r="E1201" s="1157">
        <f t="shared" si="177"/>
        <v>-5.5891238670694877E-2</v>
      </c>
      <c r="F1201" s="1222">
        <f t="shared" si="179"/>
        <v>7.702863461754611E-3</v>
      </c>
      <c r="G1201" s="1136" t="s">
        <v>228</v>
      </c>
      <c r="H1201" s="1137" t="s">
        <v>216</v>
      </c>
      <c r="I1201" s="1149">
        <f t="shared" si="180"/>
        <v>-148</v>
      </c>
      <c r="J1201" s="1163"/>
      <c r="K1201" s="1164"/>
      <c r="L1201" s="1165"/>
      <c r="N1201" s="1199"/>
      <c r="O1201" s="1200"/>
    </row>
    <row r="1202" spans="1:16" hidden="1" outlineLevel="1" x14ac:dyDescent="0.35">
      <c r="A1202" s="7" t="s">
        <v>49</v>
      </c>
      <c r="B1202" s="1142">
        <v>1.927</v>
      </c>
      <c r="C1202" s="1143">
        <v>128.25</v>
      </c>
      <c r="D1202" s="1223">
        <f t="shared" si="178"/>
        <v>247.13775000000001</v>
      </c>
      <c r="E1202" s="1153">
        <f t="shared" si="177"/>
        <v>-4.0404040404040442E-2</v>
      </c>
      <c r="F1202" s="1224">
        <f t="shared" si="179"/>
        <v>7.6146733779809824E-4</v>
      </c>
      <c r="G1202" s="1147"/>
      <c r="H1202" s="1148"/>
      <c r="I1202" s="1149">
        <f t="shared" si="180"/>
        <v>-10.405800000000028</v>
      </c>
      <c r="J1202" s="1225"/>
      <c r="K1202" s="1226"/>
      <c r="L1202" s="1141"/>
      <c r="N1202" s="1199"/>
      <c r="O1202" s="1200"/>
    </row>
    <row r="1203" spans="1:16" hidden="1" outlineLevel="1" x14ac:dyDescent="0.35">
      <c r="A1203" s="1087" t="s">
        <v>135</v>
      </c>
      <c r="B1203" s="1131">
        <v>1.944</v>
      </c>
      <c r="C1203" s="1132">
        <v>131.93</v>
      </c>
      <c r="D1203" s="1221">
        <f t="shared" si="178"/>
        <v>256.47192000000001</v>
      </c>
      <c r="E1203" s="1157">
        <f t="shared" si="177"/>
        <v>-2.5771673312656777E-2</v>
      </c>
      <c r="F1203" s="1222">
        <f t="shared" si="179"/>
        <v>7.9022727261362071E-4</v>
      </c>
      <c r="G1203" s="1136"/>
      <c r="H1203" s="1137"/>
      <c r="I1203" s="1149">
        <f t="shared" si="180"/>
        <v>-6.7845599999999422</v>
      </c>
      <c r="J1203" s="1170"/>
      <c r="K1203" s="1171"/>
      <c r="L1203" s="1172"/>
      <c r="N1203" s="1199"/>
      <c r="O1203" s="1200"/>
    </row>
    <row r="1204" spans="1:16" hidden="1" outlineLevel="1" x14ac:dyDescent="0.35">
      <c r="A1204" s="7" t="s">
        <v>7</v>
      </c>
      <c r="B1204" s="1142"/>
      <c r="C1204" s="1143"/>
      <c r="D1204" s="1223">
        <v>1621.73</v>
      </c>
      <c r="E1204" s="1153"/>
      <c r="F1204" s="1224">
        <f t="shared" si="179"/>
        <v>4.9967859047325217E-3</v>
      </c>
      <c r="G1204" s="1147"/>
      <c r="H1204" s="1148"/>
      <c r="I1204" s="1216">
        <f t="shared" si="180"/>
        <v>8.7899999999999636</v>
      </c>
      <c r="N1204" s="1199"/>
      <c r="O1204" s="1200"/>
    </row>
    <row r="1205" spans="1:16" ht="16" hidden="1" outlineLevel="1" thickBot="1" x14ac:dyDescent="0.4">
      <c r="A1205" s="1087" t="s">
        <v>60</v>
      </c>
      <c r="B1205" s="1131"/>
      <c r="C1205" s="1132"/>
      <c r="D1205" s="1221">
        <f>28.7+9.95</f>
        <v>38.65</v>
      </c>
      <c r="E1205" s="1157">
        <f>(D1205-D1189)/D1189</f>
        <v>2.1405919661733486E-2</v>
      </c>
      <c r="F1205" s="1227"/>
      <c r="G1205" s="1228"/>
      <c r="H1205" s="1229"/>
      <c r="I1205" s="592">
        <f>D1206-D1190</f>
        <v>-14600.030360000092</v>
      </c>
      <c r="N1205" s="7"/>
      <c r="O1205" s="1086"/>
    </row>
    <row r="1206" spans="1:16" ht="19" hidden="1" outlineLevel="1" thickBot="1" x14ac:dyDescent="0.5">
      <c r="A1206" s="726" t="s">
        <v>62</v>
      </c>
      <c r="B1206" s="583"/>
      <c r="C1206" s="584"/>
      <c r="D1206" s="1230">
        <f>SUM(D1195:D1205)</f>
        <v>277951.44966999994</v>
      </c>
      <c r="E1206" s="771">
        <f>D1206-D1190</f>
        <v>-14600.030360000092</v>
      </c>
      <c r="F1206" s="1218">
        <f>(D1206-D1190)/D1190</f>
        <v>-4.9905850274635129E-2</v>
      </c>
      <c r="G1206" s="679"/>
      <c r="H1206" s="1231"/>
      <c r="I1206" s="680"/>
    </row>
    <row r="1207" spans="1:16" hidden="1" outlineLevel="1" collapsed="1" x14ac:dyDescent="0.35"/>
    <row r="1208" spans="1:16" hidden="1" outlineLevel="1" x14ac:dyDescent="0.35">
      <c r="A1208" s="701" t="s">
        <v>25</v>
      </c>
      <c r="B1208" s="702" t="s">
        <v>26</v>
      </c>
      <c r="C1208" s="703" t="s">
        <v>27</v>
      </c>
      <c r="D1208" s="704">
        <f>D1192+7</f>
        <v>43476</v>
      </c>
      <c r="E1208" s="705" t="s">
        <v>28</v>
      </c>
      <c r="F1208" s="1125"/>
      <c r="G1208" s="252"/>
      <c r="H1208" s="253"/>
      <c r="I1208" s="1182">
        <f>D1222-D1190</f>
        <v>6207.9774699999834</v>
      </c>
      <c r="J1208" s="1183" t="s">
        <v>233</v>
      </c>
    </row>
    <row r="1209" spans="1:16" hidden="1" outlineLevel="1" x14ac:dyDescent="0.35">
      <c r="A1209" s="706" t="s">
        <v>32</v>
      </c>
      <c r="B1209" s="255" t="str">
        <f ca="1">TEXT(TODAY(),"ddd")</f>
        <v>Sun</v>
      </c>
      <c r="C1209" s="256">
        <v>23995</v>
      </c>
      <c r="D1209" s="1201">
        <f>C1209-C1193</f>
        <v>1273</v>
      </c>
      <c r="E1209" s="32">
        <f>(C1209-C1193)/C1193</f>
        <v>5.6024997799489482E-2</v>
      </c>
      <c r="F1209" s="1127" t="s">
        <v>236</v>
      </c>
      <c r="G1209" s="801"/>
      <c r="H1209" s="685"/>
      <c r="I1209" s="1240">
        <f>I1208</f>
        <v>6207.9774699999834</v>
      </c>
      <c r="J1209" s="1188" t="s">
        <v>234</v>
      </c>
      <c r="K1209" s="1220" t="s">
        <v>34</v>
      </c>
      <c r="L1209" s="111" t="s">
        <v>243</v>
      </c>
      <c r="M1209" s="93">
        <f>RIGHT(L1193,5)-RIGHT(L1209,5)</f>
        <v>6.91</v>
      </c>
    </row>
    <row r="1210" spans="1:16" hidden="1" outlineLevel="1" x14ac:dyDescent="0.35">
      <c r="A1210" s="709" t="s">
        <v>36</v>
      </c>
      <c r="B1210" s="263"/>
      <c r="C1210" s="419">
        <v>6971</v>
      </c>
      <c r="D1210" s="1202">
        <f>C1210-C1194</f>
        <v>495</v>
      </c>
      <c r="E1210" s="32">
        <f>(C1210-C1194)/C1194</f>
        <v>7.6436071649166146E-2</v>
      </c>
      <c r="F1210" s="1128" t="s">
        <v>37</v>
      </c>
      <c r="G1210" s="1129" t="s">
        <v>38</v>
      </c>
      <c r="H1210" s="1130" t="s">
        <v>144</v>
      </c>
      <c r="J1210" s="3137" t="s">
        <v>42</v>
      </c>
      <c r="K1210" s="3122"/>
      <c r="L1210" s="3123"/>
      <c r="M1210" s="1031" t="s">
        <v>244</v>
      </c>
      <c r="P1210" s="1032" t="s">
        <v>44</v>
      </c>
    </row>
    <row r="1211" spans="1:16" ht="13.5" hidden="1" customHeight="1" outlineLevel="1" thickBot="1" x14ac:dyDescent="0.4">
      <c r="A1211" s="1087" t="s">
        <v>215</v>
      </c>
      <c r="B1211" s="1131">
        <v>720</v>
      </c>
      <c r="C1211" s="1132">
        <v>18</v>
      </c>
      <c r="D1211" s="1221">
        <f t="shared" ref="D1211:D1219" si="181">C1211*B1211</f>
        <v>12960</v>
      </c>
      <c r="E1211" s="1233">
        <f>(C1211-C1201)/C1201</f>
        <v>0.44</v>
      </c>
      <c r="F1211" s="1241">
        <f>D1211/D$1222</f>
        <v>4.3379379881220995E-2</v>
      </c>
      <c r="G1211" s="1136" t="s">
        <v>228</v>
      </c>
      <c r="H1211" s="1137" t="s">
        <v>216</v>
      </c>
      <c r="I1211" s="1203">
        <f>D1211-D1194</f>
        <v>13068</v>
      </c>
      <c r="J1211" s="3147" t="s">
        <v>245</v>
      </c>
      <c r="K1211" s="3148"/>
      <c r="L1211" s="3148"/>
      <c r="M1211" s="1242" t="str">
        <f t="shared" ref="M1211:M1219" si="182">A1211</f>
        <v>AMRN</v>
      </c>
      <c r="P1211" s="1243">
        <f t="shared" ref="P1211:P1219" ca="1" si="183">RANK(O713,$O$713:$O$721,1)</f>
        <v>8</v>
      </c>
    </row>
    <row r="1212" spans="1:16" hidden="1" outlineLevel="1" x14ac:dyDescent="0.35">
      <c r="A1212" s="1087" t="s">
        <v>96</v>
      </c>
      <c r="B1212" s="1131">
        <v>262</v>
      </c>
      <c r="C1212" s="1132">
        <v>505.32</v>
      </c>
      <c r="D1212" s="1221">
        <f t="shared" si="181"/>
        <v>132393.84</v>
      </c>
      <c r="E1212" s="1244">
        <f>(C1212-C1195)/C1195</f>
        <v>0.11962422174462148</v>
      </c>
      <c r="F1212" s="1245">
        <f>D1212/D$1222</f>
        <v>0.4431452684640117</v>
      </c>
      <c r="G1212" s="1246">
        <v>70.39</v>
      </c>
      <c r="H1212" s="1137" t="s">
        <v>145</v>
      </c>
      <c r="I1212" s="1203">
        <f>D1212-D1195</f>
        <v>14145.380000000005</v>
      </c>
      <c r="J1212" s="1139"/>
      <c r="K1212" s="1140"/>
      <c r="L1212" s="1226"/>
      <c r="M1212" s="1247" t="str">
        <f t="shared" si="182"/>
        <v>ISRG</v>
      </c>
      <c r="N1212" s="1199" t="s">
        <v>43</v>
      </c>
      <c r="O1212" s="1200" t="s">
        <v>198</v>
      </c>
      <c r="P1212" s="1248">
        <f t="shared" ca="1" si="183"/>
        <v>1</v>
      </c>
    </row>
    <row r="1213" spans="1:16" hidden="1" outlineLevel="1" x14ac:dyDescent="0.35">
      <c r="A1213" s="7" t="s">
        <v>137</v>
      </c>
      <c r="B1213" s="1142">
        <v>250</v>
      </c>
      <c r="C1213" s="1143">
        <v>323.8</v>
      </c>
      <c r="D1213" s="1223">
        <f t="shared" si="181"/>
        <v>80950</v>
      </c>
      <c r="E1213" s="1244">
        <f>(C1213-C1196)/C1196</f>
        <v>7.300261788779544E-2</v>
      </c>
      <c r="F1213" s="1249">
        <f>D1213/D$1222</f>
        <v>0.27095376553895367</v>
      </c>
      <c r="G1213" s="1250">
        <v>76.959999999999994</v>
      </c>
      <c r="H1213" s="1148" t="s">
        <v>146</v>
      </c>
      <c r="I1213" s="1203">
        <f>D1213-D1196</f>
        <v>5507.5</v>
      </c>
      <c r="J1213" s="1205"/>
      <c r="K1213" s="1206"/>
      <c r="L1213" s="1164"/>
      <c r="M1213" s="1251" t="str">
        <f t="shared" si="182"/>
        <v>ABMD</v>
      </c>
      <c r="N1213" s="1084"/>
      <c r="O1213" s="1215" t="str">
        <f t="shared" ref="O1213:O1219" ca="1" si="184">IF(N1213=0,"",N1213-TODAY())</f>
        <v/>
      </c>
      <c r="P1213" s="1243">
        <f t="shared" ca="1" si="183"/>
        <v>5</v>
      </c>
    </row>
    <row r="1214" spans="1:16" ht="16" hidden="1" outlineLevel="1" thickBot="1" x14ac:dyDescent="0.4">
      <c r="A1214" s="7" t="s">
        <v>208</v>
      </c>
      <c r="B1214" s="1142">
        <v>200</v>
      </c>
      <c r="C1214" s="1143">
        <v>198.25</v>
      </c>
      <c r="D1214" s="1223">
        <f t="shared" si="181"/>
        <v>39650</v>
      </c>
      <c r="E1214" s="1244">
        <v>9.0354887872849954E-2</v>
      </c>
      <c r="F1214" s="1252">
        <v>0.13619627084081606</v>
      </c>
      <c r="G1214" s="1250">
        <v>54.43</v>
      </c>
      <c r="H1214" s="1148" t="s">
        <v>192</v>
      </c>
      <c r="I1214" s="1203">
        <v>12506</v>
      </c>
      <c r="J1214" s="1205" t="s">
        <v>246</v>
      </c>
      <c r="K1214" s="1206"/>
      <c r="L1214" s="1164"/>
      <c r="M1214" s="1247" t="str">
        <f t="shared" si="182"/>
        <v>ALGN</v>
      </c>
      <c r="N1214" s="1084">
        <v>43713</v>
      </c>
      <c r="O1214" s="1215">
        <f t="shared" ca="1" si="184"/>
        <v>-1459</v>
      </c>
      <c r="P1214" s="1248">
        <f t="shared" ca="1" si="183"/>
        <v>3</v>
      </c>
    </row>
    <row r="1215" spans="1:16" hidden="1" outlineLevel="1" x14ac:dyDescent="0.35">
      <c r="A1215" s="7" t="s">
        <v>247</v>
      </c>
      <c r="B1215" s="1142">
        <v>150</v>
      </c>
      <c r="C1215" s="1143">
        <v>38.25</v>
      </c>
      <c r="D1215" s="1223">
        <f t="shared" si="181"/>
        <v>5737.5</v>
      </c>
      <c r="E1215" s="1153"/>
      <c r="F1215" s="1253">
        <f>D1215/D$1222</f>
        <v>1.9204412968248877E-2</v>
      </c>
      <c r="G1215" s="1147" t="s">
        <v>248</v>
      </c>
      <c r="H1215" s="1148"/>
      <c r="I1215" s="1203"/>
      <c r="J1215" s="1254" t="s">
        <v>249</v>
      </c>
      <c r="K1215" s="1206"/>
      <c r="L1215" s="1164"/>
      <c r="M1215" s="1251" t="str">
        <f t="shared" si="182"/>
        <v>CGC</v>
      </c>
      <c r="N1215" s="1084">
        <v>43704</v>
      </c>
      <c r="O1215" s="1215">
        <f t="shared" ca="1" si="184"/>
        <v>-1468</v>
      </c>
      <c r="P1215" s="1243">
        <f t="shared" ca="1" si="183"/>
        <v>6</v>
      </c>
    </row>
    <row r="1216" spans="1:16" hidden="1" outlineLevel="1" x14ac:dyDescent="0.35">
      <c r="A1216" s="7" t="s">
        <v>222</v>
      </c>
      <c r="B1216" s="1142">
        <v>150</v>
      </c>
      <c r="C1216" s="1143">
        <v>163.19999999999999</v>
      </c>
      <c r="D1216" s="1223">
        <f>C1216*B1216</f>
        <v>24480</v>
      </c>
      <c r="E1216" s="1233">
        <f>(C1216-C1198)/C1198</f>
        <v>0.10240475547149418</v>
      </c>
      <c r="F1216" s="1222">
        <f>D1216/D$1222</f>
        <v>8.1938828664528549E-2</v>
      </c>
      <c r="G1216" s="1147">
        <v>27.27</v>
      </c>
      <c r="H1216" s="1148" t="s">
        <v>146</v>
      </c>
      <c r="I1216" s="1203">
        <f>D1216-D1198</f>
        <v>2274</v>
      </c>
      <c r="J1216" s="1255"/>
      <c r="K1216" s="1256"/>
      <c r="L1216" s="1171"/>
      <c r="M1216" s="1251" t="str">
        <f t="shared" si="182"/>
        <v>ZBRA</v>
      </c>
      <c r="N1216" s="1084">
        <v>43760</v>
      </c>
      <c r="O1216" s="1215">
        <f t="shared" ca="1" si="184"/>
        <v>-1412</v>
      </c>
      <c r="P1216" s="1243">
        <f t="shared" ca="1" si="183"/>
        <v>9</v>
      </c>
    </row>
    <row r="1217" spans="1:16" hidden="1" outlineLevel="1" x14ac:dyDescent="0.35">
      <c r="A1217" s="7" t="s">
        <v>250</v>
      </c>
      <c r="B1217" s="1142">
        <v>50</v>
      </c>
      <c r="C1217" s="1143">
        <v>6.38</v>
      </c>
      <c r="D1217" s="1223">
        <f>C1217*B1217</f>
        <v>319</v>
      </c>
      <c r="E1217" s="1153"/>
      <c r="F1217" s="1222">
        <f>D1217/D$1222</f>
        <v>1.06774862516277E-3</v>
      </c>
      <c r="G1217" s="1147">
        <v>29.54</v>
      </c>
      <c r="H1217" s="1148"/>
      <c r="I1217" s="1257"/>
      <c r="J1217" s="1254" t="s">
        <v>249</v>
      </c>
      <c r="K1217" s="1256"/>
      <c r="L1217" s="1171"/>
      <c r="M1217" s="1251" t="str">
        <f t="shared" si="182"/>
        <v>ACB</v>
      </c>
      <c r="N1217" s="1084"/>
      <c r="O1217" s="1215" t="str">
        <f t="shared" ca="1" si="184"/>
        <v/>
      </c>
      <c r="P1217" s="1243">
        <f t="shared" ca="1" si="183"/>
        <v>7</v>
      </c>
    </row>
    <row r="1218" spans="1:16" hidden="1" outlineLevel="1" x14ac:dyDescent="0.35">
      <c r="A1218" s="7" t="s">
        <v>49</v>
      </c>
      <c r="B1218" s="1142">
        <v>1.93</v>
      </c>
      <c r="C1218" s="1143">
        <v>148.83000000000001</v>
      </c>
      <c r="D1218" s="1223">
        <f t="shared" si="181"/>
        <v>287.24189999999999</v>
      </c>
      <c r="E1218" s="1233">
        <f>(C1218-C1202)/C1202</f>
        <v>0.16046783625731004</v>
      </c>
      <c r="F1218" s="1222">
        <f>D1218/D$1222</f>
        <v>9.6144872669009975E-4</v>
      </c>
      <c r="G1218" s="1147">
        <v>19.89</v>
      </c>
      <c r="H1218" s="1148"/>
      <c r="I1218" s="1204"/>
      <c r="J1218" s="1163"/>
      <c r="K1218" s="1164"/>
      <c r="L1218" s="1164"/>
      <c r="M1218" s="1251" t="str">
        <f t="shared" si="182"/>
        <v>NVDA</v>
      </c>
      <c r="N1218" s="1084">
        <v>43741</v>
      </c>
      <c r="O1218" s="1215">
        <f t="shared" ca="1" si="184"/>
        <v>-1431</v>
      </c>
      <c r="P1218" s="1243">
        <f t="shared" ca="1" si="183"/>
        <v>4</v>
      </c>
    </row>
    <row r="1219" spans="1:16" hidden="1" outlineLevel="1" x14ac:dyDescent="0.35">
      <c r="A1219" s="1087" t="s">
        <v>135</v>
      </c>
      <c r="B1219" s="1131">
        <v>1.96</v>
      </c>
      <c r="C1219" s="1132">
        <v>144.11000000000001</v>
      </c>
      <c r="D1219" s="1221">
        <f t="shared" si="181"/>
        <v>282.4556</v>
      </c>
      <c r="E1219" s="1233">
        <f>(C1219-C1203)/C1203</f>
        <v>9.2321685742439222E-2</v>
      </c>
      <c r="F1219" s="1222">
        <f>D1219/D$1222</f>
        <v>9.4542814598597266E-4</v>
      </c>
      <c r="G1219" s="1136">
        <v>10.92</v>
      </c>
      <c r="H1219" s="1137"/>
      <c r="I1219" s="1204"/>
      <c r="J1219" s="1170"/>
      <c r="K1219" s="1171"/>
      <c r="L1219" s="1171"/>
      <c r="M1219" s="1251" t="str">
        <f t="shared" si="182"/>
        <v>LRCX</v>
      </c>
      <c r="N1219" s="1084">
        <v>43752</v>
      </c>
      <c r="O1219" s="1215">
        <f t="shared" ca="1" si="184"/>
        <v>-1420</v>
      </c>
      <c r="P1219" s="1243">
        <f t="shared" ca="1" si="183"/>
        <v>2</v>
      </c>
    </row>
    <row r="1220" spans="1:16" hidden="1" outlineLevel="1" x14ac:dyDescent="0.35">
      <c r="A1220" s="7" t="s">
        <v>7</v>
      </c>
      <c r="B1220" s="1142"/>
      <c r="C1220" s="1143"/>
      <c r="D1220" s="1223">
        <v>1661.27</v>
      </c>
      <c r="E1220" s="1153"/>
      <c r="F1220" s="1224">
        <f>D1220/D$1094</f>
        <v>5.1186143932436326E-3</v>
      </c>
      <c r="G1220" s="1147"/>
      <c r="H1220" s="1148"/>
      <c r="I1220" s="1216"/>
      <c r="J1220" s="1258" t="s">
        <v>251</v>
      </c>
      <c r="K1220" s="1259"/>
      <c r="L1220" s="1260"/>
    </row>
    <row r="1221" spans="1:16" ht="16" hidden="1" outlineLevel="1" thickBot="1" x14ac:dyDescent="0.4">
      <c r="A1221" s="1087" t="s">
        <v>60</v>
      </c>
      <c r="B1221" s="1131"/>
      <c r="C1221" s="1132"/>
      <c r="D1221" s="1261">
        <v>38.15</v>
      </c>
      <c r="E1221" s="1157"/>
      <c r="F1221" s="1227"/>
      <c r="G1221" s="1228"/>
      <c r="H1221" s="1229"/>
      <c r="I1221" s="1121">
        <f>SUM(I1212:I1220)</f>
        <v>34432.880000000005</v>
      </c>
    </row>
    <row r="1222" spans="1:16" ht="19" hidden="1" outlineLevel="1" thickBot="1" x14ac:dyDescent="0.5">
      <c r="A1222" s="726" t="s">
        <v>62</v>
      </c>
      <c r="B1222" s="583"/>
      <c r="C1222" s="584"/>
      <c r="D1222" s="1230">
        <f>SUM(D1211:D1221)</f>
        <v>298759.45750000002</v>
      </c>
      <c r="E1222" s="1262">
        <f>D1222-D1206</f>
        <v>20808.007830000075</v>
      </c>
      <c r="F1222" s="1218">
        <f>(D1222-D1206)/D1206</f>
        <v>7.4862023042889497E-2</v>
      </c>
      <c r="G1222" s="679"/>
      <c r="H1222" s="1231"/>
      <c r="I1222" s="680"/>
    </row>
    <row r="1223" spans="1:16" hidden="1" outlineLevel="1" x14ac:dyDescent="0.35"/>
    <row r="1224" spans="1:16" hidden="1" outlineLevel="1" x14ac:dyDescent="0.35">
      <c r="A1224" s="701" t="s">
        <v>25</v>
      </c>
      <c r="B1224" s="702" t="s">
        <v>26</v>
      </c>
      <c r="C1224" s="703" t="s">
        <v>27</v>
      </c>
      <c r="D1224" s="704">
        <f>D1208+7</f>
        <v>43483</v>
      </c>
      <c r="E1224" s="705" t="s">
        <v>28</v>
      </c>
      <c r="F1224" s="1125"/>
      <c r="G1224" s="252"/>
      <c r="H1224" s="253"/>
      <c r="I1224" s="1182"/>
      <c r="J1224" s="1183" t="s">
        <v>233</v>
      </c>
    </row>
    <row r="1225" spans="1:16" hidden="1" outlineLevel="1" x14ac:dyDescent="0.35">
      <c r="A1225" s="706" t="s">
        <v>32</v>
      </c>
      <c r="B1225" s="255" t="str">
        <f ca="1">TEXT(TODAY(),"ddd")</f>
        <v>Sun</v>
      </c>
      <c r="C1225" s="256">
        <v>24706</v>
      </c>
      <c r="D1225" s="1201">
        <f>C1225-C1209</f>
        <v>711</v>
      </c>
      <c r="E1225" s="32">
        <f>(C1225-C1209)/C1209</f>
        <v>2.9631173161075223E-2</v>
      </c>
      <c r="F1225" s="1127" t="s">
        <v>252</v>
      </c>
      <c r="G1225" s="801"/>
      <c r="H1225" s="685"/>
      <c r="I1225" s="1187"/>
      <c r="J1225" s="1188" t="s">
        <v>234</v>
      </c>
      <c r="K1225" s="1220" t="s">
        <v>34</v>
      </c>
      <c r="L1225" s="111" t="s">
        <v>253</v>
      </c>
      <c r="M1225">
        <f>RIGHT(L1225,4)-RIGHT(L1209,4)</f>
        <v>0.70000000000000107</v>
      </c>
    </row>
    <row r="1226" spans="1:16" hidden="1" outlineLevel="1" x14ac:dyDescent="0.35">
      <c r="A1226" s="709" t="s">
        <v>36</v>
      </c>
      <c r="B1226" s="263"/>
      <c r="C1226" s="419">
        <v>7157</v>
      </c>
      <c r="D1226" s="1202">
        <f>C1226-C1210</f>
        <v>186</v>
      </c>
      <c r="E1226" s="32">
        <f>(C1226-C1210)/C1210</f>
        <v>2.6681968153779944E-2</v>
      </c>
      <c r="F1226" s="1128" t="s">
        <v>37</v>
      </c>
      <c r="G1226" s="1129" t="s">
        <v>38</v>
      </c>
      <c r="H1226" s="1130" t="s">
        <v>144</v>
      </c>
      <c r="I1226" s="1226"/>
      <c r="J1226" s="3137" t="s">
        <v>42</v>
      </c>
      <c r="K1226" s="3122"/>
      <c r="L1226" s="3123"/>
      <c r="M1226" s="1031" t="s">
        <v>244</v>
      </c>
      <c r="N1226" s="1199" t="s">
        <v>43</v>
      </c>
      <c r="O1226" s="1200" t="s">
        <v>198</v>
      </c>
      <c r="P1226" s="1032" t="s">
        <v>44</v>
      </c>
    </row>
    <row r="1227" spans="1:16" hidden="1" outlineLevel="1" x14ac:dyDescent="0.35">
      <c r="A1227" s="1087" t="s">
        <v>215</v>
      </c>
      <c r="B1227" s="1131">
        <v>220</v>
      </c>
      <c r="C1227" s="1132">
        <v>17.23</v>
      </c>
      <c r="D1227" s="1221">
        <f t="shared" ref="D1227:D1235" si="185">C1227*B1227</f>
        <v>3790.6</v>
      </c>
      <c r="E1227" s="1263">
        <f>(C1227-C1211)/C1211</f>
        <v>-4.2777777777777755E-2</v>
      </c>
      <c r="F1227" s="1222">
        <f>D1227/D$1222</f>
        <v>1.2687799180382431E-2</v>
      </c>
      <c r="G1227" s="1136" t="s">
        <v>228</v>
      </c>
      <c r="H1227" s="1137" t="s">
        <v>216</v>
      </c>
      <c r="I1227" s="1264"/>
      <c r="J1227" s="3147"/>
      <c r="K1227" s="3148"/>
      <c r="L1227" s="3148"/>
      <c r="M1227" s="1242" t="str">
        <f t="shared" ref="M1227:M1235" si="186">A1227</f>
        <v>AMRN</v>
      </c>
      <c r="N1227" s="1199"/>
      <c r="O1227" s="1200"/>
      <c r="P1227" s="1243">
        <f t="shared" ref="P1227:P1235" ca="1" si="187">RANK(O729,$O$713:$O$721,1)</f>
        <v>8</v>
      </c>
    </row>
    <row r="1228" spans="1:16" hidden="1" outlineLevel="1" x14ac:dyDescent="0.35">
      <c r="A1228" s="1087" t="s">
        <v>250</v>
      </c>
      <c r="B1228" s="1131">
        <v>1128</v>
      </c>
      <c r="C1228" s="1132">
        <v>6.44</v>
      </c>
      <c r="D1228" s="1221">
        <f t="shared" si="185"/>
        <v>7264.3200000000006</v>
      </c>
      <c r="E1228" s="1233">
        <f>(C1228-C1217)/C1217</f>
        <v>9.4043887147336209E-3</v>
      </c>
      <c r="F1228" s="1222">
        <f>D1228/D$1222</f>
        <v>2.4314945745274024E-2</v>
      </c>
      <c r="G1228" s="1136">
        <v>29.54</v>
      </c>
      <c r="H1228" s="1137"/>
      <c r="I1228" s="1264"/>
      <c r="J1228" s="3147"/>
      <c r="K1228" s="3148"/>
      <c r="L1228" s="3148"/>
      <c r="M1228" s="1242" t="str">
        <f t="shared" si="186"/>
        <v>ACB</v>
      </c>
      <c r="N1228" s="1199"/>
      <c r="O1228" s="1200"/>
      <c r="P1228" s="1243">
        <f t="shared" ca="1" si="187"/>
        <v>7</v>
      </c>
    </row>
    <row r="1229" spans="1:16" hidden="1" outlineLevel="1" x14ac:dyDescent="0.35">
      <c r="A1229" s="1087" t="s">
        <v>96</v>
      </c>
      <c r="B1229" s="1131">
        <v>250</v>
      </c>
      <c r="C1229" s="1132">
        <v>542.54999999999995</v>
      </c>
      <c r="D1229" s="1221">
        <f t="shared" si="185"/>
        <v>135637.5</v>
      </c>
      <c r="E1229" s="1233">
        <f>(C1229-C1212)/C1212</f>
        <v>7.3676086440275387E-2</v>
      </c>
      <c r="F1229" s="1265">
        <f>D1229/D$1222</f>
        <v>0.45400236409252415</v>
      </c>
      <c r="G1229" s="1136">
        <v>70.39</v>
      </c>
      <c r="H1229" s="1137" t="s">
        <v>145</v>
      </c>
      <c r="I1229" s="1264">
        <f>D1229-D1212</f>
        <v>3243.6600000000035</v>
      </c>
      <c r="J1229" s="3147"/>
      <c r="K1229" s="3148"/>
      <c r="L1229" s="3148"/>
      <c r="M1229" s="1247" t="str">
        <f t="shared" si="186"/>
        <v>ISRG</v>
      </c>
      <c r="N1229" s="1199"/>
      <c r="O1229" s="1200"/>
      <c r="P1229" s="1248">
        <f t="shared" ca="1" si="187"/>
        <v>1</v>
      </c>
    </row>
    <row r="1230" spans="1:16" hidden="1" outlineLevel="1" x14ac:dyDescent="0.35">
      <c r="A1230" s="7" t="s">
        <v>137</v>
      </c>
      <c r="B1230" s="1142">
        <v>250</v>
      </c>
      <c r="C1230" s="1143">
        <v>333.74</v>
      </c>
      <c r="D1230" s="1223">
        <f t="shared" si="185"/>
        <v>83435</v>
      </c>
      <c r="E1230" s="1233">
        <f>(C1230-C1213)/C1213</f>
        <v>3.0697961704756013E-2</v>
      </c>
      <c r="F1230" s="1265">
        <f>D1230/D$1222</f>
        <v>0.27927149385722794</v>
      </c>
      <c r="G1230" s="1147">
        <v>76.959999999999994</v>
      </c>
      <c r="H1230" s="1148" t="s">
        <v>146</v>
      </c>
      <c r="I1230" s="1264">
        <f>D1230-D1213</f>
        <v>2485</v>
      </c>
      <c r="J1230" s="1205"/>
      <c r="K1230" s="1206"/>
      <c r="L1230" s="1164"/>
      <c r="M1230" s="1251" t="str">
        <f t="shared" si="186"/>
        <v>ABMD</v>
      </c>
      <c r="N1230" s="1199"/>
      <c r="O1230" s="1200"/>
      <c r="P1230" s="1243">
        <f t="shared" ca="1" si="187"/>
        <v>5</v>
      </c>
    </row>
    <row r="1231" spans="1:16" hidden="1" outlineLevel="1" x14ac:dyDescent="0.35">
      <c r="A1231" s="7" t="s">
        <v>247</v>
      </c>
      <c r="B1231" s="1142">
        <v>250</v>
      </c>
      <c r="C1231" s="1143">
        <v>43.52</v>
      </c>
      <c r="D1231" s="1223">
        <f t="shared" si="185"/>
        <v>10880</v>
      </c>
      <c r="E1231" s="1233">
        <f>(C1231-C1215)/C1215</f>
        <v>0.13777777777777786</v>
      </c>
      <c r="F1231" s="1265">
        <v>1.9204412968248877E-2</v>
      </c>
      <c r="G1231" s="1147" t="s">
        <v>248</v>
      </c>
      <c r="H1231" s="1148"/>
      <c r="I1231" s="1264">
        <f>D1231-D1215</f>
        <v>5142.5</v>
      </c>
      <c r="J1231" s="1205"/>
      <c r="K1231" s="1206"/>
      <c r="L1231" s="1164"/>
      <c r="M1231" s="1251" t="str">
        <f t="shared" si="186"/>
        <v>CGC</v>
      </c>
      <c r="N1231" s="1199"/>
      <c r="O1231" s="1200"/>
      <c r="P1231" s="1243">
        <f t="shared" ca="1" si="187"/>
        <v>6</v>
      </c>
    </row>
    <row r="1232" spans="1:16" hidden="1" outlineLevel="1" x14ac:dyDescent="0.35">
      <c r="A1232" s="7" t="s">
        <v>208</v>
      </c>
      <c r="B1232" s="1142">
        <v>200</v>
      </c>
      <c r="C1232" s="1143">
        <v>220.09</v>
      </c>
      <c r="D1232" s="1223">
        <f t="shared" si="185"/>
        <v>44018</v>
      </c>
      <c r="E1232" s="1233">
        <f>(C1232-C1214)/C1214</f>
        <v>0.11016393442622953</v>
      </c>
      <c r="F1232" s="1265">
        <v>0.13619627084081606</v>
      </c>
      <c r="G1232" s="1147">
        <v>54.43</v>
      </c>
      <c r="H1232" s="1148" t="s">
        <v>192</v>
      </c>
      <c r="I1232" s="1264">
        <f>D1232-D1214</f>
        <v>4368</v>
      </c>
      <c r="J1232" s="1205"/>
      <c r="K1232" s="1206"/>
      <c r="L1232" s="1164"/>
      <c r="M1232" s="1247" t="str">
        <f t="shared" si="186"/>
        <v>ALGN</v>
      </c>
      <c r="N1232" s="1199"/>
      <c r="O1232" s="1200"/>
      <c r="P1232" s="1248">
        <f t="shared" ca="1" si="187"/>
        <v>3</v>
      </c>
    </row>
    <row r="1233" spans="1:17" hidden="1" outlineLevel="1" x14ac:dyDescent="0.35">
      <c r="A1233" s="7" t="s">
        <v>222</v>
      </c>
      <c r="B1233" s="1142">
        <v>150</v>
      </c>
      <c r="C1233" s="1143">
        <v>177.79</v>
      </c>
      <c r="D1233" s="1223">
        <f t="shared" si="185"/>
        <v>26668.5</v>
      </c>
      <c r="E1233" s="1233">
        <f>(C1233-C1216)/C1216</f>
        <v>8.9399509803921598E-2</v>
      </c>
      <c r="F1233" s="1222">
        <f>D1233/D$1222</f>
        <v>8.9264119781044912E-2</v>
      </c>
      <c r="G1233" s="1147">
        <v>27.27</v>
      </c>
      <c r="H1233" s="1148" t="s">
        <v>146</v>
      </c>
      <c r="I1233" s="1264">
        <f>D1233-D1216</f>
        <v>2188.5</v>
      </c>
      <c r="J1233" s="1255"/>
      <c r="K1233" s="1256"/>
      <c r="L1233" s="1171"/>
      <c r="M1233" s="1251" t="str">
        <f t="shared" si="186"/>
        <v>ZBRA</v>
      </c>
      <c r="N1233" s="7"/>
      <c r="O1233" s="1086"/>
      <c r="P1233" s="1243">
        <f t="shared" ca="1" si="187"/>
        <v>9</v>
      </c>
    </row>
    <row r="1234" spans="1:17" hidden="1" outlineLevel="1" x14ac:dyDescent="0.35">
      <c r="A1234" s="7" t="s">
        <v>49</v>
      </c>
      <c r="B1234" s="1142">
        <v>1.93</v>
      </c>
      <c r="C1234" s="1143">
        <v>156.93</v>
      </c>
      <c r="D1234" s="1223">
        <f t="shared" si="185"/>
        <v>302.87490000000003</v>
      </c>
      <c r="E1234" s="1233">
        <f>(C1234-C1218)/C1218</f>
        <v>5.4424511187260591E-2</v>
      </c>
      <c r="F1234" s="1222">
        <f>D1234/D$1222</f>
        <v>1.0137751036718226E-3</v>
      </c>
      <c r="G1234" s="1147">
        <v>19.89</v>
      </c>
      <c r="H1234" s="1148"/>
      <c r="I1234" s="1266"/>
      <c r="J1234" s="1163"/>
      <c r="K1234" s="1164"/>
      <c r="L1234" s="1164"/>
      <c r="M1234" s="1267" t="str">
        <f t="shared" si="186"/>
        <v>NVDA</v>
      </c>
      <c r="P1234" s="1268">
        <f t="shared" ca="1" si="187"/>
        <v>4</v>
      </c>
    </row>
    <row r="1235" spans="1:17" hidden="1" outlineLevel="1" x14ac:dyDescent="0.35">
      <c r="A1235" s="1087" t="s">
        <v>135</v>
      </c>
      <c r="B1235" s="1131">
        <v>1.96</v>
      </c>
      <c r="C1235" s="1132">
        <v>147.55000000000001</v>
      </c>
      <c r="D1235" s="1221">
        <f t="shared" si="185"/>
        <v>289.19800000000004</v>
      </c>
      <c r="E1235" s="1233">
        <f>(C1235-C1219)/C1219</f>
        <v>2.3870654361251804E-2</v>
      </c>
      <c r="F1235" s="1222">
        <f>D1235/D$1222</f>
        <v>9.6799613448220298E-4</v>
      </c>
      <c r="G1235" s="1136">
        <v>10.92</v>
      </c>
      <c r="H1235" s="1137"/>
      <c r="I1235" s="1266"/>
      <c r="J1235" s="1170"/>
      <c r="K1235" s="1171"/>
      <c r="L1235" s="1171"/>
      <c r="M1235" s="1267" t="str">
        <f t="shared" si="186"/>
        <v>LRCX</v>
      </c>
      <c r="P1235" s="1268">
        <f t="shared" ca="1" si="187"/>
        <v>2</v>
      </c>
    </row>
    <row r="1236" spans="1:17" hidden="1" outlineLevel="1" x14ac:dyDescent="0.35">
      <c r="A1236" s="7" t="s">
        <v>7</v>
      </c>
      <c r="B1236" s="1142"/>
      <c r="C1236" s="1143"/>
      <c r="D1236" s="1223">
        <v>1673.91</v>
      </c>
      <c r="E1236" s="1153"/>
      <c r="F1236" s="1224">
        <f>D1236/D$1094</f>
        <v>5.1575600709062646E-3</v>
      </c>
      <c r="G1236" s="1147"/>
      <c r="H1236" s="1148"/>
      <c r="I1236" s="1216"/>
      <c r="J1236" s="1170"/>
      <c r="K1236" s="1171"/>
      <c r="L1236" s="1171"/>
    </row>
    <row r="1237" spans="1:17" ht="16" hidden="1" outlineLevel="1" thickBot="1" x14ac:dyDescent="0.4">
      <c r="A1237" s="1087" t="s">
        <v>60</v>
      </c>
      <c r="B1237" s="1131"/>
      <c r="C1237" s="1132"/>
      <c r="D1237" s="1269">
        <v>2322.48</v>
      </c>
      <c r="E1237" s="1157"/>
      <c r="F1237" s="1227"/>
      <c r="G1237" s="1228"/>
      <c r="H1237" s="1229"/>
      <c r="I1237" s="1121">
        <f>SUM(I1229:I1236)</f>
        <v>17427.660000000003</v>
      </c>
      <c r="J1237" s="1258" t="s">
        <v>254</v>
      </c>
      <c r="K1237" s="1259"/>
      <c r="L1237" s="1260"/>
    </row>
    <row r="1238" spans="1:17" ht="19" hidden="1" outlineLevel="1" thickBot="1" x14ac:dyDescent="0.5">
      <c r="A1238" s="726" t="s">
        <v>62</v>
      </c>
      <c r="B1238" s="583"/>
      <c r="C1238" s="584"/>
      <c r="D1238" s="1230">
        <f>SUM(D1227:D1237)</f>
        <v>316282.38289999997</v>
      </c>
      <c r="E1238" s="1262">
        <f>D1238-D1222</f>
        <v>17522.925399999949</v>
      </c>
      <c r="F1238" s="1218">
        <f>(D1238-D1222)/D1222</f>
        <v>5.8652286848525782E-2</v>
      </c>
      <c r="G1238" s="679"/>
      <c r="H1238" s="1231"/>
      <c r="I1238" s="680"/>
    </row>
    <row r="1239" spans="1:17" hidden="1" outlineLevel="1" x14ac:dyDescent="0.35"/>
    <row r="1240" spans="1:17" hidden="1" outlineLevel="1" x14ac:dyDescent="0.35">
      <c r="A1240" s="701" t="s">
        <v>25</v>
      </c>
      <c r="B1240" s="702" t="s">
        <v>26</v>
      </c>
      <c r="C1240" s="703" t="s">
        <v>27</v>
      </c>
      <c r="D1240" s="704">
        <f>D1224+7</f>
        <v>43490</v>
      </c>
      <c r="E1240" s="705" t="s">
        <v>28</v>
      </c>
      <c r="F1240" s="1125"/>
      <c r="G1240" s="252"/>
      <c r="H1240" s="253"/>
      <c r="I1240" s="1182"/>
      <c r="J1240" s="1183" t="s">
        <v>233</v>
      </c>
      <c r="N1240" s="1199" t="s">
        <v>43</v>
      </c>
      <c r="O1240" s="1200" t="s">
        <v>198</v>
      </c>
    </row>
    <row r="1241" spans="1:17" hidden="1" outlineLevel="1" x14ac:dyDescent="0.35">
      <c r="A1241" s="706" t="s">
        <v>32</v>
      </c>
      <c r="B1241" s="255" t="str">
        <f ca="1">TEXT(TODAY(),"ddd")</f>
        <v>Sun</v>
      </c>
      <c r="C1241" s="256">
        <v>24737</v>
      </c>
      <c r="D1241" s="1270">
        <f>C1241-C1225</f>
        <v>31</v>
      </c>
      <c r="E1241" s="1271">
        <f>(C1241-C1225)/C1225</f>
        <v>1.2547559297336679E-3</v>
      </c>
      <c r="F1241" s="1127" t="s">
        <v>252</v>
      </c>
      <c r="G1241" s="801"/>
      <c r="H1241" s="685"/>
      <c r="I1241" s="1187"/>
      <c r="J1241" s="1188" t="s">
        <v>234</v>
      </c>
      <c r="K1241" s="1220" t="s">
        <v>34</v>
      </c>
      <c r="L1241" s="111" t="s">
        <v>35</v>
      </c>
      <c r="N1241" s="1199"/>
      <c r="O1241" s="1200"/>
    </row>
    <row r="1242" spans="1:17" hidden="1" outlineLevel="1" x14ac:dyDescent="0.35">
      <c r="A1242" s="709" t="s">
        <v>36</v>
      </c>
      <c r="B1242" s="263"/>
      <c r="C1242" s="419">
        <v>7164</v>
      </c>
      <c r="D1242" s="1272">
        <f>C1242-C1226</f>
        <v>7</v>
      </c>
      <c r="E1242" s="1271">
        <f t="shared" ref="E1242:E1251" si="188">(C1242-C1226)/C1226</f>
        <v>9.7806343439988818E-4</v>
      </c>
      <c r="F1242" s="1128" t="s">
        <v>37</v>
      </c>
      <c r="G1242" s="1129" t="s">
        <v>38</v>
      </c>
      <c r="H1242" s="1130" t="s">
        <v>144</v>
      </c>
      <c r="J1242" s="3137" t="s">
        <v>42</v>
      </c>
      <c r="K1242" s="3122"/>
      <c r="L1242" s="3123"/>
      <c r="M1242" s="1031" t="s">
        <v>244</v>
      </c>
      <c r="N1242" s="1199"/>
      <c r="O1242" s="1200"/>
      <c r="P1242" s="1032" t="s">
        <v>44</v>
      </c>
    </row>
    <row r="1243" spans="1:17" hidden="1" outlineLevel="1" x14ac:dyDescent="0.35">
      <c r="A1243" s="1087" t="s">
        <v>215</v>
      </c>
      <c r="B1243" s="1131">
        <v>220</v>
      </c>
      <c r="C1243" s="1132">
        <v>17.34</v>
      </c>
      <c r="D1243" s="1221">
        <f t="shared" ref="D1243:D1251" si="189">C1243*B1243</f>
        <v>3814.8</v>
      </c>
      <c r="E1243" s="1233">
        <f t="shared" si="188"/>
        <v>6.3842135809634029E-3</v>
      </c>
      <c r="F1243" s="1222">
        <f>D1243/D$1222</f>
        <v>1.2768800800222366E-2</v>
      </c>
      <c r="G1243" s="1136" t="s">
        <v>228</v>
      </c>
      <c r="H1243" s="1137" t="s">
        <v>216</v>
      </c>
      <c r="I1243" s="1203">
        <f>D1243-D1227</f>
        <v>24.200000000000273</v>
      </c>
      <c r="J1243" s="3147"/>
      <c r="K1243" s="3148"/>
      <c r="L1243" s="3148"/>
      <c r="M1243" s="1242" t="str">
        <f t="shared" ref="M1243:M1251" si="190">A1243</f>
        <v>AMRN</v>
      </c>
      <c r="N1243" s="1199"/>
      <c r="O1243" s="1200"/>
      <c r="P1243" s="1243">
        <f t="shared" ref="P1243:P1251" ca="1" si="191">RANK(O745,$O$745:$O$753,1)</f>
        <v>8</v>
      </c>
    </row>
    <row r="1244" spans="1:17" hidden="1" outlineLevel="1" x14ac:dyDescent="0.35">
      <c r="A1244" s="7" t="s">
        <v>250</v>
      </c>
      <c r="B1244" s="1142">
        <v>1128</v>
      </c>
      <c r="C1244" s="1143">
        <v>6.72</v>
      </c>
      <c r="D1244" s="1223">
        <f t="shared" si="189"/>
        <v>7580.16</v>
      </c>
      <c r="E1244" s="1233">
        <f t="shared" si="188"/>
        <v>4.3478260869565112E-2</v>
      </c>
      <c r="F1244" s="1222">
        <f>D1244/D$1222</f>
        <v>2.537211729941637E-2</v>
      </c>
      <c r="G1244" s="1136">
        <v>28</v>
      </c>
      <c r="H1244" s="1137"/>
      <c r="I1244" s="1203">
        <f t="shared" ref="I1244:I1250" si="192">D1244-D1228</f>
        <v>315.83999999999924</v>
      </c>
      <c r="J1244" s="1273"/>
      <c r="K1244" s="1274"/>
      <c r="L1244" s="1275"/>
      <c r="M1244" s="1242" t="str">
        <f t="shared" si="190"/>
        <v>ACB</v>
      </c>
      <c r="N1244" s="7"/>
      <c r="O1244" s="1086"/>
      <c r="P1244" s="1243">
        <f t="shared" ca="1" si="191"/>
        <v>7</v>
      </c>
    </row>
    <row r="1245" spans="1:17" hidden="1" outlineLevel="1" x14ac:dyDescent="0.35">
      <c r="A1245" s="1087" t="s">
        <v>96</v>
      </c>
      <c r="B1245" s="1131">
        <v>250</v>
      </c>
      <c r="C1245" s="1132">
        <v>515.04</v>
      </c>
      <c r="D1245" s="1221">
        <f t="shared" si="189"/>
        <v>128759.99999999999</v>
      </c>
      <c r="E1245" s="1263">
        <f t="shared" si="188"/>
        <v>-5.0705004147083205E-2</v>
      </c>
      <c r="F1245" s="1265">
        <f>D1245/D$1222</f>
        <v>0.43098217233842706</v>
      </c>
      <c r="G1245" s="1136">
        <v>79</v>
      </c>
      <c r="H1245" s="1137" t="s">
        <v>145</v>
      </c>
      <c r="I1245" s="1138">
        <f t="shared" si="192"/>
        <v>-6877.5000000000146</v>
      </c>
      <c r="J1245" s="1139" t="s">
        <v>255</v>
      </c>
      <c r="K1245" s="1140"/>
      <c r="L1245" s="1226"/>
      <c r="M1245" s="1247" t="str">
        <f t="shared" si="190"/>
        <v>ISRG</v>
      </c>
      <c r="P1245" s="1248">
        <f t="shared" ca="1" si="191"/>
        <v>1</v>
      </c>
      <c r="Q1245" t="s">
        <v>256</v>
      </c>
    </row>
    <row r="1246" spans="1:17" hidden="1" outlineLevel="1" x14ac:dyDescent="0.35">
      <c r="A1246" s="7" t="s">
        <v>137</v>
      </c>
      <c r="B1246" s="1142">
        <v>250</v>
      </c>
      <c r="C1246" s="1143">
        <v>349.37</v>
      </c>
      <c r="D1246" s="1223">
        <f t="shared" si="189"/>
        <v>87342.5</v>
      </c>
      <c r="E1246" s="1233">
        <f t="shared" si="188"/>
        <v>4.6832863906034625E-2</v>
      </c>
      <c r="F1246" s="1265">
        <f>D1246/D$1222</f>
        <v>0.29235057772187845</v>
      </c>
      <c r="G1246" s="1147">
        <v>81</v>
      </c>
      <c r="H1246" s="1148" t="s">
        <v>146</v>
      </c>
      <c r="I1246" s="1203">
        <f t="shared" si="192"/>
        <v>3907.5</v>
      </c>
      <c r="J1246" s="1205"/>
      <c r="K1246" s="1206"/>
      <c r="L1246" s="1164"/>
      <c r="M1246" s="1251" t="str">
        <f t="shared" si="190"/>
        <v>ABMD</v>
      </c>
      <c r="P1246" s="1243">
        <f t="shared" ca="1" si="191"/>
        <v>4</v>
      </c>
    </row>
    <row r="1247" spans="1:17" hidden="1" outlineLevel="1" x14ac:dyDescent="0.35">
      <c r="A1247" s="1087" t="s">
        <v>247</v>
      </c>
      <c r="B1247" s="1131">
        <v>250</v>
      </c>
      <c r="C1247" s="1132">
        <v>48.48</v>
      </c>
      <c r="D1247" s="1221">
        <f t="shared" si="189"/>
        <v>12120</v>
      </c>
      <c r="E1247" s="1233">
        <f t="shared" si="188"/>
        <v>0.11397058823529396</v>
      </c>
      <c r="F1247" s="1222">
        <v>1.9204412968248898E-2</v>
      </c>
      <c r="G1247" s="1147" t="s">
        <v>248</v>
      </c>
      <c r="H1247" s="1148"/>
      <c r="I1247" s="1203">
        <f t="shared" si="192"/>
        <v>1240</v>
      </c>
      <c r="J1247" s="1205"/>
      <c r="K1247" s="1206"/>
      <c r="L1247" s="1164"/>
      <c r="M1247" s="1251" t="str">
        <f t="shared" si="190"/>
        <v>CGC</v>
      </c>
      <c r="P1247" s="1243">
        <f t="shared" ca="1" si="191"/>
        <v>6</v>
      </c>
    </row>
    <row r="1248" spans="1:17" hidden="1" outlineLevel="1" x14ac:dyDescent="0.35">
      <c r="A1248" s="7" t="s">
        <v>208</v>
      </c>
      <c r="B1248" s="1142">
        <v>200</v>
      </c>
      <c r="C1248" s="1143">
        <v>227.22</v>
      </c>
      <c r="D1248" s="1223">
        <f t="shared" si="189"/>
        <v>45444</v>
      </c>
      <c r="E1248" s="1233">
        <f t="shared" si="188"/>
        <v>3.2395838066245602E-2</v>
      </c>
      <c r="F1248" s="1265">
        <v>0.13619627084081606</v>
      </c>
      <c r="G1248" s="1147">
        <v>56</v>
      </c>
      <c r="H1248" s="1148" t="s">
        <v>192</v>
      </c>
      <c r="I1248" s="1203">
        <f t="shared" si="192"/>
        <v>1426</v>
      </c>
      <c r="J1248" s="1205"/>
      <c r="K1248" s="1206"/>
      <c r="L1248" s="1164"/>
      <c r="M1248" s="1247" t="str">
        <f t="shared" si="190"/>
        <v>ALGN</v>
      </c>
      <c r="P1248" s="1248">
        <f t="shared" ca="1" si="191"/>
        <v>3</v>
      </c>
    </row>
    <row r="1249" spans="1:16" hidden="1" outlineLevel="1" x14ac:dyDescent="0.35">
      <c r="A1249" s="1087" t="s">
        <v>222</v>
      </c>
      <c r="B1249" s="1131">
        <v>150</v>
      </c>
      <c r="C1249" s="1132">
        <v>175.86</v>
      </c>
      <c r="D1249" s="1221">
        <f t="shared" si="189"/>
        <v>26379.000000000004</v>
      </c>
      <c r="E1249" s="1263">
        <f t="shared" si="188"/>
        <v>-1.0855503684121595E-2</v>
      </c>
      <c r="F1249" s="1222">
        <f>D1249/D$1222</f>
        <v>8.8295112799901918E-2</v>
      </c>
      <c r="G1249" s="1147">
        <v>30</v>
      </c>
      <c r="H1249" s="1148" t="s">
        <v>146</v>
      </c>
      <c r="I1249" s="1138">
        <f t="shared" si="192"/>
        <v>-289.49999999999636</v>
      </c>
      <c r="J1249" s="1255"/>
      <c r="K1249" s="1256"/>
      <c r="L1249" s="1171"/>
      <c r="M1249" s="1251" t="str">
        <f t="shared" si="190"/>
        <v>ZBRA</v>
      </c>
      <c r="P1249" s="1243">
        <f t="shared" ca="1" si="191"/>
        <v>9</v>
      </c>
    </row>
    <row r="1250" spans="1:16" hidden="1" outlineLevel="1" x14ac:dyDescent="0.35">
      <c r="A1250" s="7" t="s">
        <v>49</v>
      </c>
      <c r="B1250" s="1142">
        <v>1.93</v>
      </c>
      <c r="C1250" s="1143">
        <v>160.15</v>
      </c>
      <c r="D1250" s="1223">
        <f t="shared" si="189"/>
        <v>309.08949999999999</v>
      </c>
      <c r="E1250" s="1233">
        <f t="shared" si="188"/>
        <v>2.0518702606257558E-2</v>
      </c>
      <c r="F1250" s="1222">
        <f>D1250/D$1222</f>
        <v>1.0345764535336925E-3</v>
      </c>
      <c r="G1250" s="1147">
        <v>19</v>
      </c>
      <c r="H1250" s="1276"/>
      <c r="I1250" s="1277">
        <f t="shared" si="192"/>
        <v>6.2145999999999617</v>
      </c>
      <c r="J1250" s="1278"/>
      <c r="K1250" s="1164"/>
      <c r="L1250" s="1164"/>
      <c r="M1250" s="1267" t="str">
        <f t="shared" si="190"/>
        <v>NVDA</v>
      </c>
      <c r="P1250" s="1268">
        <f t="shared" ca="1" si="191"/>
        <v>5</v>
      </c>
    </row>
    <row r="1251" spans="1:16" hidden="1" outlineLevel="1" x14ac:dyDescent="0.35">
      <c r="A1251" s="1087" t="s">
        <v>135</v>
      </c>
      <c r="B1251" s="1131">
        <v>1.96</v>
      </c>
      <c r="C1251" s="1132">
        <v>165.49</v>
      </c>
      <c r="D1251" s="1221">
        <f t="shared" si="189"/>
        <v>324.36040000000003</v>
      </c>
      <c r="E1251" s="1233">
        <f t="shared" si="188"/>
        <v>0.12158590308370042</v>
      </c>
      <c r="F1251" s="1222">
        <f>D1251/D$1222</f>
        <v>1.0856908186747528E-3</v>
      </c>
      <c r="G1251" s="1136">
        <v>10</v>
      </c>
      <c r="H1251" s="1279"/>
      <c r="I1251" s="1280"/>
      <c r="J1251" s="1281" t="s">
        <v>257</v>
      </c>
      <c r="K1251" s="1171"/>
      <c r="L1251" s="1171"/>
      <c r="M1251" s="1267" t="str">
        <f t="shared" si="190"/>
        <v>LRCX</v>
      </c>
      <c r="N1251" s="1199" t="s">
        <v>43</v>
      </c>
      <c r="O1251" s="1200" t="s">
        <v>198</v>
      </c>
      <c r="P1251" s="1268">
        <f t="shared" ca="1" si="191"/>
        <v>1</v>
      </c>
    </row>
    <row r="1252" spans="1:16" hidden="1" outlineLevel="1" x14ac:dyDescent="0.35">
      <c r="A1252" s="7" t="s">
        <v>7</v>
      </c>
      <c r="B1252" s="1142"/>
      <c r="C1252" s="1143"/>
      <c r="D1252" s="1223">
        <v>1678.51</v>
      </c>
      <c r="E1252" s="1153"/>
      <c r="F1252" s="1224">
        <f>D1252/D$1094</f>
        <v>5.1717333396758929E-3</v>
      </c>
      <c r="G1252" s="1147"/>
      <c r="H1252" s="1148"/>
      <c r="I1252" s="1216"/>
      <c r="J1252" s="1282"/>
      <c r="K1252" s="1283"/>
      <c r="L1252" s="1284"/>
      <c r="N1252" s="1199"/>
      <c r="O1252" s="1200"/>
    </row>
    <row r="1253" spans="1:16" ht="16" hidden="1" outlineLevel="1" thickBot="1" x14ac:dyDescent="0.4">
      <c r="A1253" s="1087" t="s">
        <v>60</v>
      </c>
      <c r="B1253" s="1131"/>
      <c r="C1253" s="1132"/>
      <c r="D1253" s="1261">
        <f>84.33+28.2+9.95</f>
        <v>122.48</v>
      </c>
      <c r="E1253" s="1157"/>
      <c r="F1253" s="1227"/>
      <c r="G1253" s="1228"/>
      <c r="H1253" s="1229"/>
      <c r="I1253" s="592">
        <f>SUM(I1245:I1252)</f>
        <v>-587.2854000000109</v>
      </c>
      <c r="N1253" s="1199"/>
      <c r="O1253" s="1200"/>
    </row>
    <row r="1254" spans="1:16" ht="19" hidden="1" outlineLevel="1" thickBot="1" x14ac:dyDescent="0.5">
      <c r="A1254" s="726" t="s">
        <v>62</v>
      </c>
      <c r="B1254" s="583"/>
      <c r="C1254" s="584"/>
      <c r="D1254" s="1230">
        <f>SUM(D1243:D1253)</f>
        <v>313874.89989999996</v>
      </c>
      <c r="E1254" s="1285">
        <f>D1254-D1238</f>
        <v>-2407.4830000000075</v>
      </c>
      <c r="F1254" s="1180">
        <f>(D1254-D1238)/D1238</f>
        <v>-7.6118150430186599E-3</v>
      </c>
      <c r="G1254" s="679"/>
      <c r="H1254" s="1231"/>
      <c r="I1254" s="680"/>
      <c r="N1254" s="1199"/>
      <c r="O1254" s="1200"/>
    </row>
    <row r="1255" spans="1:16" hidden="1" outlineLevel="1" x14ac:dyDescent="0.35">
      <c r="N1255" s="7"/>
      <c r="O1255" s="1086"/>
    </row>
    <row r="1256" spans="1:16" hidden="1" outlineLevel="1" x14ac:dyDescent="0.35">
      <c r="A1256" s="701" t="s">
        <v>25</v>
      </c>
      <c r="B1256" s="702" t="s">
        <v>26</v>
      </c>
      <c r="C1256" s="703" t="s">
        <v>27</v>
      </c>
      <c r="D1256" s="704">
        <f>D1240+7</f>
        <v>43497</v>
      </c>
      <c r="E1256" s="705" t="s">
        <v>28</v>
      </c>
      <c r="F1256" s="1125"/>
      <c r="G1256" s="252"/>
      <c r="H1256" s="253"/>
      <c r="I1256" s="1182"/>
      <c r="J1256" s="1183" t="s">
        <v>233</v>
      </c>
    </row>
    <row r="1257" spans="1:16" hidden="1" outlineLevel="1" x14ac:dyDescent="0.35">
      <c r="A1257" s="706" t="s">
        <v>32</v>
      </c>
      <c r="B1257" s="255" t="str">
        <f ca="1">TEXT(TODAY(),"ddd")</f>
        <v>Sun</v>
      </c>
      <c r="C1257" s="256">
        <v>25063</v>
      </c>
      <c r="D1257" s="1201">
        <f>C1257-C1241</f>
        <v>326</v>
      </c>
      <c r="E1257" s="1271">
        <f>(C1257-C1241)/C1241</f>
        <v>1.3178639285281157E-2</v>
      </c>
      <c r="F1257" s="1127" t="s">
        <v>258</v>
      </c>
      <c r="G1257" s="801"/>
      <c r="H1257" s="685"/>
      <c r="I1257" s="1187"/>
      <c r="J1257" s="1188" t="s">
        <v>234</v>
      </c>
      <c r="K1257" s="1220" t="s">
        <v>34</v>
      </c>
      <c r="L1257" s="111" t="s">
        <v>35</v>
      </c>
    </row>
    <row r="1258" spans="1:16" hidden="1" outlineLevel="1" x14ac:dyDescent="0.35">
      <c r="A1258" s="709" t="s">
        <v>36</v>
      </c>
      <c r="B1258" s="263"/>
      <c r="C1258" s="419">
        <v>7263</v>
      </c>
      <c r="D1258" s="1202">
        <f>C1258-C1242</f>
        <v>99</v>
      </c>
      <c r="E1258" s="1271">
        <f>(C1258-C1242)/C1242</f>
        <v>1.3819095477386936E-2</v>
      </c>
      <c r="F1258" s="1128" t="s">
        <v>37</v>
      </c>
      <c r="G1258" s="1129" t="s">
        <v>38</v>
      </c>
      <c r="H1258" s="1130" t="s">
        <v>144</v>
      </c>
      <c r="J1258" s="3185" t="s">
        <v>42</v>
      </c>
      <c r="K1258" s="3186"/>
      <c r="L1258" s="3187"/>
      <c r="M1258" s="1031" t="s">
        <v>244</v>
      </c>
      <c r="P1258" s="1032" t="s">
        <v>44</v>
      </c>
    </row>
    <row r="1259" spans="1:16" hidden="1" outlineLevel="1" x14ac:dyDescent="0.35">
      <c r="A1259" s="7" t="s">
        <v>250</v>
      </c>
      <c r="B1259" s="1142">
        <v>1128</v>
      </c>
      <c r="C1259" s="1143">
        <v>7.4</v>
      </c>
      <c r="D1259" s="1223">
        <f t="shared" ref="D1259:D1266" si="193">C1259*B1259</f>
        <v>8347.2000000000007</v>
      </c>
      <c r="E1259" s="1233">
        <f>(C1259-C1244)/C1244</f>
        <v>0.10119047619047629</v>
      </c>
      <c r="F1259" s="1222">
        <f>D1259/D$1222</f>
        <v>2.7939533930904932E-2</v>
      </c>
      <c r="G1259" s="1136">
        <v>28</v>
      </c>
      <c r="H1259" s="1137"/>
      <c r="I1259" s="1203">
        <f>D1259-D1244</f>
        <v>767.04000000000087</v>
      </c>
      <c r="J1259" s="1273"/>
      <c r="K1259" s="1274"/>
      <c r="L1259" s="1275"/>
      <c r="M1259" s="1242" t="str">
        <f t="shared" ref="M1259:M1266" si="194">A1259</f>
        <v>ACB</v>
      </c>
      <c r="P1259" s="1243">
        <f ca="1">RANK(O761,$O$745:$O$753,1)</f>
        <v>7</v>
      </c>
    </row>
    <row r="1260" spans="1:16" hidden="1" outlineLevel="1" x14ac:dyDescent="0.35">
      <c r="A1260" s="1087" t="s">
        <v>247</v>
      </c>
      <c r="B1260" s="1131">
        <v>750</v>
      </c>
      <c r="C1260" s="1132">
        <v>48.88</v>
      </c>
      <c r="D1260" s="1221">
        <f t="shared" si="193"/>
        <v>36660</v>
      </c>
      <c r="E1260" s="1286">
        <f>(C1260-C1247)/C1247</f>
        <v>8.250825082508368E-3</v>
      </c>
      <c r="F1260" s="1222">
        <v>1.9204412968248877E-2</v>
      </c>
      <c r="G1260" s="1147" t="s">
        <v>248</v>
      </c>
      <c r="H1260" s="1148"/>
      <c r="I1260" s="1203"/>
      <c r="J1260" s="1254" t="s">
        <v>259</v>
      </c>
      <c r="K1260" s="1206"/>
      <c r="L1260" s="1164"/>
      <c r="M1260" s="1251" t="str">
        <f t="shared" si="194"/>
        <v>CGC</v>
      </c>
      <c r="P1260" s="1243">
        <f ca="1">RANK(O762,$O$745:$O$753,1)</f>
        <v>6</v>
      </c>
    </row>
    <row r="1261" spans="1:16" ht="16" hidden="1" customHeight="1" outlineLevel="1" x14ac:dyDescent="0.35">
      <c r="A1261" s="7" t="s">
        <v>96</v>
      </c>
      <c r="B1261" s="1142">
        <v>250</v>
      </c>
      <c r="C1261" s="1143">
        <v>524.65</v>
      </c>
      <c r="D1261" s="1223">
        <f t="shared" si="193"/>
        <v>131162.5</v>
      </c>
      <c r="E1261" s="1286">
        <f>(C1261-C1245)/C1245</f>
        <v>1.8658744951848428E-2</v>
      </c>
      <c r="F1261" s="1222">
        <f>D1261/D$1222</f>
        <v>0.4390237587708834</v>
      </c>
      <c r="G1261" s="1136">
        <v>79</v>
      </c>
      <c r="H1261" s="1137" t="s">
        <v>145</v>
      </c>
      <c r="I1261" s="1287">
        <f>D1261-D1245</f>
        <v>2402.5000000000146</v>
      </c>
      <c r="J1261" s="3147" t="s">
        <v>260</v>
      </c>
      <c r="K1261" s="3148"/>
      <c r="L1261" s="3158"/>
      <c r="M1261" s="1288" t="str">
        <f t="shared" si="194"/>
        <v>ISRG</v>
      </c>
      <c r="P1261" s="1289"/>
    </row>
    <row r="1262" spans="1:16" hidden="1" outlineLevel="1" x14ac:dyDescent="0.35">
      <c r="A1262" s="1087" t="s">
        <v>137</v>
      </c>
      <c r="B1262" s="1131">
        <v>250</v>
      </c>
      <c r="C1262" s="1132">
        <v>351.08</v>
      </c>
      <c r="D1262" s="1221">
        <f t="shared" si="193"/>
        <v>87770</v>
      </c>
      <c r="E1262" s="1286">
        <f>(C1262-C1246)/C1246</f>
        <v>4.8945244296876647E-3</v>
      </c>
      <c r="F1262" s="1222">
        <f>D1262/D$1222</f>
        <v>0.2937814947665715</v>
      </c>
      <c r="G1262" s="1147">
        <v>81</v>
      </c>
      <c r="H1262" s="1148" t="s">
        <v>146</v>
      </c>
      <c r="I1262" s="1287">
        <f>D1262-D1246</f>
        <v>427.5</v>
      </c>
      <c r="J1262" s="1205" t="s">
        <v>261</v>
      </c>
      <c r="K1262" s="1206"/>
      <c r="L1262" s="1164"/>
      <c r="M1262" s="1288" t="str">
        <f t="shared" si="194"/>
        <v>ABMD</v>
      </c>
      <c r="N1262" s="1199" t="s">
        <v>43</v>
      </c>
      <c r="O1262" s="1200" t="s">
        <v>198</v>
      </c>
      <c r="P1262" s="1289">
        <f ca="1">RANK(O764,$O$745:$O$753,1)</f>
        <v>4</v>
      </c>
    </row>
    <row r="1263" spans="1:16" hidden="1" outlineLevel="1" x14ac:dyDescent="0.35">
      <c r="A1263" s="7" t="s">
        <v>215</v>
      </c>
      <c r="B1263" s="1142">
        <v>220</v>
      </c>
      <c r="C1263" s="1143">
        <v>16.87</v>
      </c>
      <c r="D1263" s="1223">
        <f t="shared" si="193"/>
        <v>3711.4</v>
      </c>
      <c r="E1263" s="1286">
        <f>(C1263-C1247)/C1247</f>
        <v>-0.65202145214521445</v>
      </c>
      <c r="F1263" s="1222">
        <f>D1263/D$1222</f>
        <v>1.2422702969997193E-2</v>
      </c>
      <c r="G1263" s="1136" t="s">
        <v>228</v>
      </c>
      <c r="H1263" s="1137" t="s">
        <v>216</v>
      </c>
      <c r="I1263" s="1287">
        <f>D1263-D1247</f>
        <v>-8408.6</v>
      </c>
      <c r="J1263" s="1273"/>
      <c r="K1263" s="1274"/>
      <c r="L1263" s="1275"/>
      <c r="M1263" s="1242" t="str">
        <f t="shared" si="194"/>
        <v>AMRN</v>
      </c>
      <c r="N1263" s="1199"/>
      <c r="O1263" s="1200"/>
      <c r="P1263" s="1243">
        <f ca="1">RANK(O765,$O$745:$O$753,1)</f>
        <v>8</v>
      </c>
    </row>
    <row r="1264" spans="1:16" hidden="1" outlineLevel="1" x14ac:dyDescent="0.35">
      <c r="A1264" s="1087" t="s">
        <v>208</v>
      </c>
      <c r="B1264" s="1131">
        <v>200</v>
      </c>
      <c r="C1264" s="1132">
        <v>244</v>
      </c>
      <c r="D1264" s="1221">
        <f t="shared" si="193"/>
        <v>48800</v>
      </c>
      <c r="E1264" s="1286">
        <f>(C1264-C1248)/C1248</f>
        <v>7.3849132998855746E-2</v>
      </c>
      <c r="F1264" s="1222">
        <v>0.13619627084081606</v>
      </c>
      <c r="G1264" s="1147">
        <v>56</v>
      </c>
      <c r="H1264" s="1148" t="s">
        <v>192</v>
      </c>
      <c r="I1264" s="1287">
        <f>D1264-D1248</f>
        <v>3356</v>
      </c>
      <c r="J1264" s="1254" t="s">
        <v>262</v>
      </c>
      <c r="K1264" s="1206"/>
      <c r="L1264" s="1164"/>
      <c r="M1264" s="1288" t="str">
        <f t="shared" si="194"/>
        <v>ALGN</v>
      </c>
      <c r="N1264" s="1199"/>
      <c r="O1264" s="1200"/>
      <c r="P1264" s="1289">
        <f ca="1">RANK(O766,$O$745:$O$753,1)</f>
        <v>3</v>
      </c>
    </row>
    <row r="1265" spans="1:16" hidden="1" outlineLevel="1" x14ac:dyDescent="0.35">
      <c r="A1265" s="7" t="s">
        <v>49</v>
      </c>
      <c r="B1265" s="1142">
        <v>1.93</v>
      </c>
      <c r="C1265" s="1143">
        <v>144.72999999999999</v>
      </c>
      <c r="D1265" s="1223">
        <f t="shared" si="193"/>
        <v>279.32889999999998</v>
      </c>
      <c r="E1265" s="1263">
        <f>(C1265-C1250)/C1250</f>
        <v>-9.6284733062753758E-2</v>
      </c>
      <c r="F1265" s="1222">
        <f>D1265/D$1222</f>
        <v>9.349625358721906E-4</v>
      </c>
      <c r="G1265" s="1136">
        <v>19</v>
      </c>
      <c r="H1265" s="1137"/>
      <c r="I1265" s="1138">
        <f>D1265-D1250</f>
        <v>-29.760600000000011</v>
      </c>
      <c r="J1265" s="1273"/>
      <c r="K1265" s="1274"/>
      <c r="L1265" s="1275"/>
      <c r="M1265" s="1288" t="str">
        <f t="shared" si="194"/>
        <v>NVDA</v>
      </c>
      <c r="N1265" s="1199"/>
      <c r="O1265" s="1200"/>
      <c r="P1265" s="1289">
        <f ca="1">RANK(O767,$O$745:$O$753,1)</f>
        <v>5</v>
      </c>
    </row>
    <row r="1266" spans="1:16" hidden="1" outlineLevel="1" x14ac:dyDescent="0.35">
      <c r="A1266" s="1087" t="s">
        <v>135</v>
      </c>
      <c r="B1266" s="1131">
        <v>1.96</v>
      </c>
      <c r="C1266" s="1132">
        <v>172.77</v>
      </c>
      <c r="D1266" s="1221">
        <f t="shared" si="193"/>
        <v>338.62920000000003</v>
      </c>
      <c r="E1266" s="1233">
        <f>(C1266-C1251)/C1251</f>
        <v>4.3990573448546746E-2</v>
      </c>
      <c r="F1266" s="1222">
        <f>D1266/D$1222</f>
        <v>1.1334509803760772E-3</v>
      </c>
      <c r="G1266" s="1147">
        <v>10</v>
      </c>
      <c r="H1266" s="1148"/>
      <c r="I1266" s="1203"/>
      <c r="J1266" s="1205"/>
      <c r="K1266" s="1206"/>
      <c r="L1266" s="1164"/>
      <c r="M1266" s="1288" t="str">
        <f t="shared" si="194"/>
        <v>LRCX</v>
      </c>
      <c r="N1266" s="7"/>
      <c r="O1266" s="1086"/>
      <c r="P1266" s="1289"/>
    </row>
    <row r="1267" spans="1:16" hidden="1" outlineLevel="1" x14ac:dyDescent="0.35">
      <c r="A1267" s="7" t="s">
        <v>7</v>
      </c>
      <c r="B1267" s="1142"/>
      <c r="C1267" s="1143"/>
      <c r="D1267" s="1223">
        <v>1707.57</v>
      </c>
      <c r="E1267" s="1153"/>
      <c r="F1267" s="1224">
        <f>D1267/D$1094</f>
        <v>5.261271424555328E-3</v>
      </c>
      <c r="G1267" s="1147"/>
      <c r="H1267" s="1148"/>
      <c r="I1267" s="1216"/>
      <c r="J1267" s="1282"/>
      <c r="K1267" s="1283"/>
      <c r="L1267" s="1284"/>
    </row>
    <row r="1268" spans="1:16" ht="16" hidden="1" outlineLevel="1" thickBot="1" x14ac:dyDescent="0.4">
      <c r="A1268" s="1087" t="s">
        <v>60</v>
      </c>
      <c r="B1268" s="1131"/>
      <c r="C1268" s="1132"/>
      <c r="D1268" s="1261">
        <f>994.02-500</f>
        <v>494.02</v>
      </c>
      <c r="E1268" s="1157"/>
      <c r="F1268" s="1227"/>
      <c r="G1268" s="1228"/>
      <c r="H1268" s="1229"/>
      <c r="I1268" s="1290">
        <f>SUM(I1261:I1267)</f>
        <v>-2252.3605999999859</v>
      </c>
      <c r="J1268" s="1291" t="s">
        <v>263</v>
      </c>
      <c r="K1268" s="1292"/>
      <c r="L1268" s="1292"/>
    </row>
    <row r="1269" spans="1:16" ht="19" hidden="1" outlineLevel="1" thickBot="1" x14ac:dyDescent="0.5">
      <c r="A1269" s="726" t="s">
        <v>62</v>
      </c>
      <c r="B1269" s="583"/>
      <c r="C1269" s="584"/>
      <c r="D1269" s="1230">
        <f>SUM(D1259:D1268)</f>
        <v>319270.64810000011</v>
      </c>
      <c r="E1269" s="1293">
        <f>D1269-D1254</f>
        <v>5395.7482000001473</v>
      </c>
      <c r="F1269" s="1294">
        <f>(D1269-D1254)/D1254</f>
        <v>1.7190760400781407E-2</v>
      </c>
      <c r="G1269" s="679"/>
      <c r="H1269" s="1231"/>
      <c r="I1269" s="680"/>
    </row>
    <row r="1270" spans="1:16" hidden="1" outlineLevel="1" x14ac:dyDescent="0.35"/>
    <row r="1271" spans="1:16" hidden="1" outlineLevel="1" x14ac:dyDescent="0.35">
      <c r="A1271" s="701" t="s">
        <v>25</v>
      </c>
      <c r="B1271" s="702" t="s">
        <v>26</v>
      </c>
      <c r="C1271" s="703" t="s">
        <v>27</v>
      </c>
      <c r="D1271" s="704">
        <f>D1256+7</f>
        <v>43504</v>
      </c>
      <c r="E1271" s="705" t="s">
        <v>28</v>
      </c>
      <c r="F1271" s="1125"/>
      <c r="G1271" s="252"/>
      <c r="H1271" s="253"/>
      <c r="I1271" s="1182"/>
      <c r="J1271" s="1183" t="s">
        <v>233</v>
      </c>
    </row>
    <row r="1272" spans="1:16" hidden="1" outlineLevel="1" x14ac:dyDescent="0.35">
      <c r="A1272" s="706" t="s">
        <v>32</v>
      </c>
      <c r="B1272" s="255" t="str">
        <f ca="1">TEXT(TODAY(),"ddd")</f>
        <v>Sun</v>
      </c>
      <c r="C1272" s="256">
        <v>25106</v>
      </c>
      <c r="D1272" s="1270">
        <f>C1272-C1257</f>
        <v>43</v>
      </c>
      <c r="E1272" s="1271">
        <f>(C1272-C1257)/C1257</f>
        <v>1.7156764952320153E-3</v>
      </c>
      <c r="F1272" s="1127" t="s">
        <v>258</v>
      </c>
      <c r="G1272" s="801"/>
      <c r="H1272" s="685"/>
      <c r="I1272" s="1187"/>
      <c r="J1272" s="1188" t="s">
        <v>234</v>
      </c>
      <c r="K1272" s="1220" t="s">
        <v>34</v>
      </c>
      <c r="L1272" s="111" t="s">
        <v>35</v>
      </c>
    </row>
    <row r="1273" spans="1:16" hidden="1" outlineLevel="1" x14ac:dyDescent="0.35">
      <c r="A1273" s="709" t="s">
        <v>36</v>
      </c>
      <c r="B1273" s="263"/>
      <c r="C1273" s="419">
        <v>7298</v>
      </c>
      <c r="D1273" s="1272">
        <f>C1273-C1258</f>
        <v>35</v>
      </c>
      <c r="E1273" s="1271">
        <f t="shared" ref="E1273:E1281" si="195">(C1273-C1258)/C1258</f>
        <v>4.8189453393914358E-3</v>
      </c>
      <c r="F1273" s="1128" t="s">
        <v>37</v>
      </c>
      <c r="G1273" s="1129" t="s">
        <v>38</v>
      </c>
      <c r="H1273" s="1130" t="s">
        <v>144</v>
      </c>
      <c r="J1273" s="3137" t="s">
        <v>42</v>
      </c>
      <c r="K1273" s="3122"/>
      <c r="L1273" s="3123"/>
      <c r="M1273" s="1031" t="s">
        <v>244</v>
      </c>
      <c r="N1273" s="1199" t="s">
        <v>43</v>
      </c>
      <c r="O1273" s="1200" t="s">
        <v>198</v>
      </c>
      <c r="P1273" s="1032" t="s">
        <v>44</v>
      </c>
    </row>
    <row r="1274" spans="1:16" hidden="1" outlineLevel="1" x14ac:dyDescent="0.35">
      <c r="A1274" s="7" t="s">
        <v>250</v>
      </c>
      <c r="B1274" s="1142">
        <v>1128</v>
      </c>
      <c r="C1274" s="1143">
        <v>7.59</v>
      </c>
      <c r="D1274" s="1223">
        <f t="shared" ref="D1274:D1281" si="196">C1274*B1274</f>
        <v>8561.52</v>
      </c>
      <c r="E1274" s="1286">
        <f t="shared" si="195"/>
        <v>2.5675675675675608E-2</v>
      </c>
      <c r="F1274" s="1222">
        <f>D1274/D$1222</f>
        <v>2.8656900342644384E-2</v>
      </c>
      <c r="G1274" s="1136">
        <v>28</v>
      </c>
      <c r="H1274" s="1137"/>
      <c r="I1274" s="1287">
        <f>D1274-D1259</f>
        <v>214.31999999999971</v>
      </c>
      <c r="J1274" s="1273"/>
      <c r="K1274" s="1274"/>
      <c r="L1274" s="1275"/>
      <c r="M1274" s="1242" t="str">
        <f t="shared" ref="M1274:M1281" si="197">A1274</f>
        <v>ACB</v>
      </c>
      <c r="N1274" s="1199"/>
      <c r="O1274" s="1200"/>
      <c r="P1274" s="1243">
        <f ca="1">RANK(O776,$O$745:$O$753,1)</f>
        <v>7</v>
      </c>
    </row>
    <row r="1275" spans="1:16" hidden="1" outlineLevel="1" x14ac:dyDescent="0.35">
      <c r="A1275" s="1087" t="s">
        <v>247</v>
      </c>
      <c r="B1275" s="1131">
        <v>550</v>
      </c>
      <c r="C1275" s="1132">
        <v>45.47</v>
      </c>
      <c r="D1275" s="1221">
        <f t="shared" si="196"/>
        <v>25008.5</v>
      </c>
      <c r="E1275" s="1263">
        <f t="shared" si="195"/>
        <v>-6.9762684124386326E-2</v>
      </c>
      <c r="F1275" s="1222">
        <v>1.9204412968248877E-2</v>
      </c>
      <c r="G1275" s="1147" t="s">
        <v>248</v>
      </c>
      <c r="H1275" s="1148"/>
      <c r="I1275" s="1287">
        <f>D1275-D1260</f>
        <v>-11651.5</v>
      </c>
      <c r="J1275" s="1205"/>
      <c r="K1275" s="1206"/>
      <c r="L1275" s="1164"/>
      <c r="M1275" s="1251" t="str">
        <f t="shared" si="197"/>
        <v>CGC</v>
      </c>
      <c r="N1275" s="1199"/>
      <c r="O1275" s="1200"/>
      <c r="P1275" s="1243">
        <f ca="1">RANK(O777,$O$745:$O$753,1)</f>
        <v>6</v>
      </c>
    </row>
    <row r="1276" spans="1:16" hidden="1" outlineLevel="1" x14ac:dyDescent="0.35">
      <c r="A1276" s="7" t="s">
        <v>96</v>
      </c>
      <c r="B1276" s="1142">
        <v>250</v>
      </c>
      <c r="C1276" s="1143">
        <v>517.04999999999995</v>
      </c>
      <c r="D1276" s="1223">
        <f t="shared" si="196"/>
        <v>129262.49999999999</v>
      </c>
      <c r="E1276" s="1263">
        <f t="shared" si="195"/>
        <v>-1.4485847707995851E-2</v>
      </c>
      <c r="F1276" s="1222">
        <f>D1276/D$1222</f>
        <v>0.43266412746113647</v>
      </c>
      <c r="G1276" s="1136">
        <v>79</v>
      </c>
      <c r="H1276" s="1137" t="s">
        <v>145</v>
      </c>
      <c r="I1276" s="1138">
        <f t="shared" ref="I1276:I1281" si="198">D1276-D1261</f>
        <v>-1900.0000000000146</v>
      </c>
      <c r="J1276" s="1273"/>
      <c r="K1276" s="1274"/>
      <c r="L1276" s="1275"/>
      <c r="M1276" s="1288" t="str">
        <f t="shared" si="197"/>
        <v>ISRG</v>
      </c>
      <c r="N1276" s="1199"/>
      <c r="O1276" s="1200"/>
      <c r="P1276" s="1289"/>
    </row>
    <row r="1277" spans="1:16" hidden="1" outlineLevel="1" x14ac:dyDescent="0.35">
      <c r="A1277" s="1087" t="s">
        <v>137</v>
      </c>
      <c r="B1277" s="1131">
        <v>250</v>
      </c>
      <c r="C1277" s="1132">
        <v>341.21</v>
      </c>
      <c r="D1277" s="1221">
        <f t="shared" si="196"/>
        <v>85302.5</v>
      </c>
      <c r="E1277" s="1263">
        <f t="shared" si="195"/>
        <v>-2.8113250541187209E-2</v>
      </c>
      <c r="F1277" s="1222">
        <f>D1277/D$1222</f>
        <v>0.28552234199983439</v>
      </c>
      <c r="G1277" s="1147">
        <v>81</v>
      </c>
      <c r="H1277" s="1148" t="s">
        <v>146</v>
      </c>
      <c r="I1277" s="1138">
        <f t="shared" si="198"/>
        <v>-2467.5</v>
      </c>
      <c r="J1277" s="1205"/>
      <c r="K1277" s="1206"/>
      <c r="L1277" s="1164"/>
      <c r="M1277" s="1288" t="str">
        <f t="shared" si="197"/>
        <v>ABMD</v>
      </c>
      <c r="N1277" s="7"/>
      <c r="O1277" s="1086"/>
      <c r="P1277" s="1289">
        <f ca="1">RANK(O779,$O$745:$O$753,1)</f>
        <v>4</v>
      </c>
    </row>
    <row r="1278" spans="1:16" hidden="1" outlineLevel="1" x14ac:dyDescent="0.35">
      <c r="A1278" s="7" t="s">
        <v>215</v>
      </c>
      <c r="B1278" s="1142">
        <v>220</v>
      </c>
      <c r="C1278" s="1143">
        <v>16.809999999999999</v>
      </c>
      <c r="D1278" s="1223">
        <f t="shared" si="196"/>
        <v>3698.2</v>
      </c>
      <c r="E1278" s="1263">
        <f t="shared" si="195"/>
        <v>-3.5566093657381308E-3</v>
      </c>
      <c r="F1278" s="1222">
        <f>D1278/D$1222</f>
        <v>1.2378520268266318E-2</v>
      </c>
      <c r="G1278" s="1136" t="s">
        <v>228</v>
      </c>
      <c r="H1278" s="1137" t="s">
        <v>216</v>
      </c>
      <c r="I1278" s="1138">
        <f t="shared" si="198"/>
        <v>-13.200000000000273</v>
      </c>
      <c r="J1278" s="1273"/>
      <c r="K1278" s="1274"/>
      <c r="L1278" s="1275"/>
      <c r="M1278" s="1242" t="str">
        <f t="shared" si="197"/>
        <v>AMRN</v>
      </c>
      <c r="P1278" s="1243">
        <f ca="1">RANK(O780,$O$745:$O$753,1)</f>
        <v>8</v>
      </c>
    </row>
    <row r="1279" spans="1:16" hidden="1" outlineLevel="1" x14ac:dyDescent="0.35">
      <c r="A1279" s="1087" t="s">
        <v>208</v>
      </c>
      <c r="B1279" s="1131">
        <v>200</v>
      </c>
      <c r="C1279" s="1132">
        <v>241.26</v>
      </c>
      <c r="D1279" s="1221">
        <f t="shared" si="196"/>
        <v>48252</v>
      </c>
      <c r="E1279" s="1263">
        <f t="shared" si="195"/>
        <v>-1.1229508196721348E-2</v>
      </c>
      <c r="F1279" s="1222">
        <v>0.13619627084081606</v>
      </c>
      <c r="G1279" s="1147">
        <v>56</v>
      </c>
      <c r="H1279" s="1148" t="s">
        <v>192</v>
      </c>
      <c r="I1279" s="1138">
        <f t="shared" si="198"/>
        <v>-548</v>
      </c>
      <c r="J1279" s="1205"/>
      <c r="K1279" s="1206"/>
      <c r="L1279" s="1164"/>
      <c r="M1279" s="1288" t="str">
        <f t="shared" si="197"/>
        <v>ALGN</v>
      </c>
      <c r="P1279" s="1289">
        <f ca="1">RANK(O781,$O$745:$O$753,1)</f>
        <v>3</v>
      </c>
    </row>
    <row r="1280" spans="1:16" hidden="1" outlineLevel="1" x14ac:dyDescent="0.35">
      <c r="A1280" s="7" t="s">
        <v>49</v>
      </c>
      <c r="B1280" s="1142">
        <v>1.93</v>
      </c>
      <c r="C1280" s="1143">
        <v>148.16999999999999</v>
      </c>
      <c r="D1280" s="1223">
        <f t="shared" si="196"/>
        <v>285.96809999999999</v>
      </c>
      <c r="E1280" s="1286">
        <f t="shared" si="195"/>
        <v>2.3768396324189856E-2</v>
      </c>
      <c r="F1280" s="1222">
        <f>D1280/D$1222</f>
        <v>9.5718509597307047E-4</v>
      </c>
      <c r="G1280" s="1136">
        <v>19</v>
      </c>
      <c r="H1280" s="1137"/>
      <c r="I1280" s="1287">
        <f t="shared" si="198"/>
        <v>6.6392000000000166</v>
      </c>
      <c r="J1280" s="1273"/>
      <c r="K1280" s="1274"/>
      <c r="L1280" s="1275"/>
      <c r="M1280" s="1288" t="str">
        <f t="shared" si="197"/>
        <v>NVDA</v>
      </c>
      <c r="P1280" s="1289">
        <f ca="1">RANK(O782,$O$745:$O$753,1)</f>
        <v>5</v>
      </c>
    </row>
    <row r="1281" spans="1:16" hidden="1" outlineLevel="1" x14ac:dyDescent="0.35">
      <c r="A1281" s="1087" t="s">
        <v>135</v>
      </c>
      <c r="B1281" s="1131">
        <v>1.96</v>
      </c>
      <c r="C1281" s="1132">
        <v>175.3</v>
      </c>
      <c r="D1281" s="1221">
        <f t="shared" si="196"/>
        <v>343.58800000000002</v>
      </c>
      <c r="E1281" s="1233">
        <f t="shared" si="195"/>
        <v>1.4643746020721196E-2</v>
      </c>
      <c r="F1281" s="1222">
        <f>D1281/D$1222</f>
        <v>1.150048948659642E-3</v>
      </c>
      <c r="G1281" s="1147">
        <v>10</v>
      </c>
      <c r="H1281" s="1276"/>
      <c r="I1281" s="1295">
        <f t="shared" si="198"/>
        <v>4.9587999999999965</v>
      </c>
      <c r="J1281" s="1296"/>
      <c r="K1281" s="1206"/>
      <c r="L1281" s="1164"/>
      <c r="M1281" s="1288" t="str">
        <f t="shared" si="197"/>
        <v>LRCX</v>
      </c>
      <c r="P1281" s="1289"/>
    </row>
    <row r="1282" spans="1:16" hidden="1" outlineLevel="1" x14ac:dyDescent="0.35">
      <c r="A1282" s="7" t="s">
        <v>7</v>
      </c>
      <c r="B1282" s="1142"/>
      <c r="C1282" s="1143"/>
      <c r="D1282" s="1223">
        <v>1705.21</v>
      </c>
      <c r="E1282" s="1153"/>
      <c r="F1282" s="1224">
        <f>D1282/D$1094</f>
        <v>5.2539999214474319E-3</v>
      </c>
      <c r="G1282" s="1147"/>
      <c r="H1282" s="1148"/>
      <c r="I1282" s="1216"/>
      <c r="J1282" s="1282"/>
      <c r="K1282" s="1283"/>
      <c r="L1282" s="1284"/>
    </row>
    <row r="1283" spans="1:16" ht="16" hidden="1" outlineLevel="1" thickBot="1" x14ac:dyDescent="0.4">
      <c r="A1283" s="1087" t="s">
        <v>60</v>
      </c>
      <c r="B1283" s="1131"/>
      <c r="C1283" s="1132"/>
      <c r="D1283" s="1261">
        <f>9524.9</f>
        <v>9524.9</v>
      </c>
      <c r="E1283" s="1157"/>
      <c r="F1283" s="1227"/>
      <c r="G1283" s="1228"/>
      <c r="H1283" s="1229"/>
      <c r="I1283" s="592">
        <f>SUM(I1274:I1282)</f>
        <v>-16354.282000000016</v>
      </c>
    </row>
    <row r="1284" spans="1:16" ht="19" hidden="1" outlineLevel="1" thickBot="1" x14ac:dyDescent="0.5">
      <c r="A1284" s="726" t="s">
        <v>62</v>
      </c>
      <c r="B1284" s="583"/>
      <c r="C1284" s="584"/>
      <c r="D1284" s="1230">
        <f>SUM(D1274:D1283)</f>
        <v>311944.8861</v>
      </c>
      <c r="E1284" s="1285">
        <f>D1284-D1269</f>
        <v>-7325.7620000001043</v>
      </c>
      <c r="F1284" s="1180">
        <f>(D1284-D1269)/D1269</f>
        <v>-2.2945303752775831E-2</v>
      </c>
      <c r="G1284" s="679"/>
      <c r="H1284" s="1231"/>
      <c r="I1284" s="680"/>
      <c r="N1284" s="1199" t="s">
        <v>43</v>
      </c>
      <c r="O1284" s="1200" t="s">
        <v>198</v>
      </c>
    </row>
    <row r="1285" spans="1:16" hidden="1" outlineLevel="1" x14ac:dyDescent="0.35">
      <c r="N1285" s="1199"/>
      <c r="O1285" s="1200"/>
    </row>
    <row r="1286" spans="1:16" hidden="1" outlineLevel="1" x14ac:dyDescent="0.35">
      <c r="A1286" s="701" t="s">
        <v>25</v>
      </c>
      <c r="B1286" s="702" t="s">
        <v>26</v>
      </c>
      <c r="C1286" s="703" t="s">
        <v>27</v>
      </c>
      <c r="D1286" s="704">
        <f>D1271+7</f>
        <v>43511</v>
      </c>
      <c r="E1286" s="705" t="s">
        <v>28</v>
      </c>
      <c r="F1286" s="1125"/>
      <c r="G1286" s="252"/>
      <c r="H1286" s="253"/>
      <c r="I1286" s="1182"/>
      <c r="J1286" s="1183" t="s">
        <v>233</v>
      </c>
      <c r="N1286" s="1199"/>
      <c r="O1286" s="1200"/>
    </row>
    <row r="1287" spans="1:16" hidden="1" outlineLevel="1" x14ac:dyDescent="0.35">
      <c r="A1287" s="706" t="s">
        <v>32</v>
      </c>
      <c r="B1287" s="255" t="str">
        <f ca="1">TEXT(TODAY(),"ddd")</f>
        <v>Sun</v>
      </c>
      <c r="C1287" s="256">
        <v>25883</v>
      </c>
      <c r="D1287" s="1201">
        <f>C1287-C1272</f>
        <v>777</v>
      </c>
      <c r="E1287" s="1271">
        <f>(C1287-C1272)/C1272</f>
        <v>3.0948777184736716E-2</v>
      </c>
      <c r="F1287" s="1127" t="s">
        <v>258</v>
      </c>
      <c r="G1287" s="801"/>
      <c r="H1287" s="685"/>
      <c r="I1287" s="1187"/>
      <c r="J1287" s="1188" t="s">
        <v>234</v>
      </c>
      <c r="K1287" s="1220" t="s">
        <v>34</v>
      </c>
      <c r="L1287" s="111" t="s">
        <v>35</v>
      </c>
      <c r="N1287" s="1199"/>
      <c r="O1287" s="1200"/>
    </row>
    <row r="1288" spans="1:16" hidden="1" outlineLevel="1" x14ac:dyDescent="0.35">
      <c r="A1288" s="709" t="s">
        <v>36</v>
      </c>
      <c r="B1288" s="263"/>
      <c r="C1288" s="419">
        <v>7472</v>
      </c>
      <c r="D1288" s="1202">
        <f>C1288-C1273</f>
        <v>174</v>
      </c>
      <c r="E1288" s="1271">
        <f t="shared" ref="E1288:E1296" si="199">(C1288-C1273)/C1273</f>
        <v>2.3842148533844889E-2</v>
      </c>
      <c r="F1288" s="1128" t="s">
        <v>37</v>
      </c>
      <c r="G1288" s="1129" t="s">
        <v>38</v>
      </c>
      <c r="H1288" s="1130" t="s">
        <v>144</v>
      </c>
      <c r="J1288" s="3137" t="s">
        <v>42</v>
      </c>
      <c r="K1288" s="3122"/>
      <c r="L1288" s="3123"/>
      <c r="M1288" s="1031" t="s">
        <v>244</v>
      </c>
      <c r="N1288" s="1199"/>
      <c r="O1288" s="1200"/>
      <c r="P1288" s="1032" t="s">
        <v>44</v>
      </c>
    </row>
    <row r="1289" spans="1:16" ht="26" hidden="1" outlineLevel="1" x14ac:dyDescent="0.35">
      <c r="A1289" s="7" t="s">
        <v>250</v>
      </c>
      <c r="B1289" s="1142">
        <v>1128</v>
      </c>
      <c r="C1289" s="1143">
        <v>7.05</v>
      </c>
      <c r="D1289" s="1223">
        <f t="shared" ref="D1289:D1296" si="200">C1289*B1289</f>
        <v>7952.4</v>
      </c>
      <c r="E1289" s="1263">
        <f t="shared" si="199"/>
        <v>-7.1146245059288543E-2</v>
      </c>
      <c r="F1289" s="1222">
        <f>D1289/D$1222</f>
        <v>2.6618069488226995E-2</v>
      </c>
      <c r="G1289" s="1136">
        <v>28</v>
      </c>
      <c r="H1289" s="1137"/>
      <c r="I1289" s="1138">
        <f t="shared" ref="I1289:I1296" si="201">D1289-D1274</f>
        <v>-609.1200000000008</v>
      </c>
      <c r="J1289" s="1273" t="s">
        <v>264</v>
      </c>
      <c r="K1289" s="1274"/>
      <c r="L1289" s="1275"/>
      <c r="M1289" s="1297" t="str">
        <f t="shared" ref="M1289:M1296" si="202">A1289</f>
        <v>ACB</v>
      </c>
      <c r="N1289" s="1199"/>
      <c r="O1289" s="1200"/>
      <c r="P1289" s="1289"/>
    </row>
    <row r="1290" spans="1:16" hidden="1" outlineLevel="1" x14ac:dyDescent="0.35">
      <c r="A1290" s="1087" t="s">
        <v>247</v>
      </c>
      <c r="B1290" s="1131">
        <v>550</v>
      </c>
      <c r="C1290" s="1132">
        <v>47.56</v>
      </c>
      <c r="D1290" s="1221">
        <f t="shared" si="200"/>
        <v>26158</v>
      </c>
      <c r="E1290" s="1233">
        <f t="shared" si="199"/>
        <v>4.5964372113481491E-2</v>
      </c>
      <c r="F1290" s="1222">
        <v>1.9204412968248877E-2</v>
      </c>
      <c r="G1290" s="1147" t="s">
        <v>248</v>
      </c>
      <c r="H1290" s="1148"/>
      <c r="I1290" s="1203">
        <f t="shared" si="201"/>
        <v>1149.5</v>
      </c>
      <c r="J1290" s="1254" t="s">
        <v>265</v>
      </c>
      <c r="K1290" s="1206"/>
      <c r="L1290" s="1164"/>
      <c r="M1290" s="1288" t="str">
        <f t="shared" si="202"/>
        <v>CGC</v>
      </c>
      <c r="P1290" s="1289"/>
    </row>
    <row r="1291" spans="1:16" hidden="1" outlineLevel="1" x14ac:dyDescent="0.35">
      <c r="A1291" s="7" t="s">
        <v>96</v>
      </c>
      <c r="B1291" s="1142">
        <v>250</v>
      </c>
      <c r="C1291" s="1143">
        <v>548.5</v>
      </c>
      <c r="D1291" s="1223">
        <f t="shared" si="200"/>
        <v>137125</v>
      </c>
      <c r="E1291" s="1233">
        <f t="shared" si="199"/>
        <v>6.0825838893724102E-2</v>
      </c>
      <c r="F1291" s="1222">
        <f>D1291/D$1222</f>
        <v>0.45898128597318127</v>
      </c>
      <c r="G1291" s="1136">
        <v>79</v>
      </c>
      <c r="H1291" s="1137" t="s">
        <v>145</v>
      </c>
      <c r="I1291" s="1203">
        <f t="shared" si="201"/>
        <v>7862.5000000000146</v>
      </c>
      <c r="J1291" s="3147" t="s">
        <v>266</v>
      </c>
      <c r="K1291" s="3183"/>
      <c r="L1291" s="3184"/>
      <c r="M1291" s="1288" t="str">
        <f t="shared" si="202"/>
        <v>ISRG</v>
      </c>
      <c r="P1291" s="1289"/>
    </row>
    <row r="1292" spans="1:16" hidden="1" outlineLevel="1" x14ac:dyDescent="0.35">
      <c r="A1292" s="1087" t="s">
        <v>137</v>
      </c>
      <c r="B1292" s="1131">
        <v>250</v>
      </c>
      <c r="C1292" s="1132">
        <v>362.06</v>
      </c>
      <c r="D1292" s="1221">
        <f t="shared" si="200"/>
        <v>90515</v>
      </c>
      <c r="E1292" s="1233">
        <f t="shared" si="199"/>
        <v>6.1106063714428137E-2</v>
      </c>
      <c r="F1292" s="1222">
        <f>D1292/D$1222</f>
        <v>0.30296948842196902</v>
      </c>
      <c r="G1292" s="1147">
        <v>81</v>
      </c>
      <c r="H1292" s="1148" t="s">
        <v>146</v>
      </c>
      <c r="I1292" s="1203">
        <f t="shared" si="201"/>
        <v>5212.5</v>
      </c>
      <c r="J1292" s="1205"/>
      <c r="K1292" s="1206"/>
      <c r="L1292" s="1164"/>
      <c r="M1292" s="1288" t="str">
        <f t="shared" si="202"/>
        <v>ABMD</v>
      </c>
      <c r="P1292" s="1289"/>
    </row>
    <row r="1293" spans="1:16" hidden="1" outlineLevel="1" x14ac:dyDescent="0.35">
      <c r="A1293" s="7" t="s">
        <v>215</v>
      </c>
      <c r="B1293" s="1142">
        <v>220</v>
      </c>
      <c r="C1293" s="1143">
        <v>17.66</v>
      </c>
      <c r="D1293" s="1223">
        <f t="shared" si="200"/>
        <v>3885.2</v>
      </c>
      <c r="E1293" s="1233">
        <f t="shared" si="199"/>
        <v>5.0565139797739529E-2</v>
      </c>
      <c r="F1293" s="1222">
        <f>D1293/D$1222</f>
        <v>1.3004441876120355E-2</v>
      </c>
      <c r="G1293" s="1136" t="s">
        <v>228</v>
      </c>
      <c r="H1293" s="1137" t="s">
        <v>216</v>
      </c>
      <c r="I1293" s="1203">
        <f t="shared" si="201"/>
        <v>187</v>
      </c>
      <c r="J1293" s="1273"/>
      <c r="K1293" s="1274"/>
      <c r="L1293" s="1275"/>
      <c r="M1293" s="1242" t="str">
        <f t="shared" si="202"/>
        <v>AMRN</v>
      </c>
      <c r="P1293" s="1243"/>
    </row>
    <row r="1294" spans="1:16" hidden="1" outlineLevel="1" x14ac:dyDescent="0.35">
      <c r="A1294" s="1087" t="s">
        <v>208</v>
      </c>
      <c r="B1294" s="1131">
        <v>200</v>
      </c>
      <c r="C1294" s="1132">
        <v>254.96</v>
      </c>
      <c r="D1294" s="1221">
        <f t="shared" si="200"/>
        <v>50992</v>
      </c>
      <c r="E1294" s="1233">
        <f t="shared" si="199"/>
        <v>5.6785210975710924E-2</v>
      </c>
      <c r="F1294" s="1222">
        <v>0.13619627084081606</v>
      </c>
      <c r="G1294" s="1147">
        <v>56</v>
      </c>
      <c r="H1294" s="1148" t="s">
        <v>192</v>
      </c>
      <c r="I1294" s="1203">
        <f t="shared" si="201"/>
        <v>2740</v>
      </c>
      <c r="J1294" s="1205"/>
      <c r="K1294" s="1206"/>
      <c r="L1294" s="1164"/>
      <c r="M1294" s="1288" t="str">
        <f t="shared" si="202"/>
        <v>ALGN</v>
      </c>
      <c r="P1294" s="1289"/>
    </row>
    <row r="1295" spans="1:16" hidden="1" outlineLevel="1" x14ac:dyDescent="0.35">
      <c r="A1295" s="7" t="s">
        <v>49</v>
      </c>
      <c r="B1295" s="1142">
        <v>1.93</v>
      </c>
      <c r="C1295" s="1143">
        <v>157.34</v>
      </c>
      <c r="D1295" s="1223">
        <f t="shared" si="200"/>
        <v>303.6662</v>
      </c>
      <c r="E1295" s="1233">
        <f t="shared" si="199"/>
        <v>6.1888371465208994E-2</v>
      </c>
      <c r="F1295" s="1222">
        <f>D1295/D$1222</f>
        <v>1.0164237227536135E-3</v>
      </c>
      <c r="G1295" s="1136">
        <v>19</v>
      </c>
      <c r="H1295" s="1137"/>
      <c r="I1295" s="1203">
        <f t="shared" si="201"/>
        <v>17.698100000000011</v>
      </c>
      <c r="J1295" s="1273"/>
      <c r="K1295" s="1274"/>
      <c r="L1295" s="1275"/>
      <c r="M1295" s="1288" t="str">
        <f t="shared" si="202"/>
        <v>NVDA</v>
      </c>
      <c r="P1295" s="1289"/>
    </row>
    <row r="1296" spans="1:16" hidden="1" outlineLevel="1" x14ac:dyDescent="0.35">
      <c r="A1296" s="1087" t="s">
        <v>135</v>
      </c>
      <c r="B1296" s="1131">
        <v>1.96</v>
      </c>
      <c r="C1296" s="1132">
        <v>181.09</v>
      </c>
      <c r="D1296" s="1221">
        <f t="shared" si="200"/>
        <v>354.93639999999999</v>
      </c>
      <c r="E1296" s="1233">
        <f t="shared" si="199"/>
        <v>3.3029092983456881E-2</v>
      </c>
      <c r="F1296" s="1222">
        <f>D1296/D$1222</f>
        <v>1.1880340223204481E-3</v>
      </c>
      <c r="G1296" s="1147">
        <v>10</v>
      </c>
      <c r="H1296" s="1148"/>
      <c r="I1296" s="1264">
        <f t="shared" si="201"/>
        <v>11.34839999999997</v>
      </c>
      <c r="J1296" s="1205"/>
      <c r="K1296" s="1206"/>
      <c r="L1296" s="1164"/>
      <c r="M1296" s="1288" t="str">
        <f t="shared" si="202"/>
        <v>LRCX</v>
      </c>
      <c r="N1296" s="1199" t="s">
        <v>43</v>
      </c>
      <c r="O1296" s="1200" t="s">
        <v>198</v>
      </c>
      <c r="P1296" s="1289"/>
    </row>
    <row r="1297" spans="1:16" hidden="1" outlineLevel="1" x14ac:dyDescent="0.35">
      <c r="A1297" s="7" t="s">
        <v>7</v>
      </c>
      <c r="B1297" s="1142"/>
      <c r="C1297" s="1143"/>
      <c r="D1297" s="1223">
        <v>1716.5</v>
      </c>
      <c r="E1297" s="1153"/>
      <c r="F1297" s="1224">
        <f>D1297/D$1094</f>
        <v>5.2887860528407155E-3</v>
      </c>
      <c r="G1297" s="1147"/>
      <c r="H1297" s="1148"/>
      <c r="I1297" s="1216"/>
      <c r="J1297" s="1282"/>
      <c r="K1297" s="1283"/>
      <c r="L1297" s="1284"/>
      <c r="N1297" s="1199"/>
      <c r="O1297" s="1200"/>
    </row>
    <row r="1298" spans="1:16" ht="16" hidden="1" outlineLevel="1" thickBot="1" x14ac:dyDescent="0.4">
      <c r="A1298" s="1087" t="s">
        <v>60</v>
      </c>
      <c r="B1298" s="1131"/>
      <c r="C1298" s="1132"/>
      <c r="D1298" s="1261">
        <f>9524.9-5200</f>
        <v>4324.8999999999996</v>
      </c>
      <c r="E1298" s="1157"/>
      <c r="F1298" s="1227"/>
      <c r="G1298" s="1228"/>
      <c r="H1298" s="1229"/>
      <c r="I1298" s="1290">
        <f>SUM(I1291:I1297)</f>
        <v>16031.046500000015</v>
      </c>
      <c r="J1298" s="1258" t="s">
        <v>267</v>
      </c>
      <c r="K1298" s="1259"/>
      <c r="L1298" s="1260"/>
      <c r="N1298" s="1199"/>
      <c r="O1298" s="1200"/>
    </row>
    <row r="1299" spans="1:16" ht="19" hidden="1" outlineLevel="1" thickBot="1" x14ac:dyDescent="0.5">
      <c r="A1299" s="726" t="s">
        <v>62</v>
      </c>
      <c r="B1299" s="583"/>
      <c r="C1299" s="584"/>
      <c r="D1299" s="1230">
        <f>SUM(D1289:D1298)</f>
        <v>323327.60259999998</v>
      </c>
      <c r="E1299" s="1262">
        <f>D1299-D1284</f>
        <v>11382.71649999998</v>
      </c>
      <c r="F1299" s="1218">
        <f>(D1299-D1284)/D1284</f>
        <v>3.6489511472071474E-2</v>
      </c>
      <c r="G1299" s="679"/>
      <c r="H1299" s="1231"/>
      <c r="I1299" s="680"/>
      <c r="N1299" s="1199"/>
      <c r="O1299" s="1200"/>
    </row>
    <row r="1300" spans="1:16" hidden="1" outlineLevel="1" x14ac:dyDescent="0.35">
      <c r="N1300" s="1199"/>
      <c r="O1300" s="1200"/>
    </row>
    <row r="1301" spans="1:16" hidden="1" outlineLevel="1" x14ac:dyDescent="0.35">
      <c r="A1301" s="701" t="s">
        <v>25</v>
      </c>
      <c r="B1301" s="702" t="s">
        <v>26</v>
      </c>
      <c r="C1301" s="703" t="s">
        <v>27</v>
      </c>
      <c r="D1301" s="704">
        <f>D1286+7</f>
        <v>43518</v>
      </c>
      <c r="E1301" s="705" t="s">
        <v>28</v>
      </c>
      <c r="F1301" s="1125"/>
      <c r="G1301" s="252"/>
      <c r="H1301" s="253"/>
      <c r="I1301" s="1182"/>
      <c r="J1301" s="1183" t="s">
        <v>233</v>
      </c>
    </row>
    <row r="1302" spans="1:16" hidden="1" outlineLevel="1" x14ac:dyDescent="0.35">
      <c r="A1302" s="706" t="s">
        <v>32</v>
      </c>
      <c r="B1302" s="255" t="str">
        <f ca="1">TEXT(TODAY(),"ddd")</f>
        <v>Sun</v>
      </c>
      <c r="C1302" s="256">
        <v>25954</v>
      </c>
      <c r="D1302" s="1201">
        <f>C1302-C1287</f>
        <v>71</v>
      </c>
      <c r="E1302" s="1271">
        <f>(C1302-C1287)/C1287</f>
        <v>2.7431132403508093E-3</v>
      </c>
      <c r="F1302" s="1127" t="s">
        <v>268</v>
      </c>
      <c r="G1302" s="801"/>
      <c r="H1302" s="685"/>
      <c r="I1302" s="1187"/>
      <c r="J1302" s="1188" t="s">
        <v>234</v>
      </c>
      <c r="K1302" s="1220" t="s">
        <v>34</v>
      </c>
      <c r="L1302" s="111" t="s">
        <v>35</v>
      </c>
    </row>
    <row r="1303" spans="1:16" hidden="1" outlineLevel="1" x14ac:dyDescent="0.35">
      <c r="A1303" s="709" t="s">
        <v>36</v>
      </c>
      <c r="B1303" s="263"/>
      <c r="C1303" s="419">
        <v>7489</v>
      </c>
      <c r="D1303" s="1202">
        <f>C1303-C1288</f>
        <v>17</v>
      </c>
      <c r="E1303" s="1271">
        <f t="shared" ref="E1303:E1311" si="203">(C1303-C1288)/C1288</f>
        <v>2.2751605995717343E-3</v>
      </c>
      <c r="F1303" s="1128" t="s">
        <v>37</v>
      </c>
      <c r="G1303" s="1129" t="s">
        <v>38</v>
      </c>
      <c r="H1303" s="1130" t="s">
        <v>144</v>
      </c>
      <c r="J1303" s="3137" t="s">
        <v>42</v>
      </c>
      <c r="K1303" s="3122"/>
      <c r="L1303" s="3123"/>
      <c r="M1303" s="1031" t="s">
        <v>244</v>
      </c>
      <c r="P1303" s="1032" t="s">
        <v>44</v>
      </c>
    </row>
    <row r="1304" spans="1:16" hidden="1" outlineLevel="1" x14ac:dyDescent="0.35">
      <c r="A1304" s="7" t="s">
        <v>250</v>
      </c>
      <c r="B1304" s="1142">
        <v>1128</v>
      </c>
      <c r="C1304" s="1143">
        <v>7.07</v>
      </c>
      <c r="D1304" s="1223">
        <f t="shared" ref="D1304:D1311" si="204">C1304*B1304</f>
        <v>7974.96</v>
      </c>
      <c r="E1304" s="1233">
        <f t="shared" si="203"/>
        <v>2.8368794326241792E-3</v>
      </c>
      <c r="F1304" s="1222">
        <f>D1304/D$1222</f>
        <v>2.6693581742094304E-2</v>
      </c>
      <c r="G1304" s="1136">
        <v>28</v>
      </c>
      <c r="H1304" s="1137"/>
      <c r="I1304" s="1203">
        <f>D1304-D1289</f>
        <v>22.5600000000004</v>
      </c>
      <c r="J1304" s="1273"/>
      <c r="K1304" s="1274"/>
      <c r="L1304" s="1275"/>
      <c r="M1304" s="1297" t="str">
        <f t="shared" ref="M1304:M1311" si="205">A1304</f>
        <v>ACB</v>
      </c>
      <c r="P1304" s="1289">
        <f ca="1">RANK(O806,$O$745:$O$753,1)</f>
        <v>7</v>
      </c>
    </row>
    <row r="1305" spans="1:16" hidden="1" outlineLevel="1" x14ac:dyDescent="0.35">
      <c r="A1305" s="1087" t="s">
        <v>247</v>
      </c>
      <c r="B1305" s="1131">
        <v>550</v>
      </c>
      <c r="C1305" s="1132">
        <v>46.27</v>
      </c>
      <c r="D1305" s="1221">
        <f t="shared" si="204"/>
        <v>25448.5</v>
      </c>
      <c r="E1305" s="1233">
        <f t="shared" si="203"/>
        <v>-2.7123633305298551E-2</v>
      </c>
      <c r="F1305" s="1222">
        <v>1.9204412968248877E-2</v>
      </c>
      <c r="G1305" s="1147" t="s">
        <v>248</v>
      </c>
      <c r="H1305" s="1148"/>
      <c r="I1305" s="1138">
        <f t="shared" ref="I1305:I1311" si="206">D1305-D1290</f>
        <v>-709.5</v>
      </c>
      <c r="J1305" s="1205"/>
      <c r="K1305" s="1206"/>
      <c r="L1305" s="1164"/>
      <c r="M1305" s="1288" t="str">
        <f t="shared" si="205"/>
        <v>CGC</v>
      </c>
      <c r="P1305" s="1289">
        <f ca="1">RANK(O807,$O$745:$O$753,1)</f>
        <v>6</v>
      </c>
    </row>
    <row r="1306" spans="1:16" hidden="1" outlineLevel="1" x14ac:dyDescent="0.35">
      <c r="A1306" s="7" t="s">
        <v>96</v>
      </c>
      <c r="B1306" s="1142">
        <v>250</v>
      </c>
      <c r="C1306" s="1143">
        <v>549.65</v>
      </c>
      <c r="D1306" s="1223">
        <f t="shared" si="204"/>
        <v>137412.5</v>
      </c>
      <c r="E1306" s="1263">
        <f t="shared" si="203"/>
        <v>2.0966271649954008E-3</v>
      </c>
      <c r="F1306" s="1222">
        <f>D1306/D$1222</f>
        <v>0.45994359860557715</v>
      </c>
      <c r="G1306" s="1136">
        <v>79</v>
      </c>
      <c r="H1306" s="1137" t="s">
        <v>145</v>
      </c>
      <c r="I1306" s="1203">
        <f t="shared" si="206"/>
        <v>287.5</v>
      </c>
      <c r="J1306" s="1273"/>
      <c r="K1306" s="1274"/>
      <c r="L1306" s="1275"/>
      <c r="M1306" s="1288" t="str">
        <f t="shared" si="205"/>
        <v>ISRG</v>
      </c>
      <c r="P1306" s="1289"/>
    </row>
    <row r="1307" spans="1:16" hidden="1" outlineLevel="1" x14ac:dyDescent="0.35">
      <c r="A1307" s="1087" t="s">
        <v>137</v>
      </c>
      <c r="B1307" s="1131">
        <v>250</v>
      </c>
      <c r="C1307" s="1132">
        <v>362.25</v>
      </c>
      <c r="D1307" s="1221">
        <f t="shared" si="204"/>
        <v>90562.5</v>
      </c>
      <c r="E1307" s="1263">
        <f t="shared" si="203"/>
        <v>5.2477489918797363E-4</v>
      </c>
      <c r="F1307" s="1222">
        <f>D1307/D$1222</f>
        <v>0.3031284792047127</v>
      </c>
      <c r="G1307" s="1147">
        <v>81</v>
      </c>
      <c r="H1307" s="1148" t="s">
        <v>146</v>
      </c>
      <c r="I1307" s="1203">
        <f t="shared" si="206"/>
        <v>47.5</v>
      </c>
      <c r="J1307" s="1205"/>
      <c r="K1307" s="1206"/>
      <c r="L1307" s="1164"/>
      <c r="M1307" s="1288" t="str">
        <f t="shared" si="205"/>
        <v>ABMD</v>
      </c>
      <c r="N1307" s="1199" t="s">
        <v>43</v>
      </c>
      <c r="O1307" s="1200" t="s">
        <v>198</v>
      </c>
      <c r="P1307" s="1289">
        <f ca="1">RANK(O809,$O$745:$O$753,1)</f>
        <v>4</v>
      </c>
    </row>
    <row r="1308" spans="1:16" hidden="1" outlineLevel="1" x14ac:dyDescent="0.35">
      <c r="A1308" s="7" t="s">
        <v>215</v>
      </c>
      <c r="B1308" s="1142">
        <v>220</v>
      </c>
      <c r="C1308" s="1143">
        <v>17.2</v>
      </c>
      <c r="D1308" s="1223">
        <f t="shared" si="204"/>
        <v>3784</v>
      </c>
      <c r="E1308" s="1263">
        <f t="shared" si="203"/>
        <v>-2.6047565118912847E-2</v>
      </c>
      <c r="F1308" s="1222">
        <f>D1308/D$1222</f>
        <v>1.2665707829516995E-2</v>
      </c>
      <c r="G1308" s="1136" t="s">
        <v>228</v>
      </c>
      <c r="H1308" s="1137" t="s">
        <v>216</v>
      </c>
      <c r="I1308" s="1138">
        <f t="shared" si="206"/>
        <v>-101.19999999999982</v>
      </c>
      <c r="J1308" s="1273"/>
      <c r="K1308" s="1274"/>
      <c r="L1308" s="1275"/>
      <c r="M1308" s="1242" t="str">
        <f t="shared" si="205"/>
        <v>AMRN</v>
      </c>
      <c r="N1308" s="1199"/>
      <c r="O1308" s="1200"/>
      <c r="P1308" s="1243">
        <f ca="1">RANK(O810,$O$745:$O$753,1)</f>
        <v>8</v>
      </c>
    </row>
    <row r="1309" spans="1:16" hidden="1" outlineLevel="1" x14ac:dyDescent="0.35">
      <c r="A1309" s="1087" t="s">
        <v>208</v>
      </c>
      <c r="B1309" s="1131">
        <v>200</v>
      </c>
      <c r="C1309" s="1132">
        <v>253.79</v>
      </c>
      <c r="D1309" s="1221">
        <f t="shared" si="204"/>
        <v>50758</v>
      </c>
      <c r="E1309" s="1263">
        <f t="shared" si="203"/>
        <v>-4.5889551302165672E-3</v>
      </c>
      <c r="F1309" s="1222">
        <v>0.13619627084081606</v>
      </c>
      <c r="G1309" s="1147">
        <v>56</v>
      </c>
      <c r="H1309" s="1148" t="s">
        <v>192</v>
      </c>
      <c r="I1309" s="1138">
        <f t="shared" si="206"/>
        <v>-234</v>
      </c>
      <c r="J1309" s="1205"/>
      <c r="K1309" s="1206"/>
      <c r="L1309" s="1164"/>
      <c r="M1309" s="1288" t="str">
        <f t="shared" si="205"/>
        <v>ALGN</v>
      </c>
      <c r="N1309" s="1199"/>
      <c r="O1309" s="1200"/>
      <c r="P1309" s="1289">
        <f ca="1">RANK(O811,$O$745:$O$753,1)</f>
        <v>3</v>
      </c>
    </row>
    <row r="1310" spans="1:16" hidden="1" outlineLevel="1" x14ac:dyDescent="0.35">
      <c r="A1310" s="7" t="s">
        <v>49</v>
      </c>
      <c r="B1310" s="1142">
        <v>1.93</v>
      </c>
      <c r="C1310" s="1143">
        <v>158.55000000000001</v>
      </c>
      <c r="D1310" s="1223">
        <f t="shared" si="204"/>
        <v>306.00150000000002</v>
      </c>
      <c r="E1310" s="1263">
        <f t="shared" si="203"/>
        <v>7.6903521037244692E-3</v>
      </c>
      <c r="F1310" s="1222">
        <f>D1310/D$1222</f>
        <v>1.0242403790681673E-3</v>
      </c>
      <c r="G1310" s="1136">
        <v>19</v>
      </c>
      <c r="H1310" s="1137"/>
      <c r="I1310" s="1203">
        <f t="shared" si="206"/>
        <v>2.3353000000000179</v>
      </c>
      <c r="J1310" s="1273"/>
      <c r="K1310" s="1274"/>
      <c r="L1310" s="1275"/>
      <c r="M1310" s="1288" t="str">
        <f t="shared" si="205"/>
        <v>NVDA</v>
      </c>
      <c r="N1310" s="1199"/>
      <c r="O1310" s="1200"/>
      <c r="P1310" s="1289">
        <f ca="1">RANK(O812,$O$745:$O$753,1)</f>
        <v>5</v>
      </c>
    </row>
    <row r="1311" spans="1:16" hidden="1" outlineLevel="1" x14ac:dyDescent="0.35">
      <c r="A1311" s="1087" t="s">
        <v>135</v>
      </c>
      <c r="B1311" s="1131">
        <v>1.96</v>
      </c>
      <c r="C1311" s="1132">
        <v>182.21</v>
      </c>
      <c r="D1311" s="1221">
        <f t="shared" si="204"/>
        <v>357.13159999999999</v>
      </c>
      <c r="E1311" s="1233">
        <f t="shared" si="203"/>
        <v>6.184770003865506E-3</v>
      </c>
      <c r="F1311" s="1222">
        <f>D1311/D$1222</f>
        <v>1.1953817395052673E-3</v>
      </c>
      <c r="G1311" s="1147">
        <v>10</v>
      </c>
      <c r="H1311" s="1148"/>
      <c r="I1311" s="1264">
        <f t="shared" si="206"/>
        <v>2.1951999999999998</v>
      </c>
      <c r="J1311" s="1205"/>
      <c r="K1311" s="1206"/>
      <c r="L1311" s="1164"/>
      <c r="M1311" s="1288" t="str">
        <f t="shared" si="205"/>
        <v>LRCX</v>
      </c>
      <c r="N1311" s="1199"/>
      <c r="O1311" s="1200"/>
      <c r="P1311" s="1289"/>
    </row>
    <row r="1312" spans="1:16" hidden="1" outlineLevel="1" x14ac:dyDescent="0.35">
      <c r="A1312" s="7" t="s">
        <v>7</v>
      </c>
      <c r="B1312" s="1142"/>
      <c r="C1312" s="1143"/>
      <c r="D1312" s="1223">
        <v>1716.5</v>
      </c>
      <c r="E1312" s="1153"/>
      <c r="F1312" s="1224">
        <f>D1312/D$1094</f>
        <v>5.2887860528407155E-3</v>
      </c>
      <c r="G1312" s="1147"/>
      <c r="H1312" s="1148"/>
      <c r="I1312" s="1216"/>
      <c r="J1312" s="1258" t="s">
        <v>269</v>
      </c>
      <c r="K1312" s="1259"/>
      <c r="L1312" s="1260"/>
    </row>
    <row r="1313" spans="1:16" ht="16" hidden="1" outlineLevel="1" thickBot="1" x14ac:dyDescent="0.4">
      <c r="A1313" s="1087" t="s">
        <v>60</v>
      </c>
      <c r="B1313" s="1131"/>
      <c r="C1313" s="1132"/>
      <c r="D1313" s="1261">
        <f>4324.9-2300</f>
        <v>2024.8999999999996</v>
      </c>
      <c r="E1313" s="1157"/>
      <c r="F1313" s="1227"/>
      <c r="G1313" s="1228"/>
      <c r="H1313" s="1229"/>
      <c r="I1313" s="826">
        <f>SUM(I1304:I1312)</f>
        <v>-682.60949999999946</v>
      </c>
      <c r="J1313" s="1298">
        <f>5200+2300</f>
        <v>7500</v>
      </c>
    </row>
    <row r="1314" spans="1:16" ht="19" hidden="1" outlineLevel="1" thickBot="1" x14ac:dyDescent="0.5">
      <c r="A1314" s="726" t="s">
        <v>62</v>
      </c>
      <c r="B1314" s="583"/>
      <c r="C1314" s="584"/>
      <c r="D1314" s="1230">
        <f>SUM(D1304:D1313)</f>
        <v>320344.99310000002</v>
      </c>
      <c r="E1314" s="1285">
        <f>D1314-D1299</f>
        <v>-2982.6094999999623</v>
      </c>
      <c r="F1314" s="1180">
        <f>(D1314-D1299)/D1299</f>
        <v>-9.2247289622527338E-3</v>
      </c>
      <c r="G1314" s="679"/>
      <c r="H1314" s="1231"/>
      <c r="I1314" s="680"/>
    </row>
    <row r="1315" spans="1:16" hidden="1" outlineLevel="1" collapsed="1" x14ac:dyDescent="0.35"/>
    <row r="1316" spans="1:16" hidden="1" outlineLevel="1" x14ac:dyDescent="0.35">
      <c r="A1316" s="701" t="s">
        <v>25</v>
      </c>
      <c r="B1316" s="702" t="s">
        <v>26</v>
      </c>
      <c r="C1316" s="703" t="s">
        <v>27</v>
      </c>
      <c r="D1316" s="704">
        <f>D1301+7</f>
        <v>43525</v>
      </c>
      <c r="E1316" s="705" t="s">
        <v>28</v>
      </c>
      <c r="F1316" s="1125"/>
      <c r="G1316" s="252"/>
      <c r="H1316" s="253"/>
      <c r="I1316" s="1182"/>
      <c r="J1316" s="1183" t="s">
        <v>233</v>
      </c>
    </row>
    <row r="1317" spans="1:16" hidden="1" outlineLevel="1" x14ac:dyDescent="0.35">
      <c r="A1317" s="706" t="s">
        <v>32</v>
      </c>
      <c r="B1317" s="255" t="str">
        <f ca="1">TEXT(TODAY(),"ddd")</f>
        <v>Sun</v>
      </c>
      <c r="C1317" s="256">
        <v>26026</v>
      </c>
      <c r="D1317" s="1270">
        <f>C1317-C1302</f>
        <v>72</v>
      </c>
      <c r="E1317" s="1271">
        <f>(C1317-C1302)/C1302</f>
        <v>2.7741388610618787E-3</v>
      </c>
      <c r="F1317" s="1127" t="s">
        <v>270</v>
      </c>
      <c r="G1317" s="801"/>
      <c r="H1317" s="685"/>
      <c r="I1317" s="1187"/>
      <c r="J1317" s="1188" t="s">
        <v>234</v>
      </c>
      <c r="K1317" s="1220" t="s">
        <v>34</v>
      </c>
      <c r="L1317" s="111" t="s">
        <v>35</v>
      </c>
    </row>
    <row r="1318" spans="1:16" hidden="1" outlineLevel="1" x14ac:dyDescent="0.35">
      <c r="A1318" s="709" t="s">
        <v>36</v>
      </c>
      <c r="B1318" s="263"/>
      <c r="C1318" s="419">
        <v>7595</v>
      </c>
      <c r="D1318" s="1202">
        <f>C1318-C1303</f>
        <v>106</v>
      </c>
      <c r="E1318" s="1271">
        <f>(C1318-C1303)/C1303</f>
        <v>1.4154092669248232E-2</v>
      </c>
      <c r="F1318" s="1128" t="s">
        <v>37</v>
      </c>
      <c r="G1318" s="1129" t="s">
        <v>38</v>
      </c>
      <c r="H1318" s="1130" t="s">
        <v>144</v>
      </c>
      <c r="J1318" s="3137" t="s">
        <v>42</v>
      </c>
      <c r="K1318" s="3122"/>
      <c r="L1318" s="3123"/>
      <c r="M1318" s="1031" t="s">
        <v>244</v>
      </c>
      <c r="N1318" s="1199" t="s">
        <v>43</v>
      </c>
      <c r="O1318" s="1200" t="s">
        <v>198</v>
      </c>
      <c r="P1318" s="1032" t="s">
        <v>44</v>
      </c>
    </row>
    <row r="1319" spans="1:16" hidden="1" outlineLevel="1" x14ac:dyDescent="0.35">
      <c r="A1319" s="1299" t="s">
        <v>250</v>
      </c>
      <c r="B1319" s="1300">
        <v>1128</v>
      </c>
      <c r="C1319" s="1301">
        <v>7.34</v>
      </c>
      <c r="D1319" s="1302">
        <f t="shared" ref="D1319:D1326" si="207">C1319*B1319</f>
        <v>8279.52</v>
      </c>
      <c r="E1319" s="1233">
        <f>(C1319-C1304)/C1304</f>
        <v>3.8189533239038127E-2</v>
      </c>
      <c r="F1319" s="1222">
        <f>D1319/D$1222</f>
        <v>2.7712997169302998E-2</v>
      </c>
      <c r="G1319" s="1136">
        <v>28</v>
      </c>
      <c r="H1319" s="1137"/>
      <c r="I1319" s="1203"/>
      <c r="J1319" s="1273"/>
      <c r="K1319" s="1274"/>
      <c r="L1319" s="1275"/>
      <c r="M1319" s="1242" t="str">
        <f t="shared" ref="M1319:M1326" si="208">A1319</f>
        <v>ACB</v>
      </c>
      <c r="N1319" s="1199"/>
      <c r="O1319" s="1200"/>
      <c r="P1319" s="1243">
        <f t="shared" ref="P1319:P1324" ca="1" si="209">RANK(O821,$O$821:$O$826,1)</f>
        <v>5</v>
      </c>
    </row>
    <row r="1320" spans="1:16" hidden="1" outlineLevel="1" x14ac:dyDescent="0.35">
      <c r="A1320" s="7" t="s">
        <v>215</v>
      </c>
      <c r="B1320" s="1142">
        <v>710</v>
      </c>
      <c r="C1320" s="1143">
        <v>22.33</v>
      </c>
      <c r="D1320" s="1223">
        <f t="shared" si="207"/>
        <v>15854.3</v>
      </c>
      <c r="E1320" s="1263"/>
      <c r="F1320" s="1222">
        <f>D1320/D$1222</f>
        <v>5.3067106670589663E-2</v>
      </c>
      <c r="G1320" s="1136" t="s">
        <v>228</v>
      </c>
      <c r="H1320" s="1137" t="s">
        <v>192</v>
      </c>
      <c r="I1320" s="1203"/>
      <c r="J1320" s="1273"/>
      <c r="K1320" s="1274"/>
      <c r="L1320" s="1275"/>
      <c r="M1320" s="1242" t="str">
        <f t="shared" si="208"/>
        <v>AMRN</v>
      </c>
      <c r="N1320" s="1199"/>
      <c r="O1320" s="1200"/>
      <c r="P1320" s="1243">
        <f t="shared" ca="1" si="209"/>
        <v>6</v>
      </c>
    </row>
    <row r="1321" spans="1:16" hidden="1" outlineLevel="1" x14ac:dyDescent="0.35">
      <c r="A1321" s="1087" t="s">
        <v>247</v>
      </c>
      <c r="B1321" s="1131">
        <v>300</v>
      </c>
      <c r="C1321" s="1132">
        <v>47.05</v>
      </c>
      <c r="D1321" s="1221">
        <f>C1321*B1321</f>
        <v>14115</v>
      </c>
      <c r="E1321" s="1263"/>
      <c r="F1321" s="1222">
        <v>1.9204412968248877E-2</v>
      </c>
      <c r="G1321" s="1147" t="s">
        <v>248</v>
      </c>
      <c r="H1321" s="1148"/>
      <c r="I1321" s="1138"/>
      <c r="J1321" s="1273"/>
      <c r="K1321" s="1274"/>
      <c r="L1321" s="1275"/>
      <c r="M1321" s="1242" t="str">
        <f t="shared" si="208"/>
        <v>CGC</v>
      </c>
      <c r="N1321" s="1199"/>
      <c r="O1321" s="1200"/>
      <c r="P1321" s="1243">
        <f t="shared" ca="1" si="209"/>
        <v>4</v>
      </c>
    </row>
    <row r="1322" spans="1:16" hidden="1" outlineLevel="1" x14ac:dyDescent="0.35">
      <c r="A1322" s="7" t="s">
        <v>96</v>
      </c>
      <c r="B1322" s="1142">
        <v>250</v>
      </c>
      <c r="C1322" s="1143">
        <v>558.54999999999995</v>
      </c>
      <c r="D1322" s="1223">
        <f t="shared" si="207"/>
        <v>139637.5</v>
      </c>
      <c r="E1322" s="1263">
        <f>(C1322-C1306)/C1306</f>
        <v>1.6192122259619718E-2</v>
      </c>
      <c r="F1322" s="1222">
        <f>D1322/D$1222</f>
        <v>0.46739106158672816</v>
      </c>
      <c r="G1322" s="1136">
        <v>79</v>
      </c>
      <c r="H1322" s="1137" t="s">
        <v>145</v>
      </c>
      <c r="I1322" s="1138"/>
      <c r="J1322" s="1273"/>
      <c r="K1322" s="1274"/>
      <c r="L1322" s="1275"/>
      <c r="M1322" s="1303" t="str">
        <f t="shared" si="208"/>
        <v>ISRG</v>
      </c>
      <c r="N1322" s="1199"/>
      <c r="O1322" s="1200"/>
      <c r="P1322" s="1304">
        <f t="shared" ca="1" si="209"/>
        <v>1</v>
      </c>
    </row>
    <row r="1323" spans="1:16" hidden="1" outlineLevel="1" x14ac:dyDescent="0.35">
      <c r="A1323" s="1299" t="s">
        <v>137</v>
      </c>
      <c r="B1323" s="1300">
        <v>250</v>
      </c>
      <c r="C1323" s="1301">
        <v>348.06</v>
      </c>
      <c r="D1323" s="1302">
        <f t="shared" si="207"/>
        <v>87015</v>
      </c>
      <c r="E1323" s="1263">
        <f>(C1323-C1307)/C1307</f>
        <v>-3.9171842650103511E-2</v>
      </c>
      <c r="F1323" s="1222">
        <f>D1323/D$1222</f>
        <v>0.29125437811454052</v>
      </c>
      <c r="G1323" s="1147">
        <v>81</v>
      </c>
      <c r="H1323" s="1148" t="s">
        <v>146</v>
      </c>
      <c r="I1323" s="1138"/>
      <c r="J1323" s="1205"/>
      <c r="K1323" s="1206"/>
      <c r="L1323" s="1164"/>
      <c r="M1323" s="1251" t="str">
        <f t="shared" si="208"/>
        <v>ABMD</v>
      </c>
      <c r="P1323" s="1243">
        <f t="shared" ca="1" si="209"/>
        <v>3</v>
      </c>
    </row>
    <row r="1324" spans="1:16" hidden="1" outlineLevel="1" x14ac:dyDescent="0.35">
      <c r="A1324" s="7" t="s">
        <v>208</v>
      </c>
      <c r="B1324" s="1142">
        <v>200</v>
      </c>
      <c r="C1324" s="1143">
        <v>263.35000000000002</v>
      </c>
      <c r="D1324" s="1223">
        <f t="shared" si="207"/>
        <v>52670.000000000007</v>
      </c>
      <c r="E1324" s="1263">
        <f>(C1324-C1309)/C1309</f>
        <v>3.7668938886481068E-2</v>
      </c>
      <c r="F1324" s="1222">
        <v>0.13619627084081606</v>
      </c>
      <c r="G1324" s="1147">
        <v>56</v>
      </c>
      <c r="H1324" s="1148" t="s">
        <v>192</v>
      </c>
      <c r="I1324" s="1138"/>
      <c r="J1324" s="1205"/>
      <c r="K1324" s="1206"/>
      <c r="L1324" s="1164"/>
      <c r="M1324" s="1251" t="str">
        <f t="shared" si="208"/>
        <v>ALGN</v>
      </c>
      <c r="P1324" s="1243">
        <f t="shared" ca="1" si="209"/>
        <v>2</v>
      </c>
    </row>
    <row r="1325" spans="1:16" hidden="1" outlineLevel="1" x14ac:dyDescent="0.35">
      <c r="A1325" s="1299" t="s">
        <v>49</v>
      </c>
      <c r="B1325" s="1300">
        <v>1.93</v>
      </c>
      <c r="C1325" s="1301">
        <v>156.44999999999999</v>
      </c>
      <c r="D1325" s="1302">
        <f t="shared" si="207"/>
        <v>301.94849999999997</v>
      </c>
      <c r="E1325" s="1263">
        <f>(C1325-C1310)/C1310</f>
        <v>-1.3245033112582924E-2</v>
      </c>
      <c r="F1325" s="1222">
        <f>D1325/D$1222</f>
        <v>1.0106742813321648E-3</v>
      </c>
      <c r="G1325" s="1136">
        <v>19</v>
      </c>
      <c r="H1325" s="1137"/>
      <c r="I1325" s="1138"/>
      <c r="J1325" s="1273"/>
      <c r="K1325" s="1274"/>
      <c r="L1325" s="1275"/>
      <c r="M1325" s="1251" t="str">
        <f t="shared" si="208"/>
        <v>NVDA</v>
      </c>
      <c r="P1325" s="1243"/>
    </row>
    <row r="1326" spans="1:16" hidden="1" outlineLevel="1" x14ac:dyDescent="0.35">
      <c r="A1326" s="7" t="s">
        <v>135</v>
      </c>
      <c r="B1326" s="1142">
        <v>1.96</v>
      </c>
      <c r="C1326" s="1143">
        <v>176.75</v>
      </c>
      <c r="D1326" s="1223">
        <f t="shared" si="207"/>
        <v>346.43</v>
      </c>
      <c r="E1326" s="1233">
        <f>(C1326-C1311)/C1311</f>
        <v>-2.9965424510180604E-2</v>
      </c>
      <c r="F1326" s="1222">
        <f>D1326/D$1222</f>
        <v>1.1595616182292739E-3</v>
      </c>
      <c r="G1326" s="1147">
        <v>10</v>
      </c>
      <c r="H1326" s="1148"/>
      <c r="I1326" s="1203"/>
      <c r="J1326" s="1205"/>
      <c r="K1326" s="1206"/>
      <c r="L1326" s="1164"/>
      <c r="M1326" s="1251" t="str">
        <f t="shared" si="208"/>
        <v>LRCX</v>
      </c>
      <c r="P1326" s="1243"/>
    </row>
    <row r="1327" spans="1:16" hidden="1" outlineLevel="1" x14ac:dyDescent="0.35">
      <c r="A1327" s="1299" t="s">
        <v>7</v>
      </c>
      <c r="B1327" s="1300"/>
      <c r="C1327" s="1301"/>
      <c r="D1327" s="1302">
        <v>1732.94</v>
      </c>
      <c r="E1327" s="1305"/>
      <c r="F1327" s="1306">
        <f>D1327/D$1094</f>
        <v>5.3394400829652145E-3</v>
      </c>
      <c r="G1327" s="1307"/>
      <c r="H1327" s="1308"/>
      <c r="I1327" s="1216"/>
      <c r="J1327" s="1282"/>
      <c r="K1327" s="1283"/>
      <c r="L1327" s="1284"/>
    </row>
    <row r="1328" spans="1:16" ht="16" hidden="1" outlineLevel="1" thickBot="1" x14ac:dyDescent="0.4">
      <c r="A1328" s="7" t="s">
        <v>60</v>
      </c>
      <c r="B1328" s="1142"/>
      <c r="C1328" s="1143"/>
      <c r="D1328" s="1309">
        <f>1861.78+28.2+9.95</f>
        <v>1899.93</v>
      </c>
      <c r="E1328" s="1153"/>
      <c r="F1328" s="1310"/>
      <c r="G1328" s="1311"/>
      <c r="H1328" s="1312"/>
      <c r="I1328" s="592">
        <f>SUM(I1322:I1327)</f>
        <v>0</v>
      </c>
    </row>
    <row r="1329" spans="1:16" ht="19" hidden="1" outlineLevel="1" thickBot="1" x14ac:dyDescent="0.5">
      <c r="A1329" s="726" t="s">
        <v>62</v>
      </c>
      <c r="B1329" s="583"/>
      <c r="C1329" s="584"/>
      <c r="D1329" s="1230">
        <f>SUM(D1319:D1328)</f>
        <v>321852.56849999999</v>
      </c>
      <c r="E1329" s="1293">
        <f>D1329-D1314</f>
        <v>1507.5753999999724</v>
      </c>
      <c r="F1329" s="1180">
        <f>(D1329-D1314)/D1314</f>
        <v>4.7060994629916451E-3</v>
      </c>
      <c r="G1329" s="679"/>
      <c r="H1329" s="1231"/>
      <c r="I1329" s="680"/>
      <c r="N1329" s="1199" t="s">
        <v>43</v>
      </c>
      <c r="O1329" s="1200" t="s">
        <v>198</v>
      </c>
    </row>
    <row r="1330" spans="1:16" hidden="1" outlineLevel="1" x14ac:dyDescent="0.35">
      <c r="N1330" s="1199"/>
      <c r="O1330" s="1200"/>
    </row>
    <row r="1331" spans="1:16" hidden="1" outlineLevel="1" x14ac:dyDescent="0.35">
      <c r="A1331" s="701" t="s">
        <v>25</v>
      </c>
      <c r="B1331" s="702" t="s">
        <v>26</v>
      </c>
      <c r="C1331" s="703" t="s">
        <v>27</v>
      </c>
      <c r="D1331" s="704">
        <f>D1316+7</f>
        <v>43532</v>
      </c>
      <c r="E1331" s="705" t="s">
        <v>28</v>
      </c>
      <c r="F1331" s="1125"/>
      <c r="G1331" s="252"/>
      <c r="H1331" s="253"/>
      <c r="I1331" s="1182"/>
      <c r="J1331" s="1183" t="s">
        <v>233</v>
      </c>
      <c r="N1331" s="1199"/>
      <c r="O1331" s="1200"/>
    </row>
    <row r="1332" spans="1:16" hidden="1" outlineLevel="1" x14ac:dyDescent="0.35">
      <c r="A1332" s="706" t="s">
        <v>32</v>
      </c>
      <c r="B1332" s="255" t="str">
        <f ca="1">TEXT(TODAY(),"ddd")</f>
        <v>Sun</v>
      </c>
      <c r="C1332" s="256">
        <v>25450</v>
      </c>
      <c r="D1332" s="1184">
        <f>C1332-C1317</f>
        <v>-576</v>
      </c>
      <c r="E1332" s="1185">
        <f>(C1332-C1317)/C1317</f>
        <v>-2.2131714439406747E-2</v>
      </c>
      <c r="F1332" s="1127" t="s">
        <v>270</v>
      </c>
      <c r="G1332" s="801"/>
      <c r="H1332" s="685"/>
      <c r="I1332" s="1187"/>
      <c r="J1332" s="1188" t="s">
        <v>234</v>
      </c>
      <c r="K1332" s="1220" t="s">
        <v>34</v>
      </c>
      <c r="L1332" s="111" t="s">
        <v>35</v>
      </c>
      <c r="N1332" s="1199"/>
      <c r="O1332" s="1200"/>
    </row>
    <row r="1333" spans="1:16" hidden="1" outlineLevel="1" x14ac:dyDescent="0.35">
      <c r="A1333" s="709" t="s">
        <v>36</v>
      </c>
      <c r="B1333" s="263"/>
      <c r="C1333" s="419">
        <v>7408</v>
      </c>
      <c r="D1333" s="1189">
        <f>C1333-C1318</f>
        <v>-187</v>
      </c>
      <c r="E1333" s="1185">
        <f>(C1333-C1318)/C1318</f>
        <v>-2.4621461487820934E-2</v>
      </c>
      <c r="F1333" s="1128" t="s">
        <v>37</v>
      </c>
      <c r="G1333" s="1129" t="s">
        <v>38</v>
      </c>
      <c r="H1333" s="1130" t="s">
        <v>144</v>
      </c>
      <c r="J1333" s="3137" t="s">
        <v>42</v>
      </c>
      <c r="K1333" s="3122"/>
      <c r="L1333" s="3123"/>
      <c r="M1333" s="1031" t="s">
        <v>244</v>
      </c>
      <c r="N1333" s="1199"/>
      <c r="O1333" s="1200"/>
      <c r="P1333" s="1032" t="s">
        <v>44</v>
      </c>
    </row>
    <row r="1334" spans="1:16" hidden="1" outlineLevel="1" x14ac:dyDescent="0.35">
      <c r="A1334" s="1299" t="s">
        <v>250</v>
      </c>
      <c r="B1334" s="1300">
        <v>1128</v>
      </c>
      <c r="C1334" s="1301">
        <v>7.75</v>
      </c>
      <c r="D1334" s="1302">
        <f t="shared" ref="D1334:D1341" si="210">C1334*B1334</f>
        <v>8742</v>
      </c>
      <c r="E1334" s="1313">
        <f>(C1334-C1319)/C1319</f>
        <v>5.5858310626703017E-2</v>
      </c>
      <c r="F1334" s="1222">
        <f>D1334/D$1222</f>
        <v>2.9260998373582866E-2</v>
      </c>
      <c r="G1334" s="1136">
        <v>28</v>
      </c>
      <c r="H1334" s="1137"/>
      <c r="I1334" s="1203"/>
      <c r="J1334" s="1273"/>
      <c r="K1334" s="1274"/>
      <c r="L1334" s="1275"/>
      <c r="M1334" s="1242" t="str">
        <f t="shared" ref="M1334:M1341" si="211">A1334</f>
        <v>ACB</v>
      </c>
      <c r="N1334" s="1199"/>
      <c r="O1334" s="1200"/>
      <c r="P1334" s="1243">
        <f t="shared" ref="P1334:P1339" ca="1" si="212">RANK(O836,$O$821:$O$826,1)</f>
        <v>5</v>
      </c>
    </row>
    <row r="1335" spans="1:16" hidden="1" outlineLevel="1" x14ac:dyDescent="0.35">
      <c r="A1335" s="7" t="s">
        <v>215</v>
      </c>
      <c r="B1335" s="1142">
        <v>710</v>
      </c>
      <c r="C1335" s="1143">
        <v>21.4</v>
      </c>
      <c r="D1335" s="1223">
        <f t="shared" si="210"/>
        <v>15193.999999999998</v>
      </c>
      <c r="E1335" s="1263">
        <f t="shared" ref="E1335:E1341" si="213">(C1335-C1320)/C1320</f>
        <v>-4.1648007165248538E-2</v>
      </c>
      <c r="F1335" s="1222">
        <f>D1335/D$1222</f>
        <v>5.0856967431733929E-2</v>
      </c>
      <c r="G1335" s="1136" t="s">
        <v>228</v>
      </c>
      <c r="H1335" s="1137" t="s">
        <v>192</v>
      </c>
      <c r="I1335" s="1203"/>
      <c r="J1335" s="1273"/>
      <c r="K1335" s="1274"/>
      <c r="L1335" s="1275"/>
      <c r="M1335" s="1242" t="str">
        <f t="shared" si="211"/>
        <v>AMRN</v>
      </c>
      <c r="P1335" s="1243">
        <f t="shared" ca="1" si="212"/>
        <v>6</v>
      </c>
    </row>
    <row r="1336" spans="1:16" hidden="1" outlineLevel="1" x14ac:dyDescent="0.35">
      <c r="A1336" s="1087" t="s">
        <v>247</v>
      </c>
      <c r="B1336" s="1131">
        <v>300</v>
      </c>
      <c r="C1336" s="1132">
        <v>45.13</v>
      </c>
      <c r="D1336" s="1221">
        <f t="shared" si="210"/>
        <v>13539</v>
      </c>
      <c r="E1336" s="1263">
        <f t="shared" si="213"/>
        <v>-4.0807651434643884E-2</v>
      </c>
      <c r="F1336" s="1222">
        <v>1.9204412968248877E-2</v>
      </c>
      <c r="G1336" s="1147" t="s">
        <v>248</v>
      </c>
      <c r="H1336" s="1148"/>
      <c r="I1336" s="1138"/>
      <c r="J1336" s="3147" t="s">
        <v>271</v>
      </c>
      <c r="K1336" s="3183"/>
      <c r="L1336" s="3184"/>
      <c r="M1336" s="1242" t="str">
        <f t="shared" si="211"/>
        <v>CGC</v>
      </c>
      <c r="P1336" s="1243">
        <f t="shared" ca="1" si="212"/>
        <v>4</v>
      </c>
    </row>
    <row r="1337" spans="1:16" hidden="1" outlineLevel="1" x14ac:dyDescent="0.35">
      <c r="A1337" s="7" t="s">
        <v>96</v>
      </c>
      <c r="B1337" s="1142">
        <v>250</v>
      </c>
      <c r="C1337" s="1143">
        <v>533.76</v>
      </c>
      <c r="D1337" s="1223">
        <f t="shared" si="210"/>
        <v>133440</v>
      </c>
      <c r="E1337" s="1263">
        <f t="shared" si="213"/>
        <v>-4.4382776832870764E-2</v>
      </c>
      <c r="F1337" s="1222">
        <f>D1337/D$1222</f>
        <v>0.44664694840664582</v>
      </c>
      <c r="G1337" s="1136">
        <v>79</v>
      </c>
      <c r="H1337" s="1137" t="s">
        <v>145</v>
      </c>
      <c r="I1337" s="1138"/>
      <c r="J1337" s="1273"/>
      <c r="K1337" s="1274"/>
      <c r="L1337" s="1275"/>
      <c r="M1337" s="1251" t="str">
        <f t="shared" si="211"/>
        <v>ISRG</v>
      </c>
      <c r="P1337" s="1243">
        <f t="shared" ca="1" si="212"/>
        <v>1</v>
      </c>
    </row>
    <row r="1338" spans="1:16" hidden="1" outlineLevel="1" x14ac:dyDescent="0.35">
      <c r="A1338" s="1299" t="s">
        <v>137</v>
      </c>
      <c r="B1338" s="1300">
        <v>250</v>
      </c>
      <c r="C1338" s="1301">
        <v>314.20999999999998</v>
      </c>
      <c r="D1338" s="1302">
        <f t="shared" si="210"/>
        <v>78552.5</v>
      </c>
      <c r="E1338" s="1167">
        <f>(C1338-C1323)/C1323</f>
        <v>-9.7253347124059142E-2</v>
      </c>
      <c r="F1338" s="1222">
        <f>D1338/D$1222</f>
        <v>0.26292891497836512</v>
      </c>
      <c r="G1338" s="1147">
        <v>81</v>
      </c>
      <c r="H1338" s="1148" t="s">
        <v>146</v>
      </c>
      <c r="I1338" s="1138"/>
      <c r="J1338" s="1205"/>
      <c r="K1338" s="1206"/>
      <c r="L1338" s="1164"/>
      <c r="M1338" s="1251" t="str">
        <f t="shared" si="211"/>
        <v>ABMD</v>
      </c>
      <c r="P1338" s="1243">
        <f t="shared" ca="1" si="212"/>
        <v>3</v>
      </c>
    </row>
    <row r="1339" spans="1:16" hidden="1" outlineLevel="1" x14ac:dyDescent="0.35">
      <c r="A1339" s="7" t="s">
        <v>208</v>
      </c>
      <c r="B1339" s="1142">
        <v>200</v>
      </c>
      <c r="C1339" s="1143">
        <v>230.84</v>
      </c>
      <c r="D1339" s="1223">
        <f t="shared" si="210"/>
        <v>46168</v>
      </c>
      <c r="E1339" s="1167">
        <f t="shared" si="213"/>
        <v>-0.12344788304537693</v>
      </c>
      <c r="F1339" s="1222">
        <v>0.13619627084081606</v>
      </c>
      <c r="G1339" s="1147">
        <v>56</v>
      </c>
      <c r="H1339" s="1148" t="s">
        <v>192</v>
      </c>
      <c r="I1339" s="1138"/>
      <c r="J1339" s="1205"/>
      <c r="K1339" s="1206"/>
      <c r="L1339" s="1164"/>
      <c r="M1339" s="1251" t="str">
        <f t="shared" si="211"/>
        <v>ALGN</v>
      </c>
      <c r="P1339" s="1243">
        <f t="shared" ca="1" si="212"/>
        <v>2</v>
      </c>
    </row>
    <row r="1340" spans="1:16" hidden="1" outlineLevel="1" x14ac:dyDescent="0.35">
      <c r="A1340" s="1299" t="s">
        <v>49</v>
      </c>
      <c r="B1340" s="1300">
        <v>1.93</v>
      </c>
      <c r="C1340" s="1301">
        <v>150.63999999999999</v>
      </c>
      <c r="D1340" s="1302">
        <f t="shared" si="210"/>
        <v>290.73519999999996</v>
      </c>
      <c r="E1340" s="1263">
        <f t="shared" si="213"/>
        <v>-3.7136465324384804E-2</v>
      </c>
      <c r="F1340" s="1222">
        <f>D1340/D$1222</f>
        <v>9.7314141092922539E-4</v>
      </c>
      <c r="G1340" s="1136">
        <v>19</v>
      </c>
      <c r="H1340" s="1137"/>
      <c r="I1340" s="1138"/>
      <c r="J1340" s="1273"/>
      <c r="K1340" s="1274"/>
      <c r="L1340" s="1275"/>
      <c r="M1340" s="1251" t="str">
        <f t="shared" si="211"/>
        <v>NVDA</v>
      </c>
      <c r="P1340" s="1243"/>
    </row>
    <row r="1341" spans="1:16" hidden="1" outlineLevel="1" x14ac:dyDescent="0.35">
      <c r="A1341" s="7" t="s">
        <v>135</v>
      </c>
      <c r="B1341" s="1142">
        <v>1.96</v>
      </c>
      <c r="C1341" s="1143">
        <v>168.83</v>
      </c>
      <c r="D1341" s="1223">
        <f t="shared" si="210"/>
        <v>330.90680000000003</v>
      </c>
      <c r="E1341" s="1263">
        <f t="shared" si="213"/>
        <v>-4.4809052333804736E-2</v>
      </c>
      <c r="F1341" s="1222">
        <f>D1341/D$1222</f>
        <v>1.107602760993767E-3</v>
      </c>
      <c r="G1341" s="1147">
        <v>10</v>
      </c>
      <c r="H1341" s="1148"/>
      <c r="I1341" s="1203"/>
      <c r="J1341" s="1205"/>
      <c r="K1341" s="1206"/>
      <c r="L1341" s="1164"/>
      <c r="M1341" s="1251" t="str">
        <f t="shared" si="211"/>
        <v>LRCX</v>
      </c>
      <c r="N1341" s="1199" t="s">
        <v>43</v>
      </c>
      <c r="O1341" s="1200" t="s">
        <v>198</v>
      </c>
      <c r="P1341" s="1243"/>
    </row>
    <row r="1342" spans="1:16" hidden="1" outlineLevel="1" x14ac:dyDescent="0.35">
      <c r="A1342" s="1299" t="s">
        <v>7</v>
      </c>
      <c r="B1342" s="1300"/>
      <c r="C1342" s="1301"/>
      <c r="D1342" s="1302">
        <v>1736.66</v>
      </c>
      <c r="E1342" s="1305"/>
      <c r="F1342" s="1306">
        <f>D1342/D$1094</f>
        <v>5.3509019437963049E-3</v>
      </c>
      <c r="G1342" s="1307"/>
      <c r="H1342" s="1308"/>
      <c r="I1342" s="1216"/>
      <c r="J1342" s="1282"/>
      <c r="K1342" s="1283"/>
      <c r="L1342" s="1284"/>
      <c r="N1342" s="1199"/>
      <c r="O1342" s="1200"/>
    </row>
    <row r="1343" spans="1:16" ht="16" hidden="1" outlineLevel="1" thickBot="1" x14ac:dyDescent="0.4">
      <c r="A1343" s="7" t="s">
        <v>60</v>
      </c>
      <c r="B1343" s="1142"/>
      <c r="C1343" s="1143"/>
      <c r="D1343" s="1309">
        <f>2061.03+28.2+9.95</f>
        <v>2099.1799999999998</v>
      </c>
      <c r="E1343" s="1153"/>
      <c r="F1343" s="1310"/>
      <c r="G1343" s="1311"/>
      <c r="H1343" s="1312"/>
      <c r="I1343" s="592">
        <f>SUM(I1337:I1342)</f>
        <v>0</v>
      </c>
      <c r="N1343" s="1199"/>
      <c r="O1343" s="1200"/>
    </row>
    <row r="1344" spans="1:16" ht="19" hidden="1" outlineLevel="1" thickBot="1" x14ac:dyDescent="0.5">
      <c r="A1344" s="726" t="s">
        <v>62</v>
      </c>
      <c r="B1344" s="583"/>
      <c r="C1344" s="584"/>
      <c r="D1344" s="1230">
        <f>SUM(D1334:D1343)</f>
        <v>300092.98199999996</v>
      </c>
      <c r="E1344" s="1285">
        <f>D1344-D1329</f>
        <v>-21759.586500000034</v>
      </c>
      <c r="F1344" s="1180">
        <f>(D1344-D1329)/D1329</f>
        <v>-6.7607310394976805E-2</v>
      </c>
      <c r="G1344" s="679"/>
      <c r="H1344" s="1231"/>
      <c r="I1344" s="680"/>
      <c r="N1344" s="1199"/>
      <c r="O1344" s="1200"/>
    </row>
    <row r="1345" spans="1:16" hidden="1" outlineLevel="1" x14ac:dyDescent="0.35">
      <c r="N1345" s="1199"/>
      <c r="O1345" s="1200"/>
    </row>
    <row r="1346" spans="1:16" hidden="1" outlineLevel="1" x14ac:dyDescent="0.35">
      <c r="A1346" s="701" t="s">
        <v>25</v>
      </c>
      <c r="B1346" s="702" t="s">
        <v>26</v>
      </c>
      <c r="C1346" s="703" t="s">
        <v>27</v>
      </c>
      <c r="D1346" s="704">
        <f>D1331+7</f>
        <v>43539</v>
      </c>
      <c r="E1346" s="705" t="s">
        <v>28</v>
      </c>
      <c r="F1346" s="1125"/>
      <c r="G1346" s="252"/>
      <c r="H1346" s="253"/>
      <c r="I1346" s="1182"/>
      <c r="J1346" s="1183" t="s">
        <v>233</v>
      </c>
      <c r="N1346" s="1199"/>
      <c r="O1346" s="1200"/>
    </row>
    <row r="1347" spans="1:16" hidden="1" outlineLevel="1" x14ac:dyDescent="0.35">
      <c r="A1347" s="706" t="s">
        <v>32</v>
      </c>
      <c r="B1347" s="255" t="str">
        <f ca="1">TEXT(TODAY(),"ddd")</f>
        <v>Sun</v>
      </c>
      <c r="C1347" s="256">
        <v>25848</v>
      </c>
      <c r="D1347" s="1201">
        <f>C1347-C1332</f>
        <v>398</v>
      </c>
      <c r="E1347" s="32">
        <f>(C1347-C1332)/C1332</f>
        <v>1.5638506876227899E-2</v>
      </c>
      <c r="F1347" s="1127" t="s">
        <v>270</v>
      </c>
      <c r="G1347" s="801"/>
      <c r="H1347" s="685"/>
      <c r="I1347" s="1187"/>
      <c r="J1347" s="1188" t="s">
        <v>234</v>
      </c>
      <c r="K1347" s="1220" t="s">
        <v>34</v>
      </c>
      <c r="L1347" s="111" t="s">
        <v>35</v>
      </c>
    </row>
    <row r="1348" spans="1:16" hidden="1" outlineLevel="1" x14ac:dyDescent="0.35">
      <c r="A1348" s="709" t="s">
        <v>36</v>
      </c>
      <c r="B1348" s="263"/>
      <c r="C1348" s="419">
        <v>7688</v>
      </c>
      <c r="D1348" s="1202">
        <f>C1348-C1333</f>
        <v>280</v>
      </c>
      <c r="E1348" s="32">
        <f>(C1348-C1333)/C1333</f>
        <v>3.7796976241900648E-2</v>
      </c>
      <c r="F1348" s="1128" t="s">
        <v>37</v>
      </c>
      <c r="G1348" s="1129" t="s">
        <v>38</v>
      </c>
      <c r="H1348" s="1130" t="s">
        <v>144</v>
      </c>
      <c r="J1348" s="3137" t="s">
        <v>42</v>
      </c>
      <c r="K1348" s="3122"/>
      <c r="L1348" s="3123"/>
      <c r="M1348" s="1031" t="s">
        <v>244</v>
      </c>
      <c r="P1348" s="1032" t="s">
        <v>44</v>
      </c>
    </row>
    <row r="1349" spans="1:16" hidden="1" outlineLevel="1" x14ac:dyDescent="0.35">
      <c r="A1349" s="1299" t="s">
        <v>250</v>
      </c>
      <c r="B1349" s="1300">
        <v>1905</v>
      </c>
      <c r="C1349" s="1301">
        <v>9.61</v>
      </c>
      <c r="D1349" s="1302">
        <f t="shared" ref="D1349:D1355" si="214">C1349*B1349</f>
        <v>18307.05</v>
      </c>
      <c r="E1349" s="1313">
        <f>(C1349-C1334)/C1334</f>
        <v>0.23999999999999994</v>
      </c>
      <c r="F1349" s="1222">
        <f>D1349/D$1222</f>
        <v>6.1276888615316882E-2</v>
      </c>
      <c r="G1349" s="1136">
        <v>28</v>
      </c>
      <c r="H1349" s="1137"/>
      <c r="I1349" s="1203">
        <f>D1349-D1334</f>
        <v>9565.0499999999993</v>
      </c>
      <c r="J1349" s="1273"/>
      <c r="K1349" s="1274"/>
      <c r="L1349" s="1275"/>
      <c r="M1349" s="1242" t="str">
        <f t="shared" ref="M1349:M1355" si="215">A1349</f>
        <v>ACB</v>
      </c>
      <c r="P1349" s="1243">
        <f ca="1">RANK(O851,$O$821:$O$826,1)</f>
        <v>5</v>
      </c>
    </row>
    <row r="1350" spans="1:16" hidden="1" outlineLevel="1" x14ac:dyDescent="0.35">
      <c r="A1350" s="7" t="s">
        <v>215</v>
      </c>
      <c r="B1350" s="1142">
        <v>710</v>
      </c>
      <c r="C1350" s="1143">
        <v>20.329999999999998</v>
      </c>
      <c r="D1350" s="1223">
        <f t="shared" si="214"/>
        <v>14434.3</v>
      </c>
      <c r="E1350" s="1233">
        <f>(C1350-C1335)/C1335</f>
        <v>-5.0000000000000017E-2</v>
      </c>
      <c r="F1350" s="1222">
        <f>D1350/D$1222</f>
        <v>4.8314119060147237E-2</v>
      </c>
      <c r="G1350" s="1147" t="s">
        <v>228</v>
      </c>
      <c r="H1350" s="1148" t="s">
        <v>192</v>
      </c>
      <c r="I1350" s="1138">
        <f>D1350-D1335</f>
        <v>-759.69999999999891</v>
      </c>
      <c r="J1350" s="3147" t="s">
        <v>272</v>
      </c>
      <c r="K1350" s="3183"/>
      <c r="L1350" s="3184"/>
      <c r="M1350" s="1242" t="str">
        <f t="shared" si="215"/>
        <v>AMRN</v>
      </c>
      <c r="P1350" s="1243">
        <f ca="1">RANK(O852,$O$821:$O$826,1)</f>
        <v>6</v>
      </c>
    </row>
    <row r="1351" spans="1:16" hidden="1" outlineLevel="1" x14ac:dyDescent="0.35">
      <c r="A1351" s="1299" t="s">
        <v>96</v>
      </c>
      <c r="B1351" s="1300">
        <v>250</v>
      </c>
      <c r="C1351" s="1301">
        <v>558.21</v>
      </c>
      <c r="D1351" s="1302">
        <f t="shared" si="214"/>
        <v>139552.5</v>
      </c>
      <c r="E1351" s="1233">
        <f>(C1351-C1337)/C1337</f>
        <v>4.5807104316546846E-2</v>
      </c>
      <c r="F1351" s="1222">
        <f>D1351/D$1222</f>
        <v>0.46710655176497634</v>
      </c>
      <c r="G1351" s="1136">
        <v>79</v>
      </c>
      <c r="H1351" s="1137" t="s">
        <v>192</v>
      </c>
      <c r="I1351" s="1203">
        <f>D1351-D1337</f>
        <v>6112.5</v>
      </c>
      <c r="J1351" s="1273"/>
      <c r="K1351" s="1274"/>
      <c r="L1351" s="1275"/>
      <c r="M1351" s="1251" t="str">
        <f t="shared" si="215"/>
        <v>ISRG</v>
      </c>
      <c r="P1351" s="1243">
        <f ca="1">RANK(O853,$O$821:$O$826,1)</f>
        <v>1</v>
      </c>
    </row>
    <row r="1352" spans="1:16" hidden="1" outlineLevel="1" x14ac:dyDescent="0.35">
      <c r="A1352" s="7" t="s">
        <v>137</v>
      </c>
      <c r="B1352" s="1142">
        <v>250</v>
      </c>
      <c r="C1352" s="1143">
        <v>333.23</v>
      </c>
      <c r="D1352" s="1223">
        <f t="shared" si="214"/>
        <v>83307.5</v>
      </c>
      <c r="E1352" s="1233">
        <f>(C1352-C1338)/C1338</f>
        <v>6.0532764711498807E-2</v>
      </c>
      <c r="F1352" s="1222">
        <f>D1352/D$1222</f>
        <v>0.27884472912460018</v>
      </c>
      <c r="G1352" s="1147">
        <v>81</v>
      </c>
      <c r="H1352" s="1148" t="s">
        <v>145</v>
      </c>
      <c r="I1352" s="1203">
        <f>D1352-D1338</f>
        <v>4755</v>
      </c>
      <c r="J1352" s="1205"/>
      <c r="K1352" s="1206"/>
      <c r="L1352" s="1164"/>
      <c r="M1352" s="1251" t="str">
        <f t="shared" si="215"/>
        <v>ABMD</v>
      </c>
      <c r="P1352" s="1243">
        <f ca="1">RANK(O854,$O$821:$O$826,1)</f>
        <v>3</v>
      </c>
    </row>
    <row r="1353" spans="1:16" hidden="1" outlineLevel="1" x14ac:dyDescent="0.35">
      <c r="A1353" s="1299" t="s">
        <v>208</v>
      </c>
      <c r="B1353" s="1300">
        <v>200</v>
      </c>
      <c r="C1353" s="1301">
        <v>252.33</v>
      </c>
      <c r="D1353" s="1302">
        <f t="shared" si="214"/>
        <v>50466</v>
      </c>
      <c r="E1353" s="1233">
        <f>(C1353-C1339)/C1339</f>
        <v>9.3094784266158415E-2</v>
      </c>
      <c r="F1353" s="1222">
        <v>0.13619627084081606</v>
      </c>
      <c r="G1353" s="1136">
        <v>56</v>
      </c>
      <c r="H1353" s="1137" t="s">
        <v>192</v>
      </c>
      <c r="I1353" s="1203">
        <f>D1353-D1339</f>
        <v>4298</v>
      </c>
      <c r="J1353" s="1205"/>
      <c r="K1353" s="1206"/>
      <c r="L1353" s="1164"/>
      <c r="M1353" s="1251" t="str">
        <f t="shared" si="215"/>
        <v>ALGN</v>
      </c>
      <c r="N1353" s="1199" t="s">
        <v>43</v>
      </c>
      <c r="O1353" s="1200" t="s">
        <v>198</v>
      </c>
      <c r="P1353" s="1243">
        <f ca="1">RANK(O855,$O$821:$O$826,1)</f>
        <v>2</v>
      </c>
    </row>
    <row r="1354" spans="1:16" hidden="1" outlineLevel="1" x14ac:dyDescent="0.35">
      <c r="A1354" s="7" t="s">
        <v>49</v>
      </c>
      <c r="B1354" s="1142">
        <v>1.93</v>
      </c>
      <c r="C1354" s="1143">
        <v>169.81</v>
      </c>
      <c r="D1354" s="1223">
        <f t="shared" si="214"/>
        <v>327.73329999999999</v>
      </c>
      <c r="E1354" s="1313">
        <f>(C1354-C1340)/C1340</f>
        <v>0.12725703664365387</v>
      </c>
      <c r="F1354" s="1222">
        <f>D1354/D$1222</f>
        <v>1.0969805031193027E-3</v>
      </c>
      <c r="G1354" s="1147">
        <v>19</v>
      </c>
      <c r="H1354" s="1148"/>
      <c r="I1354" s="1203">
        <f>D1354-D1340</f>
        <v>36.998100000000022</v>
      </c>
      <c r="J1354" s="1273"/>
      <c r="K1354" s="1274"/>
      <c r="L1354" s="1275"/>
      <c r="M1354" s="1251" t="str">
        <f t="shared" si="215"/>
        <v>NVDA</v>
      </c>
      <c r="N1354" s="1199"/>
      <c r="O1354" s="1200"/>
      <c r="P1354" s="1243"/>
    </row>
    <row r="1355" spans="1:16" hidden="1" outlineLevel="1" x14ac:dyDescent="0.35">
      <c r="A1355" s="1299" t="s">
        <v>135</v>
      </c>
      <c r="B1355" s="1300">
        <v>1.96</v>
      </c>
      <c r="C1355" s="1301">
        <v>182.39</v>
      </c>
      <c r="D1355" s="1302">
        <f t="shared" si="214"/>
        <v>357.48439999999999</v>
      </c>
      <c r="E1355" s="1313">
        <f>(C1355-C1341)/C1341</f>
        <v>8.0317479121009144E-2</v>
      </c>
      <c r="F1355" s="1222">
        <f>D1355/D$1222</f>
        <v>1.1965626226242562E-3</v>
      </c>
      <c r="G1355" s="1136">
        <v>10</v>
      </c>
      <c r="H1355" s="1137"/>
      <c r="I1355" s="1264">
        <f>D1355-D1341</f>
        <v>26.577599999999961</v>
      </c>
      <c r="J1355" s="1205"/>
      <c r="K1355" s="1206"/>
      <c r="L1355" s="1164"/>
      <c r="M1355" s="1251" t="str">
        <f t="shared" si="215"/>
        <v>LRCX</v>
      </c>
      <c r="N1355" s="1199"/>
      <c r="O1355" s="1200"/>
      <c r="P1355" s="1243"/>
    </row>
    <row r="1356" spans="1:16" hidden="1" outlineLevel="1" x14ac:dyDescent="0.35">
      <c r="A1356" s="7" t="s">
        <v>7</v>
      </c>
      <c r="B1356" s="1142"/>
      <c r="C1356" s="1143"/>
      <c r="D1356" s="1223">
        <v>1742.01</v>
      </c>
      <c r="E1356" s="1305"/>
      <c r="F1356" s="1306">
        <f>D1356/D$1094</f>
        <v>5.3673860716044594E-3</v>
      </c>
      <c r="G1356" s="1307"/>
      <c r="H1356" s="1308"/>
      <c r="I1356" s="1216"/>
      <c r="J1356" s="1282"/>
      <c r="K1356" s="1283"/>
      <c r="L1356" s="1284"/>
      <c r="N1356" s="1199"/>
      <c r="O1356" s="1200"/>
    </row>
    <row r="1357" spans="1:16" ht="16" hidden="1" outlineLevel="1" thickBot="1" x14ac:dyDescent="0.4">
      <c r="A1357" s="1299" t="s">
        <v>60</v>
      </c>
      <c r="B1357" s="1300"/>
      <c r="C1357" s="1301"/>
      <c r="D1357" s="1302">
        <f>1568.77</f>
        <v>1568.77</v>
      </c>
      <c r="E1357" s="1153"/>
      <c r="F1357" s="1310"/>
      <c r="G1357" s="1311"/>
      <c r="H1357" s="1312"/>
      <c r="I1357" s="1121">
        <f>SUM(I1351:I1356)</f>
        <v>15229.075700000001</v>
      </c>
      <c r="N1357" s="1199"/>
      <c r="O1357" s="1200"/>
    </row>
    <row r="1358" spans="1:16" ht="19" hidden="1" outlineLevel="1" thickBot="1" x14ac:dyDescent="0.5">
      <c r="A1358" s="726" t="s">
        <v>62</v>
      </c>
      <c r="B1358" s="583"/>
      <c r="C1358" s="584"/>
      <c r="D1358" s="1230">
        <f>SUM(D1349:D1357)</f>
        <v>310063.34770000004</v>
      </c>
      <c r="E1358" s="1262">
        <f>D1358-D1344</f>
        <v>9970.3657000000821</v>
      </c>
      <c r="F1358" s="1218">
        <f>(D1358-D1344)/D1344</f>
        <v>3.3224254807798483E-2</v>
      </c>
      <c r="G1358" s="679"/>
      <c r="H1358" s="1231"/>
      <c r="I1358" s="680"/>
      <c r="N1358" s="1199"/>
      <c r="O1358" s="1200"/>
    </row>
    <row r="1359" spans="1:16" hidden="1" outlineLevel="1" x14ac:dyDescent="0.35"/>
    <row r="1360" spans="1:16" hidden="1" outlineLevel="1" x14ac:dyDescent="0.35">
      <c r="A1360" s="701" t="s">
        <v>25</v>
      </c>
      <c r="B1360" s="702" t="s">
        <v>26</v>
      </c>
      <c r="C1360" s="703" t="s">
        <v>27</v>
      </c>
      <c r="D1360" s="704">
        <f>D1346+7</f>
        <v>43546</v>
      </c>
      <c r="E1360" s="705" t="s">
        <v>28</v>
      </c>
      <c r="F1360" s="1125"/>
      <c r="G1360" s="252"/>
      <c r="H1360" s="253"/>
      <c r="I1360" s="1182"/>
      <c r="J1360" s="1183" t="s">
        <v>233</v>
      </c>
    </row>
    <row r="1361" spans="1:16" hidden="1" outlineLevel="1" x14ac:dyDescent="0.35">
      <c r="A1361" s="706" t="s">
        <v>32</v>
      </c>
      <c r="B1361" s="255" t="str">
        <f ca="1">TEXT(TODAY(),"ddd")</f>
        <v>Sun</v>
      </c>
      <c r="C1361" s="256">
        <v>25502</v>
      </c>
      <c r="D1361" s="1184">
        <f>C1361-C1347</f>
        <v>-346</v>
      </c>
      <c r="E1361" s="32">
        <f>(C1361-C1347)/C1347</f>
        <v>-1.3385948622717424E-2</v>
      </c>
      <c r="F1361" s="1127" t="s">
        <v>270</v>
      </c>
      <c r="G1361" s="801"/>
      <c r="H1361" s="685"/>
      <c r="I1361" s="1187"/>
      <c r="J1361" s="1188" t="s">
        <v>234</v>
      </c>
      <c r="K1361" s="1220" t="s">
        <v>34</v>
      </c>
      <c r="L1361" s="111" t="s">
        <v>35</v>
      </c>
    </row>
    <row r="1362" spans="1:16" hidden="1" outlineLevel="1" x14ac:dyDescent="0.35">
      <c r="A1362" s="709" t="s">
        <v>36</v>
      </c>
      <c r="B1362" s="263"/>
      <c r="C1362" s="419">
        <v>7642.67</v>
      </c>
      <c r="D1362" s="1189">
        <f>C1362-C1348</f>
        <v>-45.329999999999927</v>
      </c>
      <c r="E1362" s="32">
        <f>(C1362-C1348)/C1348</f>
        <v>-5.8962018730488982E-3</v>
      </c>
      <c r="F1362" s="1128" t="s">
        <v>37</v>
      </c>
      <c r="G1362" s="1129" t="s">
        <v>38</v>
      </c>
      <c r="H1362" s="1130" t="s">
        <v>144</v>
      </c>
      <c r="J1362" s="3137" t="s">
        <v>42</v>
      </c>
      <c r="K1362" s="3122"/>
      <c r="L1362" s="3123"/>
      <c r="M1362" s="1031" t="s">
        <v>244</v>
      </c>
      <c r="P1362" s="1032" t="s">
        <v>44</v>
      </c>
    </row>
    <row r="1363" spans="1:16" hidden="1" outlineLevel="1" x14ac:dyDescent="0.35">
      <c r="A1363" s="1299" t="s">
        <v>250</v>
      </c>
      <c r="B1363" s="1300">
        <v>1905</v>
      </c>
      <c r="C1363" s="1301">
        <v>9.0299999999999994</v>
      </c>
      <c r="D1363" s="1302">
        <f t="shared" ref="D1363:D1368" si="216">C1363*B1363</f>
        <v>17202.149999999998</v>
      </c>
      <c r="E1363" s="1263">
        <f>(C1363-C1349)/C1349</f>
        <v>-6.0353798126951103E-2</v>
      </c>
      <c r="F1363" s="1222">
        <f>D1363/D$1222</f>
        <v>5.7578595649980378E-2</v>
      </c>
      <c r="G1363" s="1136">
        <v>28</v>
      </c>
      <c r="H1363" s="1137"/>
      <c r="I1363" s="1138">
        <f>D1363-D1349</f>
        <v>-1104.9000000000015</v>
      </c>
      <c r="J1363" s="3147"/>
      <c r="K1363" s="3148"/>
      <c r="L1363" s="3158"/>
      <c r="M1363" s="1242" t="str">
        <f t="shared" ref="M1363:M1368" si="217">A1363</f>
        <v>ACB</v>
      </c>
      <c r="P1363" s="1243">
        <f ca="1">RANK(O865,$O$821:$O$826,1)</f>
        <v>5</v>
      </c>
    </row>
    <row r="1364" spans="1:16" hidden="1" outlineLevel="1" x14ac:dyDescent="0.35">
      <c r="A1364" s="7" t="s">
        <v>96</v>
      </c>
      <c r="B1364" s="1142">
        <v>250</v>
      </c>
      <c r="C1364" s="1143">
        <v>561.26</v>
      </c>
      <c r="D1364" s="1223">
        <f t="shared" si="216"/>
        <v>140315</v>
      </c>
      <c r="E1364" s="1233">
        <f>(C1364-C1351)/C1351</f>
        <v>5.4638935167767586E-3</v>
      </c>
      <c r="F1364" s="1222">
        <f>D1364/D$1222</f>
        <v>0.46965877222480895</v>
      </c>
      <c r="G1364" s="1147">
        <v>79</v>
      </c>
      <c r="H1364" s="1148" t="s">
        <v>192</v>
      </c>
      <c r="I1364" s="1203">
        <f>D1364-D1351</f>
        <v>762.5</v>
      </c>
      <c r="J1364" s="3147"/>
      <c r="K1364" s="3148"/>
      <c r="L1364" s="3158"/>
      <c r="M1364" s="1251" t="str">
        <f t="shared" si="217"/>
        <v>ISRG</v>
      </c>
      <c r="P1364" s="1243">
        <f ca="1">RANK(O866,$O$821:$O$826,1)</f>
        <v>1</v>
      </c>
    </row>
    <row r="1365" spans="1:16" hidden="1" outlineLevel="1" x14ac:dyDescent="0.35">
      <c r="A1365" s="1299" t="s">
        <v>137</v>
      </c>
      <c r="B1365" s="1300">
        <v>250</v>
      </c>
      <c r="C1365" s="1301">
        <v>323.20999999999998</v>
      </c>
      <c r="D1365" s="1302">
        <f t="shared" si="216"/>
        <v>80802.5</v>
      </c>
      <c r="E1365" s="1263">
        <f>(C1365-C1352)/C1352</f>
        <v>-3.0069321489661908E-2</v>
      </c>
      <c r="F1365" s="1222">
        <f>D1365/D$1222</f>
        <v>0.27046005731885492</v>
      </c>
      <c r="G1365" s="1136">
        <v>81</v>
      </c>
      <c r="H1365" s="1137" t="s">
        <v>145</v>
      </c>
      <c r="I1365" s="1138">
        <f>D1365-D1352</f>
        <v>-2505</v>
      </c>
      <c r="J1365" s="3172"/>
      <c r="K1365" s="3173"/>
      <c r="L1365" s="3174"/>
      <c r="M1365" s="1251" t="str">
        <f t="shared" si="217"/>
        <v>ABMD</v>
      </c>
      <c r="N1365" s="1199" t="s">
        <v>43</v>
      </c>
      <c r="O1365" s="1200" t="s">
        <v>198</v>
      </c>
      <c r="P1365" s="1243">
        <f ca="1">RANK(O867,$O$821:$O$826,1)</f>
        <v>3</v>
      </c>
    </row>
    <row r="1366" spans="1:16" hidden="1" outlineLevel="1" x14ac:dyDescent="0.35">
      <c r="A1366" s="7" t="s">
        <v>208</v>
      </c>
      <c r="B1366" s="1142">
        <v>200</v>
      </c>
      <c r="C1366" s="1143">
        <v>269.62</v>
      </c>
      <c r="D1366" s="1223">
        <f t="shared" si="216"/>
        <v>53924</v>
      </c>
      <c r="E1366" s="1313">
        <f>(C1366-C1353)/C1353</f>
        <v>6.8521380731581621E-2</v>
      </c>
      <c r="F1366" s="1222">
        <v>0.13619627084081606</v>
      </c>
      <c r="G1366" s="1147">
        <v>56</v>
      </c>
      <c r="H1366" s="1148" t="s">
        <v>192</v>
      </c>
      <c r="I1366" s="1203">
        <f>D1366-D1353</f>
        <v>3458</v>
      </c>
      <c r="J1366" s="3172"/>
      <c r="K1366" s="3173"/>
      <c r="L1366" s="3174"/>
      <c r="M1366" s="1251" t="str">
        <f t="shared" si="217"/>
        <v>ALGN</v>
      </c>
      <c r="N1366" s="1199"/>
      <c r="O1366" s="1200"/>
      <c r="P1366" s="1243">
        <f ca="1">RANK(O868,$O$821:$O$826,1)</f>
        <v>2</v>
      </c>
    </row>
    <row r="1367" spans="1:16" hidden="1" outlineLevel="1" x14ac:dyDescent="0.35">
      <c r="A1367" s="1299" t="s">
        <v>49</v>
      </c>
      <c r="B1367" s="1300">
        <v>37.93</v>
      </c>
      <c r="C1367" s="1301">
        <v>177.5</v>
      </c>
      <c r="D1367" s="1302">
        <f t="shared" si="216"/>
        <v>6732.5749999999998</v>
      </c>
      <c r="E1367" s="1313">
        <f>(C1367-C1354)/C1354</f>
        <v>4.5285907779282715E-2</v>
      </c>
      <c r="F1367" s="1222">
        <f>D1367/D$1222</f>
        <v>2.2535102508010142E-2</v>
      </c>
      <c r="G1367" s="1136">
        <v>19</v>
      </c>
      <c r="H1367" s="1137" t="s">
        <v>229</v>
      </c>
      <c r="I1367" s="1203">
        <f>(C1367-C1354)*B1354</f>
        <v>14.841699999999996</v>
      </c>
      <c r="J1367" s="3147" t="s">
        <v>273</v>
      </c>
      <c r="K1367" s="3148"/>
      <c r="L1367" s="3158"/>
      <c r="M1367" s="1251" t="str">
        <f t="shared" si="217"/>
        <v>NVDA</v>
      </c>
      <c r="N1367" s="1199"/>
      <c r="O1367" s="1200"/>
      <c r="P1367" s="1243"/>
    </row>
    <row r="1368" spans="1:16" hidden="1" outlineLevel="1" x14ac:dyDescent="0.35">
      <c r="A1368" s="7" t="s">
        <v>135</v>
      </c>
      <c r="B1368" s="1142">
        <v>37.96</v>
      </c>
      <c r="C1368" s="1143">
        <v>179.45</v>
      </c>
      <c r="D1368" s="1223">
        <f t="shared" si="216"/>
        <v>6811.9219999999996</v>
      </c>
      <c r="E1368" s="1263">
        <f>(C1368-C1355)/C1355</f>
        <v>-1.6119304786446614E-2</v>
      </c>
      <c r="F1368" s="1222">
        <f>D1368/D$1222</f>
        <v>2.2800690753028291E-2</v>
      </c>
      <c r="G1368" s="1147">
        <v>10</v>
      </c>
      <c r="H1368" s="1148" t="s">
        <v>145</v>
      </c>
      <c r="I1368" s="1314">
        <f>(C1368-C1355)*B1355</f>
        <v>-5.7623999999999951</v>
      </c>
      <c r="J1368" s="3169" t="s">
        <v>274</v>
      </c>
      <c r="K1368" s="3170"/>
      <c r="L1368" s="3171"/>
      <c r="M1368" s="1251" t="str">
        <f t="shared" si="217"/>
        <v>LRCX</v>
      </c>
      <c r="N1368" s="1199"/>
      <c r="O1368" s="1200"/>
      <c r="P1368" s="1243"/>
    </row>
    <row r="1369" spans="1:16" hidden="1" outlineLevel="1" x14ac:dyDescent="0.35">
      <c r="A1369" s="1299" t="s">
        <v>7</v>
      </c>
      <c r="B1369" s="1300"/>
      <c r="C1369" s="1301"/>
      <c r="D1369" s="1302">
        <v>1761.43</v>
      </c>
      <c r="E1369" s="1233"/>
      <c r="F1369" s="1222">
        <f>D1369/D$1094</f>
        <v>5.4272219149753701E-3</v>
      </c>
      <c r="G1369" s="1136"/>
      <c r="H1369" s="1137"/>
      <c r="I1369" s="1216"/>
      <c r="J1369" s="3180" t="s">
        <v>275</v>
      </c>
      <c r="K1369" s="3181"/>
      <c r="L1369" s="3182"/>
      <c r="N1369" s="1199"/>
      <c r="O1369" s="1200"/>
    </row>
    <row r="1370" spans="1:16" ht="16" hidden="1" outlineLevel="1" thickBot="1" x14ac:dyDescent="0.4">
      <c r="A1370" s="7" t="s">
        <v>60</v>
      </c>
      <c r="B1370" s="1142"/>
      <c r="C1370" s="1143"/>
      <c r="D1370" s="1223">
        <f>1530.62+28.2+9.95</f>
        <v>1568.77</v>
      </c>
      <c r="E1370" s="1153"/>
      <c r="F1370" s="1310"/>
      <c r="G1370" s="1311"/>
      <c r="H1370" s="1312"/>
      <c r="I1370" s="1121">
        <f>SUM(I1364:I1369)</f>
        <v>1724.5792999999999</v>
      </c>
      <c r="N1370" s="1199"/>
      <c r="O1370" s="1200"/>
    </row>
    <row r="1371" spans="1:16" ht="19" hidden="1" outlineLevel="1" thickBot="1" x14ac:dyDescent="0.5">
      <c r="A1371" s="726" t="s">
        <v>62</v>
      </c>
      <c r="B1371" s="583"/>
      <c r="C1371" s="584"/>
      <c r="D1371" s="1230">
        <f>SUM(D1363:D1370)</f>
        <v>309118.34700000007</v>
      </c>
      <c r="E1371" s="1285">
        <f>D1371-D1358</f>
        <v>-945.00069999997504</v>
      </c>
      <c r="F1371" s="1218">
        <f>(D1371-D1358)/D1358</f>
        <v>-3.0477665516090114E-3</v>
      </c>
      <c r="G1371" s="679"/>
      <c r="H1371" s="1231"/>
      <c r="I1371" s="680"/>
    </row>
    <row r="1372" spans="1:16" hidden="1" outlineLevel="1" x14ac:dyDescent="0.35"/>
    <row r="1373" spans="1:16" hidden="1" outlineLevel="1" x14ac:dyDescent="0.35">
      <c r="A1373" s="701" t="s">
        <v>25</v>
      </c>
      <c r="B1373" s="702" t="s">
        <v>26</v>
      </c>
      <c r="C1373" s="703" t="s">
        <v>27</v>
      </c>
      <c r="D1373" s="704">
        <f>D1360+7</f>
        <v>43553</v>
      </c>
      <c r="E1373" s="705" t="s">
        <v>28</v>
      </c>
      <c r="F1373" s="1125"/>
      <c r="G1373" s="252"/>
      <c r="H1373" s="253"/>
      <c r="I1373" s="1182"/>
      <c r="J1373" s="1183" t="s">
        <v>233</v>
      </c>
    </row>
    <row r="1374" spans="1:16" hidden="1" outlineLevel="1" x14ac:dyDescent="0.35">
      <c r="A1374" s="706" t="s">
        <v>32</v>
      </c>
      <c r="B1374" s="255" t="str">
        <f ca="1">TEXT(TODAY(),"ddd")</f>
        <v>Sun</v>
      </c>
      <c r="C1374" s="256">
        <v>25928</v>
      </c>
      <c r="D1374" s="1201">
        <f>C1374-C1361</f>
        <v>426</v>
      </c>
      <c r="E1374" s="32">
        <f>(C1374-C1361)/C1361</f>
        <v>1.6704572190416437E-2</v>
      </c>
      <c r="F1374" s="1127" t="s">
        <v>270</v>
      </c>
      <c r="G1374" s="801"/>
      <c r="H1374" s="685"/>
      <c r="I1374" s="1187"/>
      <c r="J1374" s="1188" t="s">
        <v>234</v>
      </c>
      <c r="K1374" s="1220" t="s">
        <v>34</v>
      </c>
      <c r="L1374" s="111" t="s">
        <v>35</v>
      </c>
    </row>
    <row r="1375" spans="1:16" hidden="1" outlineLevel="1" x14ac:dyDescent="0.35">
      <c r="A1375" s="709" t="s">
        <v>36</v>
      </c>
      <c r="B1375" s="263"/>
      <c r="C1375" s="419">
        <v>7729</v>
      </c>
      <c r="D1375" s="1201">
        <f>C1375-C1362</f>
        <v>86.329999999999927</v>
      </c>
      <c r="E1375" s="32">
        <f>(C1375-C1362)/C1362</f>
        <v>1.1295790607209252E-2</v>
      </c>
      <c r="F1375" s="1128" t="s">
        <v>37</v>
      </c>
      <c r="G1375" s="1129" t="s">
        <v>38</v>
      </c>
      <c r="H1375" s="1130" t="s">
        <v>144</v>
      </c>
      <c r="J1375" s="3137" t="s">
        <v>42</v>
      </c>
      <c r="K1375" s="3122"/>
      <c r="L1375" s="3123"/>
      <c r="M1375" s="1031" t="s">
        <v>244</v>
      </c>
      <c r="N1375" s="64"/>
      <c r="O1375" s="64"/>
      <c r="P1375" s="1032" t="s">
        <v>44</v>
      </c>
    </row>
    <row r="1376" spans="1:16" hidden="1" outlineLevel="1" x14ac:dyDescent="0.35">
      <c r="A1376" s="1299" t="s">
        <v>250</v>
      </c>
      <c r="B1376" s="1300">
        <v>1905</v>
      </c>
      <c r="C1376" s="1301">
        <v>9.06</v>
      </c>
      <c r="D1376" s="1302">
        <f t="shared" ref="D1376:D1386" si="218">C1376*B1376</f>
        <v>17259.3</v>
      </c>
      <c r="E1376" s="32">
        <f>(C1376-C1363)/C1363</f>
        <v>3.3222591362127509E-3</v>
      </c>
      <c r="F1376" s="1222">
        <f>D1376/D$1389</f>
        <v>5.5979532772523405E-2</v>
      </c>
      <c r="G1376" s="1136">
        <v>28</v>
      </c>
      <c r="H1376" s="1137" t="s">
        <v>192</v>
      </c>
      <c r="I1376" s="1203">
        <f>D1376-D1363</f>
        <v>57.150000000001455</v>
      </c>
      <c r="J1376" s="3147"/>
      <c r="K1376" s="3148"/>
      <c r="L1376" s="3158"/>
      <c r="M1376" s="1242" t="str">
        <f>A1376</f>
        <v>ACB</v>
      </c>
      <c r="P1376" s="1243">
        <f ca="1">RANK(O878,$O$878:$O$888,1)</f>
        <v>6</v>
      </c>
    </row>
    <row r="1377" spans="1:16" hidden="1" outlineLevel="1" x14ac:dyDescent="0.35">
      <c r="A1377" s="1315" t="s">
        <v>276</v>
      </c>
      <c r="B1377" s="1316">
        <v>300</v>
      </c>
      <c r="C1377" s="1317">
        <v>85</v>
      </c>
      <c r="D1377" s="1318">
        <f t="shared" si="218"/>
        <v>25500</v>
      </c>
      <c r="E1377" s="32"/>
      <c r="F1377" s="1224">
        <f t="shared" ref="F1377:F1387" si="219">D1377/D$1389</f>
        <v>8.270776252219654E-2</v>
      </c>
      <c r="G1377" s="1147" t="s">
        <v>228</v>
      </c>
      <c r="H1377" s="1148" t="s">
        <v>192</v>
      </c>
      <c r="I1377" s="1203"/>
      <c r="J1377" s="1319" t="s">
        <v>277</v>
      </c>
      <c r="K1377" s="1274"/>
      <c r="L1377" s="1275"/>
      <c r="M1377" s="1242" t="str">
        <f t="shared" ref="M1377:M1386" si="220">A1377</f>
        <v>ZEN</v>
      </c>
      <c r="N1377" s="1199" t="s">
        <v>43</v>
      </c>
      <c r="O1377" s="1200" t="s">
        <v>198</v>
      </c>
      <c r="P1377" s="1243">
        <f ca="1">RANK(O879,$O$878:$O$888,1)</f>
        <v>4</v>
      </c>
    </row>
    <row r="1378" spans="1:16" hidden="1" outlineLevel="1" x14ac:dyDescent="0.35">
      <c r="A1378" s="1320" t="s">
        <v>278</v>
      </c>
      <c r="B1378" s="1321">
        <v>300</v>
      </c>
      <c r="C1378" s="1322">
        <v>70.930000000000007</v>
      </c>
      <c r="D1378" s="1323">
        <f t="shared" si="218"/>
        <v>21279.000000000004</v>
      </c>
      <c r="E1378" s="32"/>
      <c r="F1378" s="1222">
        <f t="shared" si="219"/>
        <v>6.9017195243522372E-2</v>
      </c>
      <c r="G1378" s="1136" t="s">
        <v>228</v>
      </c>
      <c r="H1378" s="1137" t="s">
        <v>192</v>
      </c>
      <c r="I1378" s="1203"/>
      <c r="J1378" s="1319" t="s">
        <v>277</v>
      </c>
      <c r="K1378" s="1274"/>
      <c r="L1378" s="1275"/>
      <c r="M1378" s="1242" t="str">
        <f t="shared" si="220"/>
        <v>ZS</v>
      </c>
      <c r="N1378" s="1199"/>
      <c r="O1378" s="1200"/>
      <c r="P1378" s="1243">
        <f ca="1">RANK(O880,$O$878:$O$888,1)</f>
        <v>8</v>
      </c>
    </row>
    <row r="1379" spans="1:16" hidden="1" outlineLevel="1" x14ac:dyDescent="0.35">
      <c r="A1379" s="7" t="s">
        <v>96</v>
      </c>
      <c r="B1379" s="1142">
        <v>200</v>
      </c>
      <c r="C1379" s="1143">
        <v>570.58000000000004</v>
      </c>
      <c r="D1379" s="1223">
        <f t="shared" si="218"/>
        <v>114116.00000000001</v>
      </c>
      <c r="E1379" s="32">
        <f>(C1379-C1364)/C1364</f>
        <v>1.6605494779603127E-2</v>
      </c>
      <c r="F1379" s="1224">
        <f t="shared" si="219"/>
        <v>0.37012858933266596</v>
      </c>
      <c r="G1379" s="1147">
        <v>79</v>
      </c>
      <c r="H1379" s="1148" t="s">
        <v>192</v>
      </c>
      <c r="I1379" s="1203">
        <f>D1379-D1364</f>
        <v>-26198.999999999985</v>
      </c>
      <c r="J1379" s="3147" t="s">
        <v>279</v>
      </c>
      <c r="K1379" s="3148"/>
      <c r="L1379" s="3158"/>
      <c r="M1379" s="1242" t="str">
        <f t="shared" si="220"/>
        <v>ISRG</v>
      </c>
      <c r="N1379" s="1199"/>
      <c r="O1379" s="1200"/>
      <c r="P1379" s="1243">
        <f ca="1">RANK(O881,$O$878:$O$888,1)</f>
        <v>2</v>
      </c>
    </row>
    <row r="1380" spans="1:16" hidden="1" outlineLevel="1" x14ac:dyDescent="0.35">
      <c r="A1380" s="1324" t="s">
        <v>137</v>
      </c>
      <c r="B1380" s="1325">
        <v>250</v>
      </c>
      <c r="C1380" s="1326">
        <v>283</v>
      </c>
      <c r="D1380" s="1327"/>
      <c r="E1380" s="32"/>
      <c r="F1380" s="1222">
        <f t="shared" si="219"/>
        <v>0</v>
      </c>
      <c r="G1380" s="1136" t="s">
        <v>228</v>
      </c>
      <c r="H1380" s="1137"/>
      <c r="I1380" s="1203"/>
      <c r="J1380" s="3177" t="s">
        <v>280</v>
      </c>
      <c r="K1380" s="3178"/>
      <c r="L1380" s="3179"/>
      <c r="M1380" s="1328"/>
      <c r="N1380" s="1199"/>
      <c r="O1380" s="1200"/>
      <c r="P1380" s="1268"/>
    </row>
    <row r="1381" spans="1:16" hidden="1" outlineLevel="1" x14ac:dyDescent="0.35">
      <c r="A1381" s="1315" t="s">
        <v>215</v>
      </c>
      <c r="B1381" s="1316">
        <v>250</v>
      </c>
      <c r="C1381" s="1317">
        <v>20.76</v>
      </c>
      <c r="D1381" s="1329">
        <f t="shared" si="218"/>
        <v>5190</v>
      </c>
      <c r="E1381" s="32"/>
      <c r="F1381" s="1224">
        <f t="shared" si="219"/>
        <v>1.683346225451765E-2</v>
      </c>
      <c r="G1381" s="1147" t="s">
        <v>228</v>
      </c>
      <c r="H1381" s="1148"/>
      <c r="I1381" s="1203"/>
      <c r="J1381" s="1330" t="s">
        <v>281</v>
      </c>
      <c r="K1381" s="1331"/>
      <c r="L1381" s="1332"/>
      <c r="M1381" s="1328"/>
      <c r="N1381" s="1199"/>
      <c r="O1381" s="1200"/>
      <c r="P1381" s="1268"/>
    </row>
    <row r="1382" spans="1:16" hidden="1" outlineLevel="1" x14ac:dyDescent="0.35">
      <c r="A1382" s="1087" t="s">
        <v>208</v>
      </c>
      <c r="B1382" s="1131">
        <v>200</v>
      </c>
      <c r="C1382" s="1132">
        <v>284.33</v>
      </c>
      <c r="D1382" s="1221">
        <f t="shared" si="218"/>
        <v>56866</v>
      </c>
      <c r="E1382" s="32">
        <f>(C1382-C1366)/C1366</f>
        <v>5.4558267190861133E-2</v>
      </c>
      <c r="F1382" s="1222">
        <f t="shared" si="219"/>
        <v>0.18444155386616584</v>
      </c>
      <c r="G1382" s="1136">
        <v>56</v>
      </c>
      <c r="H1382" s="1137" t="s">
        <v>146</v>
      </c>
      <c r="I1382" s="1203">
        <f>D1382-D1366</f>
        <v>2942</v>
      </c>
      <c r="J1382" s="3169"/>
      <c r="K1382" s="3170"/>
      <c r="L1382" s="3171"/>
      <c r="M1382" s="1242" t="str">
        <f t="shared" si="220"/>
        <v>ALGN</v>
      </c>
      <c r="P1382" s="1243">
        <f ca="1">RANK(O884,$O$878:$O$888,1)</f>
        <v>3</v>
      </c>
    </row>
    <row r="1383" spans="1:16" hidden="1" outlineLevel="1" x14ac:dyDescent="0.35">
      <c r="A1383" s="1315" t="s">
        <v>282</v>
      </c>
      <c r="B1383" s="1316">
        <v>200</v>
      </c>
      <c r="C1383" s="1317">
        <v>129.18</v>
      </c>
      <c r="D1383" s="1318">
        <f t="shared" si="218"/>
        <v>25836</v>
      </c>
      <c r="E1383" s="32"/>
      <c r="F1383" s="1224">
        <f t="shared" si="219"/>
        <v>8.379755892248901E-2</v>
      </c>
      <c r="G1383" s="1147" t="s">
        <v>228</v>
      </c>
      <c r="H1383" s="1148"/>
      <c r="I1383" s="1203"/>
      <c r="J1383" s="1319" t="s">
        <v>277</v>
      </c>
      <c r="K1383" s="1333"/>
      <c r="L1383" s="1334"/>
      <c r="M1383" s="1242"/>
      <c r="P1383" s="1243"/>
    </row>
    <row r="1384" spans="1:16" hidden="1" outlineLevel="1" x14ac:dyDescent="0.35">
      <c r="A1384" s="1087" t="s">
        <v>222</v>
      </c>
      <c r="B1384" s="1131">
        <v>125</v>
      </c>
      <c r="C1384" s="1132">
        <v>209.53</v>
      </c>
      <c r="D1384" s="1221">
        <f t="shared" si="218"/>
        <v>26191.25</v>
      </c>
      <c r="E1384" s="32"/>
      <c r="F1384" s="1222">
        <f t="shared" si="219"/>
        <v>8.4949791574881584E-2</v>
      </c>
      <c r="G1384" s="1136"/>
      <c r="H1384" s="1137" t="s">
        <v>216</v>
      </c>
      <c r="I1384" s="1203"/>
      <c r="J1384" s="1335"/>
      <c r="K1384" s="1336"/>
      <c r="L1384" s="1337"/>
      <c r="M1384" s="1242" t="str">
        <f t="shared" si="220"/>
        <v>ZBRA</v>
      </c>
      <c r="P1384" s="1243">
        <f ca="1">RANK(O886,$O$878:$O$888,1)</f>
        <v>5</v>
      </c>
    </row>
    <row r="1385" spans="1:16" ht="16" hidden="1" outlineLevel="1" thickBot="1" x14ac:dyDescent="0.4">
      <c r="A1385" s="7" t="s">
        <v>49</v>
      </c>
      <c r="B1385" s="1142">
        <v>37.93</v>
      </c>
      <c r="C1385" s="1143">
        <v>179.56</v>
      </c>
      <c r="D1385" s="1223">
        <f t="shared" si="218"/>
        <v>6810.7107999999998</v>
      </c>
      <c r="E1385" s="32">
        <f>(C1385-C1367)/C1367</f>
        <v>1.1605633802816914E-2</v>
      </c>
      <c r="F1385" s="1224">
        <f t="shared" si="219"/>
        <v>2.2090143194265069E-2</v>
      </c>
      <c r="G1385" s="1147">
        <v>19</v>
      </c>
      <c r="H1385" s="1148" t="s">
        <v>145</v>
      </c>
      <c r="I1385" s="1138">
        <f>D1385-D1367</f>
        <v>78.135800000000017</v>
      </c>
      <c r="J1385" s="3147"/>
      <c r="K1385" s="3148"/>
      <c r="L1385" s="3158"/>
      <c r="M1385" s="1251" t="str">
        <f t="shared" si="220"/>
        <v>NVDA</v>
      </c>
      <c r="N1385" s="40"/>
      <c r="O1385" s="40"/>
      <c r="P1385" s="1243">
        <f ca="1">RANK(O887,$O$878:$O$888,1)</f>
        <v>6</v>
      </c>
    </row>
    <row r="1386" spans="1:16" hidden="1" outlineLevel="1" x14ac:dyDescent="0.35">
      <c r="A1386" s="1087" t="s">
        <v>135</v>
      </c>
      <c r="B1386" s="1131">
        <v>37.96</v>
      </c>
      <c r="C1386" s="1132">
        <v>179.01</v>
      </c>
      <c r="D1386" s="1221">
        <f t="shared" si="218"/>
        <v>6795.2195999999994</v>
      </c>
      <c r="E1386" s="32">
        <f>(C1386-C1368)/C1368</f>
        <v>-2.4519364725550169E-3</v>
      </c>
      <c r="F1386" s="1222">
        <f t="shared" si="219"/>
        <v>2.2039898390704915E-2</v>
      </c>
      <c r="G1386" s="1136">
        <v>10</v>
      </c>
      <c r="H1386" s="1137"/>
      <c r="I1386" s="1203">
        <f>D1386-D1368</f>
        <v>-16.702400000000125</v>
      </c>
      <c r="J1386" s="3169"/>
      <c r="K1386" s="3170"/>
      <c r="L1386" s="3171"/>
      <c r="M1386" s="1251" t="str">
        <f t="shared" si="220"/>
        <v>LRCX</v>
      </c>
      <c r="P1386" s="1243">
        <f ca="1">RANK(O888,$O$878:$O$888,1)</f>
        <v>1</v>
      </c>
    </row>
    <row r="1387" spans="1:16" hidden="1" outlineLevel="1" x14ac:dyDescent="0.35">
      <c r="A1387" s="7" t="s">
        <v>7</v>
      </c>
      <c r="B1387" s="1142"/>
      <c r="C1387" s="1143"/>
      <c r="D1387" s="1223">
        <v>1753.99</v>
      </c>
      <c r="E1387" s="1233"/>
      <c r="F1387" s="1224">
        <f t="shared" si="219"/>
        <v>5.688964250443432E-3</v>
      </c>
      <c r="G1387" s="1147"/>
      <c r="H1387" s="1148"/>
      <c r="I1387" s="1216"/>
      <c r="J1387" s="3155"/>
      <c r="K1387" s="3156"/>
      <c r="L1387" s="3157"/>
    </row>
    <row r="1388" spans="1:16" ht="16" hidden="1" outlineLevel="1" thickBot="1" x14ac:dyDescent="0.4">
      <c r="A1388" s="1087" t="s">
        <v>60</v>
      </c>
      <c r="B1388" s="1131"/>
      <c r="C1388" s="1132"/>
      <c r="D1388" s="1221">
        <v>717</v>
      </c>
      <c r="E1388" s="1153"/>
      <c r="F1388" s="1227">
        <f>SUM(F1376:F1387)</f>
        <v>0.99767445232437568</v>
      </c>
      <c r="G1388" s="1228"/>
      <c r="H1388" s="1229"/>
      <c r="I1388" s="1121">
        <f>SUM(I1379:I1387)</f>
        <v>-23195.566599999984</v>
      </c>
      <c r="N1388" s="1199" t="s">
        <v>43</v>
      </c>
      <c r="O1388" s="1200" t="s">
        <v>198</v>
      </c>
    </row>
    <row r="1389" spans="1:16" ht="19" hidden="1" outlineLevel="1" thickBot="1" x14ac:dyDescent="0.5">
      <c r="A1389" s="726" t="s">
        <v>62</v>
      </c>
      <c r="B1389" s="583"/>
      <c r="C1389" s="584"/>
      <c r="D1389" s="1230">
        <f>SUM(D1376:D1388)</f>
        <v>308314.47040000005</v>
      </c>
      <c r="E1389" s="1285">
        <f>D1389-D1371</f>
        <v>-803.87660000001779</v>
      </c>
      <c r="F1389" s="1180">
        <f>(D1389-D1371)/D1371</f>
        <v>-2.6005463855563954E-3</v>
      </c>
      <c r="G1389" s="679"/>
      <c r="H1389" s="1231"/>
      <c r="I1389" s="680"/>
      <c r="N1389" s="1199"/>
      <c r="O1389" s="1200"/>
    </row>
    <row r="1390" spans="1:16" hidden="1" outlineLevel="1" x14ac:dyDescent="0.35">
      <c r="N1390" s="1199"/>
      <c r="O1390" s="1200"/>
    </row>
    <row r="1391" spans="1:16" hidden="1" outlineLevel="1" x14ac:dyDescent="0.35">
      <c r="A1391" s="701" t="s">
        <v>25</v>
      </c>
      <c r="B1391" s="702" t="s">
        <v>26</v>
      </c>
      <c r="C1391" s="703" t="s">
        <v>27</v>
      </c>
      <c r="D1391" s="704">
        <f>D1373+7</f>
        <v>43560</v>
      </c>
      <c r="E1391" s="705" t="s">
        <v>28</v>
      </c>
      <c r="F1391" s="1125"/>
      <c r="G1391" s="252"/>
      <c r="H1391" s="253"/>
      <c r="I1391" s="1182"/>
      <c r="J1391" s="1183" t="s">
        <v>233</v>
      </c>
      <c r="N1391" s="1199"/>
      <c r="O1391" s="1200"/>
    </row>
    <row r="1392" spans="1:16" hidden="1" outlineLevel="1" x14ac:dyDescent="0.35">
      <c r="A1392" s="706" t="s">
        <v>32</v>
      </c>
      <c r="B1392" s="255" t="str">
        <f ca="1">TEXT(TODAY(),"ddd")</f>
        <v>Sun</v>
      </c>
      <c r="C1392" s="256">
        <v>26424</v>
      </c>
      <c r="D1392" s="1201">
        <f>C1392-C1374</f>
        <v>496</v>
      </c>
      <c r="E1392" s="32">
        <f>(C1392-C1374)/C1374</f>
        <v>1.9129898179574206E-2</v>
      </c>
      <c r="F1392" s="1127" t="s">
        <v>283</v>
      </c>
      <c r="G1392" s="801"/>
      <c r="H1392" s="685"/>
      <c r="I1392" s="1187"/>
      <c r="J1392" s="1188" t="s">
        <v>234</v>
      </c>
      <c r="K1392" s="1220" t="s">
        <v>34</v>
      </c>
      <c r="L1392" s="111" t="s">
        <v>35</v>
      </c>
      <c r="N1392" s="1199"/>
      <c r="O1392" s="1200"/>
    </row>
    <row r="1393" spans="1:16" hidden="1" outlineLevel="1" x14ac:dyDescent="0.35">
      <c r="A1393" s="709" t="s">
        <v>36</v>
      </c>
      <c r="B1393" s="263"/>
      <c r="C1393" s="419">
        <v>7938</v>
      </c>
      <c r="D1393" s="1338">
        <f>C1393-C1375</f>
        <v>209</v>
      </c>
      <c r="E1393" s="32">
        <f>(C1393-C1375)/C1375</f>
        <v>2.7041014361495665E-2</v>
      </c>
      <c r="F1393" s="1128" t="s">
        <v>37</v>
      </c>
      <c r="G1393" s="1129" t="s">
        <v>38</v>
      </c>
      <c r="H1393" s="1130" t="s">
        <v>144</v>
      </c>
      <c r="J1393" s="3137" t="s">
        <v>42</v>
      </c>
      <c r="K1393" s="3122"/>
      <c r="L1393" s="3123"/>
      <c r="M1393" s="1031" t="s">
        <v>244</v>
      </c>
      <c r="N1393" s="1199"/>
      <c r="O1393" s="1200"/>
      <c r="P1393" s="1032" t="s">
        <v>44</v>
      </c>
    </row>
    <row r="1394" spans="1:16" hidden="1" outlineLevel="1" x14ac:dyDescent="0.35">
      <c r="A1394" s="1299" t="s">
        <v>250</v>
      </c>
      <c r="B1394" s="1300">
        <v>1905</v>
      </c>
      <c r="C1394" s="1301">
        <v>9.17</v>
      </c>
      <c r="D1394" s="1302">
        <f t="shared" ref="D1394:D1404" si="221">C1394*B1394</f>
        <v>17468.849999999999</v>
      </c>
      <c r="E1394" s="32">
        <f>(C1394-C1376)/C1376</f>
        <v>1.214128035320082E-2</v>
      </c>
      <c r="F1394" s="1222">
        <f t="shared" ref="F1394:F1405" si="222">D1394/D$1407</f>
        <v>5.6131492387299808E-2</v>
      </c>
      <c r="G1394" s="1136">
        <v>28</v>
      </c>
      <c r="H1394" s="1137" t="s">
        <v>192</v>
      </c>
      <c r="I1394" s="1138">
        <f>D1394-D1376</f>
        <v>209.54999999999927</v>
      </c>
      <c r="J1394" s="3147"/>
      <c r="K1394" s="3148"/>
      <c r="L1394" s="3158"/>
      <c r="M1394" s="1242" t="str">
        <f>A1394</f>
        <v>ACB</v>
      </c>
      <c r="N1394" s="1199"/>
      <c r="O1394" s="1200"/>
      <c r="P1394" s="1243">
        <f ca="1">RANK(O896,$O$878:$O$888,1)</f>
        <v>6</v>
      </c>
    </row>
    <row r="1395" spans="1:16" ht="16" hidden="1" customHeight="1" outlineLevel="1" x14ac:dyDescent="0.35">
      <c r="A1395" s="1339" t="s">
        <v>276</v>
      </c>
      <c r="B1395" s="1340">
        <v>300</v>
      </c>
      <c r="C1395" s="1341">
        <v>81.709999999999994</v>
      </c>
      <c r="D1395" s="1342"/>
      <c r="E1395" s="32"/>
      <c r="F1395" s="1224">
        <f t="shared" si="222"/>
        <v>0</v>
      </c>
      <c r="G1395" s="1147" t="s">
        <v>228</v>
      </c>
      <c r="H1395" s="1148" t="s">
        <v>192</v>
      </c>
      <c r="I1395" s="1203"/>
      <c r="J1395" s="3093" t="s">
        <v>284</v>
      </c>
      <c r="K1395" s="3094"/>
      <c r="L1395" s="3175"/>
      <c r="M1395" s="1343" t="str">
        <f t="shared" ref="M1395:M1404" si="223">A1395</f>
        <v>ZEN</v>
      </c>
      <c r="N1395" s="1199"/>
      <c r="O1395" s="1200"/>
      <c r="P1395" s="1243">
        <f ca="1">RANK(O897,$O$878:$O$888,1)</f>
        <v>4</v>
      </c>
    </row>
    <row r="1396" spans="1:16" hidden="1" outlineLevel="1" x14ac:dyDescent="0.35">
      <c r="A1396" s="1339" t="s">
        <v>278</v>
      </c>
      <c r="B1396" s="1340">
        <v>300</v>
      </c>
      <c r="C1396" s="1341">
        <v>63.14</v>
      </c>
      <c r="D1396" s="1342"/>
      <c r="E1396" s="32"/>
      <c r="F1396" s="1222">
        <f t="shared" si="222"/>
        <v>0</v>
      </c>
      <c r="G1396" s="1136" t="s">
        <v>228</v>
      </c>
      <c r="H1396" s="1137" t="s">
        <v>192</v>
      </c>
      <c r="I1396" s="1203"/>
      <c r="J1396" s="3093" t="s">
        <v>284</v>
      </c>
      <c r="K1396" s="3094"/>
      <c r="L1396" s="3175"/>
      <c r="M1396" s="1343" t="str">
        <f t="shared" si="223"/>
        <v>ZS</v>
      </c>
      <c r="P1396" s="1243">
        <f ca="1">RANK(O898,$O$878:$O$888,1)</f>
        <v>8</v>
      </c>
    </row>
    <row r="1397" spans="1:16" hidden="1" outlineLevel="1" x14ac:dyDescent="0.35">
      <c r="A1397" s="7" t="s">
        <v>96</v>
      </c>
      <c r="B1397" s="1142">
        <v>250</v>
      </c>
      <c r="C1397" s="1143">
        <v>575.72</v>
      </c>
      <c r="D1397" s="1223">
        <f t="shared" si="221"/>
        <v>143930</v>
      </c>
      <c r="E1397" s="32">
        <f>(C1397-C1379)/C1379</f>
        <v>9.0083774404991161E-3</v>
      </c>
      <c r="F1397" s="1224">
        <f t="shared" si="222"/>
        <v>0.46248068414944671</v>
      </c>
      <c r="G1397" s="1147">
        <v>79</v>
      </c>
      <c r="H1397" s="1148" t="s">
        <v>192</v>
      </c>
      <c r="I1397" s="1344">
        <f>(C1397-C1379)*B1379</f>
        <v>1027.9999999999973</v>
      </c>
      <c r="J1397" s="3126" t="s">
        <v>279</v>
      </c>
      <c r="K1397" s="3120"/>
      <c r="L1397" s="3176"/>
      <c r="M1397" s="1242" t="str">
        <f t="shared" si="223"/>
        <v>ISRG</v>
      </c>
      <c r="P1397" s="1243">
        <f ca="1">RANK(O899,$O$878:$O$888,1)</f>
        <v>2</v>
      </c>
    </row>
    <row r="1398" spans="1:16" hidden="1" outlineLevel="1" x14ac:dyDescent="0.35">
      <c r="A1398" s="1339" t="s">
        <v>215</v>
      </c>
      <c r="B1398" s="1340">
        <v>250</v>
      </c>
      <c r="C1398" s="1341">
        <v>19.75</v>
      </c>
      <c r="D1398" s="1342"/>
      <c r="E1398" s="32"/>
      <c r="F1398" s="1222">
        <f t="shared" si="222"/>
        <v>0</v>
      </c>
      <c r="G1398" s="1136"/>
      <c r="H1398" s="1137" t="s">
        <v>192</v>
      </c>
      <c r="I1398" s="1203"/>
      <c r="J1398" s="3093" t="s">
        <v>284</v>
      </c>
      <c r="K1398" s="3094"/>
      <c r="L1398" s="3175"/>
      <c r="M1398" s="1343" t="str">
        <f t="shared" si="223"/>
        <v>AMRN</v>
      </c>
      <c r="P1398" s="1243"/>
    </row>
    <row r="1399" spans="1:16" hidden="1" outlineLevel="1" x14ac:dyDescent="0.35">
      <c r="A1399" s="7" t="s">
        <v>208</v>
      </c>
      <c r="B1399" s="1142">
        <v>275</v>
      </c>
      <c r="C1399" s="1143">
        <v>295.88</v>
      </c>
      <c r="D1399" s="1223">
        <f t="shared" si="221"/>
        <v>81367</v>
      </c>
      <c r="E1399" s="32">
        <f>(C1399-C1382)/C1382</f>
        <v>4.0621812682446495E-2</v>
      </c>
      <c r="F1399" s="1224">
        <f t="shared" si="222"/>
        <v>0.26145116255949441</v>
      </c>
      <c r="G1399" s="1147">
        <v>56</v>
      </c>
      <c r="H1399" s="1148" t="s">
        <v>145</v>
      </c>
      <c r="I1399" s="1203">
        <f>(C1399-C1382)*B1382</f>
        <v>2310.0000000000023</v>
      </c>
      <c r="J1399" s="3172"/>
      <c r="K1399" s="3173"/>
      <c r="L1399" s="3174"/>
      <c r="M1399" s="1242" t="str">
        <f t="shared" si="223"/>
        <v>ALGN</v>
      </c>
      <c r="P1399" s="1243">
        <f ca="1">RANK(O901,$O$878:$O$888,1)</f>
        <v>3</v>
      </c>
    </row>
    <row r="1400" spans="1:16" hidden="1" outlineLevel="1" x14ac:dyDescent="0.35">
      <c r="A1400" s="1339" t="s">
        <v>282</v>
      </c>
      <c r="B1400" s="1340">
        <v>200</v>
      </c>
      <c r="C1400" s="1341">
        <v>122.42</v>
      </c>
      <c r="D1400" s="1342"/>
      <c r="E1400" s="32"/>
      <c r="F1400" s="1222">
        <f t="shared" si="222"/>
        <v>0</v>
      </c>
      <c r="G1400" s="1136"/>
      <c r="H1400" s="1137" t="s">
        <v>192</v>
      </c>
      <c r="I1400" s="1203"/>
      <c r="J1400" s="3093" t="s">
        <v>284</v>
      </c>
      <c r="K1400" s="3094"/>
      <c r="L1400" s="3175"/>
      <c r="M1400" s="1343" t="str">
        <f t="shared" si="223"/>
        <v>TWLO</v>
      </c>
      <c r="P1400" s="1243"/>
    </row>
    <row r="1401" spans="1:16" hidden="1" outlineLevel="1" x14ac:dyDescent="0.35">
      <c r="A1401" s="7" t="s">
        <v>222</v>
      </c>
      <c r="B1401" s="1142">
        <v>125</v>
      </c>
      <c r="C1401" s="1143">
        <v>218.33</v>
      </c>
      <c r="D1401" s="1223">
        <f t="shared" si="221"/>
        <v>27291.25</v>
      </c>
      <c r="E1401" s="32">
        <f>(C1401-C1384)/C1384</f>
        <v>4.1998759127571283E-2</v>
      </c>
      <c r="F1401" s="1224">
        <f t="shared" si="222"/>
        <v>8.7693156196022984E-2</v>
      </c>
      <c r="G1401" s="1147">
        <v>27</v>
      </c>
      <c r="H1401" s="1148" t="s">
        <v>146</v>
      </c>
      <c r="I1401" s="1203">
        <f>D1401-D1384</f>
        <v>1100</v>
      </c>
      <c r="J1401" s="1335"/>
      <c r="K1401" s="1336"/>
      <c r="L1401" s="1337"/>
      <c r="M1401" s="1242" t="str">
        <f t="shared" si="223"/>
        <v>ZBRA</v>
      </c>
      <c r="P1401" s="1243">
        <f ca="1">RANK(O903,$O$878:$O$888,1)</f>
        <v>5</v>
      </c>
    </row>
    <row r="1402" spans="1:16" hidden="1" outlineLevel="1" x14ac:dyDescent="0.35">
      <c r="A1402" s="7" t="s">
        <v>152</v>
      </c>
      <c r="B1402" s="1142">
        <v>125</v>
      </c>
      <c r="C1402" s="1143">
        <v>167.03</v>
      </c>
      <c r="D1402" s="1223">
        <f t="shared" si="221"/>
        <v>20878.75</v>
      </c>
      <c r="E1402" s="32"/>
      <c r="F1402" s="1224">
        <f t="shared" si="222"/>
        <v>6.7088296978984649E-2</v>
      </c>
      <c r="G1402" s="1147">
        <v>21</v>
      </c>
      <c r="H1402" s="1148" t="s">
        <v>229</v>
      </c>
      <c r="I1402" s="1203"/>
      <c r="J1402" s="1335"/>
      <c r="K1402" s="1336"/>
      <c r="L1402" s="1337"/>
      <c r="M1402" s="1242"/>
      <c r="N1402" s="1199" t="s">
        <v>43</v>
      </c>
      <c r="O1402" s="1200" t="s">
        <v>198</v>
      </c>
      <c r="P1402" s="1243"/>
    </row>
    <row r="1403" spans="1:16" hidden="1" outlineLevel="1" x14ac:dyDescent="0.35">
      <c r="A1403" s="1299" t="s">
        <v>49</v>
      </c>
      <c r="B1403" s="1300">
        <v>37.93</v>
      </c>
      <c r="C1403" s="1301">
        <v>190.95</v>
      </c>
      <c r="D1403" s="1302">
        <f t="shared" si="221"/>
        <v>7242.7334999999994</v>
      </c>
      <c r="E1403" s="32">
        <f>(C1403-C1385)/C1385</f>
        <v>6.3432835820895442E-2</v>
      </c>
      <c r="F1403" s="1222">
        <f t="shared" si="222"/>
        <v>2.3272593234156303E-2</v>
      </c>
      <c r="G1403" s="1136">
        <v>19</v>
      </c>
      <c r="H1403" s="1137" t="s">
        <v>229</v>
      </c>
      <c r="I1403" s="1203">
        <f>D1403-D1385</f>
        <v>432.02269999999953</v>
      </c>
      <c r="J1403" s="3147"/>
      <c r="K1403" s="3148"/>
      <c r="L1403" s="3158"/>
      <c r="M1403" s="1251" t="str">
        <f t="shared" si="223"/>
        <v>NVDA</v>
      </c>
      <c r="N1403" s="1345">
        <v>43886</v>
      </c>
      <c r="O1403" s="1200"/>
      <c r="P1403" s="1243">
        <f ca="1">RANK(O905,$O$878:$O$888,1)</f>
        <v>6</v>
      </c>
    </row>
    <row r="1404" spans="1:16" hidden="1" outlineLevel="1" x14ac:dyDescent="0.35">
      <c r="A1404" s="7" t="s">
        <v>135</v>
      </c>
      <c r="B1404" s="1142">
        <v>37.96</v>
      </c>
      <c r="C1404" s="1143">
        <v>195.15</v>
      </c>
      <c r="D1404" s="1223">
        <f t="shared" si="221"/>
        <v>7407.8940000000002</v>
      </c>
      <c r="E1404" s="32">
        <f>(C1404-C1386)/C1386</f>
        <v>9.0162560750796136E-2</v>
      </c>
      <c r="F1404" s="1224">
        <f t="shared" si="222"/>
        <v>2.3803292470135354E-2</v>
      </c>
      <c r="G1404" s="1147">
        <v>10</v>
      </c>
      <c r="H1404" s="1148" t="s">
        <v>192</v>
      </c>
      <c r="I1404" s="1264">
        <f>D1404-D1386</f>
        <v>612.67440000000079</v>
      </c>
      <c r="J1404" s="3169"/>
      <c r="K1404" s="3170"/>
      <c r="L1404" s="3171"/>
      <c r="M1404" s="1251" t="str">
        <f t="shared" si="223"/>
        <v>LRCX</v>
      </c>
      <c r="N1404" s="1345">
        <v>43868</v>
      </c>
      <c r="O1404" s="1200"/>
      <c r="P1404" s="1243">
        <f ca="1">RANK(O906,$O$878:$O$888,1)</f>
        <v>1</v>
      </c>
    </row>
    <row r="1405" spans="1:16" hidden="1" outlineLevel="1" x14ac:dyDescent="0.35">
      <c r="A1405" s="1299" t="s">
        <v>7</v>
      </c>
      <c r="B1405" s="1300"/>
      <c r="C1405" s="1301"/>
      <c r="D1405" s="1302">
        <v>1771.67</v>
      </c>
      <c r="E1405" s="32"/>
      <c r="F1405" s="1222">
        <f t="shared" si="222"/>
        <v>5.6927892287018016E-3</v>
      </c>
      <c r="G1405" s="1136"/>
      <c r="H1405" s="1137"/>
      <c r="I1405" s="1216"/>
      <c r="J1405" s="3155"/>
      <c r="K1405" s="3156"/>
      <c r="L1405" s="3157"/>
      <c r="N1405" s="1345">
        <v>43950</v>
      </c>
      <c r="O1405" s="1200"/>
    </row>
    <row r="1406" spans="1:16" ht="16" hidden="1" outlineLevel="1" thickBot="1" x14ac:dyDescent="0.4">
      <c r="A1406" s="7" t="s">
        <v>60</v>
      </c>
      <c r="B1406" s="1142"/>
      <c r="C1406" s="1143"/>
      <c r="D1406" s="1223">
        <f>5854.85-2000</f>
        <v>3854.8500000000004</v>
      </c>
      <c r="E1406" s="32"/>
      <c r="F1406" s="1224">
        <f>SUM(F1394:F1405)</f>
        <v>0.98761346720424203</v>
      </c>
      <c r="G1406" s="1147"/>
      <c r="H1406" s="1148"/>
      <c r="I1406" s="1121">
        <f>SUM(I1397:I1405)</f>
        <v>5482.6971000000003</v>
      </c>
      <c r="N1406" s="1345">
        <v>43943</v>
      </c>
      <c r="O1406" s="1200"/>
    </row>
    <row r="1407" spans="1:16" ht="19" hidden="1" outlineLevel="1" thickBot="1" x14ac:dyDescent="0.5">
      <c r="A1407" s="726" t="s">
        <v>62</v>
      </c>
      <c r="B1407" s="583"/>
      <c r="C1407" s="584"/>
      <c r="D1407" s="1230">
        <f>SUM(D1394:D1406)</f>
        <v>311212.99749999988</v>
      </c>
      <c r="E1407" s="1262">
        <f>D1407-D1389</f>
        <v>2898.527099999832</v>
      </c>
      <c r="F1407" s="1218">
        <f>(D1407-D1389)/D1389</f>
        <v>9.4012035706249851E-3</v>
      </c>
      <c r="G1407" s="679"/>
      <c r="H1407" s="1231"/>
      <c r="I1407" s="680"/>
      <c r="N1407" s="1345">
        <v>43937</v>
      </c>
      <c r="O1407" s="1200"/>
    </row>
    <row r="1408" spans="1:16" hidden="1" outlineLevel="1" x14ac:dyDescent="0.35">
      <c r="N1408" s="1345">
        <v>43949</v>
      </c>
      <c r="O1408" s="1200"/>
    </row>
    <row r="1409" spans="1:16" hidden="1" outlineLevel="1" x14ac:dyDescent="0.35">
      <c r="A1409" s="701" t="s">
        <v>25</v>
      </c>
      <c r="B1409" s="702" t="s">
        <v>26</v>
      </c>
      <c r="C1409" s="703" t="s">
        <v>27</v>
      </c>
      <c r="D1409" s="704">
        <f>D1391+7</f>
        <v>43567</v>
      </c>
      <c r="E1409" s="705" t="s">
        <v>28</v>
      </c>
      <c r="F1409" s="1125"/>
      <c r="G1409" s="252"/>
      <c r="H1409" s="253"/>
      <c r="I1409" s="1182"/>
      <c r="J1409" s="1183" t="s">
        <v>233</v>
      </c>
      <c r="N1409" s="1345">
        <v>43942</v>
      </c>
      <c r="O1409" s="1200"/>
    </row>
    <row r="1410" spans="1:16" hidden="1" outlineLevel="1" x14ac:dyDescent="0.35">
      <c r="A1410" s="706" t="s">
        <v>32</v>
      </c>
      <c r="B1410" s="255" t="str">
        <f ca="1">TEXT(TODAY(),"ddd")</f>
        <v>Sun</v>
      </c>
      <c r="C1410" s="256">
        <v>26341</v>
      </c>
      <c r="D1410" s="1184">
        <f>C1410-C1392</f>
        <v>-83</v>
      </c>
      <c r="E1410" s="32">
        <f>(C1410-C1392)/C1392</f>
        <v>-3.1410838631547077E-3</v>
      </c>
      <c r="F1410" s="1127" t="s">
        <v>270</v>
      </c>
      <c r="G1410" s="801"/>
      <c r="H1410" s="685"/>
      <c r="I1410" s="1187"/>
      <c r="J1410" s="1188" t="s">
        <v>234</v>
      </c>
      <c r="K1410" s="1220" t="s">
        <v>34</v>
      </c>
      <c r="L1410" s="111" t="s">
        <v>35</v>
      </c>
    </row>
    <row r="1411" spans="1:16" hidden="1" outlineLevel="1" x14ac:dyDescent="0.35">
      <c r="A1411" s="709" t="s">
        <v>36</v>
      </c>
      <c r="B1411" s="263"/>
      <c r="C1411" s="419">
        <v>7953</v>
      </c>
      <c r="D1411" s="1338">
        <f>C1411-C1393</f>
        <v>15</v>
      </c>
      <c r="E1411" s="32">
        <f>(C1411-C1393)/C1393</f>
        <v>1.889644746787604E-3</v>
      </c>
      <c r="F1411" s="1128" t="s">
        <v>37</v>
      </c>
      <c r="G1411" s="1129" t="s">
        <v>38</v>
      </c>
      <c r="H1411" s="1130" t="s">
        <v>144</v>
      </c>
      <c r="J1411" s="3137" t="s">
        <v>42</v>
      </c>
      <c r="K1411" s="3122"/>
      <c r="L1411" s="3123"/>
      <c r="M1411" s="1031" t="s">
        <v>244</v>
      </c>
      <c r="P1411" s="1032" t="s">
        <v>44</v>
      </c>
    </row>
    <row r="1412" spans="1:16" hidden="1" outlineLevel="1" x14ac:dyDescent="0.35">
      <c r="A1412" s="1346" t="s">
        <v>250</v>
      </c>
      <c r="B1412" s="1347">
        <v>1905</v>
      </c>
      <c r="C1412" s="1348">
        <v>9.0399999999999991</v>
      </c>
      <c r="D1412" s="1349">
        <f t="shared" ref="D1412:D1418" si="224">C1412*B1412</f>
        <v>17221.199999999997</v>
      </c>
      <c r="E1412" s="32">
        <f>(C1412-C1394)/C1394</f>
        <v>-1.4176663031624948E-2</v>
      </c>
      <c r="F1412" s="1350">
        <f t="shared" ref="F1412:F1419" si="225">D1412/D$1407</f>
        <v>5.5335735134262841E-2</v>
      </c>
      <c r="G1412" s="1351">
        <v>41</v>
      </c>
      <c r="H1412" s="1352" t="s">
        <v>192</v>
      </c>
      <c r="I1412" s="1138">
        <f>D1412-D1394</f>
        <v>-247.65000000000146</v>
      </c>
      <c r="J1412" s="3147"/>
      <c r="K1412" s="3148"/>
      <c r="L1412" s="3158"/>
      <c r="M1412" s="1242" t="str">
        <f>A1412</f>
        <v>ACB</v>
      </c>
      <c r="P1412" s="1243">
        <f t="shared" ref="P1412:P1418" ca="1" si="226">RANK(O914,$O$878:$O$888,1)</f>
        <v>6</v>
      </c>
    </row>
    <row r="1413" spans="1:16" hidden="1" outlineLevel="1" x14ac:dyDescent="0.35">
      <c r="A1413" s="7" t="s">
        <v>96</v>
      </c>
      <c r="B1413" s="1142">
        <v>250</v>
      </c>
      <c r="C1413" s="1143">
        <v>578.34</v>
      </c>
      <c r="D1413" s="1223">
        <f t="shared" si="224"/>
        <v>144585</v>
      </c>
      <c r="E1413" s="32">
        <f>(C1413-C1397)/C1397</f>
        <v>4.5508233168901624E-3</v>
      </c>
      <c r="F1413" s="1224">
        <f t="shared" si="225"/>
        <v>0.46458535203048534</v>
      </c>
      <c r="G1413" s="1147">
        <v>60</v>
      </c>
      <c r="H1413" s="1148" t="s">
        <v>192</v>
      </c>
      <c r="I1413" s="1203">
        <f>D1413-D1397</f>
        <v>655</v>
      </c>
      <c r="J1413" s="3147"/>
      <c r="K1413" s="3148"/>
      <c r="L1413" s="3158"/>
      <c r="M1413" s="1353" t="str">
        <f t="shared" ref="M1413:M1418" si="227">A1413</f>
        <v>ISRG</v>
      </c>
      <c r="P1413" s="1354">
        <f t="shared" ca="1" si="226"/>
        <v>2</v>
      </c>
    </row>
    <row r="1414" spans="1:16" hidden="1" outlineLevel="1" x14ac:dyDescent="0.35">
      <c r="A1414" s="1346" t="s">
        <v>208</v>
      </c>
      <c r="B1414" s="1347">
        <v>275</v>
      </c>
      <c r="C1414" s="1348">
        <v>292.70999999999998</v>
      </c>
      <c r="D1414" s="1349">
        <f t="shared" si="224"/>
        <v>80495.25</v>
      </c>
      <c r="E1414" s="32">
        <f>(C1414-C1399)/C1399</f>
        <v>-1.0713802893064809E-2</v>
      </c>
      <c r="F1414" s="1350">
        <f t="shared" si="225"/>
        <v>0.25865002633766937</v>
      </c>
      <c r="G1414" s="1351">
        <v>58</v>
      </c>
      <c r="H1414" s="1352" t="s">
        <v>145</v>
      </c>
      <c r="I1414" s="1138">
        <f>D1414-D1399</f>
        <v>-871.75</v>
      </c>
      <c r="J1414" s="3172"/>
      <c r="K1414" s="3173"/>
      <c r="L1414" s="3174"/>
      <c r="M1414" s="1242" t="str">
        <f t="shared" si="227"/>
        <v>ALGN</v>
      </c>
      <c r="P1414" s="1243">
        <f t="shared" ca="1" si="226"/>
        <v>3</v>
      </c>
    </row>
    <row r="1415" spans="1:16" hidden="1" outlineLevel="1" x14ac:dyDescent="0.35">
      <c r="A1415" s="7" t="s">
        <v>222</v>
      </c>
      <c r="B1415" s="1142">
        <v>125</v>
      </c>
      <c r="C1415" s="1143">
        <v>221.44</v>
      </c>
      <c r="D1415" s="1223">
        <f t="shared" si="224"/>
        <v>27680</v>
      </c>
      <c r="E1415" s="32">
        <f>(C1415-C1401)/C1401</f>
        <v>1.4244492282324852E-2</v>
      </c>
      <c r="F1415" s="1224">
        <f t="shared" si="225"/>
        <v>8.894230068266995E-2</v>
      </c>
      <c r="G1415" s="1147">
        <v>27</v>
      </c>
      <c r="H1415" s="1148" t="s">
        <v>146</v>
      </c>
      <c r="I1415" s="1287">
        <f>D1415-D1401</f>
        <v>388.75</v>
      </c>
      <c r="J1415" s="1335"/>
      <c r="K1415" s="1336"/>
      <c r="L1415" s="1337"/>
      <c r="M1415" s="1242" t="str">
        <f t="shared" si="227"/>
        <v>ZBRA</v>
      </c>
      <c r="P1415" s="1243">
        <f t="shared" ca="1" si="226"/>
        <v>5</v>
      </c>
    </row>
    <row r="1416" spans="1:16" hidden="1" outlineLevel="1" x14ac:dyDescent="0.35">
      <c r="A1416" s="1346" t="s">
        <v>152</v>
      </c>
      <c r="B1416" s="1347">
        <v>125</v>
      </c>
      <c r="C1416" s="1348">
        <v>168.96</v>
      </c>
      <c r="D1416" s="1349">
        <f t="shared" si="224"/>
        <v>21120</v>
      </c>
      <c r="E1416" s="32">
        <f>(C1416-C1402)/C1402</f>
        <v>1.1554810513081524E-2</v>
      </c>
      <c r="F1416" s="1350">
        <f t="shared" si="225"/>
        <v>6.786348953822216E-2</v>
      </c>
      <c r="G1416" s="1351">
        <v>21</v>
      </c>
      <c r="H1416" s="1352" t="s">
        <v>229</v>
      </c>
      <c r="I1416" s="1203">
        <f>D1416-D1402</f>
        <v>241.25</v>
      </c>
      <c r="J1416" s="1335"/>
      <c r="K1416" s="1336"/>
      <c r="L1416" s="1337"/>
      <c r="M1416" s="1242" t="str">
        <f t="shared" si="227"/>
        <v>IPGP</v>
      </c>
      <c r="N1416" s="1199" t="s">
        <v>43</v>
      </c>
      <c r="O1416" s="1200" t="s">
        <v>198</v>
      </c>
      <c r="P1416" s="1243">
        <f t="shared" ca="1" si="226"/>
        <v>4</v>
      </c>
    </row>
    <row r="1417" spans="1:16" hidden="1" outlineLevel="1" x14ac:dyDescent="0.35">
      <c r="A1417" s="7" t="s">
        <v>49</v>
      </c>
      <c r="B1417" s="1142">
        <v>37.93</v>
      </c>
      <c r="C1417" s="1143">
        <v>191.79</v>
      </c>
      <c r="D1417" s="1223">
        <f t="shared" si="224"/>
        <v>7274.5946999999996</v>
      </c>
      <c r="E1417" s="32">
        <f>(C1417-C1403)/C1403</f>
        <v>4.3990573448546922E-3</v>
      </c>
      <c r="F1417" s="1224">
        <f t="shared" si="225"/>
        <v>2.3374970706356833E-2</v>
      </c>
      <c r="G1417" s="1147">
        <v>28</v>
      </c>
      <c r="H1417" s="1148" t="s">
        <v>229</v>
      </c>
      <c r="I1417" s="1287">
        <f>D1417-D1403</f>
        <v>31.861200000000281</v>
      </c>
      <c r="J1417" s="3147"/>
      <c r="K1417" s="3148"/>
      <c r="L1417" s="3158"/>
      <c r="M1417" s="1251" t="str">
        <f t="shared" si="227"/>
        <v>NVDA</v>
      </c>
      <c r="N1417" s="1345">
        <v>43886</v>
      </c>
      <c r="O1417" s="1200"/>
      <c r="P1417" s="1243">
        <f t="shared" ca="1" si="226"/>
        <v>6</v>
      </c>
    </row>
    <row r="1418" spans="1:16" hidden="1" outlineLevel="1" x14ac:dyDescent="0.35">
      <c r="A1418" s="1346" t="s">
        <v>135</v>
      </c>
      <c r="B1418" s="1347">
        <v>37.96</v>
      </c>
      <c r="C1418" s="1348">
        <v>193.79</v>
      </c>
      <c r="D1418" s="1349">
        <f t="shared" si="224"/>
        <v>7356.2683999999999</v>
      </c>
      <c r="E1418" s="32">
        <f>(C1418-C1404)/C1404</f>
        <v>-6.9689982065078843E-3</v>
      </c>
      <c r="F1418" s="1350">
        <f t="shared" si="225"/>
        <v>2.3637407367602E-2</v>
      </c>
      <c r="G1418" s="1351">
        <v>11</v>
      </c>
      <c r="H1418" s="1352" t="s">
        <v>192</v>
      </c>
      <c r="I1418" s="1314">
        <f>D1418-D1404</f>
        <v>-51.625600000000304</v>
      </c>
      <c r="J1418" s="3169"/>
      <c r="K1418" s="3170"/>
      <c r="L1418" s="3171"/>
      <c r="M1418" s="1251" t="str">
        <f t="shared" si="227"/>
        <v>LRCX</v>
      </c>
      <c r="N1418" s="1345">
        <v>43868</v>
      </c>
      <c r="O1418" s="1200"/>
      <c r="P1418" s="1243">
        <f t="shared" ca="1" si="226"/>
        <v>1</v>
      </c>
    </row>
    <row r="1419" spans="1:16" hidden="1" outlineLevel="1" x14ac:dyDescent="0.35">
      <c r="A1419" s="7" t="s">
        <v>7</v>
      </c>
      <c r="B1419" s="1142"/>
      <c r="C1419" s="1143"/>
      <c r="D1419" s="1223">
        <v>1771.67</v>
      </c>
      <c r="E1419" s="32"/>
      <c r="F1419" s="1224">
        <f t="shared" si="225"/>
        <v>5.6927892287018016E-3</v>
      </c>
      <c r="G1419" s="1147"/>
      <c r="H1419" s="1148"/>
      <c r="I1419" s="1216"/>
      <c r="J1419" s="3155"/>
      <c r="K1419" s="3156"/>
      <c r="L1419" s="3157"/>
      <c r="N1419" s="1345">
        <v>43950</v>
      </c>
      <c r="O1419" s="1200"/>
    </row>
    <row r="1420" spans="1:16" ht="16" hidden="1" outlineLevel="1" thickBot="1" x14ac:dyDescent="0.4">
      <c r="A1420" s="1346" t="s">
        <v>60</v>
      </c>
      <c r="B1420" s="1347"/>
      <c r="C1420" s="1348"/>
      <c r="D1420" s="1349">
        <v>3854.8500000000004</v>
      </c>
      <c r="E1420" s="32"/>
      <c r="F1420" s="1350">
        <f>SUM(F1412:F1419)</f>
        <v>0.98808207102597034</v>
      </c>
      <c r="G1420" s="1351"/>
      <c r="H1420" s="1352"/>
      <c r="I1420" s="786">
        <f>SUM(I1413:I1419)</f>
        <v>393.48559999999998</v>
      </c>
      <c r="N1420" s="1345">
        <v>43943</v>
      </c>
      <c r="O1420" s="1200"/>
    </row>
    <row r="1421" spans="1:16" ht="19" hidden="1" outlineLevel="1" thickBot="1" x14ac:dyDescent="0.5">
      <c r="A1421" s="726" t="s">
        <v>62</v>
      </c>
      <c r="B1421" s="583"/>
      <c r="C1421" s="584"/>
      <c r="D1421" s="1230">
        <f>SUM(D1412:D1420)</f>
        <v>311358.83309999999</v>
      </c>
      <c r="E1421" s="1293">
        <f>D1421-D1407</f>
        <v>145.83560000010766</v>
      </c>
      <c r="F1421" s="1180">
        <f>(D1421-D1407)/D1407</f>
        <v>4.6860382172858226E-4</v>
      </c>
      <c r="G1421" s="679"/>
      <c r="H1421" s="1231"/>
      <c r="I1421" s="680"/>
      <c r="N1421" s="1345">
        <v>43937</v>
      </c>
      <c r="O1421" s="1200"/>
    </row>
    <row r="1422" spans="1:16" hidden="1" outlineLevel="1" x14ac:dyDescent="0.35">
      <c r="N1422" s="1345">
        <v>43949</v>
      </c>
      <c r="O1422" s="1200"/>
    </row>
    <row r="1423" spans="1:16" hidden="1" outlineLevel="1" x14ac:dyDescent="0.35">
      <c r="A1423" s="701" t="s">
        <v>25</v>
      </c>
      <c r="B1423" s="702" t="s">
        <v>26</v>
      </c>
      <c r="C1423" s="703" t="s">
        <v>27</v>
      </c>
      <c r="D1423" s="704">
        <f>D1409+7</f>
        <v>43574</v>
      </c>
      <c r="E1423" s="705" t="s">
        <v>28</v>
      </c>
      <c r="F1423" s="1125"/>
      <c r="G1423" s="252"/>
      <c r="H1423" s="253"/>
      <c r="I1423" s="1182"/>
      <c r="J1423" s="1183" t="s">
        <v>233</v>
      </c>
      <c r="N1423" s="1345">
        <v>43942</v>
      </c>
      <c r="O1423" s="1200"/>
    </row>
    <row r="1424" spans="1:16" hidden="1" outlineLevel="1" x14ac:dyDescent="0.35">
      <c r="A1424" s="706" t="s">
        <v>32</v>
      </c>
      <c r="B1424" s="255" t="str">
        <f ca="1">TEXT(TODAY(),"ddd")</f>
        <v>Sun</v>
      </c>
      <c r="C1424" s="256">
        <v>26559.54</v>
      </c>
      <c r="D1424" s="1201">
        <f>C1424-C1410</f>
        <v>218.54000000000087</v>
      </c>
      <c r="E1424" s="32">
        <f>(C1424-C1410)/C1410</f>
        <v>8.2965718841350317E-3</v>
      </c>
      <c r="F1424" s="1127" t="s">
        <v>270</v>
      </c>
      <c r="G1424" s="801"/>
      <c r="H1424" s="685"/>
      <c r="I1424" s="1187"/>
      <c r="J1424" s="1188" t="s">
        <v>234</v>
      </c>
      <c r="K1424" s="1220" t="s">
        <v>34</v>
      </c>
      <c r="L1424" s="111" t="s">
        <v>35</v>
      </c>
    </row>
    <row r="1425" spans="1:21" hidden="1" outlineLevel="1" x14ac:dyDescent="0.35">
      <c r="A1425" s="709" t="s">
        <v>36</v>
      </c>
      <c r="B1425" s="263"/>
      <c r="C1425" s="419">
        <v>7998</v>
      </c>
      <c r="D1425" s="1201">
        <f>C1425-C1411</f>
        <v>45</v>
      </c>
      <c r="E1425" s="32">
        <f>(C1425-C1411)/C1411</f>
        <v>5.6582421727649941E-3</v>
      </c>
      <c r="F1425" s="1128" t="s">
        <v>37</v>
      </c>
      <c r="G1425" s="1129" t="s">
        <v>38</v>
      </c>
      <c r="H1425" s="1130" t="s">
        <v>144</v>
      </c>
      <c r="J1425" s="3137" t="s">
        <v>42</v>
      </c>
      <c r="K1425" s="3122"/>
      <c r="L1425" s="3123"/>
      <c r="M1425" s="1031" t="s">
        <v>244</v>
      </c>
      <c r="P1425" s="1355" t="s">
        <v>44</v>
      </c>
      <c r="Q1425" s="1356" t="s">
        <v>285</v>
      </c>
      <c r="R1425" s="1151" t="s">
        <v>286</v>
      </c>
      <c r="S1425" s="1356" t="s">
        <v>287</v>
      </c>
      <c r="T1425" s="1151" t="s">
        <v>288</v>
      </c>
      <c r="U1425" s="602"/>
    </row>
    <row r="1426" spans="1:21" hidden="1" outlineLevel="1" x14ac:dyDescent="0.35">
      <c r="A1426" s="1346" t="s">
        <v>250</v>
      </c>
      <c r="B1426" s="1347">
        <v>1905</v>
      </c>
      <c r="C1426" s="1348">
        <v>9</v>
      </c>
      <c r="D1426" s="1349">
        <f t="shared" ref="D1426:D1435" si="228">C1426*B1426</f>
        <v>17145</v>
      </c>
      <c r="E1426" s="32">
        <f>(C1426-C1412)/C1412</f>
        <v>-4.4247787610618532E-3</v>
      </c>
      <c r="F1426" s="1350">
        <f>D1426/D$1438</f>
        <v>5.8188225948800076E-2</v>
      </c>
      <c r="G1426" s="1351">
        <v>41</v>
      </c>
      <c r="H1426" s="1352" t="s">
        <v>192</v>
      </c>
      <c r="I1426" s="1138">
        <f>D1426-D1412</f>
        <v>-76.19999999999709</v>
      </c>
      <c r="J1426" s="3147"/>
      <c r="K1426" s="3148"/>
      <c r="L1426" s="3158"/>
      <c r="M1426" s="1242" t="str">
        <f>A1426</f>
        <v>ACB</v>
      </c>
      <c r="P1426" s="1034">
        <f ca="1">RANK(O928,$O$878:$O$888,1)</f>
        <v>6</v>
      </c>
      <c r="Q1426" s="1357">
        <f>D1427-U1426</f>
        <v>1692</v>
      </c>
      <c r="R1426" s="1358" t="s">
        <v>289</v>
      </c>
      <c r="S1426" s="1359">
        <v>6.0449999999999999</v>
      </c>
      <c r="T1426" s="1358">
        <v>300</v>
      </c>
      <c r="U1426" s="1360"/>
    </row>
    <row r="1427" spans="1:21" ht="22" hidden="1" customHeight="1" outlineLevel="1" x14ac:dyDescent="0.35">
      <c r="A1427" s="1361" t="s">
        <v>289</v>
      </c>
      <c r="B1427" s="1362">
        <v>300</v>
      </c>
      <c r="C1427" s="1363">
        <v>5.64</v>
      </c>
      <c r="D1427" s="1364">
        <f t="shared" si="228"/>
        <v>1692</v>
      </c>
      <c r="E1427" s="32"/>
      <c r="F1427" s="1365">
        <f t="shared" ref="F1427:F1437" si="229">D1427/D$1438</f>
        <v>5.7424600936348633E-3</v>
      </c>
      <c r="G1427" s="1366"/>
      <c r="H1427" s="1367"/>
      <c r="I1427" s="1138"/>
      <c r="J1427" s="3152" t="s">
        <v>290</v>
      </c>
      <c r="K1427" s="3153"/>
      <c r="L1427" s="3165"/>
      <c r="M1427" s="1242" t="str">
        <f t="shared" ref="M1427:M1435" si="230">A1427</f>
        <v>MBIO</v>
      </c>
      <c r="P1427" s="1034"/>
      <c r="Q1427" s="1368"/>
      <c r="S1427" s="1369"/>
      <c r="U1427" s="1360"/>
    </row>
    <row r="1428" spans="1:21" ht="33.65" hidden="1" customHeight="1" outlineLevel="1" x14ac:dyDescent="0.35">
      <c r="A1428" s="1346" t="s">
        <v>96</v>
      </c>
      <c r="B1428" s="1347">
        <v>250</v>
      </c>
      <c r="C1428" s="1348">
        <v>528.05999999999995</v>
      </c>
      <c r="D1428" s="1349">
        <f t="shared" si="228"/>
        <v>132015</v>
      </c>
      <c r="E1428" s="1370">
        <f>(C1428-C1413)/C1413</f>
        <v>-8.6938479095341983E-2</v>
      </c>
      <c r="F1428" s="1350">
        <f t="shared" si="229"/>
        <v>0.44804424897234424</v>
      </c>
      <c r="G1428" s="1351">
        <v>60</v>
      </c>
      <c r="H1428" s="1352" t="s">
        <v>192</v>
      </c>
      <c r="I1428" s="1138">
        <f>D1428-D1413</f>
        <v>-12570</v>
      </c>
      <c r="J1428" s="3147" t="s">
        <v>291</v>
      </c>
      <c r="K1428" s="3148"/>
      <c r="L1428" s="3158"/>
      <c r="M1428" s="1353" t="str">
        <f t="shared" si="230"/>
        <v>ISRG</v>
      </c>
      <c r="P1428" s="1075">
        <f ca="1">RANK(O930,$O$878:$O$888,1)</f>
        <v>2</v>
      </c>
      <c r="Q1428" s="1371">
        <f>D1430-U1428</f>
        <v>4880</v>
      </c>
      <c r="R1428" t="s">
        <v>292</v>
      </c>
      <c r="S1428" s="1369">
        <v>24.21</v>
      </c>
      <c r="T1428">
        <v>200</v>
      </c>
      <c r="U1428" s="1360"/>
    </row>
    <row r="1429" spans="1:21" ht="28" hidden="1" customHeight="1" outlineLevel="1" x14ac:dyDescent="0.35">
      <c r="A1429" s="1361" t="s">
        <v>208</v>
      </c>
      <c r="B1429" s="1362">
        <v>275</v>
      </c>
      <c r="C1429" s="1363">
        <v>281.49</v>
      </c>
      <c r="D1429" s="1364">
        <f t="shared" si="228"/>
        <v>77409.75</v>
      </c>
      <c r="E1429" s="1370">
        <f>(C1429-C1414)/C1414</f>
        <v>-3.8331454340473407E-2</v>
      </c>
      <c r="F1429" s="1365">
        <f t="shared" si="229"/>
        <v>0.26272009470050317</v>
      </c>
      <c r="G1429" s="1366">
        <v>58</v>
      </c>
      <c r="H1429" s="1367" t="s">
        <v>145</v>
      </c>
      <c r="I1429" s="1138">
        <f>D1429-D1414</f>
        <v>-3085.5</v>
      </c>
      <c r="J1429" s="3147" t="s">
        <v>291</v>
      </c>
      <c r="K1429" s="3148"/>
      <c r="L1429" s="3158"/>
      <c r="M1429" s="1242" t="str">
        <f t="shared" si="230"/>
        <v>ALGN</v>
      </c>
      <c r="P1429" s="1034">
        <f ca="1">RANK(O931,$O$878:$O$888,1)</f>
        <v>3</v>
      </c>
      <c r="Q1429" s="1372">
        <f>D1433-U1429</f>
        <v>7750</v>
      </c>
      <c r="R1429" s="1373" t="s">
        <v>293</v>
      </c>
      <c r="S1429" s="1374">
        <v>65.09</v>
      </c>
      <c r="T1429" s="1373">
        <v>125</v>
      </c>
      <c r="U1429" s="1360"/>
    </row>
    <row r="1430" spans="1:21" ht="16" hidden="1" outlineLevel="1" thickBot="1" x14ac:dyDescent="0.4">
      <c r="A1430" s="1346" t="s">
        <v>292</v>
      </c>
      <c r="B1430" s="1347">
        <v>200</v>
      </c>
      <c r="C1430" s="1348">
        <v>24.4</v>
      </c>
      <c r="D1430" s="1349">
        <f t="shared" si="228"/>
        <v>4880</v>
      </c>
      <c r="E1430" s="32"/>
      <c r="F1430" s="1350">
        <f t="shared" si="229"/>
        <v>1.6562178047835774E-2</v>
      </c>
      <c r="G1430" s="1351"/>
      <c r="H1430" s="1352"/>
      <c r="I1430" s="1138"/>
      <c r="J1430" s="3152" t="s">
        <v>294</v>
      </c>
      <c r="K1430" s="3153"/>
      <c r="L1430" s="3165"/>
      <c r="M1430" s="1242" t="str">
        <f t="shared" si="230"/>
        <v>PINS</v>
      </c>
      <c r="P1430" s="1034"/>
      <c r="Q1430" s="1375">
        <f>SUM(Q1426:Q1429)</f>
        <v>14322</v>
      </c>
      <c r="R1430" s="1376"/>
      <c r="S1430" s="1376"/>
      <c r="T1430" s="1376"/>
      <c r="U1430" s="1360"/>
    </row>
    <row r="1431" spans="1:21" hidden="1" outlineLevel="1" x14ac:dyDescent="0.35">
      <c r="A1431" s="1361" t="s">
        <v>222</v>
      </c>
      <c r="B1431" s="1362">
        <v>125</v>
      </c>
      <c r="C1431" s="1363">
        <v>232.68</v>
      </c>
      <c r="D1431" s="1364">
        <f t="shared" si="228"/>
        <v>29085</v>
      </c>
      <c r="E1431" s="32">
        <f>(C1431-C1415)/C1415</f>
        <v>5.0758670520231253E-2</v>
      </c>
      <c r="F1431" s="1365">
        <f t="shared" si="229"/>
        <v>9.8711259942890067E-2</v>
      </c>
      <c r="G1431" s="1366">
        <v>27</v>
      </c>
      <c r="H1431" s="1367" t="s">
        <v>146</v>
      </c>
      <c r="I1431" s="1203">
        <f>D1431-D1415</f>
        <v>1405</v>
      </c>
      <c r="J1431" s="1335"/>
      <c r="K1431" s="1336"/>
      <c r="L1431" s="1337"/>
      <c r="M1431" s="1242" t="str">
        <f t="shared" si="230"/>
        <v>ZBRA</v>
      </c>
      <c r="P1431" s="1243">
        <f ca="1">RANK(O933,$O$878:$O$888,1)</f>
        <v>5</v>
      </c>
    </row>
    <row r="1432" spans="1:21" hidden="1" outlineLevel="1" x14ac:dyDescent="0.35">
      <c r="A1432" s="1346" t="s">
        <v>152</v>
      </c>
      <c r="B1432" s="1347">
        <v>125</v>
      </c>
      <c r="C1432" s="1348">
        <v>175.49</v>
      </c>
      <c r="D1432" s="1349">
        <f t="shared" si="228"/>
        <v>21936.25</v>
      </c>
      <c r="E1432" s="32">
        <f>(C1432-C1416)/C1416</f>
        <v>3.864820075757576E-2</v>
      </c>
      <c r="F1432" s="1350">
        <f t="shared" si="229"/>
        <v>7.4449196352835562E-2</v>
      </c>
      <c r="G1432" s="1351">
        <v>21</v>
      </c>
      <c r="H1432" s="1352" t="s">
        <v>229</v>
      </c>
      <c r="I1432" s="1203">
        <f>D1432-D1416</f>
        <v>816.25</v>
      </c>
      <c r="J1432" s="1335"/>
      <c r="K1432" s="1336"/>
      <c r="L1432" s="1337"/>
      <c r="M1432" s="1242" t="str">
        <f t="shared" si="230"/>
        <v>IPGP</v>
      </c>
      <c r="P1432" s="1243">
        <f ca="1">RANK(O934,$O$878:$O$888,1)</f>
        <v>4</v>
      </c>
    </row>
    <row r="1433" spans="1:21" hidden="1" outlineLevel="1" x14ac:dyDescent="0.35">
      <c r="A1433" s="1361" t="s">
        <v>293</v>
      </c>
      <c r="B1433" s="1362">
        <v>125</v>
      </c>
      <c r="C1433" s="1363">
        <v>62</v>
      </c>
      <c r="D1433" s="1364">
        <f t="shared" si="228"/>
        <v>7750</v>
      </c>
      <c r="E1433" s="32"/>
      <c r="F1433" s="1365">
        <f t="shared" si="229"/>
        <v>2.6302639317771978E-2</v>
      </c>
      <c r="G1433" s="1366"/>
      <c r="H1433" s="1367"/>
      <c r="I1433" s="1203"/>
      <c r="J1433" s="3166" t="s">
        <v>295</v>
      </c>
      <c r="K1433" s="3167"/>
      <c r="L1433" s="3168"/>
      <c r="M1433" s="1242" t="str">
        <f t="shared" si="230"/>
        <v>ZM</v>
      </c>
      <c r="P1433" s="1243"/>
    </row>
    <row r="1434" spans="1:21" hidden="1" outlineLevel="1" x14ac:dyDescent="0.35">
      <c r="A1434" s="1346" t="s">
        <v>49</v>
      </c>
      <c r="B1434" s="1347">
        <v>0.93100000000000005</v>
      </c>
      <c r="C1434" s="1348">
        <v>186.3</v>
      </c>
      <c r="D1434" s="1349">
        <f t="shared" si="228"/>
        <v>173.44530000000003</v>
      </c>
      <c r="E1434" s="32">
        <f>(C1434-C1417)/C1417</f>
        <v>-2.8625058657906988E-2</v>
      </c>
      <c r="F1434" s="1350">
        <f t="shared" si="229"/>
        <v>5.8865408609842026E-4</v>
      </c>
      <c r="G1434" s="1351">
        <v>28</v>
      </c>
      <c r="H1434" s="1352" t="s">
        <v>229</v>
      </c>
      <c r="I1434" s="1138"/>
      <c r="J1434" s="3147" t="s">
        <v>296</v>
      </c>
      <c r="K1434" s="3148"/>
      <c r="L1434" s="3158"/>
      <c r="M1434" s="1288" t="str">
        <f t="shared" si="230"/>
        <v>NVDA</v>
      </c>
      <c r="P1434" s="1289">
        <f ca="1">RANK(O936,$O$878:$O$888,1)</f>
        <v>6</v>
      </c>
    </row>
    <row r="1435" spans="1:21" hidden="1" outlineLevel="1" x14ac:dyDescent="0.35">
      <c r="A1435" s="1361" t="s">
        <v>135</v>
      </c>
      <c r="B1435" s="1362">
        <v>0.97099999999999997</v>
      </c>
      <c r="C1435" s="1363">
        <v>194.77</v>
      </c>
      <c r="D1435" s="1364">
        <f t="shared" si="228"/>
        <v>189.12166999999999</v>
      </c>
      <c r="E1435" s="32">
        <f>(C1435-C1418)/C1418</f>
        <v>5.0570204860932878E-3</v>
      </c>
      <c r="F1435" s="1365">
        <f t="shared" si="229"/>
        <v>6.4185794492705773E-4</v>
      </c>
      <c r="G1435" s="1366">
        <v>11</v>
      </c>
      <c r="H1435" s="1367" t="s">
        <v>192</v>
      </c>
      <c r="I1435" s="1203"/>
      <c r="J1435" s="3169" t="s">
        <v>296</v>
      </c>
      <c r="K1435" s="3170"/>
      <c r="L1435" s="3171"/>
      <c r="M1435" s="1288" t="str">
        <f t="shared" si="230"/>
        <v>LRCX</v>
      </c>
      <c r="P1435" s="1289">
        <f ca="1">RANK(O937,$O$878:$O$888,1)</f>
        <v>1</v>
      </c>
    </row>
    <row r="1436" spans="1:21" hidden="1" outlineLevel="1" x14ac:dyDescent="0.35">
      <c r="A1436" s="1346" t="s">
        <v>7</v>
      </c>
      <c r="B1436" s="1347"/>
      <c r="C1436" s="1348"/>
      <c r="D1436" s="1349">
        <v>1771.67</v>
      </c>
      <c r="E1436" s="32"/>
      <c r="F1436" s="1350">
        <f t="shared" si="229"/>
        <v>6.012851225821559E-3</v>
      </c>
      <c r="G1436" s="1351"/>
      <c r="H1436" s="1352"/>
      <c r="I1436" s="1216"/>
      <c r="J1436" s="3155"/>
      <c r="K1436" s="3156"/>
      <c r="L1436" s="3157"/>
    </row>
    <row r="1437" spans="1:21" ht="16" hidden="1" outlineLevel="1" thickBot="1" x14ac:dyDescent="0.4">
      <c r="A1437" s="1361" t="s">
        <v>60</v>
      </c>
      <c r="B1437" s="1362"/>
      <c r="C1437" s="1363"/>
      <c r="D1437" s="1364">
        <v>600</v>
      </c>
      <c r="E1437" s="32"/>
      <c r="F1437" s="1365">
        <f t="shared" si="229"/>
        <v>2.0363333665371856E-3</v>
      </c>
      <c r="G1437" s="1366"/>
      <c r="H1437" s="1367"/>
      <c r="I1437" s="592">
        <f>SUM(I1428:I1436)</f>
        <v>-13434.25</v>
      </c>
    </row>
    <row r="1438" spans="1:21" ht="19" hidden="1" outlineLevel="1" thickBot="1" x14ac:dyDescent="0.5">
      <c r="A1438" s="726" t="s">
        <v>62</v>
      </c>
      <c r="B1438" s="583"/>
      <c r="C1438" s="584"/>
      <c r="D1438" s="1230">
        <f>SUM(D1426:D1437)</f>
        <v>294647.23697000003</v>
      </c>
      <c r="E1438" s="1285">
        <f>D1438-D1421</f>
        <v>-16711.596129999962</v>
      </c>
      <c r="F1438" s="1180">
        <f>(D1438-D1421)/D1421</f>
        <v>-5.3673107531953819E-2</v>
      </c>
      <c r="G1438" s="679"/>
      <c r="H1438" s="1231"/>
      <c r="I1438" s="680"/>
    </row>
    <row r="1439" spans="1:21" hidden="1" outlineLevel="1" x14ac:dyDescent="0.35"/>
    <row r="1440" spans="1:21" hidden="1" outlineLevel="1" x14ac:dyDescent="0.35">
      <c r="A1440" s="701" t="s">
        <v>25</v>
      </c>
      <c r="B1440" s="702" t="s">
        <v>26</v>
      </c>
      <c r="C1440" s="703" t="s">
        <v>27</v>
      </c>
      <c r="D1440" s="704">
        <f>D1423+7</f>
        <v>43581</v>
      </c>
      <c r="E1440" s="705" t="s">
        <v>28</v>
      </c>
      <c r="F1440" s="1125"/>
      <c r="G1440" s="252"/>
      <c r="H1440" s="253"/>
      <c r="I1440" s="1182"/>
      <c r="J1440" s="1183" t="s">
        <v>233</v>
      </c>
    </row>
    <row r="1441" spans="1:22" hidden="1" outlineLevel="1" x14ac:dyDescent="0.35">
      <c r="A1441" s="706" t="s">
        <v>32</v>
      </c>
      <c r="B1441" s="255" t="str">
        <f ca="1">TEXT(TODAY(),"ddd")</f>
        <v>Sun</v>
      </c>
      <c r="C1441" s="256">
        <v>26462</v>
      </c>
      <c r="D1441" s="1184">
        <f>C1441-C1424</f>
        <v>-97.540000000000873</v>
      </c>
      <c r="E1441" s="32">
        <f>(C1441-C1424)/C1424</f>
        <v>-3.6725033641396227E-3</v>
      </c>
      <c r="F1441" s="1127" t="s">
        <v>270</v>
      </c>
      <c r="G1441" s="801"/>
      <c r="H1441" s="685"/>
      <c r="I1441" s="1187"/>
      <c r="J1441" s="1188" t="s">
        <v>234</v>
      </c>
      <c r="K1441" s="1220" t="s">
        <v>34</v>
      </c>
      <c r="L1441" s="111" t="s">
        <v>35</v>
      </c>
    </row>
    <row r="1442" spans="1:22" hidden="1" outlineLevel="1" x14ac:dyDescent="0.35">
      <c r="A1442" s="709" t="s">
        <v>36</v>
      </c>
      <c r="B1442" s="263"/>
      <c r="C1442" s="419">
        <v>8118</v>
      </c>
      <c r="D1442" s="1201">
        <f>C1442-C1425</f>
        <v>120</v>
      </c>
      <c r="E1442" s="32">
        <f>(C1442-C1425)/C1425</f>
        <v>1.5003750937734433E-2</v>
      </c>
      <c r="F1442" s="1128" t="s">
        <v>37</v>
      </c>
      <c r="G1442" s="1129" t="s">
        <v>38</v>
      </c>
      <c r="H1442" s="1130" t="s">
        <v>144</v>
      </c>
      <c r="J1442" s="3137" t="s">
        <v>42</v>
      </c>
      <c r="K1442" s="3122"/>
      <c r="L1442" s="3123"/>
      <c r="M1442" s="1031" t="s">
        <v>244</v>
      </c>
      <c r="P1442" s="1032" t="s">
        <v>44</v>
      </c>
    </row>
    <row r="1443" spans="1:22" hidden="1" outlineLevel="1" x14ac:dyDescent="0.35">
      <c r="A1443" s="1346" t="s">
        <v>250</v>
      </c>
      <c r="B1443" s="1347">
        <v>1555</v>
      </c>
      <c r="C1443" s="1348">
        <v>9.07</v>
      </c>
      <c r="D1443" s="1349">
        <f t="shared" ref="D1443:D1451" si="231">C1443*B1443</f>
        <v>14103.85</v>
      </c>
      <c r="E1443" s="32">
        <f>(C1443-C1426)/C1426</f>
        <v>7.7777777777778096E-3</v>
      </c>
      <c r="F1443" s="1350">
        <f t="shared" ref="F1443:F1453" si="232">D1443/D$1454</f>
        <v>4.7046413495072333E-2</v>
      </c>
      <c r="G1443" s="1351">
        <v>41</v>
      </c>
      <c r="H1443" s="1352" t="s">
        <v>192</v>
      </c>
      <c r="I1443" s="1138">
        <f>D1443-D1426</f>
        <v>-3041.1499999999996</v>
      </c>
      <c r="J1443" s="3147"/>
      <c r="K1443" s="3148"/>
      <c r="L1443" s="3158"/>
      <c r="M1443" s="1242" t="str">
        <f>A1443</f>
        <v>ACB</v>
      </c>
      <c r="P1443" s="1243">
        <f ca="1">RANK(O945,$O$878:$O$888,1)</f>
        <v>6</v>
      </c>
      <c r="R1443" s="1377" t="s">
        <v>286</v>
      </c>
      <c r="S1443" s="1378" t="s">
        <v>287</v>
      </c>
      <c r="T1443" s="1379" t="s">
        <v>288</v>
      </c>
      <c r="U1443" s="602"/>
    </row>
    <row r="1444" spans="1:22" hidden="1" outlineLevel="1" x14ac:dyDescent="0.35">
      <c r="A1444" s="7" t="s">
        <v>297</v>
      </c>
      <c r="B1444" s="1362">
        <v>500</v>
      </c>
      <c r="C1444" s="1363">
        <v>5.81</v>
      </c>
      <c r="D1444" s="1364">
        <f t="shared" si="231"/>
        <v>2905</v>
      </c>
      <c r="E1444" s="32"/>
      <c r="F1444" s="1365">
        <f t="shared" si="232"/>
        <v>9.6902499107112683E-3</v>
      </c>
      <c r="G1444" s="1366"/>
      <c r="H1444" s="1367" t="s">
        <v>146</v>
      </c>
      <c r="I1444" s="1203"/>
      <c r="J1444" s="3147"/>
      <c r="K1444" s="3148"/>
      <c r="L1444" s="3158"/>
      <c r="M1444" s="1242" t="str">
        <f t="shared" ref="M1444:M1451" si="233">A1444</f>
        <v>NBEV</v>
      </c>
      <c r="P1444" s="1243"/>
      <c r="R1444" s="1380" t="s">
        <v>96</v>
      </c>
      <c r="S1444" s="1381">
        <v>500.18</v>
      </c>
      <c r="T1444" s="1382">
        <v>100</v>
      </c>
      <c r="U1444" s="118"/>
      <c r="V1444" s="118"/>
    </row>
    <row r="1445" spans="1:22" hidden="1" outlineLevel="1" x14ac:dyDescent="0.35">
      <c r="A1445" s="1346" t="s">
        <v>208</v>
      </c>
      <c r="B1445" s="1347">
        <v>315</v>
      </c>
      <c r="C1445" s="1348">
        <v>317.85000000000002</v>
      </c>
      <c r="D1445" s="1349">
        <f>C1445*B1445</f>
        <v>100122.75</v>
      </c>
      <c r="E1445" s="32">
        <f>(C1445-C1429)/C1429</f>
        <v>0.12916977512522651</v>
      </c>
      <c r="F1445" s="1350">
        <f t="shared" si="232"/>
        <v>0.33398088442260471</v>
      </c>
      <c r="G1445" s="1351">
        <v>58</v>
      </c>
      <c r="H1445" s="1352" t="s">
        <v>145</v>
      </c>
      <c r="I1445" s="1203"/>
      <c r="J1445" s="3147"/>
      <c r="K1445" s="3148"/>
      <c r="L1445" s="3158"/>
      <c r="M1445" s="1353" t="str">
        <f>A1445</f>
        <v>ALGN</v>
      </c>
      <c r="P1445" s="1354">
        <f ca="1">RANK(O947,$O$878:$O$888,1)</f>
        <v>3</v>
      </c>
      <c r="R1445" s="3" t="s">
        <v>292</v>
      </c>
      <c r="S1445" s="3">
        <v>26.5</v>
      </c>
      <c r="T1445" s="112">
        <v>100</v>
      </c>
      <c r="U1445" s="1383"/>
    </row>
    <row r="1446" spans="1:22" hidden="1" outlineLevel="1" x14ac:dyDescent="0.35">
      <c r="A1446" s="7" t="s">
        <v>292</v>
      </c>
      <c r="B1446" s="1362">
        <v>300</v>
      </c>
      <c r="C1446" s="1363">
        <v>32.450000000000003</v>
      </c>
      <c r="D1446" s="1364">
        <f>C1446*B1446</f>
        <v>9735</v>
      </c>
      <c r="E1446" s="1384">
        <f>(C1446-C1430)/C1430</f>
        <v>0.32991803278688542</v>
      </c>
      <c r="F1446" s="1365">
        <f t="shared" si="232"/>
        <v>3.2473178272211432E-2</v>
      </c>
      <c r="G1446" s="1366"/>
      <c r="H1446" s="1367"/>
      <c r="I1446" s="1203">
        <f>D1446-D1430</f>
        <v>4855</v>
      </c>
      <c r="J1446" s="3147"/>
      <c r="K1446" s="3148"/>
      <c r="L1446" s="3158"/>
      <c r="M1446" s="1242" t="str">
        <f>A1446</f>
        <v>PINS</v>
      </c>
      <c r="P1446" s="1243"/>
      <c r="R1446" s="3" t="s">
        <v>293</v>
      </c>
      <c r="S1446" s="3">
        <v>70.5</v>
      </c>
      <c r="T1446" s="112">
        <v>200</v>
      </c>
      <c r="U1446" s="1383"/>
    </row>
    <row r="1447" spans="1:22" hidden="1" outlineLevel="1" x14ac:dyDescent="0.35">
      <c r="A1447" s="1346" t="s">
        <v>96</v>
      </c>
      <c r="B1447" s="1347">
        <v>150</v>
      </c>
      <c r="C1447" s="1348">
        <v>512.82000000000005</v>
      </c>
      <c r="D1447" s="1349">
        <f t="shared" si="231"/>
        <v>76923.000000000015</v>
      </c>
      <c r="E1447" s="1185">
        <f>(C1447-C1428)/C1428</f>
        <v>-2.8860356777638711E-2</v>
      </c>
      <c r="F1447" s="1350">
        <f t="shared" si="232"/>
        <v>0.25659314763567748</v>
      </c>
      <c r="G1447" s="1351">
        <v>60</v>
      </c>
      <c r="H1447" s="1352" t="s">
        <v>192</v>
      </c>
      <c r="I1447" s="1138"/>
      <c r="J1447" s="3162" t="s">
        <v>298</v>
      </c>
      <c r="K1447" s="3163"/>
      <c r="L1447" s="3164"/>
      <c r="M1447" s="1353" t="str">
        <f t="shared" si="233"/>
        <v>ISRG</v>
      </c>
      <c r="P1447" s="1354">
        <f ca="1">RANK(O949,$O$878:$O$888,1)</f>
        <v>2</v>
      </c>
      <c r="Q1447" t="s">
        <v>299</v>
      </c>
      <c r="R1447" s="3" t="s">
        <v>300</v>
      </c>
      <c r="S1447" s="3">
        <v>224.35</v>
      </c>
      <c r="T1447" s="112">
        <v>80</v>
      </c>
      <c r="U1447" s="1383"/>
      <c r="V1447" s="118"/>
    </row>
    <row r="1448" spans="1:22" hidden="1" outlineLevel="1" x14ac:dyDescent="0.35">
      <c r="A1448" s="7" t="s">
        <v>222</v>
      </c>
      <c r="B1448" s="1362">
        <v>150</v>
      </c>
      <c r="C1448" s="1363">
        <v>229.32</v>
      </c>
      <c r="D1448" s="1364">
        <f t="shared" si="231"/>
        <v>34398</v>
      </c>
      <c r="E1448" s="1185">
        <f>(C1448-C1431)/C1431</f>
        <v>-1.4440433212996448E-2</v>
      </c>
      <c r="F1448" s="1365">
        <f t="shared" si="232"/>
        <v>0.11474189894273536</v>
      </c>
      <c r="G1448" s="1366">
        <v>27</v>
      </c>
      <c r="H1448" s="1367" t="s">
        <v>146</v>
      </c>
      <c r="I1448" s="1287">
        <f>D1448-D1431</f>
        <v>5313</v>
      </c>
      <c r="J1448" s="1335"/>
      <c r="K1448" s="1336"/>
      <c r="L1448" s="1337"/>
      <c r="M1448" s="1242" t="str">
        <f t="shared" si="233"/>
        <v>ZBRA</v>
      </c>
      <c r="P1448" s="1243">
        <f ca="1">RANK(O950,$O$878:$O$888,1)</f>
        <v>5</v>
      </c>
      <c r="R1448" s="3" t="s">
        <v>282</v>
      </c>
      <c r="S1448" s="3">
        <v>129.69</v>
      </c>
      <c r="T1448" s="112">
        <v>115</v>
      </c>
      <c r="U1448" s="1383"/>
    </row>
    <row r="1449" spans="1:22" hidden="1" outlineLevel="1" x14ac:dyDescent="0.35">
      <c r="A1449" s="1346" t="s">
        <v>301</v>
      </c>
      <c r="B1449" s="1347">
        <v>150</v>
      </c>
      <c r="C1449" s="1348">
        <v>231.44</v>
      </c>
      <c r="D1449" s="1349">
        <f>C1449*B1449</f>
        <v>34716</v>
      </c>
      <c r="E1449" s="32"/>
      <c r="F1449" s="1350">
        <f t="shared" si="232"/>
        <v>0.11580265607581838</v>
      </c>
      <c r="G1449" s="1351">
        <v>21</v>
      </c>
      <c r="H1449" s="1352" t="s">
        <v>229</v>
      </c>
      <c r="I1449" s="1203"/>
      <c r="J1449" s="1335"/>
      <c r="K1449" s="1336"/>
      <c r="L1449" s="1337"/>
      <c r="M1449" s="1242" t="str">
        <f>A1449</f>
        <v>DIXX</v>
      </c>
      <c r="P1449" s="1243">
        <f ca="1">RANK(O951,$O$878:$O$888,1)</f>
        <v>4</v>
      </c>
      <c r="U1449" s="85"/>
    </row>
    <row r="1450" spans="1:22" hidden="1" outlineLevel="1" x14ac:dyDescent="0.35">
      <c r="A1450" s="7" t="s">
        <v>293</v>
      </c>
      <c r="B1450" s="1362">
        <v>125</v>
      </c>
      <c r="C1450" s="1363">
        <v>66.97</v>
      </c>
      <c r="D1450" s="1364">
        <f t="shared" si="231"/>
        <v>8371.25</v>
      </c>
      <c r="E1450" s="32">
        <f>(C1450-C1433)/C1433</f>
        <v>8.0161290322580625E-2</v>
      </c>
      <c r="F1450" s="1365">
        <f t="shared" si="232"/>
        <v>2.7924097956985097E-2</v>
      </c>
      <c r="G1450" s="1366"/>
      <c r="H1450" s="1367"/>
      <c r="I1450" s="1203">
        <f>D1450-D1433</f>
        <v>621.25</v>
      </c>
      <c r="J1450" s="1319"/>
      <c r="K1450" s="1336"/>
      <c r="L1450" s="1337"/>
      <c r="M1450" s="1242" t="str">
        <f t="shared" si="233"/>
        <v>ZM</v>
      </c>
      <c r="P1450" s="1243"/>
    </row>
    <row r="1451" spans="1:22" hidden="1" outlineLevel="1" x14ac:dyDescent="0.35">
      <c r="A1451" s="1346" t="s">
        <v>282</v>
      </c>
      <c r="B1451" s="1347">
        <v>115</v>
      </c>
      <c r="C1451" s="1348">
        <v>136.69</v>
      </c>
      <c r="D1451" s="1349">
        <f t="shared" si="231"/>
        <v>15719.35</v>
      </c>
      <c r="E1451" s="32"/>
      <c r="F1451" s="1350">
        <f t="shared" si="232"/>
        <v>5.2435259873989393E-2</v>
      </c>
      <c r="G1451" s="1351"/>
      <c r="H1451" s="1352"/>
      <c r="I1451" s="1203"/>
      <c r="J1451" s="1319"/>
      <c r="K1451" s="1336"/>
      <c r="L1451" s="1337"/>
      <c r="M1451" s="1242" t="str">
        <f t="shared" si="233"/>
        <v>TWLO</v>
      </c>
      <c r="P1451" s="1243"/>
    </row>
    <row r="1452" spans="1:22" hidden="1" outlineLevel="1" x14ac:dyDescent="0.35">
      <c r="A1452" s="7" t="s">
        <v>7</v>
      </c>
      <c r="B1452" s="1362"/>
      <c r="C1452" s="1363"/>
      <c r="D1452" s="1364">
        <v>1771.67</v>
      </c>
      <c r="E1452" s="32"/>
      <c r="F1452" s="1365">
        <f t="shared" si="232"/>
        <v>5.9097848741169823E-3</v>
      </c>
      <c r="G1452" s="1366"/>
      <c r="H1452" s="1367"/>
      <c r="I1452" s="1216"/>
      <c r="J1452" s="3155"/>
      <c r="K1452" s="3156"/>
      <c r="L1452" s="3157"/>
    </row>
    <row r="1453" spans="1:22" ht="16" hidden="1" outlineLevel="1" thickBot="1" x14ac:dyDescent="0.4">
      <c r="A1453" s="1346" t="s">
        <v>60</v>
      </c>
      <c r="B1453" s="1347"/>
      <c r="C1453" s="1348"/>
      <c r="D1453" s="1349">
        <v>1020</v>
      </c>
      <c r="E1453" s="32"/>
      <c r="F1453" s="1350">
        <f t="shared" si="232"/>
        <v>3.4024285400776227E-3</v>
      </c>
      <c r="G1453" s="1351"/>
      <c r="H1453" s="1352"/>
      <c r="I1453" s="786">
        <f>SUM(I1447:I1452)</f>
        <v>5934.25</v>
      </c>
    </row>
    <row r="1454" spans="1:22" ht="19" hidden="1" outlineLevel="1" thickBot="1" x14ac:dyDescent="0.5">
      <c r="A1454" s="726" t="s">
        <v>62</v>
      </c>
      <c r="B1454" s="583"/>
      <c r="C1454" s="584"/>
      <c r="D1454" s="1230">
        <f>SUM(D1443:D1453)</f>
        <v>299785.87</v>
      </c>
      <c r="E1454" s="1293">
        <f>D1454-D1438</f>
        <v>5138.6330299999681</v>
      </c>
      <c r="F1454" s="1218">
        <f>(D1454-D1438)/D1438</f>
        <v>1.7439949828965021E-2</v>
      </c>
      <c r="G1454" s="679"/>
      <c r="H1454" s="1231"/>
      <c r="I1454" s="680"/>
    </row>
    <row r="1455" spans="1:22" hidden="1" outlineLevel="1" x14ac:dyDescent="0.35"/>
    <row r="1456" spans="1:22" hidden="1" outlineLevel="1" x14ac:dyDescent="0.35">
      <c r="A1456" s="701" t="s">
        <v>25</v>
      </c>
      <c r="B1456" s="702" t="s">
        <v>26</v>
      </c>
      <c r="C1456" s="703" t="s">
        <v>27</v>
      </c>
      <c r="D1456" s="704">
        <f>D1440+7</f>
        <v>43588</v>
      </c>
      <c r="E1456" s="705" t="s">
        <v>28</v>
      </c>
      <c r="F1456" s="1125"/>
      <c r="G1456" s="252"/>
      <c r="H1456" s="253"/>
      <c r="I1456" s="1182"/>
      <c r="J1456" s="1183" t="s">
        <v>233</v>
      </c>
    </row>
    <row r="1457" spans="1:21" hidden="1" outlineLevel="1" x14ac:dyDescent="0.35">
      <c r="A1457" s="706" t="s">
        <v>32</v>
      </c>
      <c r="B1457" s="255" t="str">
        <f ca="1">TEXT(TODAY(),"ddd")</f>
        <v>Sun</v>
      </c>
      <c r="C1457" s="256">
        <v>26504</v>
      </c>
      <c r="D1457" s="1201">
        <f>C1457-C1441</f>
        <v>42</v>
      </c>
      <c r="E1457" s="32">
        <f>(C1457-C1441)/C1441</f>
        <v>1.5871816189252513E-3</v>
      </c>
      <c r="F1457" s="1127" t="s">
        <v>302</v>
      </c>
      <c r="G1457" s="801"/>
      <c r="H1457" s="685"/>
      <c r="I1457" s="1187"/>
      <c r="J1457" s="1188" t="s">
        <v>234</v>
      </c>
      <c r="K1457" s="1220" t="s">
        <v>34</v>
      </c>
      <c r="L1457" s="111" t="s">
        <v>35</v>
      </c>
    </row>
    <row r="1458" spans="1:21" hidden="1" outlineLevel="1" x14ac:dyDescent="0.35">
      <c r="A1458" s="709" t="s">
        <v>36</v>
      </c>
      <c r="B1458" s="263"/>
      <c r="C1458" s="419">
        <v>8164</v>
      </c>
      <c r="D1458" s="1201">
        <f>C1458-C1442</f>
        <v>46</v>
      </c>
      <c r="E1458" s="32">
        <f>(C1458-C1442)/C1442</f>
        <v>5.666420300566642E-3</v>
      </c>
      <c r="F1458" s="1128" t="s">
        <v>37</v>
      </c>
      <c r="G1458" s="1129" t="s">
        <v>38</v>
      </c>
      <c r="H1458" s="1130" t="s">
        <v>144</v>
      </c>
      <c r="J1458" s="3137" t="s">
        <v>42</v>
      </c>
      <c r="K1458" s="3122"/>
      <c r="L1458" s="3123"/>
      <c r="M1458" s="1031" t="s">
        <v>244</v>
      </c>
      <c r="P1458" s="1032" t="s">
        <v>44</v>
      </c>
      <c r="R1458" s="1377" t="s">
        <v>286</v>
      </c>
      <c r="S1458" s="1378" t="s">
        <v>287</v>
      </c>
      <c r="T1458" s="1379" t="s">
        <v>288</v>
      </c>
      <c r="U1458" s="602"/>
    </row>
    <row r="1459" spans="1:21" hidden="1" outlineLevel="1" x14ac:dyDescent="0.35">
      <c r="A1459" s="1346" t="s">
        <v>250</v>
      </c>
      <c r="B1459" s="1347"/>
      <c r="C1459" s="1348"/>
      <c r="D1459" s="1349"/>
      <c r="E1459" s="32">
        <f>(C1459-C1443)/C1443</f>
        <v>-1</v>
      </c>
      <c r="F1459" s="1350">
        <f t="shared" ref="F1459:F1471" si="234">D1459/D$1454</f>
        <v>0</v>
      </c>
      <c r="G1459" s="1351">
        <v>41</v>
      </c>
      <c r="H1459" s="1352"/>
      <c r="I1459" s="1138"/>
      <c r="J1459" s="3147" t="s">
        <v>303</v>
      </c>
      <c r="K1459" s="3148"/>
      <c r="L1459" s="3158"/>
      <c r="M1459" s="1242" t="str">
        <f t="shared" ref="M1459:M1469" si="235">A1459</f>
        <v>ACB</v>
      </c>
      <c r="P1459" s="1243">
        <f ca="1">RANK(O961,O961:O971,1)</f>
        <v>6</v>
      </c>
      <c r="R1459" s="3" t="s">
        <v>96</v>
      </c>
      <c r="S1459" s="3">
        <v>513</v>
      </c>
      <c r="T1459" s="112">
        <v>150</v>
      </c>
      <c r="U1459" s="1383"/>
    </row>
    <row r="1460" spans="1:21" hidden="1" outlineLevel="1" x14ac:dyDescent="0.35">
      <c r="A1460" s="7" t="s">
        <v>297</v>
      </c>
      <c r="B1460" s="1362"/>
      <c r="C1460" s="1363"/>
      <c r="D1460" s="1364"/>
      <c r="E1460" s="1185">
        <f>(C1460-C1444)/C1444</f>
        <v>-1</v>
      </c>
      <c r="F1460" s="1365">
        <f t="shared" si="234"/>
        <v>0</v>
      </c>
      <c r="G1460" s="1366"/>
      <c r="H1460" s="1385" t="s">
        <v>146</v>
      </c>
      <c r="I1460" s="1264"/>
      <c r="J1460" s="3147" t="s">
        <v>304</v>
      </c>
      <c r="K1460" s="3148"/>
      <c r="L1460" s="3158"/>
      <c r="M1460" s="1242" t="str">
        <f t="shared" si="235"/>
        <v>NBEV</v>
      </c>
      <c r="P1460" s="1243">
        <f ca="1">RANK(O962,O961:O971,1)</f>
        <v>9</v>
      </c>
      <c r="R1460" s="3"/>
      <c r="S1460" s="3"/>
      <c r="T1460" s="112"/>
      <c r="U1460" s="1383"/>
    </row>
    <row r="1461" spans="1:21" hidden="1" outlineLevel="1" x14ac:dyDescent="0.35">
      <c r="A1461" s="1346" t="s">
        <v>292</v>
      </c>
      <c r="B1461" s="1347">
        <v>500</v>
      </c>
      <c r="C1461" s="1348">
        <v>28.36</v>
      </c>
      <c r="D1461" s="1349">
        <f t="shared" ref="D1461:D1469" si="236">C1461*B1461</f>
        <v>14180</v>
      </c>
      <c r="E1461" s="32"/>
      <c r="F1461" s="1350">
        <f t="shared" si="234"/>
        <v>4.7300428135588914E-2</v>
      </c>
      <c r="G1461" s="1351"/>
      <c r="H1461" s="1352" t="s">
        <v>305</v>
      </c>
      <c r="I1461" s="1264"/>
      <c r="J1461" s="3147"/>
      <c r="K1461" s="3148"/>
      <c r="L1461" s="3158"/>
      <c r="M1461" s="1242" t="str">
        <f t="shared" si="235"/>
        <v>PINS</v>
      </c>
      <c r="P1461" s="1243">
        <f ca="1">RANK(O963,O962:O972,1)</f>
        <v>7</v>
      </c>
      <c r="R1461" s="3"/>
      <c r="S1461" s="3"/>
      <c r="T1461" s="112"/>
      <c r="U1461" s="1383"/>
    </row>
    <row r="1462" spans="1:21" hidden="1" outlineLevel="1" x14ac:dyDescent="0.35">
      <c r="A1462" s="7" t="s">
        <v>208</v>
      </c>
      <c r="B1462" s="1362">
        <v>315</v>
      </c>
      <c r="C1462" s="1363">
        <v>331.08</v>
      </c>
      <c r="D1462" s="1364">
        <f t="shared" si="236"/>
        <v>104290.2</v>
      </c>
      <c r="E1462" s="32">
        <f>(C1462-C1445)/C1445</f>
        <v>4.1623407267578925E-2</v>
      </c>
      <c r="F1462" s="1386">
        <f t="shared" si="234"/>
        <v>0.34788230679451304</v>
      </c>
      <c r="G1462" s="1366">
        <v>58</v>
      </c>
      <c r="H1462" s="1385" t="s">
        <v>145</v>
      </c>
      <c r="I1462" s="1264"/>
      <c r="J1462" s="3147"/>
      <c r="K1462" s="3148"/>
      <c r="L1462" s="3158"/>
      <c r="M1462" s="1353" t="str">
        <f t="shared" si="235"/>
        <v>ALGN</v>
      </c>
      <c r="P1462" s="1354">
        <f ca="1">RANK(O964,O961:O971,1)</f>
        <v>1</v>
      </c>
      <c r="R1462" s="3" t="s">
        <v>292</v>
      </c>
      <c r="S1462" s="3">
        <v>33</v>
      </c>
      <c r="T1462" s="112">
        <v>200</v>
      </c>
      <c r="U1462" s="1383"/>
    </row>
    <row r="1463" spans="1:21" ht="15.65" hidden="1" customHeight="1" outlineLevel="1" x14ac:dyDescent="0.35">
      <c r="A1463" s="1346" t="s">
        <v>306</v>
      </c>
      <c r="B1463" s="1347">
        <v>300</v>
      </c>
      <c r="C1463" s="1348">
        <v>48.95</v>
      </c>
      <c r="D1463" s="1349">
        <f t="shared" si="236"/>
        <v>14685</v>
      </c>
      <c r="E1463" s="32"/>
      <c r="F1463" s="1350">
        <f t="shared" si="234"/>
        <v>4.8984963834352836E-2</v>
      </c>
      <c r="G1463" s="1351">
        <v>60</v>
      </c>
      <c r="H1463" s="1385" t="s">
        <v>145</v>
      </c>
      <c r="I1463" s="1314"/>
      <c r="J1463" s="3147"/>
      <c r="K1463" s="3148"/>
      <c r="L1463" s="3158"/>
      <c r="M1463" s="1387" t="str">
        <f t="shared" si="235"/>
        <v>BZUN</v>
      </c>
      <c r="P1463" s="1388">
        <f ca="1">RANK(O965,O961:O971,1)</f>
        <v>6</v>
      </c>
      <c r="R1463" s="3" t="s">
        <v>307</v>
      </c>
      <c r="S1463" s="3">
        <v>273</v>
      </c>
      <c r="T1463" s="112">
        <v>100</v>
      </c>
      <c r="U1463" s="1383"/>
    </row>
    <row r="1464" spans="1:21" hidden="1" outlineLevel="1" x14ac:dyDescent="0.35">
      <c r="A1464" s="7" t="s">
        <v>222</v>
      </c>
      <c r="B1464" s="1362">
        <v>150</v>
      </c>
      <c r="C1464" s="1363">
        <v>206.46</v>
      </c>
      <c r="D1464" s="1364">
        <f t="shared" si="236"/>
        <v>30969</v>
      </c>
      <c r="E1464" s="1389">
        <f>(C1464-C1448)/C1448</f>
        <v>-9.9686028257456774E-2</v>
      </c>
      <c r="F1464" s="1386">
        <f t="shared" si="234"/>
        <v>0.10330373476241558</v>
      </c>
      <c r="G1464" s="1366">
        <v>27</v>
      </c>
      <c r="H1464" s="1385" t="s">
        <v>146</v>
      </c>
      <c r="I1464" s="1390"/>
      <c r="J1464" s="1335"/>
      <c r="K1464" s="1336"/>
      <c r="L1464" s="1337"/>
      <c r="M1464" s="1242" t="str">
        <f t="shared" si="235"/>
        <v>ZBRA</v>
      </c>
      <c r="P1464" s="1243">
        <f ca="1">RANK(O966,O961:O971,1)</f>
        <v>5</v>
      </c>
      <c r="R1464" s="3" t="s">
        <v>306</v>
      </c>
      <c r="S1464" s="3">
        <v>48</v>
      </c>
      <c r="T1464" s="112">
        <v>300</v>
      </c>
      <c r="U1464" s="1383"/>
    </row>
    <row r="1465" spans="1:21" hidden="1" outlineLevel="1" x14ac:dyDescent="0.35">
      <c r="A1465" s="1391" t="s">
        <v>301</v>
      </c>
      <c r="B1465" s="1347">
        <v>150</v>
      </c>
      <c r="C1465" s="1348">
        <v>250.47</v>
      </c>
      <c r="D1465" s="1349">
        <f t="shared" si="236"/>
        <v>37570.5</v>
      </c>
      <c r="E1465" s="32">
        <f>(C1465-C1449)/C1449</f>
        <v>8.2224334600760465E-2</v>
      </c>
      <c r="F1465" s="1386">
        <f t="shared" si="234"/>
        <v>0.12532445241665327</v>
      </c>
      <c r="G1465" s="1351">
        <v>21</v>
      </c>
      <c r="H1465" s="1352" t="s">
        <v>192</v>
      </c>
      <c r="I1465" s="1264"/>
      <c r="J1465" s="1335"/>
      <c r="K1465" s="1336"/>
      <c r="L1465" s="1337"/>
      <c r="M1465" s="1392" t="str">
        <f t="shared" si="235"/>
        <v>DIXX</v>
      </c>
      <c r="P1465" s="1393">
        <f ca="1">RANK(O967,O961:O971,1)</f>
        <v>4</v>
      </c>
      <c r="R1465" s="3" t="s">
        <v>308</v>
      </c>
      <c r="S1465" s="3">
        <v>227</v>
      </c>
      <c r="T1465" s="112">
        <v>125</v>
      </c>
      <c r="U1465" s="1383"/>
    </row>
    <row r="1466" spans="1:21" hidden="1" outlineLevel="1" x14ac:dyDescent="0.35">
      <c r="A1466" s="7" t="s">
        <v>293</v>
      </c>
      <c r="B1466" s="1362">
        <v>125</v>
      </c>
      <c r="C1466" s="1363">
        <v>79.180000000000007</v>
      </c>
      <c r="D1466" s="1364">
        <f t="shared" si="236"/>
        <v>9897.5</v>
      </c>
      <c r="E1466" s="32">
        <f>(C1466-C1450)/C1450</f>
        <v>0.18232044198895039</v>
      </c>
      <c r="F1466" s="1365">
        <f t="shared" si="234"/>
        <v>3.3015231838645367E-2</v>
      </c>
      <c r="G1466" s="1366"/>
      <c r="H1466" s="1367" t="s">
        <v>305</v>
      </c>
      <c r="I1466" s="1264"/>
      <c r="J1466" s="1319"/>
      <c r="K1466" s="1336"/>
      <c r="L1466" s="1337"/>
      <c r="M1466" s="1242" t="str">
        <f t="shared" si="235"/>
        <v>ZM</v>
      </c>
      <c r="P1466" s="1243"/>
      <c r="U1466" s="1383"/>
    </row>
    <row r="1467" spans="1:21" hidden="1" outlineLevel="1" x14ac:dyDescent="0.35">
      <c r="A1467" s="1394" t="s">
        <v>282</v>
      </c>
      <c r="B1467" s="1347">
        <v>115</v>
      </c>
      <c r="C1467" s="1348">
        <v>130.87</v>
      </c>
      <c r="D1467" s="1349">
        <f t="shared" si="236"/>
        <v>15050.050000000001</v>
      </c>
      <c r="E1467" s="32">
        <f>(C1467-C1451)/C1451</f>
        <v>-4.2578096422561953E-2</v>
      </c>
      <c r="F1467" s="1350">
        <f t="shared" si="234"/>
        <v>5.0202666323132576E-2</v>
      </c>
      <c r="G1467" s="1351"/>
      <c r="H1467" s="1352" t="s">
        <v>192</v>
      </c>
      <c r="I1467" s="1264"/>
      <c r="J1467" s="1319"/>
      <c r="K1467" s="1336"/>
      <c r="L1467" s="1337"/>
      <c r="M1467" s="1395" t="str">
        <f t="shared" si="235"/>
        <v>TWLO</v>
      </c>
      <c r="P1467" s="1396">
        <f ca="1">RANK(O969,O961:O971,1)</f>
        <v>2</v>
      </c>
    </row>
    <row r="1468" spans="1:21" hidden="1" outlineLevel="1" x14ac:dyDescent="0.35">
      <c r="A1468" s="7" t="s">
        <v>308</v>
      </c>
      <c r="B1468" s="1362">
        <v>182</v>
      </c>
      <c r="C1468" s="1363">
        <v>264.02999999999997</v>
      </c>
      <c r="D1468" s="1364">
        <f t="shared" si="236"/>
        <v>48053.459999999992</v>
      </c>
      <c r="E1468" s="32"/>
      <c r="F1468" s="1386">
        <f t="shared" si="234"/>
        <v>0.16029261152301805</v>
      </c>
      <c r="G1468" s="1366"/>
      <c r="H1468" s="1367" t="s">
        <v>192</v>
      </c>
      <c r="I1468" s="1264"/>
      <c r="J1468" s="1319"/>
      <c r="K1468" s="1336"/>
      <c r="L1468" s="1336"/>
      <c r="M1468" s="1084" t="str">
        <f t="shared" si="235"/>
        <v>SHOP</v>
      </c>
      <c r="P1468" s="1085">
        <f ca="1">RANK(O970,O961:O971,1)</f>
        <v>2</v>
      </c>
      <c r="T1468" t="s">
        <v>309</v>
      </c>
    </row>
    <row r="1469" spans="1:21" hidden="1" outlineLevel="1" x14ac:dyDescent="0.35">
      <c r="A1469" s="1397" t="s">
        <v>307</v>
      </c>
      <c r="B1469" s="1347">
        <v>100</v>
      </c>
      <c r="C1469" s="1348">
        <v>268.52</v>
      </c>
      <c r="D1469" s="1349">
        <f t="shared" si="236"/>
        <v>26852</v>
      </c>
      <c r="E1469" s="32"/>
      <c r="F1469" s="1386">
        <f t="shared" si="234"/>
        <v>8.9570599174670903E-2</v>
      </c>
      <c r="G1469" s="1351"/>
      <c r="H1469" s="1385" t="s">
        <v>145</v>
      </c>
      <c r="I1469" s="1264"/>
      <c r="J1469" s="1319"/>
      <c r="K1469" s="1336"/>
      <c r="L1469" s="1336"/>
      <c r="M1469" s="7" t="str">
        <f t="shared" si="235"/>
        <v>NOW</v>
      </c>
      <c r="P1469" s="1086">
        <f ca="1">RANK(O971,O961:O971,1)</f>
        <v>10</v>
      </c>
    </row>
    <row r="1470" spans="1:21" hidden="1" outlineLevel="1" x14ac:dyDescent="0.35">
      <c r="A1470" s="7" t="s">
        <v>7</v>
      </c>
      <c r="B1470" s="1362"/>
      <c r="C1470" s="1363"/>
      <c r="D1470" s="1364">
        <v>1780.55</v>
      </c>
      <c r="E1470" s="32"/>
      <c r="F1470" s="1365">
        <f t="shared" si="234"/>
        <v>5.9394060167011877E-3</v>
      </c>
      <c r="G1470" s="1366"/>
      <c r="H1470" s="1367"/>
      <c r="I1470" s="1216"/>
      <c r="J1470" s="3155"/>
      <c r="K1470" s="3156"/>
      <c r="L1470" s="3157"/>
    </row>
    <row r="1471" spans="1:21" ht="16" hidden="1" outlineLevel="1" thickBot="1" x14ac:dyDescent="0.4">
      <c r="A1471" s="1346" t="s">
        <v>60</v>
      </c>
      <c r="B1471" s="1347"/>
      <c r="C1471" s="1348"/>
      <c r="D1471" s="1349">
        <f>2737+28.2+9.95</f>
        <v>2775.1499999999996</v>
      </c>
      <c r="E1471" s="32"/>
      <c r="F1471" s="1350">
        <f t="shared" si="234"/>
        <v>9.2571074147023667E-3</v>
      </c>
      <c r="G1471" s="1351"/>
      <c r="H1471" s="1352"/>
      <c r="I1471" s="786">
        <f>SUM(I1463:I1470)</f>
        <v>0</v>
      </c>
    </row>
    <row r="1472" spans="1:21" ht="19" hidden="1" outlineLevel="1" thickBot="1" x14ac:dyDescent="0.5">
      <c r="A1472" s="726" t="s">
        <v>62</v>
      </c>
      <c r="B1472" s="583"/>
      <c r="C1472" s="584"/>
      <c r="D1472" s="1230">
        <f>SUM(D1459:D1471)</f>
        <v>306103.40999999997</v>
      </c>
      <c r="E1472" s="1262">
        <f>D1472-D1454</f>
        <v>6317.539999999979</v>
      </c>
      <c r="F1472" s="1218">
        <f>(D1472-D1454)/D1454</f>
        <v>2.1073508234394033E-2</v>
      </c>
      <c r="G1472" s="679"/>
      <c r="H1472" s="1231"/>
      <c r="I1472" s="680"/>
    </row>
    <row r="1473" spans="1:16" hidden="1" outlineLevel="1" x14ac:dyDescent="0.35"/>
    <row r="1474" spans="1:16" hidden="1" outlineLevel="1" x14ac:dyDescent="0.35">
      <c r="A1474" s="701" t="s">
        <v>25</v>
      </c>
      <c r="B1474" s="702" t="s">
        <v>26</v>
      </c>
      <c r="C1474" s="703" t="s">
        <v>27</v>
      </c>
      <c r="D1474" s="1236">
        <f>D1456+7</f>
        <v>43595</v>
      </c>
      <c r="E1474" s="705" t="s">
        <v>28</v>
      </c>
      <c r="F1474" s="1125"/>
      <c r="G1474" s="252"/>
      <c r="H1474" s="253"/>
      <c r="I1474" s="1182"/>
      <c r="J1474" s="1183" t="s">
        <v>233</v>
      </c>
    </row>
    <row r="1475" spans="1:16" hidden="1" outlineLevel="1" x14ac:dyDescent="0.35">
      <c r="A1475" s="706" t="s">
        <v>32</v>
      </c>
      <c r="B1475" s="255" t="str">
        <f ca="1">TEXT(TODAY(),"ddd")</f>
        <v>Sun</v>
      </c>
      <c r="C1475" s="256">
        <v>25828</v>
      </c>
      <c r="D1475" s="1398">
        <f>C1475-C1457</f>
        <v>-676</v>
      </c>
      <c r="E1475" s="32">
        <f>(C1475-C1457)/C1457</f>
        <v>-2.5505584062782975E-2</v>
      </c>
      <c r="F1475" s="1127" t="s">
        <v>310</v>
      </c>
      <c r="G1475" s="801"/>
      <c r="H1475" s="685"/>
      <c r="I1475" s="1187"/>
      <c r="J1475" s="1188" t="s">
        <v>234</v>
      </c>
      <c r="K1475" s="1220" t="s">
        <v>34</v>
      </c>
      <c r="L1475" s="111" t="s">
        <v>35</v>
      </c>
    </row>
    <row r="1476" spans="1:16" hidden="1" outlineLevel="1" x14ac:dyDescent="0.35">
      <c r="A1476" s="709" t="s">
        <v>36</v>
      </c>
      <c r="B1476" s="263"/>
      <c r="C1476" s="419">
        <v>7910</v>
      </c>
      <c r="D1476" s="1399">
        <f>C1476-C1458</f>
        <v>-254</v>
      </c>
      <c r="E1476" s="32">
        <f>(C1476-C1458)/C1458</f>
        <v>-3.1112199902008818E-2</v>
      </c>
      <c r="F1476" s="1128" t="s">
        <v>37</v>
      </c>
      <c r="G1476" s="1129" t="s">
        <v>38</v>
      </c>
      <c r="H1476" s="1130" t="s">
        <v>144</v>
      </c>
      <c r="J1476" s="3137" t="s">
        <v>42</v>
      </c>
      <c r="K1476" s="3122"/>
      <c r="L1476" s="3123"/>
      <c r="M1476" s="1031" t="s">
        <v>244</v>
      </c>
      <c r="P1476" s="1032" t="s">
        <v>44</v>
      </c>
    </row>
    <row r="1477" spans="1:16" hidden="1" outlineLevel="1" x14ac:dyDescent="0.35">
      <c r="A1477" s="1346" t="s">
        <v>292</v>
      </c>
      <c r="B1477" s="1347">
        <v>500</v>
      </c>
      <c r="C1477" s="1348">
        <v>28.75</v>
      </c>
      <c r="D1477" s="1349">
        <f>C1477*B1477</f>
        <v>14375</v>
      </c>
      <c r="E1477" s="32">
        <f>(C1477-C1461)/C1461</f>
        <v>1.3751763046544449E-2</v>
      </c>
      <c r="F1477" s="1350">
        <f t="shared" ref="F1477:F1488" si="237">D1477/D$1489</f>
        <v>4.8068147022923134E-2</v>
      </c>
      <c r="G1477" s="1351"/>
      <c r="H1477" s="1352" t="s">
        <v>305</v>
      </c>
      <c r="I1477" s="1264">
        <f>D1477-D1461</f>
        <v>195</v>
      </c>
      <c r="J1477" s="3147"/>
      <c r="K1477" s="3148"/>
      <c r="L1477" s="3158"/>
      <c r="M1477" s="1392" t="str">
        <f t="shared" ref="M1477:M1485" si="238">A1477</f>
        <v>PINS</v>
      </c>
      <c r="P1477" s="1393">
        <f ca="1">RANK(O979,O979:O989,1)</f>
        <v>2</v>
      </c>
    </row>
    <row r="1478" spans="1:16" hidden="1" outlineLevel="1" x14ac:dyDescent="0.35">
      <c r="A1478" s="7" t="s">
        <v>208</v>
      </c>
      <c r="B1478" s="1362">
        <v>315</v>
      </c>
      <c r="C1478" s="1363">
        <v>323.25</v>
      </c>
      <c r="D1478" s="1364">
        <f>C1478*B1478</f>
        <v>101823.75</v>
      </c>
      <c r="E1478" s="32">
        <f>(C1478-C1462)/C1462</f>
        <v>-2.3649873142442868E-2</v>
      </c>
      <c r="F1478" s="1386">
        <f t="shared" si="237"/>
        <v>0.34048549463828659</v>
      </c>
      <c r="G1478" s="1366">
        <v>58</v>
      </c>
      <c r="H1478" s="1385" t="s">
        <v>145</v>
      </c>
      <c r="I1478" s="1264">
        <f>D1478-D1462</f>
        <v>-2466.4499999999971</v>
      </c>
      <c r="J1478" s="3147"/>
      <c r="K1478" s="3148"/>
      <c r="L1478" s="3158"/>
      <c r="M1478" s="1242" t="str">
        <f t="shared" si="238"/>
        <v>ALGN</v>
      </c>
      <c r="P1478" s="1243">
        <f ca="1">RANK(O980,O979:O987,1)</f>
        <v>3</v>
      </c>
    </row>
    <row r="1479" spans="1:16" hidden="1" outlineLevel="1" x14ac:dyDescent="0.35">
      <c r="A1479" s="1346" t="s">
        <v>306</v>
      </c>
      <c r="B1479" s="1347">
        <v>300</v>
      </c>
      <c r="C1479" s="1348">
        <v>42.79</v>
      </c>
      <c r="D1479" s="1349">
        <f>C1479*B1479</f>
        <v>12837</v>
      </c>
      <c r="E1479" s="1400">
        <f>(C1479-C1463)/C1463</f>
        <v>-0.12584269662921355</v>
      </c>
      <c r="F1479" s="1350">
        <f t="shared" si="237"/>
        <v>4.2925273275357514E-2</v>
      </c>
      <c r="G1479" s="1351">
        <v>60</v>
      </c>
      <c r="H1479" s="1385" t="s">
        <v>145</v>
      </c>
      <c r="I1479" s="1264">
        <f>D1479-D1463</f>
        <v>-1848</v>
      </c>
      <c r="J1479" s="3147"/>
      <c r="K1479" s="3148"/>
      <c r="L1479" s="3158"/>
      <c r="M1479" s="1392" t="str">
        <f t="shared" si="238"/>
        <v>BZUN</v>
      </c>
      <c r="P1479" s="1393">
        <f ca="1">RANK(O981,O979:O987,1)</f>
        <v>1</v>
      </c>
    </row>
    <row r="1480" spans="1:16" hidden="1" outlineLevel="1" x14ac:dyDescent="0.35">
      <c r="A1480" s="7" t="s">
        <v>308</v>
      </c>
      <c r="B1480" s="1362">
        <v>182</v>
      </c>
      <c r="C1480" s="1363">
        <v>260.62</v>
      </c>
      <c r="D1480" s="1364">
        <f>C1480*B1480</f>
        <v>47432.840000000004</v>
      </c>
      <c r="E1480" s="32">
        <f>(C1480-C1468)/C1468</f>
        <v>-1.2915199030413091E-2</v>
      </c>
      <c r="F1480" s="1386">
        <f t="shared" si="237"/>
        <v>0.1586093027363332</v>
      </c>
      <c r="G1480" s="1366"/>
      <c r="H1480" s="1367" t="s">
        <v>192</v>
      </c>
      <c r="I1480" s="1264">
        <f>D1480-D1468</f>
        <v>-620.61999999998807</v>
      </c>
      <c r="J1480" s="1319"/>
      <c r="K1480" s="1336"/>
      <c r="L1480" s="1336"/>
      <c r="M1480" s="1087" t="str">
        <f t="shared" si="238"/>
        <v>SHOP</v>
      </c>
      <c r="P1480" s="1088">
        <f ca="1">RANK(O982,O979:O987,1)</f>
        <v>5</v>
      </c>
    </row>
    <row r="1481" spans="1:16" hidden="1" outlineLevel="1" x14ac:dyDescent="0.35">
      <c r="A1481" s="1346" t="s">
        <v>222</v>
      </c>
      <c r="B1481" s="1347">
        <v>150</v>
      </c>
      <c r="C1481" s="1348">
        <v>195.55</v>
      </c>
      <c r="D1481" s="1349"/>
      <c r="E1481" s="1400">
        <f>(C1481-C1464)/C1464</f>
        <v>-5.2843165746391536E-2</v>
      </c>
      <c r="F1481" s="1386">
        <f t="shared" si="237"/>
        <v>0</v>
      </c>
      <c r="G1481" s="1366">
        <v>27</v>
      </c>
      <c r="H1481" s="1385" t="s">
        <v>146</v>
      </c>
      <c r="I1481" s="1390">
        <f>D1481-D1464</f>
        <v>-30969</v>
      </c>
      <c r="J1481" s="1319" t="s">
        <v>311</v>
      </c>
      <c r="K1481" s="1336"/>
      <c r="L1481" s="1337"/>
      <c r="M1481" s="1328" t="str">
        <f t="shared" si="238"/>
        <v>ZBRA</v>
      </c>
      <c r="P1481" s="1268">
        <f ca="1">RANK(O983,O979:O987,1)</f>
        <v>8</v>
      </c>
    </row>
    <row r="1482" spans="1:16" hidden="1" outlineLevel="1" x14ac:dyDescent="0.35">
      <c r="A1482" s="7" t="s">
        <v>301</v>
      </c>
      <c r="B1482" s="1362">
        <v>150</v>
      </c>
      <c r="C1482" s="1363">
        <v>246.22</v>
      </c>
      <c r="D1482" s="1364">
        <f>C1482*B1482</f>
        <v>36933</v>
      </c>
      <c r="E1482" s="32">
        <f>(C1482-C1465)/C1465</f>
        <v>-1.6968099972052543E-2</v>
      </c>
      <c r="F1482" s="1386">
        <f t="shared" si="237"/>
        <v>0.12349919123461706</v>
      </c>
      <c r="G1482" s="1351">
        <v>21</v>
      </c>
      <c r="H1482" s="1352" t="s">
        <v>192</v>
      </c>
      <c r="I1482" s="1390">
        <f>D1482-D1465</f>
        <v>-637.5</v>
      </c>
      <c r="J1482" s="1335"/>
      <c r="K1482" s="1336"/>
      <c r="L1482" s="1337"/>
      <c r="M1482" s="1328" t="str">
        <f t="shared" si="238"/>
        <v>DIXX</v>
      </c>
      <c r="P1482" s="1268">
        <f ca="1">RANK(O984,O979:O987,1)</f>
        <v>7</v>
      </c>
    </row>
    <row r="1483" spans="1:16" hidden="1" outlineLevel="1" x14ac:dyDescent="0.35">
      <c r="A1483" s="1346" t="s">
        <v>293</v>
      </c>
      <c r="B1483" s="1347">
        <v>125</v>
      </c>
      <c r="C1483" s="1348">
        <v>75.209999999999994</v>
      </c>
      <c r="D1483" s="1349">
        <f>C1483*B1483</f>
        <v>9401.25</v>
      </c>
      <c r="E1483" s="32">
        <f>(C1483-C1466)/C1466</f>
        <v>-5.0138923970699835E-2</v>
      </c>
      <c r="F1483" s="1365">
        <f t="shared" si="237"/>
        <v>3.1436568152991728E-2</v>
      </c>
      <c r="G1483" s="1366"/>
      <c r="H1483" s="1367" t="s">
        <v>305</v>
      </c>
      <c r="I1483" s="1390">
        <f>D1483-D1466</f>
        <v>-496.25</v>
      </c>
      <c r="J1483" s="1319"/>
      <c r="K1483" s="1336"/>
      <c r="L1483" s="1337"/>
      <c r="M1483" s="1328" t="str">
        <f t="shared" si="238"/>
        <v>ZM</v>
      </c>
      <c r="P1483" s="1268"/>
    </row>
    <row r="1484" spans="1:16" hidden="1" outlineLevel="1" x14ac:dyDescent="0.35">
      <c r="A1484" s="7" t="s">
        <v>282</v>
      </c>
      <c r="B1484" s="1362">
        <v>115</v>
      </c>
      <c r="C1484" s="1363">
        <v>133.13</v>
      </c>
      <c r="D1484" s="1364">
        <f>C1484*B1484</f>
        <v>15309.949999999999</v>
      </c>
      <c r="E1484" s="32">
        <f>(C1484-C1467)/C1467</f>
        <v>1.7269045617788574E-2</v>
      </c>
      <c r="F1484" s="1350">
        <f t="shared" si="237"/>
        <v>5.1194499305294051E-2</v>
      </c>
      <c r="G1484" s="1351"/>
      <c r="H1484" s="1352" t="s">
        <v>192</v>
      </c>
      <c r="I1484" s="1390">
        <f>D1484-D1467</f>
        <v>259.89999999999782</v>
      </c>
      <c r="J1484" s="1319"/>
      <c r="K1484" s="1336"/>
      <c r="L1484" s="1337"/>
      <c r="M1484" s="1401" t="str">
        <f t="shared" si="238"/>
        <v>TWLO</v>
      </c>
      <c r="P1484" s="1402">
        <f ca="1">RANK(O986,O979:O987,1)</f>
        <v>5</v>
      </c>
    </row>
    <row r="1485" spans="1:16" hidden="1" outlineLevel="1" x14ac:dyDescent="0.35">
      <c r="A1485" s="1346" t="s">
        <v>307</v>
      </c>
      <c r="B1485" s="1347">
        <v>200</v>
      </c>
      <c r="C1485" s="1348">
        <v>270.49</v>
      </c>
      <c r="D1485" s="1349">
        <f>C1485*B1485</f>
        <v>54098</v>
      </c>
      <c r="E1485" s="32">
        <f>(C1485-C1469)/C1469</f>
        <v>7.3365112468346027E-3</v>
      </c>
      <c r="F1485" s="1386">
        <f t="shared" si="237"/>
        <v>0.18089673861885883</v>
      </c>
      <c r="G1485" s="1147"/>
      <c r="H1485" s="1385" t="s">
        <v>216</v>
      </c>
      <c r="I1485" s="1390">
        <f>D1485-D1469</f>
        <v>27246</v>
      </c>
      <c r="J1485" s="1319" t="s">
        <v>312</v>
      </c>
      <c r="K1485" s="1336"/>
      <c r="L1485" s="1336"/>
      <c r="M1485" s="1087" t="str">
        <f t="shared" si="238"/>
        <v>NOW</v>
      </c>
      <c r="P1485" s="1088">
        <f ca="1">RANK(O987,O979:O987,1)</f>
        <v>3</v>
      </c>
    </row>
    <row r="1486" spans="1:16" hidden="1" outlineLevel="1" x14ac:dyDescent="0.35">
      <c r="A1486" s="7" t="s">
        <v>139</v>
      </c>
      <c r="B1486" s="1362">
        <v>25</v>
      </c>
      <c r="C1486" s="1363">
        <v>83.17</v>
      </c>
      <c r="D1486" s="1364">
        <f>C1486*B1486</f>
        <v>2079.25</v>
      </c>
      <c r="E1486" s="32"/>
      <c r="F1486" s="1265">
        <f t="shared" si="237"/>
        <v>6.9527439789504649E-3</v>
      </c>
      <c r="G1486" s="1403"/>
      <c r="H1486" s="1404"/>
      <c r="I1486" s="1405"/>
      <c r="J1486" s="1319"/>
      <c r="K1486" s="1336"/>
      <c r="L1486" s="1336"/>
      <c r="M1486" s="1094"/>
      <c r="P1486" s="1095"/>
    </row>
    <row r="1487" spans="1:16" hidden="1" outlineLevel="1" x14ac:dyDescent="0.35">
      <c r="A1487" s="1346" t="s">
        <v>7</v>
      </c>
      <c r="B1487" s="1347"/>
      <c r="C1487" s="1348"/>
      <c r="D1487" s="1349">
        <v>1780.55</v>
      </c>
      <c r="E1487" s="32"/>
      <c r="F1487" s="1365">
        <f t="shared" si="237"/>
        <v>5.9539296822028369E-3</v>
      </c>
      <c r="G1487" s="1366"/>
      <c r="H1487" s="1367"/>
      <c r="I1487" s="1216"/>
      <c r="J1487" s="3155"/>
      <c r="K1487" s="3156"/>
      <c r="L1487" s="3157"/>
    </row>
    <row r="1488" spans="1:16" ht="16" hidden="1" outlineLevel="1" thickBot="1" x14ac:dyDescent="0.4">
      <c r="A1488" s="7" t="s">
        <v>60</v>
      </c>
      <c r="B1488" s="1362"/>
      <c r="C1488" s="1363"/>
      <c r="D1488" s="1364">
        <v>2984</v>
      </c>
      <c r="E1488" s="32"/>
      <c r="F1488" s="1350">
        <f t="shared" si="237"/>
        <v>9.978111354184532E-3</v>
      </c>
      <c r="G1488" s="1351"/>
      <c r="H1488" s="1352"/>
      <c r="I1488" s="786">
        <f>SUM(I1479:I1487)</f>
        <v>-7065.4699999999866</v>
      </c>
    </row>
    <row r="1489" spans="1:21" ht="19" hidden="1" outlineLevel="1" thickBot="1" x14ac:dyDescent="0.5">
      <c r="A1489" s="726" t="s">
        <v>62</v>
      </c>
      <c r="B1489" s="583"/>
      <c r="C1489" s="584"/>
      <c r="D1489" s="1230">
        <f>SUM(D1477:D1488)</f>
        <v>299054.59000000003</v>
      </c>
      <c r="E1489" s="1406">
        <f>D1489-D1472</f>
        <v>-7048.8199999999488</v>
      </c>
      <c r="F1489" s="1407">
        <f>(D1489-D1472)/D1472</f>
        <v>-2.3027577510488857E-2</v>
      </c>
      <c r="G1489" s="679"/>
      <c r="H1489" s="1231"/>
      <c r="I1489" s="680"/>
    </row>
    <row r="1490" spans="1:21" hidden="1" outlineLevel="1" x14ac:dyDescent="0.35"/>
    <row r="1491" spans="1:21" hidden="1" outlineLevel="1" x14ac:dyDescent="0.35">
      <c r="A1491" s="701" t="s">
        <v>25</v>
      </c>
      <c r="B1491" s="702" t="s">
        <v>26</v>
      </c>
      <c r="C1491" s="703" t="s">
        <v>27</v>
      </c>
      <c r="D1491" s="704">
        <f>D1474+7</f>
        <v>43602</v>
      </c>
      <c r="E1491" s="705" t="s">
        <v>28</v>
      </c>
      <c r="F1491" s="1125"/>
      <c r="G1491" s="252"/>
      <c r="H1491" s="253"/>
      <c r="I1491" s="1182"/>
      <c r="J1491" s="1183" t="s">
        <v>233</v>
      </c>
    </row>
    <row r="1492" spans="1:21" hidden="1" outlineLevel="1" x14ac:dyDescent="0.35">
      <c r="A1492" s="706" t="s">
        <v>32</v>
      </c>
      <c r="B1492" s="255" t="str">
        <f ca="1">TEXT(TODAY(),"ddd")</f>
        <v>Sun</v>
      </c>
      <c r="C1492" s="256">
        <v>25764</v>
      </c>
      <c r="D1492" s="1398">
        <f>C1492-C1475</f>
        <v>-64</v>
      </c>
      <c r="E1492" s="32">
        <f>(C1492-C1475)/C1475</f>
        <v>-2.4779309276753911E-3</v>
      </c>
      <c r="F1492" s="1127" t="s">
        <v>313</v>
      </c>
      <c r="G1492" s="801"/>
      <c r="H1492" s="685"/>
      <c r="I1492" s="1187"/>
      <c r="J1492" s="1188" t="s">
        <v>234</v>
      </c>
      <c r="K1492" s="1220" t="s">
        <v>34</v>
      </c>
      <c r="L1492" s="111" t="s">
        <v>35</v>
      </c>
    </row>
    <row r="1493" spans="1:21" hidden="1" outlineLevel="1" x14ac:dyDescent="0.35">
      <c r="A1493" s="709" t="s">
        <v>36</v>
      </c>
      <c r="B1493" s="263"/>
      <c r="C1493" s="419">
        <v>7816</v>
      </c>
      <c r="D1493" s="1399">
        <f>C1493-C1476</f>
        <v>-94</v>
      </c>
      <c r="E1493" s="32">
        <f>(C1493-C1476)/C1476</f>
        <v>-1.188369152970923E-2</v>
      </c>
      <c r="F1493" s="1128" t="s">
        <v>37</v>
      </c>
      <c r="G1493" s="1129" t="s">
        <v>38</v>
      </c>
      <c r="H1493" s="1130" t="s">
        <v>144</v>
      </c>
      <c r="J1493" s="3137" t="s">
        <v>42</v>
      </c>
      <c r="K1493" s="3122"/>
      <c r="L1493" s="3123"/>
      <c r="M1493" s="1031" t="s">
        <v>244</v>
      </c>
      <c r="P1493" s="1032" t="s">
        <v>44</v>
      </c>
      <c r="R1493" s="1377" t="s">
        <v>286</v>
      </c>
      <c r="S1493" s="1378" t="s">
        <v>287</v>
      </c>
      <c r="T1493" s="1379" t="s">
        <v>288</v>
      </c>
      <c r="U1493" s="602"/>
    </row>
    <row r="1494" spans="1:21" hidden="1" outlineLevel="1" x14ac:dyDescent="0.35">
      <c r="A1494" s="1346" t="s">
        <v>292</v>
      </c>
      <c r="B1494" s="1347">
        <v>500</v>
      </c>
      <c r="C1494" s="1348">
        <v>26.69</v>
      </c>
      <c r="D1494" s="1349">
        <f>C1494*B1494</f>
        <v>13345</v>
      </c>
      <c r="E1494" s="1408">
        <f>(C1494-C1477)/C1477</f>
        <v>-7.1652173913043432E-2</v>
      </c>
      <c r="F1494" s="1350">
        <f t="shared" ref="F1494:F1506" si="239">D1494/D$1489</f>
        <v>4.4623959792758905E-2</v>
      </c>
      <c r="G1494" s="1351"/>
      <c r="H1494" s="1352" t="s">
        <v>305</v>
      </c>
      <c r="I1494" s="1314">
        <f>D1494-D1477</f>
        <v>-1030</v>
      </c>
      <c r="J1494" s="3147"/>
      <c r="K1494" s="3148"/>
      <c r="L1494" s="3158"/>
      <c r="M1494" s="1409" t="str">
        <f t="shared" ref="M1494:M1504" si="240">A1494</f>
        <v>PINS</v>
      </c>
      <c r="P1494" s="1086">
        <f ca="1">RANK(O996,O996:O1007,1)</f>
        <v>1</v>
      </c>
      <c r="R1494" s="3" t="s">
        <v>306</v>
      </c>
      <c r="S1494" s="3">
        <v>40</v>
      </c>
      <c r="T1494" s="112">
        <v>300</v>
      </c>
      <c r="U1494" s="193"/>
    </row>
    <row r="1495" spans="1:21" hidden="1" outlineLevel="1" x14ac:dyDescent="0.35">
      <c r="A1495" s="7" t="s">
        <v>208</v>
      </c>
      <c r="B1495" s="1362">
        <v>315</v>
      </c>
      <c r="C1495" s="1363">
        <v>322.61</v>
      </c>
      <c r="D1495" s="1364">
        <f>C1495*B1495</f>
        <v>101622.15000000001</v>
      </c>
      <c r="E1495" s="32">
        <f>(C1495-C1478)/C1478</f>
        <v>-1.979891724671265E-3</v>
      </c>
      <c r="F1495" s="1386">
        <f t="shared" si="239"/>
        <v>0.33981137022508162</v>
      </c>
      <c r="G1495" s="1366">
        <v>58</v>
      </c>
      <c r="H1495" s="1385" t="s">
        <v>145</v>
      </c>
      <c r="I1495" s="1314">
        <f>D1495-D1478</f>
        <v>-201.59999999999127</v>
      </c>
      <c r="J1495" s="3147"/>
      <c r="K1495" s="3148"/>
      <c r="L1495" s="3158"/>
      <c r="M1495" s="1409" t="str">
        <f t="shared" si="240"/>
        <v>ALGN</v>
      </c>
      <c r="P1495" s="1086">
        <f ca="1">RANK(O997,O996:O1006,1)</f>
        <v>3</v>
      </c>
      <c r="R1495" s="3"/>
      <c r="S1495" s="3"/>
      <c r="T1495" s="112"/>
      <c r="U1495" s="193"/>
    </row>
    <row r="1496" spans="1:21" hidden="1" outlineLevel="1" x14ac:dyDescent="0.35">
      <c r="A1496" s="1346" t="s">
        <v>306</v>
      </c>
      <c r="B1496" s="1347">
        <v>300</v>
      </c>
      <c r="C1496" s="1348">
        <v>39.64</v>
      </c>
      <c r="D1496" s="1349"/>
      <c r="E1496" s="1408">
        <f>(C1496-C1479)/C1479</f>
        <v>-7.3615330684739397E-2</v>
      </c>
      <c r="F1496" s="1350">
        <f t="shared" si="239"/>
        <v>0</v>
      </c>
      <c r="G1496" s="1351">
        <v>60</v>
      </c>
      <c r="H1496" s="1410" t="s">
        <v>145</v>
      </c>
      <c r="I1496" s="1314"/>
      <c r="J1496" s="3159" t="s">
        <v>314</v>
      </c>
      <c r="K1496" s="3160"/>
      <c r="L1496" s="3161"/>
      <c r="M1496" s="1409" t="str">
        <f t="shared" si="240"/>
        <v>BZUN</v>
      </c>
      <c r="P1496" s="1086">
        <f ca="1">RANK(O998,O996:O1006,1)</f>
        <v>2</v>
      </c>
      <c r="R1496" s="3" t="s">
        <v>293</v>
      </c>
      <c r="S1496" s="3">
        <v>89</v>
      </c>
      <c r="T1496" s="112">
        <v>50</v>
      </c>
      <c r="U1496" s="193"/>
    </row>
    <row r="1497" spans="1:21" hidden="1" outlineLevel="1" x14ac:dyDescent="0.35">
      <c r="A1497" s="7" t="s">
        <v>307</v>
      </c>
      <c r="B1497" s="1362">
        <v>200</v>
      </c>
      <c r="C1497" s="1363">
        <v>272.75</v>
      </c>
      <c r="D1497" s="1364">
        <f t="shared" ref="D1497:D1504" si="241">C1497*B1497</f>
        <v>54550</v>
      </c>
      <c r="E1497" s="32">
        <f>(C1497-C1485)/C1485</f>
        <v>8.3552072165329252E-3</v>
      </c>
      <c r="F1497" s="1411">
        <f t="shared" si="239"/>
        <v>0.18240816835481441</v>
      </c>
      <c r="G1497" s="1351"/>
      <c r="H1497" s="1385" t="s">
        <v>145</v>
      </c>
      <c r="I1497" s="1264">
        <f>(C1497-C1485)*B1497</f>
        <v>451.99999999999818</v>
      </c>
      <c r="J1497" s="1273"/>
      <c r="K1497" s="1274"/>
      <c r="L1497" s="1274"/>
      <c r="M1497" s="261" t="str">
        <f t="shared" si="240"/>
        <v>NOW</v>
      </c>
      <c r="P1497" s="1086">
        <f ca="1">RANK(O999,O990:O999,1)</f>
        <v>3</v>
      </c>
      <c r="R1497" s="3" t="s">
        <v>315</v>
      </c>
      <c r="S1497" s="3">
        <v>21</v>
      </c>
      <c r="T1497" s="112">
        <v>100</v>
      </c>
      <c r="U1497" s="193"/>
    </row>
    <row r="1498" spans="1:21" hidden="1" outlineLevel="1" x14ac:dyDescent="0.35">
      <c r="A1498" s="1346" t="s">
        <v>308</v>
      </c>
      <c r="B1498" s="1347">
        <v>182</v>
      </c>
      <c r="C1498" s="1348">
        <v>273.52999999999997</v>
      </c>
      <c r="D1498" s="1349">
        <f t="shared" si="241"/>
        <v>49782.459999999992</v>
      </c>
      <c r="E1498" s="1408">
        <f>(C1498-C1480)/C1480</f>
        <v>4.9535722507865733E-2</v>
      </c>
      <c r="F1498" s="1386">
        <f t="shared" si="239"/>
        <v>0.16646612914384623</v>
      </c>
      <c r="G1498" s="1366"/>
      <c r="H1498" s="1367" t="s">
        <v>192</v>
      </c>
      <c r="I1498" s="1264">
        <f>D1498-D1480</f>
        <v>2349.6199999999881</v>
      </c>
      <c r="J1498" s="1319"/>
      <c r="K1498" s="1336"/>
      <c r="L1498" s="1336"/>
      <c r="M1498" s="1412" t="str">
        <f t="shared" si="240"/>
        <v>SHOP</v>
      </c>
      <c r="P1498" s="1086">
        <f ca="1">RANK(O1000,O996:O1006,1)</f>
        <v>6</v>
      </c>
      <c r="R1498" s="3" t="s">
        <v>316</v>
      </c>
      <c r="S1498" s="3">
        <v>55</v>
      </c>
      <c r="T1498" s="112">
        <v>100</v>
      </c>
      <c r="U1498" s="193"/>
    </row>
    <row r="1499" spans="1:21" hidden="1" outlineLevel="1" x14ac:dyDescent="0.35">
      <c r="A1499" s="7" t="s">
        <v>301</v>
      </c>
      <c r="B1499" s="1362">
        <v>150</v>
      </c>
      <c r="C1499" s="1363">
        <v>249.56</v>
      </c>
      <c r="D1499" s="1364">
        <f t="shared" si="241"/>
        <v>37434</v>
      </c>
      <c r="E1499" s="32">
        <f>(C1499-C1482)/C1482</f>
        <v>1.3565104378198373E-2</v>
      </c>
      <c r="F1499" s="1386">
        <f t="shared" si="239"/>
        <v>0.12517447065433771</v>
      </c>
      <c r="G1499" s="1351">
        <v>21</v>
      </c>
      <c r="H1499" s="1352" t="s">
        <v>192</v>
      </c>
      <c r="I1499" s="1390">
        <f>D1499-D1482</f>
        <v>501</v>
      </c>
      <c r="J1499" s="1335"/>
      <c r="K1499" s="1336"/>
      <c r="L1499" s="1337"/>
      <c r="M1499" s="1409" t="str">
        <f t="shared" si="240"/>
        <v>DIXX</v>
      </c>
      <c r="P1499" s="1086">
        <f ca="1">RANK(O1001,O996:O1006,1)</f>
        <v>8</v>
      </c>
      <c r="U1499" s="193"/>
    </row>
    <row r="1500" spans="1:21" hidden="1" outlineLevel="1" x14ac:dyDescent="0.35">
      <c r="A1500" s="1346" t="s">
        <v>293</v>
      </c>
      <c r="B1500" s="1347">
        <v>175</v>
      </c>
      <c r="C1500" s="1348">
        <v>89.98</v>
      </c>
      <c r="D1500" s="1349">
        <f t="shared" si="241"/>
        <v>15746.5</v>
      </c>
      <c r="E1500" s="32">
        <f>(C1500-C1483)/C1483</f>
        <v>0.19638345964632378</v>
      </c>
      <c r="F1500" s="1365">
        <f t="shared" si="239"/>
        <v>5.2654266232797155E-2</v>
      </c>
      <c r="G1500" s="1366"/>
      <c r="H1500" s="1367" t="s">
        <v>305</v>
      </c>
      <c r="I1500" s="1390"/>
      <c r="J1500" s="1413" t="s">
        <v>317</v>
      </c>
      <c r="K1500" s="1414"/>
      <c r="L1500" s="1415"/>
      <c r="M1500" s="1409" t="str">
        <f t="shared" si="240"/>
        <v>ZM</v>
      </c>
      <c r="P1500" s="1086"/>
    </row>
    <row r="1501" spans="1:21" hidden="1" outlineLevel="1" x14ac:dyDescent="0.35">
      <c r="A1501" s="7" t="s">
        <v>282</v>
      </c>
      <c r="B1501" s="1362">
        <v>115</v>
      </c>
      <c r="C1501" s="1363">
        <v>140.51</v>
      </c>
      <c r="D1501" s="1364">
        <f t="shared" si="241"/>
        <v>16158.65</v>
      </c>
      <c r="E1501" s="1408">
        <f>(C1501-C1484)/C1484</f>
        <v>5.5434537669946639E-2</v>
      </c>
      <c r="F1501" s="1350">
        <f t="shared" si="239"/>
        <v>5.4032442705527435E-2</v>
      </c>
      <c r="G1501" s="1351"/>
      <c r="H1501" s="1352" t="s">
        <v>192</v>
      </c>
      <c r="I1501" s="1390">
        <f>D1501-D1484</f>
        <v>848.70000000000073</v>
      </c>
      <c r="J1501" s="1319"/>
      <c r="K1501" s="1336"/>
      <c r="L1501" s="1337"/>
      <c r="M1501" s="1416" t="str">
        <f t="shared" si="240"/>
        <v>TWLO</v>
      </c>
      <c r="P1501" s="1086">
        <f ca="1">RANK(O1003,O996:O1006,1)</f>
        <v>6</v>
      </c>
    </row>
    <row r="1502" spans="1:21" hidden="1" outlineLevel="1" x14ac:dyDescent="0.35">
      <c r="A1502" s="1346" t="s">
        <v>316</v>
      </c>
      <c r="B1502" s="1347">
        <v>100</v>
      </c>
      <c r="C1502" s="1348">
        <v>54.63</v>
      </c>
      <c r="D1502" s="1349">
        <f t="shared" si="241"/>
        <v>5463</v>
      </c>
      <c r="E1502" s="1408"/>
      <c r="F1502" s="1350">
        <f t="shared" si="239"/>
        <v>1.8267567804259414E-2</v>
      </c>
      <c r="G1502" s="1351"/>
      <c r="H1502" s="1352"/>
      <c r="I1502" s="1390"/>
      <c r="J1502" s="1413" t="s">
        <v>318</v>
      </c>
      <c r="K1502" s="1414"/>
      <c r="L1502" s="1414"/>
      <c r="M1502" s="261" t="str">
        <f t="shared" si="240"/>
        <v>PD</v>
      </c>
      <c r="P1502" s="1086"/>
    </row>
    <row r="1503" spans="1:21" hidden="1" outlineLevel="1" x14ac:dyDescent="0.35">
      <c r="A1503" s="7" t="s">
        <v>315</v>
      </c>
      <c r="B1503" s="1362">
        <v>100</v>
      </c>
      <c r="C1503" s="1363">
        <v>20.38</v>
      </c>
      <c r="D1503" s="1364">
        <f t="shared" si="241"/>
        <v>2038</v>
      </c>
      <c r="E1503" s="1408"/>
      <c r="F1503" s="1350">
        <f t="shared" si="239"/>
        <v>6.8148092961890332E-3</v>
      </c>
      <c r="G1503" s="1351"/>
      <c r="H1503" s="1352"/>
      <c r="I1503" s="1390"/>
      <c r="J1503" s="1413" t="s">
        <v>319</v>
      </c>
      <c r="K1503" s="1414"/>
      <c r="L1503" s="1414"/>
      <c r="M1503" s="261" t="str">
        <f t="shared" si="240"/>
        <v>LK</v>
      </c>
      <c r="P1503" s="1086"/>
    </row>
    <row r="1504" spans="1:21" hidden="1" outlineLevel="1" x14ac:dyDescent="0.35">
      <c r="A1504" s="1346" t="s">
        <v>139</v>
      </c>
      <c r="B1504" s="1347">
        <v>25</v>
      </c>
      <c r="C1504" s="1348">
        <v>84.03</v>
      </c>
      <c r="D1504" s="1349">
        <f t="shared" si="241"/>
        <v>2100.75</v>
      </c>
      <c r="E1504" s="32"/>
      <c r="F1504" s="1365">
        <f t="shared" si="239"/>
        <v>7.0246372075412717E-3</v>
      </c>
      <c r="G1504" s="1147"/>
      <c r="H1504" s="1385" t="s">
        <v>145</v>
      </c>
      <c r="I1504" s="1390">
        <f>D1504-D1486</f>
        <v>21.5</v>
      </c>
      <c r="J1504" s="1319"/>
      <c r="K1504" s="1336"/>
      <c r="L1504" s="1336"/>
      <c r="M1504" s="7" t="str">
        <f t="shared" si="240"/>
        <v>ROKU</v>
      </c>
      <c r="P1504" s="1086">
        <f ca="1">RANK(O1006,O996:O1006,1)</f>
        <v>3</v>
      </c>
    </row>
    <row r="1505" spans="1:17" hidden="1" outlineLevel="1" x14ac:dyDescent="0.35">
      <c r="A1505" s="7" t="s">
        <v>7</v>
      </c>
      <c r="B1505" s="1362"/>
      <c r="C1505" s="1363"/>
      <c r="D1505" s="1364">
        <v>1780.55</v>
      </c>
      <c r="E1505" s="32"/>
      <c r="F1505" s="1417">
        <f t="shared" si="239"/>
        <v>5.9539296822028369E-3</v>
      </c>
      <c r="G1505" s="1418"/>
      <c r="H1505" s="1419"/>
      <c r="I1505" s="1216"/>
      <c r="J1505" s="3155">
        <v>286039.37999999995</v>
      </c>
      <c r="K1505" s="3156"/>
      <c r="L1505" s="3157"/>
    </row>
    <row r="1506" spans="1:17" ht="16" hidden="1" outlineLevel="1" thickBot="1" x14ac:dyDescent="0.4">
      <c r="A1506" s="1346" t="s">
        <v>60</v>
      </c>
      <c r="B1506" s="1347"/>
      <c r="C1506" s="1348"/>
      <c r="D1506" s="1349">
        <v>321</v>
      </c>
      <c r="E1506" s="32"/>
      <c r="F1506" s="1350">
        <f t="shared" si="239"/>
        <v>1.0733826222162313E-3</v>
      </c>
      <c r="G1506" s="1351"/>
      <c r="H1506" s="1352"/>
      <c r="I1506" s="786">
        <f>SUM(I1496:I1505)</f>
        <v>4172.819999999987</v>
      </c>
    </row>
    <row r="1507" spans="1:17" ht="19" hidden="1" outlineLevel="1" thickBot="1" x14ac:dyDescent="0.5">
      <c r="A1507" s="726" t="s">
        <v>62</v>
      </c>
      <c r="B1507" s="583"/>
      <c r="C1507" s="584"/>
      <c r="D1507" s="1230">
        <f>SUM(D1494:D1506)</f>
        <v>300342.06</v>
      </c>
      <c r="E1507" s="1420">
        <f>D1507-D1489</f>
        <v>1287.4699999999721</v>
      </c>
      <c r="F1507" s="1218">
        <f>(D1507-D1489)/D1489</f>
        <v>4.3051337215722785E-3</v>
      </c>
      <c r="G1507" s="679"/>
      <c r="H1507" s="1231"/>
      <c r="I1507" s="680"/>
    </row>
    <row r="1508" spans="1:17" hidden="1" outlineLevel="1" x14ac:dyDescent="0.35"/>
    <row r="1509" spans="1:17" hidden="1" outlineLevel="1" x14ac:dyDescent="0.35">
      <c r="A1509" s="701" t="s">
        <v>25</v>
      </c>
      <c r="B1509" s="702" t="s">
        <v>26</v>
      </c>
      <c r="C1509" s="703" t="s">
        <v>27</v>
      </c>
      <c r="D1509" s="1236">
        <f>D1491+7</f>
        <v>43609</v>
      </c>
      <c r="E1509" s="705" t="s">
        <v>28</v>
      </c>
      <c r="F1509" s="1125"/>
      <c r="G1509" s="252"/>
      <c r="H1509" s="253"/>
      <c r="I1509" s="1182"/>
      <c r="J1509" s="1183" t="s">
        <v>233</v>
      </c>
    </row>
    <row r="1510" spans="1:17" hidden="1" outlineLevel="1" x14ac:dyDescent="0.35">
      <c r="A1510" s="706" t="s">
        <v>32</v>
      </c>
      <c r="B1510" s="255" t="str">
        <f ca="1">TEXT(TODAY(),"ddd")</f>
        <v>Sun</v>
      </c>
      <c r="C1510" s="256">
        <v>25585</v>
      </c>
      <c r="D1510" s="1398">
        <f>C1510-C1492</f>
        <v>-179</v>
      </c>
      <c r="E1510" s="32">
        <f>(C1510-C1492)/C1492</f>
        <v>-6.9476789318428812E-3</v>
      </c>
      <c r="F1510" s="1127" t="s">
        <v>310</v>
      </c>
      <c r="G1510" s="801"/>
      <c r="H1510" s="685"/>
      <c r="I1510" s="1187"/>
      <c r="J1510" s="1188" t="s">
        <v>234</v>
      </c>
      <c r="K1510" s="1220" t="s">
        <v>34</v>
      </c>
      <c r="L1510" s="111" t="s">
        <v>35</v>
      </c>
    </row>
    <row r="1511" spans="1:17" hidden="1" outlineLevel="1" x14ac:dyDescent="0.35">
      <c r="A1511" s="709" t="s">
        <v>36</v>
      </c>
      <c r="B1511" s="263"/>
      <c r="C1511" s="419">
        <v>7637</v>
      </c>
      <c r="D1511" s="1399">
        <f>C1511-C1493</f>
        <v>-179</v>
      </c>
      <c r="E1511" s="32">
        <f>(C1511-C1493)/C1493</f>
        <v>-2.290174002047083E-2</v>
      </c>
      <c r="F1511" s="1128" t="s">
        <v>37</v>
      </c>
      <c r="G1511" s="1129" t="s">
        <v>38</v>
      </c>
      <c r="H1511" s="1130" t="s">
        <v>144</v>
      </c>
      <c r="J1511" s="3137" t="s">
        <v>42</v>
      </c>
      <c r="K1511" s="3122"/>
      <c r="L1511" s="3123"/>
      <c r="M1511" s="1031" t="s">
        <v>244</v>
      </c>
      <c r="P1511" s="1032" t="s">
        <v>44</v>
      </c>
    </row>
    <row r="1512" spans="1:17" hidden="1" outlineLevel="1" x14ac:dyDescent="0.35">
      <c r="A1512" s="1346" t="s">
        <v>292</v>
      </c>
      <c r="B1512" s="1347">
        <v>500</v>
      </c>
      <c r="C1512" s="1348">
        <v>25.5</v>
      </c>
      <c r="D1512" s="1349">
        <f t="shared" ref="D1512:D1519" si="242">C1512*B1512</f>
        <v>12750</v>
      </c>
      <c r="E1512" s="32">
        <f>(C1512-C1494)/C1494</f>
        <v>-4.4585987261146542E-2</v>
      </c>
      <c r="F1512" s="1421">
        <f t="shared" ref="F1512:F1523" si="243">D1512/D$1524</f>
        <v>4.3451612029246516E-2</v>
      </c>
      <c r="G1512" s="1351"/>
      <c r="H1512" s="1352" t="s">
        <v>305</v>
      </c>
      <c r="I1512" s="1264">
        <f>D1512-D1494</f>
        <v>-595</v>
      </c>
      <c r="J1512" s="3147"/>
      <c r="K1512" s="3148"/>
      <c r="L1512" s="3148"/>
      <c r="M1512" s="7" t="str">
        <f t="shared" ref="M1512:M1521" si="244">A1512</f>
        <v>PINS</v>
      </c>
      <c r="P1512" s="1086">
        <f ca="1">RANK(O1014,O1014:O1024,1)</f>
        <v>7</v>
      </c>
      <c r="Q1512" s="247"/>
    </row>
    <row r="1513" spans="1:17" hidden="1" outlineLevel="1" x14ac:dyDescent="0.35">
      <c r="A1513" s="7" t="s">
        <v>208</v>
      </c>
      <c r="B1513" s="1362">
        <v>315</v>
      </c>
      <c r="C1513" s="1363">
        <v>311.47000000000003</v>
      </c>
      <c r="D1513" s="1364">
        <f t="shared" si="242"/>
        <v>98113.05</v>
      </c>
      <c r="E1513" s="1422">
        <f>(C1513-C1495)/C1495</f>
        <v>-3.4530857691949988E-2</v>
      </c>
      <c r="F1513" s="1423">
        <f t="shared" si="243"/>
        <v>0.33436628891027964</v>
      </c>
      <c r="G1513" s="1424">
        <v>58</v>
      </c>
      <c r="H1513" s="1385" t="s">
        <v>145</v>
      </c>
      <c r="I1513" s="1264">
        <f>D1513-D1495</f>
        <v>-3509.1000000000058</v>
      </c>
      <c r="J1513" s="3147"/>
      <c r="K1513" s="3148"/>
      <c r="L1513" s="3148"/>
      <c r="M1513" s="7" t="str">
        <f t="shared" si="244"/>
        <v>ALGN</v>
      </c>
      <c r="P1513" s="1086">
        <f ca="1">RANK(O1015,O1014:O1023,1)</f>
        <v>1</v>
      </c>
    </row>
    <row r="1514" spans="1:17" hidden="1" outlineLevel="1" x14ac:dyDescent="0.35">
      <c r="A1514" s="1346" t="s">
        <v>307</v>
      </c>
      <c r="B1514" s="1347">
        <v>200</v>
      </c>
      <c r="C1514" s="1348">
        <v>268.95</v>
      </c>
      <c r="D1514" s="1349">
        <f t="shared" si="242"/>
        <v>53790</v>
      </c>
      <c r="E1514" s="1422">
        <f>(C1514-C1497)/C1497</f>
        <v>-1.393217231897346E-2</v>
      </c>
      <c r="F1514" s="1425">
        <f t="shared" si="243"/>
        <v>0.18331468321985647</v>
      </c>
      <c r="G1514" s="1426"/>
      <c r="H1514" s="1385" t="s">
        <v>145</v>
      </c>
      <c r="I1514" s="1264">
        <f>(C1514-C1497)*B1514</f>
        <v>-760.00000000000227</v>
      </c>
      <c r="J1514" s="1273"/>
      <c r="K1514" s="1274"/>
      <c r="L1514" s="1274"/>
      <c r="M1514" s="7" t="str">
        <f t="shared" si="244"/>
        <v>NOW</v>
      </c>
      <c r="P1514" s="1086">
        <f ca="1">RANK(O1016,O1008:O1016,1)</f>
        <v>1</v>
      </c>
    </row>
    <row r="1515" spans="1:17" ht="16.5" hidden="1" customHeight="1" outlineLevel="1" x14ac:dyDescent="0.35">
      <c r="A1515" s="7" t="s">
        <v>308</v>
      </c>
      <c r="B1515" s="1362">
        <v>182</v>
      </c>
      <c r="C1515" s="1363">
        <v>275.85000000000002</v>
      </c>
      <c r="D1515" s="1364">
        <f t="shared" si="242"/>
        <v>50204.700000000004</v>
      </c>
      <c r="E1515" s="1422">
        <f>(C1515-C1498)/C1498</f>
        <v>8.4817021898879481E-3</v>
      </c>
      <c r="F1515" s="1427">
        <f t="shared" si="243"/>
        <v>0.17109608991723238</v>
      </c>
      <c r="G1515" s="1424"/>
      <c r="H1515" s="1367" t="s">
        <v>192</v>
      </c>
      <c r="I1515" s="1264">
        <f>D1515-D1498</f>
        <v>422.24000000001251</v>
      </c>
      <c r="J1515" s="1319"/>
      <c r="K1515" s="1336"/>
      <c r="L1515" s="1336"/>
      <c r="M1515" s="7" t="str">
        <f t="shared" si="244"/>
        <v>SHOP</v>
      </c>
      <c r="P1515" s="1086">
        <f ca="1">RANK(O1017,O1014:O1023,1)</f>
        <v>4</v>
      </c>
    </row>
    <row r="1516" spans="1:17" hidden="1" outlineLevel="1" x14ac:dyDescent="0.35">
      <c r="A1516" s="1346" t="s">
        <v>293</v>
      </c>
      <c r="B1516" s="1347">
        <v>175</v>
      </c>
      <c r="C1516" s="1348">
        <v>76.25</v>
      </c>
      <c r="D1516" s="1349">
        <f t="shared" si="242"/>
        <v>13343.75</v>
      </c>
      <c r="E1516" s="1428">
        <f>(C1516-C1500)/C1499</f>
        <v>-5.5016829620131449E-2</v>
      </c>
      <c r="F1516" s="1427">
        <f t="shared" si="243"/>
        <v>4.5475093961981038E-2</v>
      </c>
      <c r="G1516" s="1426"/>
      <c r="H1516" s="1352" t="s">
        <v>305</v>
      </c>
      <c r="I1516" s="1264">
        <f>D1516-D1500</f>
        <v>-2402.75</v>
      </c>
      <c r="J1516" s="1319" t="s">
        <v>320</v>
      </c>
      <c r="K1516" s="1336"/>
      <c r="L1516" s="1336"/>
      <c r="M1516" s="7" t="str">
        <f t="shared" si="244"/>
        <v>ZM</v>
      </c>
      <c r="P1516" s="1086"/>
    </row>
    <row r="1517" spans="1:17" ht="16" hidden="1" outlineLevel="1" thickBot="1" x14ac:dyDescent="0.4">
      <c r="A1517" s="7" t="s">
        <v>301</v>
      </c>
      <c r="B1517" s="1362">
        <v>150</v>
      </c>
      <c r="C1517" s="1363">
        <v>256.11</v>
      </c>
      <c r="D1517" s="1364">
        <f t="shared" si="242"/>
        <v>38416.5</v>
      </c>
      <c r="E1517" s="1422">
        <f>(C1517-C1499)/C1499</f>
        <v>2.6246193300208411E-2</v>
      </c>
      <c r="F1517" s="1429">
        <f t="shared" si="243"/>
        <v>0.13092226302129795</v>
      </c>
      <c r="G1517" s="1250">
        <v>21</v>
      </c>
      <c r="H1517" s="1148" t="s">
        <v>192</v>
      </c>
      <c r="I1517" s="1390">
        <f>D1517-D1499</f>
        <v>982.5</v>
      </c>
      <c r="J1517" s="1335"/>
      <c r="K1517" s="1336"/>
      <c r="L1517" s="1336"/>
      <c r="M1517" s="7" t="str">
        <f t="shared" si="244"/>
        <v>DIXX</v>
      </c>
      <c r="P1517" s="1086">
        <f ca="1">RANK(O1019,O1014:O1023,1)</f>
        <v>6</v>
      </c>
    </row>
    <row r="1518" spans="1:17" hidden="1" outlineLevel="1" x14ac:dyDescent="0.35">
      <c r="A1518" s="1346" t="s">
        <v>282</v>
      </c>
      <c r="B1518" s="1347">
        <v>115</v>
      </c>
      <c r="C1518" s="1348">
        <v>133.9</v>
      </c>
      <c r="D1518" s="1349">
        <f t="shared" si="242"/>
        <v>15398.5</v>
      </c>
      <c r="E1518" s="1430">
        <f>(C1518-C1501)/C1501</f>
        <v>-4.7042915095010927E-2</v>
      </c>
      <c r="F1518" s="1431">
        <f t="shared" si="243"/>
        <v>5.2477619437831566E-2</v>
      </c>
      <c r="G1518" s="1351"/>
      <c r="H1518" s="1352" t="s">
        <v>192</v>
      </c>
      <c r="I1518" s="1390">
        <f>D1518-D1501</f>
        <v>-760.14999999999964</v>
      </c>
      <c r="J1518" s="1319"/>
      <c r="K1518" s="1336"/>
      <c r="L1518" s="1336"/>
      <c r="M1518" s="7" t="str">
        <f t="shared" si="244"/>
        <v>TWLO</v>
      </c>
      <c r="P1518" s="1086">
        <f ca="1">RANK(O1020,O1014:O1023,1)</f>
        <v>4</v>
      </c>
    </row>
    <row r="1519" spans="1:17" hidden="1" outlineLevel="1" x14ac:dyDescent="0.35">
      <c r="A1519" s="7" t="s">
        <v>316</v>
      </c>
      <c r="B1519" s="1362">
        <v>130</v>
      </c>
      <c r="C1519" s="1363">
        <v>53.21</v>
      </c>
      <c r="D1519" s="1364">
        <f t="shared" si="242"/>
        <v>6917.3</v>
      </c>
      <c r="E1519" s="32">
        <f>(C1519-C1502)/C1502</f>
        <v>-2.5993044114955184E-2</v>
      </c>
      <c r="F1519" s="1224">
        <f t="shared" si="243"/>
        <v>2.3573947912933879E-2</v>
      </c>
      <c r="G1519" s="1147"/>
      <c r="H1519" s="1148"/>
      <c r="I1519" s="1390">
        <f>D1519-D1502</f>
        <v>1454.3000000000002</v>
      </c>
      <c r="J1519" s="1319"/>
      <c r="K1519" s="1336"/>
      <c r="L1519" s="1336"/>
      <c r="M1519" s="7" t="str">
        <f t="shared" si="244"/>
        <v>PD</v>
      </c>
      <c r="P1519" s="1086"/>
    </row>
    <row r="1520" spans="1:17" hidden="1" outlineLevel="1" x14ac:dyDescent="0.35">
      <c r="A1520" s="1346" t="s">
        <v>315</v>
      </c>
      <c r="B1520" s="1347">
        <v>100</v>
      </c>
      <c r="C1520" s="1348">
        <v>15.32</v>
      </c>
      <c r="D1520" s="1349"/>
      <c r="E1520" s="32">
        <f>(C1520-C1503)/C1503</f>
        <v>-0.24828263002944057</v>
      </c>
      <c r="F1520" s="1350">
        <f t="shared" si="243"/>
        <v>0</v>
      </c>
      <c r="G1520" s="1351"/>
      <c r="H1520" s="1352"/>
      <c r="I1520" s="1390">
        <f>D1520-D1503</f>
        <v>-2038</v>
      </c>
      <c r="J1520" s="1319" t="s">
        <v>321</v>
      </c>
      <c r="K1520" s="1336"/>
      <c r="L1520" s="1336"/>
      <c r="M1520" s="7" t="str">
        <f t="shared" si="244"/>
        <v>LK</v>
      </c>
      <c r="P1520" s="1086"/>
    </row>
    <row r="1521" spans="1:17" hidden="1" outlineLevel="1" x14ac:dyDescent="0.35">
      <c r="A1521" s="7" t="s">
        <v>139</v>
      </c>
      <c r="B1521" s="1362">
        <v>25</v>
      </c>
      <c r="C1521" s="1363">
        <v>95.78</v>
      </c>
      <c r="D1521" s="1364">
        <f>C1521*B1521</f>
        <v>2394.5</v>
      </c>
      <c r="E1521" s="32">
        <f>(C1521-C1504)/C1504</f>
        <v>0.13983101273354753</v>
      </c>
      <c r="F1521" s="1365">
        <f t="shared" si="243"/>
        <v>8.1603831375710416E-3</v>
      </c>
      <c r="G1521" s="1147"/>
      <c r="H1521" s="1385" t="s">
        <v>145</v>
      </c>
      <c r="I1521" s="1390">
        <f>D1521-D1504</f>
        <v>293.75</v>
      </c>
      <c r="J1521" s="1319"/>
      <c r="K1521" s="1336"/>
      <c r="L1521" s="1336"/>
      <c r="M1521" s="7" t="str">
        <f t="shared" si="244"/>
        <v>ROKU</v>
      </c>
      <c r="P1521" s="1086">
        <f ca="1">RANK(O1023,O1014:O1023,1)</f>
        <v>1</v>
      </c>
    </row>
    <row r="1522" spans="1:17" hidden="1" outlineLevel="1" x14ac:dyDescent="0.35">
      <c r="A1522" s="1346" t="s">
        <v>7</v>
      </c>
      <c r="B1522" s="1347"/>
      <c r="C1522" s="1348"/>
      <c r="D1522" s="1349">
        <v>1780.55</v>
      </c>
      <c r="E1522" s="32"/>
      <c r="F1522" s="1417">
        <f t="shared" si="243"/>
        <v>6.0680602195039126E-3</v>
      </c>
      <c r="G1522" s="1418"/>
      <c r="H1522" s="1419"/>
      <c r="I1522" s="1216"/>
      <c r="J1522" s="3155"/>
      <c r="K1522" s="3156"/>
      <c r="L1522" s="3157"/>
    </row>
    <row r="1523" spans="1:17" ht="16" hidden="1" outlineLevel="1" thickBot="1" x14ac:dyDescent="0.4">
      <c r="A1523" s="7" t="s">
        <v>60</v>
      </c>
      <c r="B1523" s="1362"/>
      <c r="C1523" s="1363"/>
      <c r="D1523" s="1364">
        <v>321</v>
      </c>
      <c r="E1523" s="32"/>
      <c r="F1523" s="1224">
        <f t="shared" si="243"/>
        <v>1.0939582322657359E-3</v>
      </c>
      <c r="G1523" s="1147"/>
      <c r="H1523" s="1148"/>
      <c r="I1523" s="786">
        <f>SUM(I1514:I1522)</f>
        <v>-2808.1099999999892</v>
      </c>
    </row>
    <row r="1524" spans="1:17" ht="19" hidden="1" outlineLevel="1" thickBot="1" x14ac:dyDescent="0.5">
      <c r="A1524" s="726" t="s">
        <v>62</v>
      </c>
      <c r="B1524" s="583"/>
      <c r="C1524" s="584"/>
      <c r="D1524" s="1230">
        <f>SUM(D1512:D1523)</f>
        <v>293429.84999999998</v>
      </c>
      <c r="E1524" s="1285">
        <f>D1524-D1507</f>
        <v>-6912.210000000021</v>
      </c>
      <c r="F1524" s="1180">
        <f>(D1524-D1507)/D1507</f>
        <v>-2.3014458913946389E-2</v>
      </c>
      <c r="G1524" s="679"/>
      <c r="H1524" s="1231"/>
      <c r="I1524" s="680"/>
    </row>
    <row r="1525" spans="1:17" hidden="1" outlineLevel="1" x14ac:dyDescent="0.35"/>
    <row r="1526" spans="1:17" hidden="1" outlineLevel="1" x14ac:dyDescent="0.35">
      <c r="A1526" s="701" t="s">
        <v>25</v>
      </c>
      <c r="B1526" s="702" t="s">
        <v>26</v>
      </c>
      <c r="C1526" s="703" t="s">
        <v>27</v>
      </c>
      <c r="D1526" s="704">
        <f>D1509+7</f>
        <v>43616</v>
      </c>
      <c r="E1526" s="705" t="s">
        <v>28</v>
      </c>
      <c r="F1526" s="1125"/>
      <c r="G1526" s="252"/>
      <c r="H1526" s="253"/>
      <c r="I1526" s="1182"/>
      <c r="J1526" s="1183" t="s">
        <v>233</v>
      </c>
    </row>
    <row r="1527" spans="1:17" hidden="1" outlineLevel="1" x14ac:dyDescent="0.35">
      <c r="A1527" s="706" t="s">
        <v>32</v>
      </c>
      <c r="B1527" s="255" t="str">
        <f ca="1">TEXT(TODAY(),"ddd")</f>
        <v>Sun</v>
      </c>
      <c r="C1527" s="256">
        <v>24815</v>
      </c>
      <c r="D1527" s="1398">
        <f>C1527-C1510</f>
        <v>-770</v>
      </c>
      <c r="E1527" s="1185">
        <f t="shared" ref="E1527:E1534" si="245">(C1527-C1510)/C1510</f>
        <v>-3.0095759233926128E-2</v>
      </c>
      <c r="F1527" s="1127" t="s">
        <v>310</v>
      </c>
      <c r="G1527" s="801"/>
      <c r="H1527" s="685"/>
      <c r="I1527" s="1187"/>
      <c r="J1527" s="1188" t="s">
        <v>234</v>
      </c>
      <c r="K1527" s="1220" t="s">
        <v>34</v>
      </c>
      <c r="L1527" s="111" t="s">
        <v>35</v>
      </c>
      <c r="Q1527" s="1432" t="s">
        <v>322</v>
      </c>
    </row>
    <row r="1528" spans="1:17" hidden="1" outlineLevel="1" x14ac:dyDescent="0.35">
      <c r="A1528" s="709" t="s">
        <v>36</v>
      </c>
      <c r="B1528" s="263"/>
      <c r="C1528" s="419">
        <v>7453</v>
      </c>
      <c r="D1528" s="1399">
        <f>C1528-C1511</f>
        <v>-184</v>
      </c>
      <c r="E1528" s="1185">
        <f t="shared" si="245"/>
        <v>-2.4093230326044258E-2</v>
      </c>
      <c r="F1528" s="1128" t="s">
        <v>37</v>
      </c>
      <c r="G1528" s="1129" t="s">
        <v>38</v>
      </c>
      <c r="H1528" s="1130" t="s">
        <v>144</v>
      </c>
      <c r="J1528" s="3137" t="s">
        <v>42</v>
      </c>
      <c r="K1528" s="3122"/>
      <c r="L1528" s="3123"/>
      <c r="M1528" s="1031" t="s">
        <v>244</v>
      </c>
      <c r="P1528" s="1355" t="s">
        <v>44</v>
      </c>
      <c r="Q1528" s="1433"/>
    </row>
    <row r="1529" spans="1:17" ht="39" hidden="1" customHeight="1" outlineLevel="1" thickBot="1" x14ac:dyDescent="0.4">
      <c r="A1529" s="1434" t="s">
        <v>292</v>
      </c>
      <c r="B1529" s="1435">
        <v>500</v>
      </c>
      <c r="C1529" s="1348">
        <v>24.92</v>
      </c>
      <c r="D1529" s="1349">
        <f t="shared" ref="D1529:D1537" si="246">C1529*B1529</f>
        <v>12460</v>
      </c>
      <c r="E1529" s="32">
        <f t="shared" si="245"/>
        <v>-2.2745098039215619E-2</v>
      </c>
      <c r="F1529" s="1421">
        <f t="shared" ref="F1529:F1539" si="247">D1529/D$1524</f>
        <v>4.2463300853679338E-2</v>
      </c>
      <c r="G1529" s="1351"/>
      <c r="H1529" s="1352" t="s">
        <v>305</v>
      </c>
      <c r="I1529" s="1264">
        <f t="shared" ref="I1529:I1534" si="248">D1529-D1512</f>
        <v>-290</v>
      </c>
      <c r="J1529" s="3152" t="s">
        <v>323</v>
      </c>
      <c r="K1529" s="3153"/>
      <c r="L1529" s="3153"/>
      <c r="M1529" s="7" t="str">
        <f t="shared" ref="M1529:M1537" si="249">A1529</f>
        <v>PINS</v>
      </c>
      <c r="P1529" s="1436">
        <f ca="1">RANK(O1031,O1031:O1040,1)</f>
        <v>7</v>
      </c>
      <c r="Q1529" s="1437">
        <f>D1529</f>
        <v>12460</v>
      </c>
    </row>
    <row r="1530" spans="1:17" hidden="1" outlineLevel="1" x14ac:dyDescent="0.35">
      <c r="A1530" s="7" t="s">
        <v>208</v>
      </c>
      <c r="B1530" s="1362">
        <v>310</v>
      </c>
      <c r="C1530" s="1363">
        <v>284.35000000000002</v>
      </c>
      <c r="D1530" s="1364">
        <f t="shared" si="246"/>
        <v>88148.5</v>
      </c>
      <c r="E1530" s="1430">
        <f t="shared" si="245"/>
        <v>-8.707098596975632E-2</v>
      </c>
      <c r="F1530" s="1423">
        <f t="shared" si="247"/>
        <v>0.3004074057223558</v>
      </c>
      <c r="G1530" s="1424">
        <v>58</v>
      </c>
      <c r="H1530" s="1367" t="s">
        <v>192</v>
      </c>
      <c r="I1530" s="1264">
        <f t="shared" si="248"/>
        <v>-9964.5500000000029</v>
      </c>
      <c r="J1530" s="3147"/>
      <c r="K1530" s="3148"/>
      <c r="L1530" s="3148"/>
      <c r="M1530" s="7" t="str">
        <f t="shared" si="249"/>
        <v>ALGN</v>
      </c>
      <c r="P1530" s="1436">
        <f ca="1">RANK(O1032,O1031:O1039,1)</f>
        <v>1</v>
      </c>
      <c r="Q1530" s="1433"/>
    </row>
    <row r="1531" spans="1:17" ht="31.5" hidden="1" customHeight="1" outlineLevel="1" x14ac:dyDescent="0.35">
      <c r="A1531" s="1434" t="s">
        <v>307</v>
      </c>
      <c r="B1531" s="1435">
        <v>200</v>
      </c>
      <c r="C1531" s="1348">
        <v>261.93</v>
      </c>
      <c r="D1531" s="1349">
        <f t="shared" si="246"/>
        <v>52386</v>
      </c>
      <c r="E1531" s="32">
        <f t="shared" si="245"/>
        <v>-2.6101505856107016E-2</v>
      </c>
      <c r="F1531" s="1425">
        <f t="shared" si="247"/>
        <v>0.17852989394228297</v>
      </c>
      <c r="G1531" s="1426"/>
      <c r="H1531" s="1385" t="s">
        <v>145</v>
      </c>
      <c r="I1531" s="1264">
        <f t="shared" si="248"/>
        <v>-1404</v>
      </c>
      <c r="J1531" s="3152" t="s">
        <v>323</v>
      </c>
      <c r="K1531" s="3153"/>
      <c r="L1531" s="3154"/>
      <c r="M1531" s="7" t="str">
        <f t="shared" si="249"/>
        <v>NOW</v>
      </c>
      <c r="P1531" s="1436">
        <f ca="1">RANK(O1033,O1025:O1033,1)</f>
        <v>1</v>
      </c>
      <c r="Q1531" s="1437">
        <f>D1531</f>
        <v>52386</v>
      </c>
    </row>
    <row r="1532" spans="1:17" ht="37.5" hidden="1" customHeight="1" outlineLevel="1" x14ac:dyDescent="0.35">
      <c r="A1532" s="1434" t="s">
        <v>308</v>
      </c>
      <c r="B1532" s="1435">
        <v>182</v>
      </c>
      <c r="C1532" s="1363">
        <v>274.89999999999998</v>
      </c>
      <c r="D1532" s="1364">
        <f t="shared" si="246"/>
        <v>50031.799999999996</v>
      </c>
      <c r="E1532" s="32">
        <f t="shared" si="245"/>
        <v>-3.4439006706545056E-3</v>
      </c>
      <c r="F1532" s="1427">
        <f t="shared" si="247"/>
        <v>0.17050685197842005</v>
      </c>
      <c r="G1532" s="1424"/>
      <c r="H1532" s="1367" t="s">
        <v>192</v>
      </c>
      <c r="I1532" s="1264">
        <f t="shared" si="248"/>
        <v>-172.90000000000873</v>
      </c>
      <c r="J1532" s="3152" t="s">
        <v>323</v>
      </c>
      <c r="K1532" s="3153"/>
      <c r="L1532" s="3154"/>
      <c r="M1532" s="7" t="str">
        <f t="shared" si="249"/>
        <v>SHOP</v>
      </c>
      <c r="P1532" s="1436">
        <f ca="1">RANK(O1034,O1031:O1039,1)</f>
        <v>4</v>
      </c>
      <c r="Q1532" s="1437">
        <f>D1532</f>
        <v>50031.799999999996</v>
      </c>
    </row>
    <row r="1533" spans="1:17" ht="33" hidden="1" customHeight="1" outlineLevel="1" x14ac:dyDescent="0.35">
      <c r="A1533" s="1434" t="s">
        <v>293</v>
      </c>
      <c r="B1533" s="1435">
        <v>175</v>
      </c>
      <c r="C1533" s="1348">
        <v>79.73</v>
      </c>
      <c r="D1533" s="1349">
        <f t="shared" si="246"/>
        <v>13952.75</v>
      </c>
      <c r="E1533" s="32">
        <f t="shared" si="245"/>
        <v>4.5639344262295135E-2</v>
      </c>
      <c r="F1533" s="1427">
        <f t="shared" si="247"/>
        <v>4.7550547430672108E-2</v>
      </c>
      <c r="G1533" s="1426"/>
      <c r="H1533" s="1352" t="s">
        <v>305</v>
      </c>
      <c r="I1533" s="1264">
        <f t="shared" si="248"/>
        <v>609</v>
      </c>
      <c r="J1533" s="3152" t="s">
        <v>323</v>
      </c>
      <c r="K1533" s="3153"/>
      <c r="L1533" s="3154"/>
      <c r="M1533" s="7" t="str">
        <f t="shared" si="249"/>
        <v>ZM</v>
      </c>
      <c r="P1533" s="1436"/>
      <c r="Q1533" s="1437">
        <f>D1533</f>
        <v>13952.75</v>
      </c>
    </row>
    <row r="1534" spans="1:17" ht="16" hidden="1" outlineLevel="1" thickBot="1" x14ac:dyDescent="0.4">
      <c r="A1534" s="7" t="s">
        <v>301</v>
      </c>
      <c r="B1534" s="1362">
        <v>150</v>
      </c>
      <c r="C1534" s="1363">
        <v>249.77</v>
      </c>
      <c r="D1534" s="1364">
        <f t="shared" si="246"/>
        <v>37465.5</v>
      </c>
      <c r="E1534" s="32">
        <f t="shared" si="245"/>
        <v>-2.4754988091054638E-2</v>
      </c>
      <c r="F1534" s="1429">
        <f t="shared" si="247"/>
        <v>0.1276812839593518</v>
      </c>
      <c r="G1534" s="1250">
        <v>21</v>
      </c>
      <c r="H1534" s="1385" t="s">
        <v>146</v>
      </c>
      <c r="I1534" s="1264">
        <f t="shared" si="248"/>
        <v>-951</v>
      </c>
      <c r="J1534" s="1335"/>
      <c r="K1534" s="1336"/>
      <c r="L1534" s="1336"/>
      <c r="M1534" s="7" t="str">
        <f t="shared" si="249"/>
        <v>DIXX</v>
      </c>
      <c r="P1534" s="1436">
        <f ca="1">RANK(O1036,O1031:O1039,1)</f>
        <v>6</v>
      </c>
      <c r="Q1534" s="1433"/>
    </row>
    <row r="1535" spans="1:17" ht="21.75" hidden="1" customHeight="1" outlineLevel="1" x14ac:dyDescent="0.35">
      <c r="A1535" s="7" t="s">
        <v>316</v>
      </c>
      <c r="B1535" s="1362">
        <v>130</v>
      </c>
      <c r="C1535" s="1363">
        <v>51.4</v>
      </c>
      <c r="D1535" s="1364">
        <f t="shared" si="246"/>
        <v>6682</v>
      </c>
      <c r="E1535" s="32">
        <f>(C1535-C1519)/C1519</f>
        <v>-3.4016162375493368E-2</v>
      </c>
      <c r="F1535" s="1224">
        <f t="shared" si="247"/>
        <v>2.2772052672896097E-2</v>
      </c>
      <c r="G1535" s="1147"/>
      <c r="H1535" s="1148" t="s">
        <v>305</v>
      </c>
      <c r="I1535" s="1264">
        <f>D1535-D1519</f>
        <v>-235.30000000000018</v>
      </c>
      <c r="J1535" s="1438" t="s">
        <v>323</v>
      </c>
      <c r="K1535" s="1439"/>
      <c r="L1535" s="1439"/>
      <c r="M1535" s="7" t="str">
        <f t="shared" si="249"/>
        <v>PD</v>
      </c>
      <c r="P1535" s="1436"/>
      <c r="Q1535" s="1437">
        <f>D1535</f>
        <v>6682</v>
      </c>
    </row>
    <row r="1536" spans="1:17" ht="16" hidden="1" outlineLevel="1" thickBot="1" x14ac:dyDescent="0.4">
      <c r="A1536" s="1346" t="s">
        <v>282</v>
      </c>
      <c r="B1536" s="1347">
        <v>115</v>
      </c>
      <c r="C1536" s="1348">
        <v>131.99</v>
      </c>
      <c r="D1536" s="1349">
        <f t="shared" si="246"/>
        <v>15178.85</v>
      </c>
      <c r="E1536" s="32">
        <f>(C1536-C1520)/C1520</f>
        <v>7.615535248041776</v>
      </c>
      <c r="F1536" s="1431">
        <f>D1536/D$1524</f>
        <v>5.1729058921578704E-2</v>
      </c>
      <c r="G1536" s="1351"/>
      <c r="H1536" s="1352" t="s">
        <v>192</v>
      </c>
      <c r="I1536" s="1264"/>
      <c r="J1536" s="1319"/>
      <c r="K1536" s="1336"/>
      <c r="L1536" s="1336"/>
      <c r="M1536" s="7" t="str">
        <f t="shared" si="249"/>
        <v>TWLO</v>
      </c>
      <c r="P1536" s="1086">
        <f ca="1">RANK(O1038,O1031:O1039,1)</f>
        <v>4</v>
      </c>
      <c r="Q1536" s="1440">
        <f>SUM(Q1529:Q1535)</f>
        <v>135512.54999999999</v>
      </c>
    </row>
    <row r="1537" spans="1:16" hidden="1" outlineLevel="1" x14ac:dyDescent="0.35">
      <c r="A1537" s="1346" t="s">
        <v>139</v>
      </c>
      <c r="B1537" s="1347">
        <v>25</v>
      </c>
      <c r="C1537" s="1348">
        <v>90.4</v>
      </c>
      <c r="D1537" s="1349">
        <f t="shared" si="246"/>
        <v>2260</v>
      </c>
      <c r="E1537" s="32">
        <f>(C1537-C1521)/C1521</f>
        <v>-5.6170390478179115E-2</v>
      </c>
      <c r="F1537" s="1365">
        <f t="shared" si="247"/>
        <v>7.7020112302821275E-3</v>
      </c>
      <c r="G1537" s="1147"/>
      <c r="H1537" s="1385" t="s">
        <v>145</v>
      </c>
      <c r="I1537" s="1390">
        <f>D1537-D1521</f>
        <v>-134.5</v>
      </c>
      <c r="J1537" s="1319"/>
      <c r="K1537" s="1336"/>
      <c r="L1537" s="1336"/>
      <c r="M1537" s="7" t="str">
        <f t="shared" si="249"/>
        <v>ROKU</v>
      </c>
      <c r="P1537" s="1086">
        <f ca="1">RANK(O1039,O1031:O1039,1)</f>
        <v>1</v>
      </c>
    </row>
    <row r="1538" spans="1:16" hidden="1" outlineLevel="1" x14ac:dyDescent="0.35">
      <c r="A1538" s="7" t="s">
        <v>7</v>
      </c>
      <c r="B1538" s="1362"/>
      <c r="C1538" s="1363"/>
      <c r="D1538" s="1364">
        <v>1780.55</v>
      </c>
      <c r="E1538" s="32"/>
      <c r="F1538" s="1417">
        <f t="shared" si="247"/>
        <v>6.0680602195039126E-3</v>
      </c>
      <c r="G1538" s="1418"/>
      <c r="H1538" s="1419"/>
      <c r="I1538" s="1216"/>
      <c r="J1538" s="3155"/>
      <c r="K1538" s="3156"/>
      <c r="L1538" s="3157"/>
    </row>
    <row r="1539" spans="1:16" ht="16" hidden="1" outlineLevel="1" thickBot="1" x14ac:dyDescent="0.4">
      <c r="A1539" s="1346" t="s">
        <v>60</v>
      </c>
      <c r="B1539" s="1347"/>
      <c r="C1539" s="1348"/>
      <c r="D1539" s="1349">
        <v>21</v>
      </c>
      <c r="E1539" s="32"/>
      <c r="F1539" s="1224">
        <f t="shared" si="247"/>
        <v>7.1567360989347207E-5</v>
      </c>
      <c r="G1539" s="1147"/>
      <c r="H1539" s="1148"/>
      <c r="I1539" s="786">
        <f>SUM(I1529:I1538)</f>
        <v>-12543.250000000011</v>
      </c>
    </row>
    <row r="1540" spans="1:16" ht="19" hidden="1" outlineLevel="1" thickBot="1" x14ac:dyDescent="0.5">
      <c r="A1540" s="726" t="s">
        <v>62</v>
      </c>
      <c r="B1540" s="583"/>
      <c r="C1540" s="584"/>
      <c r="D1540" s="1230">
        <f>SUM(D1529:D1539)</f>
        <v>280366.94999999995</v>
      </c>
      <c r="E1540" s="1285">
        <f>D1540-D1524</f>
        <v>-13062.900000000023</v>
      </c>
      <c r="F1540" s="1180">
        <f>(D1540-D1524)/D1524</f>
        <v>-4.4517965707987869E-2</v>
      </c>
      <c r="G1540" s="679"/>
      <c r="H1540" s="1231"/>
      <c r="I1540" s="680"/>
    </row>
    <row r="1541" spans="1:16" hidden="1" outlineLevel="1" x14ac:dyDescent="0.35">
      <c r="D1541" s="247"/>
    </row>
    <row r="1542" spans="1:16" hidden="1" outlineLevel="1" x14ac:dyDescent="0.35">
      <c r="A1542" s="701" t="s">
        <v>25</v>
      </c>
      <c r="B1542" s="702" t="s">
        <v>26</v>
      </c>
      <c r="C1542" s="703" t="s">
        <v>27</v>
      </c>
      <c r="D1542" s="704">
        <f>D1526+7</f>
        <v>43623</v>
      </c>
      <c r="E1542" s="705" t="s">
        <v>28</v>
      </c>
      <c r="F1542" s="1125"/>
      <c r="G1542" s="252"/>
      <c r="H1542" s="253"/>
      <c r="I1542" s="1182"/>
      <c r="J1542" s="1183" t="s">
        <v>233</v>
      </c>
    </row>
    <row r="1543" spans="1:16" hidden="1" outlineLevel="1" x14ac:dyDescent="0.35">
      <c r="A1543" s="706" t="s">
        <v>32</v>
      </c>
      <c r="B1543" s="255" t="str">
        <f ca="1">TEXT(TODAY(),"ddd")</f>
        <v>Sun</v>
      </c>
      <c r="C1543" s="256">
        <v>25983</v>
      </c>
      <c r="D1543" s="1441">
        <f>C1543-C1527</f>
        <v>1168</v>
      </c>
      <c r="E1543" s="32">
        <f>(C1543-C1527)/C1527</f>
        <v>4.7068305460407009E-2</v>
      </c>
      <c r="F1543" s="1127" t="s">
        <v>310</v>
      </c>
      <c r="G1543" s="801"/>
      <c r="H1543" s="685"/>
      <c r="I1543" s="1187"/>
      <c r="J1543" s="1188" t="s">
        <v>234</v>
      </c>
      <c r="K1543" s="1220" t="s">
        <v>34</v>
      </c>
      <c r="L1543" s="111" t="s">
        <v>35</v>
      </c>
    </row>
    <row r="1544" spans="1:16" hidden="1" outlineLevel="1" x14ac:dyDescent="0.35">
      <c r="A1544" s="709" t="s">
        <v>36</v>
      </c>
      <c r="B1544" s="263"/>
      <c r="C1544" s="419">
        <v>7742</v>
      </c>
      <c r="D1544" s="1441">
        <f>C1544-C1528</f>
        <v>289</v>
      </c>
      <c r="E1544" s="32">
        <f>(C1544-C1528)/C1528</f>
        <v>3.8776331678518718E-2</v>
      </c>
      <c r="F1544" s="1128" t="s">
        <v>37</v>
      </c>
      <c r="G1544" s="1129" t="s">
        <v>38</v>
      </c>
      <c r="H1544" s="1130" t="s">
        <v>144</v>
      </c>
      <c r="J1544" s="3137" t="s">
        <v>42</v>
      </c>
      <c r="K1544" s="3122"/>
      <c r="L1544" s="3123"/>
      <c r="M1544" s="1031" t="s">
        <v>244</v>
      </c>
      <c r="P1544" s="1032" t="s">
        <v>44</v>
      </c>
    </row>
    <row r="1545" spans="1:16" hidden="1" outlineLevel="1" x14ac:dyDescent="0.35">
      <c r="A1545" s="7" t="s">
        <v>208</v>
      </c>
      <c r="B1545" s="1362">
        <v>310</v>
      </c>
      <c r="C1545" s="1363">
        <v>307.66000000000003</v>
      </c>
      <c r="D1545" s="1364">
        <f>C1545*B1545</f>
        <v>95374.6</v>
      </c>
      <c r="E1545" s="1442">
        <f>(C1545-C1530)/C1530</f>
        <v>8.1976437489010026E-2</v>
      </c>
      <c r="F1545" s="1423">
        <f t="shared" ref="F1545:F1553" si="250">D1545/D$1554</f>
        <v>0.31441156232395151</v>
      </c>
      <c r="G1545" s="1424">
        <v>58</v>
      </c>
      <c r="H1545" s="1385" t="s">
        <v>145</v>
      </c>
      <c r="I1545" s="1264"/>
      <c r="J1545" s="3147" t="s">
        <v>324</v>
      </c>
      <c r="K1545" s="3148"/>
      <c r="L1545" s="3148"/>
      <c r="M1545" s="7" t="str">
        <f t="shared" ref="M1545:M1551" si="251">A1545</f>
        <v>ALGN</v>
      </c>
      <c r="P1545" s="1086">
        <f ca="1">RANK(O1047,O1047:O1053,1)</f>
        <v>1</v>
      </c>
    </row>
    <row r="1546" spans="1:16" hidden="1" outlineLevel="1" x14ac:dyDescent="0.35">
      <c r="A1546" s="1346" t="s">
        <v>307</v>
      </c>
      <c r="B1546" s="1347">
        <v>300</v>
      </c>
      <c r="C1546" s="1348">
        <v>274.55</v>
      </c>
      <c r="D1546" s="1349">
        <f t="shared" ref="D1546:D1551" si="252">C1546*B1546</f>
        <v>82365</v>
      </c>
      <c r="E1546" s="32">
        <f>(C1546-C1531)/C1531</f>
        <v>4.8180811667239358E-2</v>
      </c>
      <c r="F1546" s="1425">
        <f t="shared" si="250"/>
        <v>0.27152416189228856</v>
      </c>
      <c r="G1546" s="1426"/>
      <c r="H1546" s="1385" t="s">
        <v>145</v>
      </c>
      <c r="I1546" s="1264"/>
      <c r="J1546" s="3147" t="s">
        <v>324</v>
      </c>
      <c r="K1546" s="3148"/>
      <c r="L1546" s="3148"/>
      <c r="M1546" s="7" t="str">
        <f t="shared" si="251"/>
        <v>NOW</v>
      </c>
      <c r="P1546" s="1086">
        <f ca="1">RANK(O1048,O1041:O1048,1)</f>
        <v>1</v>
      </c>
    </row>
    <row r="1547" spans="1:16" hidden="1" outlineLevel="1" x14ac:dyDescent="0.35">
      <c r="A1547" s="7" t="s">
        <v>325</v>
      </c>
      <c r="B1547" s="1362">
        <v>250</v>
      </c>
      <c r="C1547" s="1363">
        <v>138.65</v>
      </c>
      <c r="D1547" s="1364">
        <f t="shared" si="252"/>
        <v>34662.5</v>
      </c>
      <c r="E1547" s="32"/>
      <c r="F1547" s="1427">
        <f t="shared" si="250"/>
        <v>0.11426827246514237</v>
      </c>
      <c r="G1547" s="1424"/>
      <c r="H1547" s="1367" t="s">
        <v>192</v>
      </c>
      <c r="I1547" s="1264"/>
      <c r="J1547" s="3147" t="s">
        <v>324</v>
      </c>
      <c r="K1547" s="3148"/>
      <c r="L1547" s="3148"/>
      <c r="M1547" s="7" t="str">
        <f t="shared" si="251"/>
        <v>BYND</v>
      </c>
      <c r="P1547" s="1086">
        <f ca="1">RANK(O1049,O1047:O1053,1)</f>
        <v>6</v>
      </c>
    </row>
    <row r="1548" spans="1:16" hidden="1" outlineLevel="1" x14ac:dyDescent="0.35">
      <c r="A1548" s="1346" t="s">
        <v>293</v>
      </c>
      <c r="B1548" s="1347">
        <v>200</v>
      </c>
      <c r="C1548" s="1348">
        <v>94.05</v>
      </c>
      <c r="D1548" s="1349">
        <f t="shared" si="252"/>
        <v>18810</v>
      </c>
      <c r="E1548" s="1442">
        <f>(C1548-C1533)/C1533</f>
        <v>0.17960617082653949</v>
      </c>
      <c r="F1548" s="1427">
        <f t="shared" si="250"/>
        <v>6.2008978148411914E-2</v>
      </c>
      <c r="G1548" s="1426"/>
      <c r="H1548" s="1352" t="s">
        <v>305</v>
      </c>
      <c r="I1548" s="1264"/>
      <c r="J1548" s="1319"/>
      <c r="K1548" s="1336"/>
      <c r="L1548" s="1336"/>
      <c r="M1548" s="7" t="str">
        <f t="shared" si="251"/>
        <v>ZM</v>
      </c>
      <c r="P1548" s="1086">
        <f ca="1">RANK(O1050,O1048:O1054,1)</f>
        <v>5</v>
      </c>
    </row>
    <row r="1549" spans="1:16" ht="16" hidden="1" outlineLevel="1" thickBot="1" x14ac:dyDescent="0.4">
      <c r="A1549" s="7" t="s">
        <v>301</v>
      </c>
      <c r="B1549" s="1362">
        <v>150</v>
      </c>
      <c r="C1549" s="1363">
        <v>264.92</v>
      </c>
      <c r="D1549" s="1364">
        <f t="shared" si="252"/>
        <v>39738</v>
      </c>
      <c r="E1549" s="32">
        <f>(C1549-C1534)/C1534</f>
        <v>6.0655803339071966E-2</v>
      </c>
      <c r="F1549" s="1429">
        <f t="shared" si="250"/>
        <v>0.13100014745675664</v>
      </c>
      <c r="G1549" s="1250">
        <v>21</v>
      </c>
      <c r="H1549" s="1443" t="s">
        <v>146</v>
      </c>
      <c r="I1549" s="1264"/>
      <c r="J1549" s="1335"/>
      <c r="K1549" s="1336"/>
      <c r="L1549" s="1336"/>
      <c r="M1549" s="7" t="str">
        <f t="shared" si="251"/>
        <v>DIXX</v>
      </c>
      <c r="P1549" s="1086">
        <f ca="1">RANK(O1051,O1047:O1053,1)</f>
        <v>5</v>
      </c>
    </row>
    <row r="1550" spans="1:16" hidden="1" outlineLevel="1" x14ac:dyDescent="0.35">
      <c r="A1550" s="1346" t="s">
        <v>308</v>
      </c>
      <c r="B1550" s="1347">
        <v>75</v>
      </c>
      <c r="C1550" s="1348">
        <v>305.05</v>
      </c>
      <c r="D1550" s="1349">
        <f t="shared" si="252"/>
        <v>22878.75</v>
      </c>
      <c r="E1550" s="1442">
        <f>(C1550-C1532)/C1536</f>
        <v>0.22842639593908654</v>
      </c>
      <c r="F1550" s="1431">
        <f t="shared" si="250"/>
        <v>7.5422004721583155E-2</v>
      </c>
      <c r="G1550" s="1351"/>
      <c r="H1550" s="1352" t="s">
        <v>192</v>
      </c>
      <c r="I1550" s="1264"/>
      <c r="J1550" s="1319"/>
      <c r="K1550" s="1336"/>
      <c r="L1550" s="1336"/>
      <c r="M1550" s="7" t="str">
        <f t="shared" si="251"/>
        <v>SHOP</v>
      </c>
      <c r="P1550" s="1086">
        <f ca="1">RANK(O1052,O1047:O1053,1)</f>
        <v>4</v>
      </c>
    </row>
    <row r="1551" spans="1:16" hidden="1" outlineLevel="1" x14ac:dyDescent="0.35">
      <c r="A1551" s="7" t="s">
        <v>139</v>
      </c>
      <c r="B1551" s="1362">
        <v>25</v>
      </c>
      <c r="C1551" s="1363">
        <v>101.87</v>
      </c>
      <c r="D1551" s="1364">
        <f t="shared" si="252"/>
        <v>2546.75</v>
      </c>
      <c r="E1551" s="1442">
        <f>(C1551-C1537)/C1537</f>
        <v>0.12688053097345131</v>
      </c>
      <c r="F1551" s="1365">
        <f t="shared" si="250"/>
        <v>8.3956068633422674E-3</v>
      </c>
      <c r="G1551" s="1147"/>
      <c r="H1551" s="1385" t="s">
        <v>145</v>
      </c>
      <c r="I1551" s="1264"/>
      <c r="J1551" s="1319"/>
      <c r="K1551" s="1336"/>
      <c r="L1551" s="1336"/>
      <c r="M1551" s="7" t="str">
        <f t="shared" si="251"/>
        <v>ROKU</v>
      </c>
      <c r="P1551" s="1086">
        <f ca="1">RANK(O1053,O1047:O1053,1)</f>
        <v>1</v>
      </c>
    </row>
    <row r="1552" spans="1:16" hidden="1" outlineLevel="1" x14ac:dyDescent="0.35">
      <c r="A1552" s="1346" t="s">
        <v>7</v>
      </c>
      <c r="B1552" s="1347"/>
      <c r="C1552" s="1348"/>
      <c r="D1552" s="1349">
        <v>1771.57</v>
      </c>
      <c r="E1552" s="32"/>
      <c r="F1552" s="1417">
        <f t="shared" si="250"/>
        <v>5.8401512715779954E-3</v>
      </c>
      <c r="G1552" s="1418"/>
      <c r="H1552" s="1419"/>
      <c r="I1552" s="1216"/>
      <c r="J1552" s="3149" t="s">
        <v>326</v>
      </c>
      <c r="K1552" s="3150"/>
      <c r="L1552" s="3151"/>
    </row>
    <row r="1553" spans="1:24" ht="16" hidden="1" outlineLevel="1" thickBot="1" x14ac:dyDescent="0.4">
      <c r="A1553" s="7" t="s">
        <v>60</v>
      </c>
      <c r="B1553" s="1362"/>
      <c r="C1553" s="1363"/>
      <c r="D1553" s="1364">
        <v>5196</v>
      </c>
      <c r="E1553" s="32"/>
      <c r="F1553" s="1224">
        <f t="shared" si="250"/>
        <v>1.7129114856945685E-2</v>
      </c>
      <c r="G1553" s="1147"/>
      <c r="H1553" s="1148"/>
      <c r="I1553" s="786">
        <f>SUM(I1546:I1552)</f>
        <v>0</v>
      </c>
    </row>
    <row r="1554" spans="1:24" ht="19" hidden="1" outlineLevel="1" thickBot="1" x14ac:dyDescent="0.5">
      <c r="A1554" s="726" t="s">
        <v>62</v>
      </c>
      <c r="B1554" s="583"/>
      <c r="C1554" s="584"/>
      <c r="D1554" s="1230">
        <f>SUM(D1545:D1553)</f>
        <v>303343.17</v>
      </c>
      <c r="E1554" s="1293">
        <f>D1554-D1540</f>
        <v>22976.22000000003</v>
      </c>
      <c r="F1554" s="1294">
        <f>(D1554-D1540)/D1540</f>
        <v>8.1950529475746103E-2</v>
      </c>
      <c r="G1554" s="679"/>
      <c r="H1554" s="1231"/>
      <c r="I1554" s="680"/>
    </row>
    <row r="1555" spans="1:24" hidden="1" outlineLevel="1" x14ac:dyDescent="0.35"/>
    <row r="1556" spans="1:24" hidden="1" outlineLevel="1" x14ac:dyDescent="0.35">
      <c r="A1556" s="701" t="s">
        <v>25</v>
      </c>
      <c r="B1556" s="702" t="s">
        <v>26</v>
      </c>
      <c r="C1556" s="703" t="s">
        <v>27</v>
      </c>
      <c r="D1556" s="704">
        <f>D1542+7</f>
        <v>43630</v>
      </c>
      <c r="E1556" s="705" t="s">
        <v>28</v>
      </c>
      <c r="F1556" s="1125"/>
      <c r="G1556" s="252"/>
      <c r="H1556" s="253"/>
      <c r="I1556" s="1182"/>
      <c r="J1556" s="1183" t="s">
        <v>233</v>
      </c>
    </row>
    <row r="1557" spans="1:24" hidden="1" outlineLevel="1" x14ac:dyDescent="0.35">
      <c r="A1557" s="706" t="s">
        <v>32</v>
      </c>
      <c r="B1557" s="255" t="str">
        <f ca="1">TEXT(TODAY(),"ddd")</f>
        <v>Sun</v>
      </c>
      <c r="C1557" s="256">
        <v>26089</v>
      </c>
      <c r="D1557" s="1441">
        <f>C1557-C1543</f>
        <v>106</v>
      </c>
      <c r="E1557" s="32">
        <f>(C1557-C1543)/C1543</f>
        <v>4.0795905014817382E-3</v>
      </c>
      <c r="F1557" s="1127" t="s">
        <v>310</v>
      </c>
      <c r="G1557" s="801"/>
      <c r="H1557" s="685"/>
      <c r="I1557" s="1187"/>
      <c r="J1557" s="1188" t="s">
        <v>234</v>
      </c>
      <c r="K1557" s="1220" t="s">
        <v>34</v>
      </c>
      <c r="L1557" s="111" t="s">
        <v>35</v>
      </c>
    </row>
    <row r="1558" spans="1:24" hidden="1" outlineLevel="1" x14ac:dyDescent="0.35">
      <c r="A1558" s="709" t="s">
        <v>36</v>
      </c>
      <c r="B1558" s="263"/>
      <c r="C1558" s="419">
        <v>7796</v>
      </c>
      <c r="D1558" s="1441">
        <f>C1558-C1544</f>
        <v>54</v>
      </c>
      <c r="E1558" s="32">
        <f>(C1558-C1544)/C1544</f>
        <v>6.9749418754843709E-3</v>
      </c>
      <c r="F1558" s="1128" t="s">
        <v>37</v>
      </c>
      <c r="G1558" s="1129" t="s">
        <v>38</v>
      </c>
      <c r="H1558" s="1130" t="s">
        <v>144</v>
      </c>
      <c r="J1558" s="3137" t="s">
        <v>42</v>
      </c>
      <c r="K1558" s="3122"/>
      <c r="L1558" s="3123"/>
      <c r="M1558" s="1031" t="s">
        <v>244</v>
      </c>
      <c r="P1558" s="1355" t="s">
        <v>44</v>
      </c>
      <c r="Q1558" s="1444" t="s">
        <v>45</v>
      </c>
      <c r="R1558" s="1445" t="s">
        <v>46</v>
      </c>
      <c r="S1558" s="1446" t="s">
        <v>47</v>
      </c>
      <c r="T1558" s="1379" t="s">
        <v>286</v>
      </c>
      <c r="U1558" s="602"/>
      <c r="V1558" s="602"/>
      <c r="W1558" s="602"/>
    </row>
    <row r="1559" spans="1:24" hidden="1" outlineLevel="1" x14ac:dyDescent="0.35">
      <c r="A1559" s="7" t="s">
        <v>208</v>
      </c>
      <c r="B1559" s="1362">
        <v>310</v>
      </c>
      <c r="C1559" s="1363">
        <v>305.7</v>
      </c>
      <c r="D1559" s="1364">
        <f>C1559*B1559</f>
        <v>94767</v>
      </c>
      <c r="E1559" s="32">
        <f>(C1559-C1545)/C1545</f>
        <v>-6.3706689202367422E-3</v>
      </c>
      <c r="F1559" s="1447">
        <f t="shared" ref="F1559:F1568" si="253">D1559/D$1554</f>
        <v>0.31240855035569121</v>
      </c>
      <c r="G1559" s="1424">
        <v>58</v>
      </c>
      <c r="H1559" s="1385" t="s">
        <v>145</v>
      </c>
      <c r="I1559" s="1264">
        <f>D1559-D1545</f>
        <v>-607.60000000000582</v>
      </c>
      <c r="J1559" s="3147" t="s">
        <v>327</v>
      </c>
      <c r="K1559" s="3148"/>
      <c r="L1559" s="3148"/>
      <c r="M1559" s="7" t="str">
        <f>A1559</f>
        <v>ALGN</v>
      </c>
      <c r="P1559" s="1436">
        <f ca="1">RANK(O1061,O1061:O1068,1)</f>
        <v>1</v>
      </c>
      <c r="Q1559" s="1448">
        <f t="shared" ref="Q1559:Q1566" si="254">B1559*RIGHT(J1559,6)</f>
        <v>91750.700000000012</v>
      </c>
      <c r="R1559" s="1449">
        <f>D1559</f>
        <v>94767</v>
      </c>
      <c r="S1559" s="1450">
        <f>R1559-Q1559</f>
        <v>3016.2999999999884</v>
      </c>
      <c r="T1559" s="112" t="s">
        <v>325</v>
      </c>
      <c r="W1559" s="193"/>
    </row>
    <row r="1560" spans="1:24" ht="26" hidden="1" outlineLevel="1" x14ac:dyDescent="0.35">
      <c r="A1560" s="1346" t="s">
        <v>307</v>
      </c>
      <c r="B1560" s="1347">
        <v>300</v>
      </c>
      <c r="C1560" s="1348">
        <v>272.25</v>
      </c>
      <c r="D1560" s="1349">
        <f t="shared" ref="D1560:D1566" si="255">C1560*B1560</f>
        <v>81675</v>
      </c>
      <c r="E1560" s="32">
        <f>(C1560-C1546)/C1546</f>
        <v>-8.3773447459479563E-3</v>
      </c>
      <c r="F1560" s="1451">
        <f t="shared" si="253"/>
        <v>0.26924951038126227</v>
      </c>
      <c r="G1560" s="1426"/>
      <c r="H1560" s="1385" t="s">
        <v>145</v>
      </c>
      <c r="I1560" s="1314">
        <f>D1560-D1546</f>
        <v>-690</v>
      </c>
      <c r="J1560" s="1273" t="s">
        <v>328</v>
      </c>
      <c r="K1560" s="1274"/>
      <c r="L1560" s="1274"/>
      <c r="M1560" s="7" t="str">
        <f>A1560</f>
        <v>NOW</v>
      </c>
      <c r="P1560" s="1436">
        <f ca="1">RANK(O1062,O1055:O1062,1)</f>
        <v>1</v>
      </c>
      <c r="Q1560" s="1452">
        <f t="shared" si="254"/>
        <v>76650</v>
      </c>
      <c r="R1560" s="1453">
        <f t="shared" ref="R1560:R1566" si="256">D1560</f>
        <v>81675</v>
      </c>
      <c r="S1560" s="1454">
        <f t="shared" ref="S1560:S1566" si="257">R1560-Q1560</f>
        <v>5025</v>
      </c>
      <c r="T1560" s="112" t="s">
        <v>282</v>
      </c>
      <c r="W1560" s="193"/>
    </row>
    <row r="1561" spans="1:24" hidden="1" outlineLevel="1" x14ac:dyDescent="0.35">
      <c r="A1561" s="7" t="s">
        <v>329</v>
      </c>
      <c r="B1561" s="1362">
        <v>210</v>
      </c>
      <c r="C1561" s="1363">
        <v>64.16</v>
      </c>
      <c r="D1561" s="1364">
        <f>C1561*B1561</f>
        <v>13473.599999999999</v>
      </c>
      <c r="E1561" s="32"/>
      <c r="F1561" s="1447">
        <f>D1561/D$1554</f>
        <v>4.441702115791827E-2</v>
      </c>
      <c r="G1561" s="1424"/>
      <c r="H1561" s="1367"/>
      <c r="I1561" s="1264"/>
      <c r="J1561" s="1319" t="s">
        <v>330</v>
      </c>
      <c r="K1561" s="1336"/>
      <c r="L1561" s="1336"/>
      <c r="M1561" s="7" t="s">
        <v>325</v>
      </c>
      <c r="P1561" s="1436"/>
      <c r="Q1561" s="1452">
        <f t="shared" si="254"/>
        <v>13412.699999999999</v>
      </c>
      <c r="R1561" s="1453">
        <f>D1561</f>
        <v>13473.599999999999</v>
      </c>
      <c r="S1561" s="1454">
        <f>R1561-Q1561</f>
        <v>60.899999999999636</v>
      </c>
      <c r="T1561" s="112"/>
      <c r="W1561" s="193"/>
    </row>
    <row r="1562" spans="1:24" hidden="1" outlineLevel="1" x14ac:dyDescent="0.35">
      <c r="A1562" s="1346" t="s">
        <v>293</v>
      </c>
      <c r="B1562" s="1347">
        <v>200</v>
      </c>
      <c r="C1562" s="1348">
        <v>100.29</v>
      </c>
      <c r="D1562" s="1349">
        <f t="shared" si="255"/>
        <v>20058</v>
      </c>
      <c r="E1562" s="32">
        <f>(C1562-C1548)/C1548</f>
        <v>6.6347687400319072E-2</v>
      </c>
      <c r="F1562" s="1447">
        <f t="shared" si="253"/>
        <v>6.6123130446615955E-2</v>
      </c>
      <c r="G1562" s="1426"/>
      <c r="H1562" s="1352" t="s">
        <v>305</v>
      </c>
      <c r="I1562" s="1264">
        <f>D1562-D1548</f>
        <v>1248</v>
      </c>
      <c r="J1562" s="1319" t="s">
        <v>331</v>
      </c>
      <c r="K1562" s="1336"/>
      <c r="L1562" s="1336"/>
      <c r="M1562" s="7" t="str">
        <f>A1562</f>
        <v>ZM</v>
      </c>
      <c r="P1562" s="1436"/>
      <c r="Q1562" s="1452">
        <f t="shared" si="254"/>
        <v>15656</v>
      </c>
      <c r="R1562" s="1453">
        <f t="shared" si="256"/>
        <v>20058</v>
      </c>
      <c r="S1562" s="1454">
        <f t="shared" si="257"/>
        <v>4402</v>
      </c>
      <c r="T1562" s="112" t="s">
        <v>139</v>
      </c>
      <c r="W1562" s="193"/>
    </row>
    <row r="1563" spans="1:24" hidden="1" outlineLevel="1" x14ac:dyDescent="0.35">
      <c r="A1563" s="7" t="s">
        <v>301</v>
      </c>
      <c r="B1563" s="1362">
        <v>150</v>
      </c>
      <c r="C1563" s="1363">
        <v>267.64</v>
      </c>
      <c r="D1563" s="1364">
        <f t="shared" si="255"/>
        <v>40146</v>
      </c>
      <c r="E1563" s="32">
        <f>(C1563-C1549)/C1549</f>
        <v>1.0267250490714065E-2</v>
      </c>
      <c r="F1563" s="1447">
        <f t="shared" si="253"/>
        <v>0.13234515878501568</v>
      </c>
      <c r="G1563" s="1250">
        <v>21</v>
      </c>
      <c r="H1563" s="1443" t="s">
        <v>146</v>
      </c>
      <c r="I1563" s="1264">
        <f>D1563-D1549</f>
        <v>408</v>
      </c>
      <c r="J1563" s="1319" t="s">
        <v>332</v>
      </c>
      <c r="K1563" s="1336"/>
      <c r="L1563" s="1336"/>
      <c r="M1563" s="7" t="str">
        <f>A1563</f>
        <v>DIXX</v>
      </c>
      <c r="P1563" s="1436">
        <f ca="1">RANK(O1065,O1061:O1068,1)</f>
        <v>6</v>
      </c>
      <c r="Q1563" s="1452">
        <f t="shared" si="254"/>
        <v>34872</v>
      </c>
      <c r="R1563" s="1453">
        <f t="shared" si="256"/>
        <v>40146</v>
      </c>
      <c r="S1563" s="1454">
        <f t="shared" si="257"/>
        <v>5274</v>
      </c>
      <c r="T1563" s="112" t="s">
        <v>329</v>
      </c>
      <c r="W1563" s="193"/>
      <c r="X1563" s="1455"/>
    </row>
    <row r="1564" spans="1:24" hidden="1" outlineLevel="1" x14ac:dyDescent="0.35">
      <c r="A1564" s="1346" t="s">
        <v>325</v>
      </c>
      <c r="B1564" s="1347">
        <v>150</v>
      </c>
      <c r="C1564" s="1348">
        <v>151.47999999999999</v>
      </c>
      <c r="D1564" s="1349">
        <f>C1564*B1564</f>
        <v>22722</v>
      </c>
      <c r="E1564" s="32">
        <f>(C1564-C1547)/C1547</f>
        <v>9.2535160476018632E-2</v>
      </c>
      <c r="F1564" s="1447">
        <f>D1564/D$1554</f>
        <v>7.4905263237013048E-2</v>
      </c>
      <c r="G1564" s="1424"/>
      <c r="H1564" s="1367" t="s">
        <v>192</v>
      </c>
      <c r="I1564" s="1264">
        <f>(C1564-C1547)*B1564</f>
        <v>1924.4999999999977</v>
      </c>
      <c r="J1564" s="1319" t="s">
        <v>333</v>
      </c>
      <c r="K1564" s="1336"/>
      <c r="L1564" s="1336"/>
      <c r="M1564" s="7" t="str">
        <f>A1564</f>
        <v>BYND</v>
      </c>
      <c r="P1564" s="1436">
        <f ca="1">RANK(O1066,O1061:O1068,1)</f>
        <v>4</v>
      </c>
      <c r="Q1564" s="1452">
        <f t="shared" si="254"/>
        <v>14992.5</v>
      </c>
      <c r="R1564" s="1453">
        <f>D1564</f>
        <v>22722</v>
      </c>
      <c r="S1564" s="1454">
        <f>R1564-Q1564</f>
        <v>7729.5</v>
      </c>
      <c r="T1564" s="112" t="s">
        <v>316</v>
      </c>
      <c r="W1564" s="193"/>
    </row>
    <row r="1565" spans="1:24" hidden="1" outlineLevel="1" x14ac:dyDescent="0.35">
      <c r="A1565" s="7" t="s">
        <v>308</v>
      </c>
      <c r="B1565" s="1362">
        <v>75</v>
      </c>
      <c r="C1565" s="1363">
        <v>305.11</v>
      </c>
      <c r="D1565" s="1364">
        <f t="shared" si="255"/>
        <v>22883.25</v>
      </c>
      <c r="E1565" s="32">
        <f>(C1565-C1550)/C1550</f>
        <v>1.9668906736601302E-4</v>
      </c>
      <c r="F1565" s="1456">
        <f t="shared" si="253"/>
        <v>7.5436839405350717E-2</v>
      </c>
      <c r="G1565" s="1351"/>
      <c r="H1565" s="1352" t="s">
        <v>192</v>
      </c>
      <c r="I1565" s="1264">
        <f>D1565-D1550</f>
        <v>4.5</v>
      </c>
      <c r="J1565" s="1319" t="s">
        <v>334</v>
      </c>
      <c r="K1565" s="1336"/>
      <c r="L1565" s="1336"/>
      <c r="M1565" s="7" t="str">
        <f>A1565</f>
        <v>SHOP</v>
      </c>
      <c r="P1565" s="1436">
        <f ca="1">RANK(O1067,O1061:O1068,1)</f>
        <v>4</v>
      </c>
      <c r="Q1565" s="1452">
        <f t="shared" si="254"/>
        <v>20274</v>
      </c>
      <c r="R1565" s="1453">
        <f t="shared" si="256"/>
        <v>22883.25</v>
      </c>
      <c r="S1565" s="1454">
        <f t="shared" si="257"/>
        <v>2609.25</v>
      </c>
      <c r="W1565" s="193"/>
    </row>
    <row r="1566" spans="1:24" hidden="1" outlineLevel="1" x14ac:dyDescent="0.35">
      <c r="A1566" s="1346" t="s">
        <v>139</v>
      </c>
      <c r="B1566" s="1347">
        <v>25</v>
      </c>
      <c r="C1566" s="1348">
        <v>102.02</v>
      </c>
      <c r="D1566" s="1349">
        <f t="shared" si="255"/>
        <v>2550.5</v>
      </c>
      <c r="E1566" s="32">
        <f>(C1566-C1551)/C1551</f>
        <v>1.4724649062529838E-3</v>
      </c>
      <c r="F1566" s="1457">
        <f t="shared" si="253"/>
        <v>8.4079690998152355E-3</v>
      </c>
      <c r="G1566" s="1147"/>
      <c r="H1566" s="1385" t="s">
        <v>145</v>
      </c>
      <c r="I1566" s="1264">
        <f>D1566-D1551</f>
        <v>3.75</v>
      </c>
      <c r="J1566" s="1319" t="s">
        <v>335</v>
      </c>
      <c r="K1566" s="1336"/>
      <c r="L1566" s="1336"/>
      <c r="M1566" s="7" t="str">
        <f>A1566</f>
        <v>ROKU</v>
      </c>
      <c r="P1566" s="1436">
        <f ca="1">RANK(O1068,O1061:O1068,1)</f>
        <v>1</v>
      </c>
      <c r="Q1566" s="1458">
        <f t="shared" si="254"/>
        <v>2076</v>
      </c>
      <c r="R1566" s="1459">
        <f t="shared" si="256"/>
        <v>2550.5</v>
      </c>
      <c r="S1566" s="1460">
        <f t="shared" si="257"/>
        <v>474.5</v>
      </c>
    </row>
    <row r="1567" spans="1:24" ht="16" hidden="1" outlineLevel="1" thickBot="1" x14ac:dyDescent="0.4">
      <c r="A1567" s="7" t="s">
        <v>7</v>
      </c>
      <c r="B1567" s="1362"/>
      <c r="C1567" s="1363"/>
      <c r="D1567" s="1364">
        <v>1785.83</v>
      </c>
      <c r="E1567" s="32"/>
      <c r="F1567" s="1461">
        <f t="shared" si="253"/>
        <v>5.8871607361392049E-3</v>
      </c>
      <c r="G1567" s="1418"/>
      <c r="H1567" s="1419"/>
      <c r="I1567" s="1216"/>
      <c r="J1567" s="1282"/>
      <c r="K1567" s="1462"/>
      <c r="L1567" s="1463"/>
      <c r="Q1567" s="1464">
        <f>SUM(Q1559:Q1566)</f>
        <v>269683.90000000002</v>
      </c>
      <c r="R1567" s="1465">
        <f>SUM(R1559:R1566)</f>
        <v>298275.34999999998</v>
      </c>
      <c r="S1567" s="1466">
        <f>SUM(S1559:S1566)</f>
        <v>28591.44999999999</v>
      </c>
    </row>
    <row r="1568" spans="1:24" ht="16" hidden="1" outlineLevel="1" thickBot="1" x14ac:dyDescent="0.4">
      <c r="A1568" s="1346" t="s">
        <v>60</v>
      </c>
      <c r="B1568" s="1347"/>
      <c r="C1568" s="1348"/>
      <c r="D1568" s="1349">
        <f>700</f>
        <v>700</v>
      </c>
      <c r="E1568" s="32"/>
      <c r="F1568" s="1467">
        <f t="shared" si="253"/>
        <v>2.3076174749541915E-3</v>
      </c>
      <c r="G1568" s="1147"/>
      <c r="H1568" s="1148"/>
      <c r="I1568" s="1290">
        <f>SUM(I1560:I1567)</f>
        <v>2898.7499999999977</v>
      </c>
      <c r="J1568" s="1468" t="s">
        <v>336</v>
      </c>
      <c r="K1568" s="1151"/>
      <c r="L1568" s="1469"/>
      <c r="R1568" s="1470" t="str">
        <f>IF(SUM(D1559:D1566)&lt;&gt;R1567,"Out of Balance","Balances")</f>
        <v>Balances</v>
      </c>
    </row>
    <row r="1569" spans="1:23" ht="19" hidden="1" outlineLevel="1" thickBot="1" x14ac:dyDescent="0.5">
      <c r="A1569" s="726" t="s">
        <v>62</v>
      </c>
      <c r="B1569" s="583"/>
      <c r="C1569" s="584"/>
      <c r="D1569" s="1230">
        <f>SUM(D1559:D1568)</f>
        <v>300761.18</v>
      </c>
      <c r="E1569" s="1471">
        <f>D1569-D1554</f>
        <v>-2581.9899999999907</v>
      </c>
      <c r="F1569" s="1218">
        <f>(D1569-D1554)/D1554</f>
        <v>-8.5117789202242156E-3</v>
      </c>
      <c r="G1569" s="679"/>
      <c r="H1569" s="1231"/>
      <c r="I1569" s="680"/>
    </row>
    <row r="1570" spans="1:23" hidden="1" outlineLevel="1" x14ac:dyDescent="0.35"/>
    <row r="1571" spans="1:23" hidden="1" outlineLevel="1" x14ac:dyDescent="0.35">
      <c r="A1571" s="701" t="s">
        <v>25</v>
      </c>
      <c r="B1571" s="702" t="s">
        <v>26</v>
      </c>
      <c r="C1571" s="703" t="s">
        <v>27</v>
      </c>
      <c r="D1571" s="704">
        <f>D1556+7</f>
        <v>43637</v>
      </c>
      <c r="E1571" s="705" t="s">
        <v>28</v>
      </c>
      <c r="F1571" s="1125"/>
      <c r="G1571" s="252"/>
      <c r="H1571" s="253"/>
      <c r="I1571" s="1182"/>
      <c r="J1571" s="1183" t="s">
        <v>233</v>
      </c>
    </row>
    <row r="1572" spans="1:23" hidden="1" outlineLevel="1" x14ac:dyDescent="0.35">
      <c r="A1572" s="706" t="s">
        <v>32</v>
      </c>
      <c r="B1572" s="255" t="str">
        <f ca="1">TEXT(TODAY(),"ddd")</f>
        <v>Sun</v>
      </c>
      <c r="C1572" s="256">
        <v>26719</v>
      </c>
      <c r="D1572" s="1472">
        <f>C1572-C1557</f>
        <v>630</v>
      </c>
      <c r="E1572" s="32">
        <f>(C1572-C1557)/C1557</f>
        <v>2.4148108398175477E-2</v>
      </c>
      <c r="F1572" s="1127" t="s">
        <v>310</v>
      </c>
      <c r="G1572" s="801"/>
      <c r="H1572" s="685"/>
      <c r="I1572" s="1187"/>
      <c r="J1572" s="1188" t="s">
        <v>234</v>
      </c>
      <c r="K1572" s="1220" t="s">
        <v>34</v>
      </c>
      <c r="L1572" s="111" t="s">
        <v>35</v>
      </c>
    </row>
    <row r="1573" spans="1:23" hidden="1" outlineLevel="1" x14ac:dyDescent="0.35">
      <c r="A1573" s="709" t="s">
        <v>36</v>
      </c>
      <c r="B1573" s="263"/>
      <c r="C1573" s="419">
        <v>8031</v>
      </c>
      <c r="D1573" s="1473">
        <f>C1573-C1558</f>
        <v>235</v>
      </c>
      <c r="E1573" s="32">
        <f>(C1573-C1558)/C1558</f>
        <v>3.0143663417136993E-2</v>
      </c>
      <c r="F1573" s="1128" t="s">
        <v>37</v>
      </c>
      <c r="G1573" s="1129" t="s">
        <v>38</v>
      </c>
      <c r="H1573" s="1130" t="s">
        <v>144</v>
      </c>
      <c r="J1573" s="3137" t="s">
        <v>42</v>
      </c>
      <c r="K1573" s="3122"/>
      <c r="L1573" s="3123"/>
      <c r="M1573" s="1031" t="s">
        <v>244</v>
      </c>
      <c r="P1573" s="1355" t="s">
        <v>44</v>
      </c>
      <c r="Q1573" s="1444" t="s">
        <v>45</v>
      </c>
      <c r="R1573" s="1445" t="s">
        <v>46</v>
      </c>
      <c r="S1573" s="1446" t="s">
        <v>47</v>
      </c>
      <c r="T1573" s="1379" t="s">
        <v>286</v>
      </c>
      <c r="U1573" s="602"/>
      <c r="V1573" s="602"/>
      <c r="W1573" s="602"/>
    </row>
    <row r="1574" spans="1:23" ht="26" hidden="1" outlineLevel="1" x14ac:dyDescent="0.35">
      <c r="A1574" s="1346" t="s">
        <v>307</v>
      </c>
      <c r="B1574" s="1347">
        <v>300</v>
      </c>
      <c r="C1574" s="1348">
        <v>285.74</v>
      </c>
      <c r="D1574" s="1349">
        <f t="shared" ref="D1574:D1582" si="258">C1574*B1574</f>
        <v>85722</v>
      </c>
      <c r="E1574" s="32">
        <f>(C1574-C1560)/C1560</f>
        <v>4.9550045913682311E-2</v>
      </c>
      <c r="F1574" s="1447">
        <f t="shared" ref="F1574:F1583" si="259">D1574/D$1585</f>
        <v>0.28315007346965204</v>
      </c>
      <c r="G1574" s="1426"/>
      <c r="H1574" s="1385" t="s">
        <v>145</v>
      </c>
      <c r="I1574" s="1264">
        <f>D1574-D1560</f>
        <v>4047</v>
      </c>
      <c r="J1574" s="1273" t="s">
        <v>328</v>
      </c>
      <c r="K1574" s="1274"/>
      <c r="L1574" s="1274"/>
      <c r="M1574" s="7" t="str">
        <f t="shared" ref="M1574:M1582" si="260">A1574</f>
        <v>NOW</v>
      </c>
      <c r="P1574" s="1436">
        <f ca="1">RANK(O1076,O1070:O1076,1)</f>
        <v>1</v>
      </c>
      <c r="Q1574" s="1452">
        <f>B1574*RIGHT(J1574,6)</f>
        <v>76650</v>
      </c>
      <c r="R1574" s="1453">
        <f t="shared" ref="R1574:R1582" si="261">D1574</f>
        <v>85722</v>
      </c>
      <c r="S1574" s="1454">
        <f t="shared" ref="S1574:S1582" si="262">R1574-Q1574</f>
        <v>9072</v>
      </c>
      <c r="T1574" s="112" t="s">
        <v>282</v>
      </c>
      <c r="W1574" s="193"/>
    </row>
    <row r="1575" spans="1:23" hidden="1" outlineLevel="1" x14ac:dyDescent="0.35">
      <c r="A1575" s="7" t="s">
        <v>337</v>
      </c>
      <c r="B1575" s="1362">
        <v>210</v>
      </c>
      <c r="C1575" s="1363">
        <v>53.41</v>
      </c>
      <c r="D1575" s="1364">
        <f t="shared" si="258"/>
        <v>11216.099999999999</v>
      </c>
      <c r="E1575" s="32"/>
      <c r="F1575" s="1447">
        <f t="shared" si="259"/>
        <v>3.704812695740841E-2</v>
      </c>
      <c r="G1575" s="1250"/>
      <c r="H1575" s="1367" t="s">
        <v>305</v>
      </c>
      <c r="I1575" s="1264"/>
      <c r="J1575" s="1273" t="s">
        <v>338</v>
      </c>
      <c r="K1575" s="1274"/>
      <c r="L1575" s="1274"/>
      <c r="M1575" s="7" t="str">
        <f t="shared" si="260"/>
        <v xml:space="preserve">PD </v>
      </c>
      <c r="P1575" s="1436"/>
      <c r="Q1575" s="1452">
        <f t="shared" ref="Q1575:Q1582" si="263">B1575*RIGHT(J1575,6)</f>
        <v>12119.1</v>
      </c>
      <c r="R1575" s="1453">
        <f t="shared" si="261"/>
        <v>11216.099999999999</v>
      </c>
      <c r="S1575" s="1474">
        <f t="shared" si="262"/>
        <v>-903.00000000000182</v>
      </c>
      <c r="T1575" s="112"/>
      <c r="W1575" s="193"/>
    </row>
    <row r="1576" spans="1:23" ht="26" hidden="1" outlineLevel="1" x14ac:dyDescent="0.35">
      <c r="A1576" s="1346" t="s">
        <v>208</v>
      </c>
      <c r="B1576" s="1347">
        <v>210</v>
      </c>
      <c r="C1576" s="1348">
        <v>283.56</v>
      </c>
      <c r="D1576" s="1349">
        <f t="shared" si="258"/>
        <v>59547.6</v>
      </c>
      <c r="E1576" s="1475">
        <f>(C1576-C1559)/C1559</f>
        <v>-7.2423945044160901E-2</v>
      </c>
      <c r="F1576" s="1447">
        <f t="shared" si="259"/>
        <v>0.19669288298151524</v>
      </c>
      <c r="G1576" s="1426">
        <v>58</v>
      </c>
      <c r="H1576" s="1352" t="s">
        <v>192</v>
      </c>
      <c r="I1576" s="1264"/>
      <c r="J1576" s="1273" t="s">
        <v>327</v>
      </c>
      <c r="K1576" s="1274"/>
      <c r="L1576" s="1274"/>
      <c r="M1576" s="7" t="str">
        <f t="shared" si="260"/>
        <v>ALGN</v>
      </c>
      <c r="P1576" s="1436">
        <f ca="1">RANK(O1078,O1078:O1087,1)</f>
        <v>1</v>
      </c>
      <c r="Q1576" s="1452">
        <f t="shared" si="263"/>
        <v>62153.700000000004</v>
      </c>
      <c r="R1576" s="1453">
        <f t="shared" si="261"/>
        <v>59547.6</v>
      </c>
      <c r="S1576" s="1474">
        <f t="shared" si="262"/>
        <v>-2606.1000000000058</v>
      </c>
      <c r="T1576" s="112" t="s">
        <v>325</v>
      </c>
      <c r="W1576" s="193"/>
    </row>
    <row r="1577" spans="1:23" hidden="1" outlineLevel="1" x14ac:dyDescent="0.35">
      <c r="A1577" s="7" t="s">
        <v>329</v>
      </c>
      <c r="B1577" s="1362">
        <v>200</v>
      </c>
      <c r="C1577" s="1363">
        <v>72.23</v>
      </c>
      <c r="D1577" s="1364">
        <f t="shared" si="258"/>
        <v>14446</v>
      </c>
      <c r="E1577" s="32">
        <f t="shared" ref="E1577:E1582" si="264">(C1577-C1561)/C1561</f>
        <v>0.12577930174563604</v>
      </c>
      <c r="F1577" s="1447">
        <f t="shared" si="259"/>
        <v>4.7716875030244195E-2</v>
      </c>
      <c r="G1577" s="1424"/>
      <c r="H1577" s="1367" t="s">
        <v>305</v>
      </c>
      <c r="I1577" s="1264">
        <f>D1577-D1561</f>
        <v>972.40000000000146</v>
      </c>
      <c r="J1577" s="1319" t="s">
        <v>330</v>
      </c>
      <c r="K1577" s="1336"/>
      <c r="L1577" s="1336"/>
      <c r="M1577" s="7" t="str">
        <f t="shared" si="260"/>
        <v>CRWD</v>
      </c>
      <c r="P1577" s="1436"/>
      <c r="Q1577" s="1452">
        <f t="shared" si="263"/>
        <v>12774</v>
      </c>
      <c r="R1577" s="1453">
        <f t="shared" si="261"/>
        <v>14446</v>
      </c>
      <c r="S1577" s="1454">
        <f t="shared" si="262"/>
        <v>1672</v>
      </c>
      <c r="T1577" s="112"/>
      <c r="W1577" s="193"/>
    </row>
    <row r="1578" spans="1:23" hidden="1" outlineLevel="1" x14ac:dyDescent="0.35">
      <c r="A1578" s="1346" t="s">
        <v>293</v>
      </c>
      <c r="B1578" s="1347">
        <v>200</v>
      </c>
      <c r="C1578" s="1348">
        <v>100.48</v>
      </c>
      <c r="D1578" s="1349">
        <f t="shared" si="258"/>
        <v>20096</v>
      </c>
      <c r="E1578" s="32">
        <f t="shared" si="264"/>
        <v>1.894505932794872E-3</v>
      </c>
      <c r="F1578" s="1447">
        <f t="shared" si="259"/>
        <v>6.6379504403141859E-2</v>
      </c>
      <c r="G1578" s="1426"/>
      <c r="H1578" s="1352" t="s">
        <v>305</v>
      </c>
      <c r="I1578" s="1264">
        <f>D1578-D1562</f>
        <v>38</v>
      </c>
      <c r="J1578" s="1319" t="s">
        <v>331</v>
      </c>
      <c r="K1578" s="1336"/>
      <c r="L1578" s="1336"/>
      <c r="M1578" s="7" t="str">
        <f t="shared" si="260"/>
        <v>ZM</v>
      </c>
      <c r="P1578" s="1436"/>
      <c r="Q1578" s="1452">
        <f t="shared" si="263"/>
        <v>15656</v>
      </c>
      <c r="R1578" s="1453">
        <f t="shared" si="261"/>
        <v>20096</v>
      </c>
      <c r="S1578" s="1454">
        <f t="shared" si="262"/>
        <v>4440</v>
      </c>
      <c r="T1578" s="112" t="s">
        <v>139</v>
      </c>
      <c r="W1578" s="193"/>
    </row>
    <row r="1579" spans="1:23" hidden="1" outlineLevel="1" x14ac:dyDescent="0.35">
      <c r="A1579" s="7" t="s">
        <v>301</v>
      </c>
      <c r="B1579" s="1362">
        <v>200</v>
      </c>
      <c r="C1579" s="1363">
        <v>273.93</v>
      </c>
      <c r="D1579" s="1364">
        <f t="shared" si="258"/>
        <v>54786</v>
      </c>
      <c r="E1579" s="32">
        <f t="shared" si="264"/>
        <v>2.3501718726647813E-2</v>
      </c>
      <c r="F1579" s="1447">
        <f t="shared" si="259"/>
        <v>0.18096474563249054</v>
      </c>
      <c r="G1579" s="1250">
        <v>21</v>
      </c>
      <c r="H1579" s="1443" t="s">
        <v>146</v>
      </c>
      <c r="I1579" s="1264"/>
      <c r="J1579" s="1319" t="s">
        <v>332</v>
      </c>
      <c r="K1579" s="1336"/>
      <c r="L1579" s="1336"/>
      <c r="M1579" s="7" t="str">
        <f t="shared" si="260"/>
        <v>DIXX</v>
      </c>
      <c r="P1579" s="1436">
        <f ca="1">RANK(O1081,O1076:O1084,1)</f>
        <v>6</v>
      </c>
      <c r="Q1579" s="1452">
        <f t="shared" si="263"/>
        <v>46496</v>
      </c>
      <c r="R1579" s="1453">
        <f t="shared" si="261"/>
        <v>54786</v>
      </c>
      <c r="S1579" s="1454">
        <f t="shared" si="262"/>
        <v>8290</v>
      </c>
      <c r="T1579" s="112" t="s">
        <v>329</v>
      </c>
      <c r="W1579" s="193"/>
    </row>
    <row r="1580" spans="1:23" hidden="1" outlineLevel="1" x14ac:dyDescent="0.35">
      <c r="A1580" s="1346" t="s">
        <v>339</v>
      </c>
      <c r="B1580" s="1347">
        <v>150</v>
      </c>
      <c r="C1580" s="1348">
        <v>169.87</v>
      </c>
      <c r="D1580" s="1349">
        <f t="shared" si="258"/>
        <v>25480.5</v>
      </c>
      <c r="E1580" s="32"/>
      <c r="F1580" s="1447">
        <f t="shared" si="259"/>
        <v>8.4165155351525495E-2</v>
      </c>
      <c r="G1580" s="1426"/>
      <c r="H1580" s="1352" t="s">
        <v>192</v>
      </c>
      <c r="I1580" s="1264">
        <f>D1580-D1564</f>
        <v>2758.5</v>
      </c>
      <c r="J1580" s="1319" t="s">
        <v>340</v>
      </c>
      <c r="K1580" s="1336"/>
      <c r="L1580" s="1336"/>
      <c r="M1580" s="7" t="str">
        <f t="shared" si="260"/>
        <v>MDB</v>
      </c>
      <c r="P1580" s="1436">
        <f ca="1">RANK(O1082,O1076:O1084,1)</f>
        <v>4</v>
      </c>
      <c r="Q1580" s="1452">
        <f t="shared" si="263"/>
        <v>25641</v>
      </c>
      <c r="R1580" s="1453">
        <f t="shared" si="261"/>
        <v>25480.5</v>
      </c>
      <c r="S1580" s="1474">
        <f t="shared" si="262"/>
        <v>-160.5</v>
      </c>
      <c r="T1580" s="112" t="s">
        <v>316</v>
      </c>
      <c r="W1580" s="193"/>
    </row>
    <row r="1581" spans="1:23" hidden="1" outlineLevel="1" x14ac:dyDescent="0.35">
      <c r="A1581" s="7" t="s">
        <v>308</v>
      </c>
      <c r="B1581" s="1362">
        <v>75</v>
      </c>
      <c r="C1581" s="1363">
        <v>326.85000000000002</v>
      </c>
      <c r="D1581" s="1364">
        <f t="shared" si="258"/>
        <v>24513.75</v>
      </c>
      <c r="E1581" s="32">
        <f t="shared" si="264"/>
        <v>7.1252990724656712E-2</v>
      </c>
      <c r="F1581" s="1447">
        <f t="shared" si="259"/>
        <v>8.0971863856614201E-2</v>
      </c>
      <c r="G1581" s="1147"/>
      <c r="H1581" s="1148" t="s">
        <v>192</v>
      </c>
      <c r="I1581" s="1264">
        <f>D1581-D1565</f>
        <v>1630.5</v>
      </c>
      <c r="J1581" s="1319" t="s">
        <v>334</v>
      </c>
      <c r="K1581" s="1336"/>
      <c r="L1581" s="1336"/>
      <c r="M1581" s="7" t="str">
        <f t="shared" si="260"/>
        <v>SHOP</v>
      </c>
      <c r="P1581" s="1436">
        <f ca="1">RANK(O1083,O1076:O1084,1)</f>
        <v>4</v>
      </c>
      <c r="Q1581" s="1452">
        <f t="shared" si="263"/>
        <v>20274</v>
      </c>
      <c r="R1581" s="1453">
        <f t="shared" si="261"/>
        <v>24513.75</v>
      </c>
      <c r="S1581" s="1454">
        <f t="shared" si="262"/>
        <v>4239.75</v>
      </c>
      <c r="W1581" s="193"/>
    </row>
    <row r="1582" spans="1:23" hidden="1" outlineLevel="1" x14ac:dyDescent="0.35">
      <c r="A1582" s="1346" t="s">
        <v>139</v>
      </c>
      <c r="B1582" s="1347">
        <v>39</v>
      </c>
      <c r="C1582" s="1348">
        <v>102.57</v>
      </c>
      <c r="D1582" s="1349">
        <f t="shared" si="258"/>
        <v>4000.2299999999996</v>
      </c>
      <c r="E1582" s="32">
        <f t="shared" si="264"/>
        <v>5.3910997843559811E-3</v>
      </c>
      <c r="F1582" s="1476">
        <f t="shared" si="259"/>
        <v>1.3213240689618837E-2</v>
      </c>
      <c r="G1582" s="1351"/>
      <c r="H1582" s="1385" t="s">
        <v>145</v>
      </c>
      <c r="I1582" s="1264"/>
      <c r="J1582" s="1319" t="s">
        <v>335</v>
      </c>
      <c r="K1582" s="1336"/>
      <c r="L1582" s="1336"/>
      <c r="M1582" s="7" t="str">
        <f t="shared" si="260"/>
        <v>ROKU</v>
      </c>
      <c r="P1582" s="1436">
        <f ca="1">RANK(O1084,O1076:O1084,1)</f>
        <v>1</v>
      </c>
      <c r="Q1582" s="1452">
        <f t="shared" si="263"/>
        <v>3238.5600000000004</v>
      </c>
      <c r="R1582" s="1453">
        <f t="shared" si="261"/>
        <v>4000.2299999999996</v>
      </c>
      <c r="S1582" s="1454">
        <f t="shared" si="262"/>
        <v>761.66999999999916</v>
      </c>
    </row>
    <row r="1583" spans="1:23" ht="16" hidden="1" outlineLevel="1" thickBot="1" x14ac:dyDescent="0.4">
      <c r="A1583" s="7" t="s">
        <v>7</v>
      </c>
      <c r="B1583" s="1362"/>
      <c r="C1583" s="1363"/>
      <c r="D1583" s="1364">
        <v>1817.39</v>
      </c>
      <c r="E1583" s="32"/>
      <c r="F1583" s="1476">
        <f t="shared" si="259"/>
        <v>6.0030576984089375E-3</v>
      </c>
      <c r="G1583" s="1418"/>
      <c r="H1583" s="1419"/>
      <c r="I1583" s="1216"/>
      <c r="J1583" s="1282"/>
      <c r="K1583" s="1462"/>
      <c r="L1583" s="1463"/>
      <c r="Q1583" s="1329">
        <f>SUM(Q1574:Q1582)</f>
        <v>275002.36000000004</v>
      </c>
      <c r="R1583" s="1477">
        <f>SUM(R1574:R1582)</f>
        <v>299808.18</v>
      </c>
      <c r="S1583" s="1466">
        <f>SUM(S1574:S1582)</f>
        <v>24805.819999999992</v>
      </c>
    </row>
    <row r="1584" spans="1:23" ht="16" hidden="1" outlineLevel="1" thickBot="1" x14ac:dyDescent="0.4">
      <c r="A1584" s="1346" t="s">
        <v>60</v>
      </c>
      <c r="B1584" s="1347"/>
      <c r="C1584" s="1348"/>
      <c r="D1584" s="1349">
        <v>1118.48</v>
      </c>
      <c r="E1584" s="32"/>
      <c r="F1584" s="1467">
        <f>D1584/D$1554</f>
        <v>3.6871771334096629E-3</v>
      </c>
      <c r="G1584" s="1147"/>
      <c r="H1584" s="1148"/>
      <c r="I1584" s="1290">
        <f>SUM(I1574:I1583)</f>
        <v>9446.4000000000015</v>
      </c>
      <c r="J1584" s="1468" t="s">
        <v>341</v>
      </c>
      <c r="K1584" s="1151"/>
      <c r="L1584" s="1469"/>
      <c r="R1584" s="1470" t="str">
        <f>IF(SUM(D1574:D1582)&lt;&gt;R1583,"Out of Balance","Balances")</f>
        <v>Balances</v>
      </c>
    </row>
    <row r="1585" spans="1:19" ht="19" hidden="1" outlineLevel="1" thickBot="1" x14ac:dyDescent="0.5">
      <c r="A1585" s="726" t="s">
        <v>62</v>
      </c>
      <c r="B1585" s="583"/>
      <c r="C1585" s="584"/>
      <c r="D1585" s="1230">
        <f>SUM(D1574:D1584)</f>
        <v>302744.05</v>
      </c>
      <c r="E1585" s="1471">
        <f>D1585-D1569</f>
        <v>1982.8699999999953</v>
      </c>
      <c r="F1585" s="1218">
        <f>(D1585-D1569)/D1569</f>
        <v>6.5928388763469917E-3</v>
      </c>
      <c r="G1585" s="679"/>
      <c r="H1585" s="1231"/>
      <c r="I1585" s="680"/>
    </row>
    <row r="1586" spans="1:19" hidden="1" outlineLevel="1" x14ac:dyDescent="0.35"/>
    <row r="1587" spans="1:19" hidden="1" outlineLevel="1" x14ac:dyDescent="0.35">
      <c r="A1587" s="701" t="s">
        <v>25</v>
      </c>
      <c r="B1587" s="702" t="s">
        <v>26</v>
      </c>
      <c r="C1587" s="703" t="s">
        <v>27</v>
      </c>
      <c r="D1587" s="1236">
        <f>D1571+7</f>
        <v>43644</v>
      </c>
      <c r="E1587" s="705" t="s">
        <v>28</v>
      </c>
      <c r="F1587" s="3143" t="s">
        <v>342</v>
      </c>
      <c r="G1587" s="3143"/>
      <c r="H1587" s="3144"/>
      <c r="I1587" s="1182"/>
      <c r="J1587" s="1183" t="s">
        <v>233</v>
      </c>
    </row>
    <row r="1588" spans="1:19" ht="16" hidden="1" outlineLevel="1" thickBot="1" x14ac:dyDescent="0.4">
      <c r="A1588" s="706" t="s">
        <v>32</v>
      </c>
      <c r="B1588" s="255" t="str">
        <f ca="1">TEXT(TODAY(),"ddd")</f>
        <v>Sun</v>
      </c>
      <c r="C1588" s="256">
        <v>26536.82</v>
      </c>
      <c r="D1588" s="1398">
        <f>C1588-C1572</f>
        <v>-182.18000000000029</v>
      </c>
      <c r="E1588" s="32">
        <f t="shared" ref="E1588:E1598" si="265">(C1588-C1572)/C1572</f>
        <v>-6.8183689509338031E-3</v>
      </c>
      <c r="F1588" s="3145"/>
      <c r="G1588" s="3145"/>
      <c r="H1588" s="3146"/>
      <c r="I1588" s="1187"/>
      <c r="J1588" s="1188" t="s">
        <v>234</v>
      </c>
      <c r="K1588" s="1220" t="s">
        <v>34</v>
      </c>
      <c r="L1588" s="111" t="s">
        <v>35</v>
      </c>
    </row>
    <row r="1589" spans="1:19" hidden="1" outlineLevel="1" x14ac:dyDescent="0.35">
      <c r="A1589" s="709" t="s">
        <v>36</v>
      </c>
      <c r="B1589" s="263"/>
      <c r="C1589" s="419">
        <v>7909</v>
      </c>
      <c r="D1589" s="1398">
        <f>C1589-C1573</f>
        <v>-122</v>
      </c>
      <c r="E1589" s="32">
        <f t="shared" si="265"/>
        <v>-1.519113435437679E-2</v>
      </c>
      <c r="F1589" s="1128" t="s">
        <v>37</v>
      </c>
      <c r="G1589" s="1129" t="s">
        <v>38</v>
      </c>
      <c r="H1589" s="1130" t="s">
        <v>144</v>
      </c>
      <c r="J1589" s="3137" t="s">
        <v>42</v>
      </c>
      <c r="K1589" s="3122"/>
      <c r="L1589" s="3123"/>
      <c r="M1589" s="1031" t="s">
        <v>244</v>
      </c>
      <c r="P1589" s="1355" t="s">
        <v>44</v>
      </c>
      <c r="Q1589" s="1478" t="s">
        <v>45</v>
      </c>
      <c r="R1589" s="1479" t="s">
        <v>46</v>
      </c>
      <c r="S1589" s="1480" t="s">
        <v>47</v>
      </c>
    </row>
    <row r="1590" spans="1:19" ht="26" hidden="1" outlineLevel="1" x14ac:dyDescent="0.35">
      <c r="A1590" s="1346" t="s">
        <v>307</v>
      </c>
      <c r="B1590" s="1347">
        <v>300</v>
      </c>
      <c r="C1590" s="1348">
        <v>275.33999999999997</v>
      </c>
      <c r="D1590" s="1349">
        <f t="shared" ref="D1590:D1598" si="266">C1590*B1590</f>
        <v>82601.999999999985</v>
      </c>
      <c r="E1590" s="32">
        <f t="shared" si="265"/>
        <v>-3.6396724294813582E-2</v>
      </c>
      <c r="F1590" s="1447">
        <f t="shared" ref="F1590:F1599" si="267">D1590/D$1601</f>
        <v>0.2872250968570163</v>
      </c>
      <c r="G1590" s="1426"/>
      <c r="H1590" s="1385" t="s">
        <v>145</v>
      </c>
      <c r="I1590" s="1264">
        <f t="shared" ref="I1590:I1598" si="268">D1590-D1574</f>
        <v>-3120.0000000000146</v>
      </c>
      <c r="J1590" s="1273" t="s">
        <v>328</v>
      </c>
      <c r="K1590" s="1274"/>
      <c r="L1590" s="1274"/>
      <c r="M1590" s="7" t="str">
        <f t="shared" ref="M1590:M1598" si="269">A1590</f>
        <v>NOW</v>
      </c>
      <c r="P1590" s="1436">
        <f ca="1">RANK(O1092,O1086:O1092,1)</f>
        <v>1</v>
      </c>
      <c r="Q1590" s="1452">
        <f t="shared" ref="Q1590:Q1598" si="270">B1590*RIGHT(J1590,6)</f>
        <v>76650</v>
      </c>
      <c r="R1590" s="1453">
        <f t="shared" ref="R1590:R1598" si="271">D1590</f>
        <v>82601.999999999985</v>
      </c>
      <c r="S1590" s="1454">
        <f t="shared" ref="S1590:S1598" si="272">R1590-Q1590</f>
        <v>5951.9999999999854</v>
      </c>
    </row>
    <row r="1591" spans="1:19" hidden="1" outlineLevel="1" x14ac:dyDescent="0.35">
      <c r="A1591" s="7" t="s">
        <v>337</v>
      </c>
      <c r="B1591" s="1362">
        <v>210</v>
      </c>
      <c r="C1591" s="1363">
        <v>46.48</v>
      </c>
      <c r="D1591" s="1364">
        <f t="shared" si="266"/>
        <v>9760.7999999999993</v>
      </c>
      <c r="E1591" s="1400">
        <f t="shared" si="265"/>
        <v>-0.12975098296199214</v>
      </c>
      <c r="F1591" s="1447">
        <f t="shared" si="267"/>
        <v>3.394042184695243E-2</v>
      </c>
      <c r="G1591" s="1250"/>
      <c r="H1591" s="1367" t="s">
        <v>305</v>
      </c>
      <c r="I1591" s="1264">
        <f t="shared" si="268"/>
        <v>-1455.2999999999993</v>
      </c>
      <c r="J1591" s="1273" t="s">
        <v>338</v>
      </c>
      <c r="K1591" s="1274"/>
      <c r="L1591" s="1274"/>
      <c r="M1591" s="7" t="str">
        <f t="shared" si="269"/>
        <v xml:space="preserve">PD </v>
      </c>
      <c r="P1591" s="1436"/>
      <c r="Q1591" s="1452">
        <f t="shared" si="270"/>
        <v>12119.1</v>
      </c>
      <c r="R1591" s="1453">
        <f t="shared" si="271"/>
        <v>9760.7999999999993</v>
      </c>
      <c r="S1591" s="1474">
        <f t="shared" si="272"/>
        <v>-2358.3000000000011</v>
      </c>
    </row>
    <row r="1592" spans="1:19" ht="26" hidden="1" outlineLevel="1" x14ac:dyDescent="0.35">
      <c r="A1592" s="1346" t="s">
        <v>208</v>
      </c>
      <c r="B1592" s="1347">
        <v>210</v>
      </c>
      <c r="C1592" s="1348">
        <v>268.08</v>
      </c>
      <c r="D1592" s="1349">
        <f t="shared" si="266"/>
        <v>56296.799999999996</v>
      </c>
      <c r="E1592" s="32">
        <f t="shared" si="265"/>
        <v>-5.4591620820990332E-2</v>
      </c>
      <c r="F1592" s="1447">
        <f t="shared" si="267"/>
        <v>0.19575620242536593</v>
      </c>
      <c r="G1592" s="1426">
        <v>58</v>
      </c>
      <c r="H1592" s="1352" t="s">
        <v>192</v>
      </c>
      <c r="I1592" s="1264">
        <f t="shared" si="268"/>
        <v>-3250.8000000000029</v>
      </c>
      <c r="J1592" s="1273" t="s">
        <v>327</v>
      </c>
      <c r="K1592" s="1274"/>
      <c r="L1592" s="1274"/>
      <c r="M1592" s="7" t="str">
        <f t="shared" si="269"/>
        <v>ALGN</v>
      </c>
      <c r="P1592" s="1436">
        <f ca="1">RANK(O1094,O1094:O1103,1)</f>
        <v>1</v>
      </c>
      <c r="Q1592" s="1452">
        <f t="shared" si="270"/>
        <v>62153.700000000004</v>
      </c>
      <c r="R1592" s="1453">
        <f t="shared" si="271"/>
        <v>56296.799999999996</v>
      </c>
      <c r="S1592" s="1474">
        <f t="shared" si="272"/>
        <v>-5856.9000000000087</v>
      </c>
    </row>
    <row r="1593" spans="1:19" hidden="1" outlineLevel="1" x14ac:dyDescent="0.35">
      <c r="A1593" s="7" t="s">
        <v>329</v>
      </c>
      <c r="B1593" s="1362">
        <v>200</v>
      </c>
      <c r="C1593" s="1363">
        <v>62.65</v>
      </c>
      <c r="D1593" s="1364">
        <f t="shared" si="266"/>
        <v>12530</v>
      </c>
      <c r="E1593" s="1400">
        <f t="shared" si="265"/>
        <v>-0.13263187041395549</v>
      </c>
      <c r="F1593" s="1447">
        <f t="shared" si="267"/>
        <v>4.3569531774271988E-2</v>
      </c>
      <c r="G1593" s="1424"/>
      <c r="H1593" s="1367" t="s">
        <v>305</v>
      </c>
      <c r="I1593" s="1264">
        <f t="shared" si="268"/>
        <v>-1916</v>
      </c>
      <c r="J1593" s="1319" t="s">
        <v>330</v>
      </c>
      <c r="K1593" s="1336"/>
      <c r="L1593" s="1336"/>
      <c r="M1593" s="7" t="str">
        <f t="shared" si="269"/>
        <v>CRWD</v>
      </c>
      <c r="P1593" s="1436"/>
      <c r="Q1593" s="1452">
        <f t="shared" si="270"/>
        <v>12774</v>
      </c>
      <c r="R1593" s="1453">
        <f t="shared" si="271"/>
        <v>12530</v>
      </c>
      <c r="S1593" s="1454">
        <f t="shared" si="272"/>
        <v>-244</v>
      </c>
    </row>
    <row r="1594" spans="1:19" hidden="1" outlineLevel="1" x14ac:dyDescent="0.35">
      <c r="A1594" s="1346" t="s">
        <v>293</v>
      </c>
      <c r="B1594" s="1347">
        <v>200</v>
      </c>
      <c r="C1594" s="1348">
        <v>86.33</v>
      </c>
      <c r="D1594" s="1349">
        <f t="shared" si="266"/>
        <v>17266</v>
      </c>
      <c r="E1594" s="1400">
        <f t="shared" si="265"/>
        <v>-0.14082404458598732</v>
      </c>
      <c r="F1594" s="1447">
        <f t="shared" si="267"/>
        <v>6.0037632531091789E-2</v>
      </c>
      <c r="G1594" s="1426"/>
      <c r="H1594" s="1352" t="s">
        <v>305</v>
      </c>
      <c r="I1594" s="1264">
        <f t="shared" si="268"/>
        <v>-2830</v>
      </c>
      <c r="J1594" s="1319" t="s">
        <v>331</v>
      </c>
      <c r="K1594" s="1336"/>
      <c r="L1594" s="1336"/>
      <c r="M1594" s="7" t="str">
        <f t="shared" si="269"/>
        <v>ZM</v>
      </c>
      <c r="P1594" s="1436"/>
      <c r="Q1594" s="1452">
        <f t="shared" si="270"/>
        <v>15656</v>
      </c>
      <c r="R1594" s="1453">
        <f t="shared" si="271"/>
        <v>17266</v>
      </c>
      <c r="S1594" s="1454">
        <f t="shared" si="272"/>
        <v>1610</v>
      </c>
    </row>
    <row r="1595" spans="1:19" hidden="1" outlineLevel="1" x14ac:dyDescent="0.35">
      <c r="A1595" s="7" t="s">
        <v>301</v>
      </c>
      <c r="B1595" s="1362">
        <v>200</v>
      </c>
      <c r="C1595" s="1363">
        <v>269.89</v>
      </c>
      <c r="D1595" s="1364">
        <f t="shared" si="266"/>
        <v>53978</v>
      </c>
      <c r="E1595" s="32">
        <f t="shared" si="265"/>
        <v>-1.4748293359617495E-2</v>
      </c>
      <c r="F1595" s="1447">
        <f t="shared" si="267"/>
        <v>0.18769323113421016</v>
      </c>
      <c r="G1595" s="1250">
        <v>21</v>
      </c>
      <c r="H1595" s="1443" t="s">
        <v>146</v>
      </c>
      <c r="I1595" s="1264">
        <f t="shared" si="268"/>
        <v>-808</v>
      </c>
      <c r="J1595" s="1319" t="s">
        <v>332</v>
      </c>
      <c r="K1595" s="1336"/>
      <c r="L1595" s="1336"/>
      <c r="M1595" s="7" t="str">
        <f t="shared" si="269"/>
        <v>DIXX</v>
      </c>
      <c r="P1595" s="1436">
        <f ca="1">RANK(O1097,O1092:O1100,1)</f>
        <v>6</v>
      </c>
      <c r="Q1595" s="1452">
        <f t="shared" si="270"/>
        <v>46496</v>
      </c>
      <c r="R1595" s="1453">
        <f t="shared" si="271"/>
        <v>53978</v>
      </c>
      <c r="S1595" s="1454">
        <f t="shared" si="272"/>
        <v>7482</v>
      </c>
    </row>
    <row r="1596" spans="1:19" hidden="1" outlineLevel="1" x14ac:dyDescent="0.35">
      <c r="A1596" s="1346" t="s">
        <v>339</v>
      </c>
      <c r="B1596" s="1347">
        <v>150</v>
      </c>
      <c r="C1596" s="1348">
        <v>150.69</v>
      </c>
      <c r="D1596" s="1349">
        <f t="shared" si="266"/>
        <v>22603.5</v>
      </c>
      <c r="E1596" s="1400">
        <f t="shared" si="265"/>
        <v>-0.11290987225525405</v>
      </c>
      <c r="F1596" s="1447">
        <f t="shared" si="267"/>
        <v>7.8597279446109891E-2</v>
      </c>
      <c r="G1596" s="1426"/>
      <c r="H1596" s="1352" t="s">
        <v>192</v>
      </c>
      <c r="I1596" s="1264">
        <f t="shared" si="268"/>
        <v>-2877</v>
      </c>
      <c r="J1596" s="1319" t="s">
        <v>340</v>
      </c>
      <c r="K1596" s="1336"/>
      <c r="L1596" s="1336"/>
      <c r="M1596" s="7" t="str">
        <f t="shared" si="269"/>
        <v>MDB</v>
      </c>
      <c r="P1596" s="1436">
        <f ca="1">RANK(O1098,O1092:O1100,1)</f>
        <v>4</v>
      </c>
      <c r="Q1596" s="1452">
        <f t="shared" si="270"/>
        <v>25641</v>
      </c>
      <c r="R1596" s="1453">
        <f t="shared" si="271"/>
        <v>22603.5</v>
      </c>
      <c r="S1596" s="1474">
        <f t="shared" si="272"/>
        <v>-3037.5</v>
      </c>
    </row>
    <row r="1597" spans="1:19" hidden="1" outlineLevel="1" x14ac:dyDescent="0.35">
      <c r="A1597" s="7" t="s">
        <v>308</v>
      </c>
      <c r="B1597" s="1362">
        <v>75</v>
      </c>
      <c r="C1597" s="1363">
        <v>289.02999999999997</v>
      </c>
      <c r="D1597" s="1364">
        <f t="shared" si="266"/>
        <v>21677.249999999996</v>
      </c>
      <c r="E1597" s="1400">
        <f t="shared" si="265"/>
        <v>-0.11571057059813385</v>
      </c>
      <c r="F1597" s="1447">
        <f t="shared" si="267"/>
        <v>7.5376506995517734E-2</v>
      </c>
      <c r="G1597" s="1147"/>
      <c r="H1597" s="1148" t="s">
        <v>192</v>
      </c>
      <c r="I1597" s="1264">
        <f t="shared" si="268"/>
        <v>-2836.5000000000036</v>
      </c>
      <c r="J1597" s="1319" t="s">
        <v>334</v>
      </c>
      <c r="K1597" s="1336"/>
      <c r="L1597" s="1336"/>
      <c r="M1597" s="7" t="str">
        <f t="shared" si="269"/>
        <v>SHOP</v>
      </c>
      <c r="P1597" s="1436">
        <f ca="1">RANK(O1099,O1092:O1100,1)</f>
        <v>4</v>
      </c>
      <c r="Q1597" s="1452">
        <f t="shared" si="270"/>
        <v>20274</v>
      </c>
      <c r="R1597" s="1453">
        <f t="shared" si="271"/>
        <v>21677.249999999996</v>
      </c>
      <c r="S1597" s="1454">
        <f t="shared" si="272"/>
        <v>1403.2499999999964</v>
      </c>
    </row>
    <row r="1598" spans="1:19" hidden="1" outlineLevel="1" x14ac:dyDescent="0.35">
      <c r="A1598" s="1346" t="s">
        <v>139</v>
      </c>
      <c r="B1598" s="1347">
        <v>39</v>
      </c>
      <c r="C1598" s="1348">
        <v>92.03</v>
      </c>
      <c r="D1598" s="1349">
        <f t="shared" si="266"/>
        <v>3589.17</v>
      </c>
      <c r="E1598" s="1400">
        <f t="shared" si="265"/>
        <v>-0.10275909135224717</v>
      </c>
      <c r="F1598" s="1476">
        <f t="shared" si="267"/>
        <v>1.2480323731705011E-2</v>
      </c>
      <c r="G1598" s="1351"/>
      <c r="H1598" s="1385" t="s">
        <v>145</v>
      </c>
      <c r="I1598" s="1264">
        <f t="shared" si="268"/>
        <v>-411.05999999999949</v>
      </c>
      <c r="J1598" s="1319" t="s">
        <v>335</v>
      </c>
      <c r="K1598" s="1336"/>
      <c r="L1598" s="1336"/>
      <c r="M1598" s="7" t="str">
        <f t="shared" si="269"/>
        <v>ROKU</v>
      </c>
      <c r="P1598" s="1436">
        <f ca="1">RANK(O1100,O1092:O1100,1)</f>
        <v>1</v>
      </c>
      <c r="Q1598" s="1452">
        <f t="shared" si="270"/>
        <v>3238.5600000000004</v>
      </c>
      <c r="R1598" s="1453">
        <f t="shared" si="271"/>
        <v>3589.17</v>
      </c>
      <c r="S1598" s="1454">
        <f t="shared" si="272"/>
        <v>350.60999999999967</v>
      </c>
    </row>
    <row r="1599" spans="1:19" ht="16" hidden="1" outlineLevel="1" thickBot="1" x14ac:dyDescent="0.4">
      <c r="A1599" s="7" t="s">
        <v>7</v>
      </c>
      <c r="B1599" s="1362"/>
      <c r="C1599" s="1363"/>
      <c r="D1599" s="1364">
        <v>1806.96</v>
      </c>
      <c r="E1599" s="32"/>
      <c r="F1599" s="1476">
        <f t="shared" si="267"/>
        <v>6.2831924289575829E-3</v>
      </c>
      <c r="G1599" s="1418"/>
      <c r="H1599" s="1419"/>
      <c r="I1599" s="1216"/>
      <c r="J1599" s="1282"/>
      <c r="K1599" s="1462"/>
      <c r="L1599" s="1463"/>
      <c r="Q1599" s="1144">
        <f>SUM(Q1590:Q1598)</f>
        <v>275002.36000000004</v>
      </c>
      <c r="R1599" s="1481">
        <f>SUM(R1590:R1598)</f>
        <v>280303.51999999996</v>
      </c>
      <c r="S1599" s="1482">
        <f>SUM(S1590:S1598)</f>
        <v>5301.1599999999717</v>
      </c>
    </row>
    <row r="1600" spans="1:19" ht="16" hidden="1" outlineLevel="1" thickBot="1" x14ac:dyDescent="0.4">
      <c r="A1600" s="1346" t="s">
        <v>60</v>
      </c>
      <c r="B1600" s="1347"/>
      <c r="C1600" s="1348"/>
      <c r="D1600" s="1349">
        <f>286779.33-1000</f>
        <v>285779.33</v>
      </c>
      <c r="E1600" s="32"/>
      <c r="F1600" s="1467">
        <f>D1600/D$1554</f>
        <v>0.9420991084124295</v>
      </c>
      <c r="G1600" s="1147"/>
      <c r="H1600" s="1148"/>
      <c r="I1600" s="1290">
        <f>SUM(I1590:I1599)</f>
        <v>-19504.660000000018</v>
      </c>
      <c r="J1600" s="1468" t="s">
        <v>336</v>
      </c>
      <c r="K1600" s="1151"/>
      <c r="L1600" s="1469"/>
      <c r="R1600" s="1470" t="str">
        <f>IF(SUM(D1590:D1598)&lt;&gt;R1599,"Out of Balance","Balances")</f>
        <v>Balances</v>
      </c>
    </row>
    <row r="1601" spans="1:27" ht="19" hidden="1" outlineLevel="1" thickBot="1" x14ac:dyDescent="0.5">
      <c r="A1601" s="726" t="s">
        <v>62</v>
      </c>
      <c r="B1601" s="583"/>
      <c r="C1601" s="584"/>
      <c r="D1601" s="1230">
        <f>SUM(D1599:D1600)</f>
        <v>287586.29000000004</v>
      </c>
      <c r="E1601" s="1483">
        <f>D1601-D1585</f>
        <v>-15157.759999999951</v>
      </c>
      <c r="F1601" s="1484">
        <f>(D1601-D1585)/D1585</f>
        <v>-5.0067903894395124E-2</v>
      </c>
      <c r="G1601" s="679"/>
      <c r="H1601" s="1231"/>
      <c r="I1601" s="680"/>
    </row>
    <row r="1602" spans="1:27" hidden="1" outlineLevel="1" x14ac:dyDescent="0.35"/>
    <row r="1603" spans="1:27" hidden="1" outlineLevel="1" x14ac:dyDescent="0.35">
      <c r="A1603" s="701" t="s">
        <v>25</v>
      </c>
      <c r="B1603" s="702" t="s">
        <v>26</v>
      </c>
      <c r="C1603" s="703" t="s">
        <v>27</v>
      </c>
      <c r="D1603" s="704">
        <f>D1587+7</f>
        <v>43651</v>
      </c>
      <c r="E1603" s="705" t="s">
        <v>28</v>
      </c>
      <c r="F1603" s="3138" t="s">
        <v>343</v>
      </c>
      <c r="G1603" s="3139"/>
      <c r="H1603" s="3140"/>
      <c r="I1603" s="1182"/>
      <c r="J1603" s="1183" t="s">
        <v>233</v>
      </c>
    </row>
    <row r="1604" spans="1:27" ht="16" hidden="1" outlineLevel="1" thickBot="1" x14ac:dyDescent="0.4">
      <c r="A1604" s="706" t="s">
        <v>32</v>
      </c>
      <c r="B1604" s="255" t="str">
        <f ca="1">TEXT(TODAY(),"ddd")</f>
        <v>Sun</v>
      </c>
      <c r="C1604" s="256">
        <v>26922</v>
      </c>
      <c r="D1604" s="1441">
        <f>C1604-C1588</f>
        <v>385.18000000000029</v>
      </c>
      <c r="E1604" s="32">
        <f>(C1604-C1588)/C1588</f>
        <v>1.4514926807356733E-2</v>
      </c>
      <c r="F1604" s="3130"/>
      <c r="G1604" s="3130"/>
      <c r="H1604" s="3142"/>
      <c r="I1604" s="1187"/>
      <c r="J1604" s="1188" t="s">
        <v>234</v>
      </c>
      <c r="K1604" s="1220" t="s">
        <v>34</v>
      </c>
      <c r="L1604" s="111" t="s">
        <v>35</v>
      </c>
      <c r="U1604" s="602"/>
      <c r="V1604" s="602"/>
      <c r="W1604" s="602"/>
    </row>
    <row r="1605" spans="1:27" hidden="1" outlineLevel="1" x14ac:dyDescent="0.35">
      <c r="A1605" s="709" t="s">
        <v>36</v>
      </c>
      <c r="B1605" s="263"/>
      <c r="C1605" s="419">
        <v>8161</v>
      </c>
      <c r="D1605" s="1441">
        <f>C1605-C1589</f>
        <v>252</v>
      </c>
      <c r="E1605" s="32">
        <f>(C1605-C1589)/C1589</f>
        <v>3.1862435200404604E-2</v>
      </c>
      <c r="F1605" s="1128" t="s">
        <v>37</v>
      </c>
      <c r="G1605" s="1129" t="s">
        <v>38</v>
      </c>
      <c r="H1605" s="1130" t="s">
        <v>144</v>
      </c>
      <c r="J1605" s="3137" t="s">
        <v>42</v>
      </c>
      <c r="K1605" s="3122"/>
      <c r="L1605" s="3123"/>
      <c r="M1605" s="1199" t="s">
        <v>244</v>
      </c>
      <c r="P1605" s="1200" t="s">
        <v>44</v>
      </c>
      <c r="Q1605" s="1479" t="s">
        <v>45</v>
      </c>
      <c r="R1605" s="1479" t="s">
        <v>46</v>
      </c>
      <c r="S1605" s="1479" t="s">
        <v>47</v>
      </c>
      <c r="T1605" s="1485" t="s">
        <v>48</v>
      </c>
    </row>
    <row r="1606" spans="1:27" hidden="1" outlineLevel="1" x14ac:dyDescent="0.35">
      <c r="A1606" s="1346" t="s">
        <v>344</v>
      </c>
      <c r="B1606" s="1347">
        <v>500</v>
      </c>
      <c r="C1606" s="1348">
        <v>54</v>
      </c>
      <c r="D1606" s="1349">
        <f t="shared" ref="D1606:D1613" si="273">C1606*B1606</f>
        <v>27000</v>
      </c>
      <c r="E1606" s="32"/>
      <c r="F1606" s="1486">
        <f>D1606/$D$1616</f>
        <v>9.1944544363191563E-2</v>
      </c>
      <c r="G1606" s="1487"/>
      <c r="H1606" s="1488"/>
      <c r="J1606" s="3126" t="s">
        <v>345</v>
      </c>
      <c r="K1606" s="3120"/>
      <c r="L1606" s="3120"/>
      <c r="M1606" s="1489" t="str">
        <f t="shared" ref="M1606:M1613" si="274">A1606</f>
        <v>SWAV</v>
      </c>
      <c r="P1606" s="1200"/>
      <c r="Q1606" s="1490">
        <f t="shared" ref="Q1606:Q1613" si="275">B1606*RIGHT(J1606,6)</f>
        <v>28740</v>
      </c>
      <c r="R1606" s="1491">
        <f>D1606</f>
        <v>27000</v>
      </c>
      <c r="S1606" s="1492">
        <f t="shared" ref="S1606:S1613" si="276">R1606-Q1606</f>
        <v>-1740</v>
      </c>
      <c r="T1606" s="1493">
        <f>(R1606-Q1606)/Q1606</f>
        <v>-6.0542797494780795E-2</v>
      </c>
    </row>
    <row r="1607" spans="1:27" hidden="1" outlineLevel="1" x14ac:dyDescent="0.35">
      <c r="A1607" s="7" t="s">
        <v>346</v>
      </c>
      <c r="B1607" s="1362">
        <v>300</v>
      </c>
      <c r="C1607" s="1363">
        <v>33.03</v>
      </c>
      <c r="D1607" s="1364">
        <f t="shared" si="273"/>
        <v>9909</v>
      </c>
      <c r="E1607" s="32"/>
      <c r="F1607" s="1486">
        <f t="shared" ref="F1607:F1613" si="277">D1607/$D$1616</f>
        <v>3.3743647781291304E-2</v>
      </c>
      <c r="G1607" s="1494">
        <v>158</v>
      </c>
      <c r="H1607" s="1488"/>
      <c r="J1607" s="3126" t="s">
        <v>347</v>
      </c>
      <c r="K1607" s="3120"/>
      <c r="L1607" s="3120"/>
      <c r="M1607" s="1489" t="str">
        <f t="shared" si="274"/>
        <v>GO</v>
      </c>
      <c r="P1607" s="1200"/>
      <c r="Q1607" s="1490">
        <f t="shared" si="275"/>
        <v>9870</v>
      </c>
      <c r="R1607" s="1491">
        <f t="shared" ref="R1607:R1613" si="278">D1607</f>
        <v>9909</v>
      </c>
      <c r="S1607" s="1495">
        <f t="shared" si="276"/>
        <v>39</v>
      </c>
      <c r="T1607" s="1496">
        <f t="shared" ref="T1607:T1613" si="279">(R1607-Q1607)/Q1607</f>
        <v>3.9513677811550156E-3</v>
      </c>
    </row>
    <row r="1608" spans="1:27" hidden="1" outlineLevel="1" x14ac:dyDescent="0.35">
      <c r="A1608" s="1346" t="s">
        <v>65</v>
      </c>
      <c r="B1608" s="1347">
        <v>300</v>
      </c>
      <c r="C1608" s="1348">
        <v>170.05</v>
      </c>
      <c r="D1608" s="1349">
        <f t="shared" si="273"/>
        <v>51015</v>
      </c>
      <c r="E1608" s="32"/>
      <c r="F1608" s="1486">
        <f t="shared" si="277"/>
        <v>0.17372410854400808</v>
      </c>
      <c r="G1608" s="1494">
        <v>99</v>
      </c>
      <c r="H1608" s="1488" t="s">
        <v>146</v>
      </c>
      <c r="J1608" s="3126" t="s">
        <v>348</v>
      </c>
      <c r="K1608" s="3120"/>
      <c r="L1608" s="3120"/>
      <c r="M1608" s="1489" t="str">
        <f t="shared" si="274"/>
        <v>VEEV</v>
      </c>
      <c r="P1608" s="1200"/>
      <c r="Q1608" s="1490">
        <f t="shared" si="275"/>
        <v>18345</v>
      </c>
      <c r="R1608" s="1491">
        <f t="shared" si="278"/>
        <v>51015</v>
      </c>
      <c r="S1608" s="1491">
        <f t="shared" si="276"/>
        <v>32670</v>
      </c>
      <c r="T1608" s="1497">
        <f t="shared" si="279"/>
        <v>1.7808667211774325</v>
      </c>
    </row>
    <row r="1609" spans="1:27" hidden="1" outlineLevel="1" x14ac:dyDescent="0.35">
      <c r="A1609" s="7" t="s">
        <v>315</v>
      </c>
      <c r="B1609" s="1362">
        <v>250</v>
      </c>
      <c r="C1609" s="1363">
        <v>19.59</v>
      </c>
      <c r="D1609" s="1364">
        <f t="shared" si="273"/>
        <v>4897.5</v>
      </c>
      <c r="E1609" s="32"/>
      <c r="F1609" s="1486">
        <f t="shared" si="277"/>
        <v>1.667771874143447E-2</v>
      </c>
      <c r="G1609" s="1494"/>
      <c r="H1609" s="1488"/>
      <c r="J1609" s="3126" t="s">
        <v>349</v>
      </c>
      <c r="K1609" s="3120"/>
      <c r="L1609" s="3120"/>
      <c r="M1609" s="1489" t="str">
        <f t="shared" si="274"/>
        <v>LK</v>
      </c>
      <c r="P1609" s="1200"/>
      <c r="Q1609" s="1490">
        <f t="shared" si="275"/>
        <v>4905</v>
      </c>
      <c r="R1609" s="1491">
        <f t="shared" si="278"/>
        <v>4897.5</v>
      </c>
      <c r="S1609" s="1492">
        <f t="shared" si="276"/>
        <v>-7.5</v>
      </c>
      <c r="T1609" s="1493">
        <f t="shared" si="279"/>
        <v>-1.5290519877675841E-3</v>
      </c>
    </row>
    <row r="1610" spans="1:27" hidden="1" outlineLevel="1" x14ac:dyDescent="0.35">
      <c r="A1610" s="1346" t="s">
        <v>307</v>
      </c>
      <c r="B1610" s="1347">
        <v>250</v>
      </c>
      <c r="C1610" s="1348">
        <v>294.52999999999997</v>
      </c>
      <c r="D1610" s="1349">
        <f t="shared" si="273"/>
        <v>73632.5</v>
      </c>
      <c r="E1610" s="32"/>
      <c r="F1610" s="1486">
        <f t="shared" si="277"/>
        <v>0.25074469121565568</v>
      </c>
      <c r="G1610" s="1494"/>
      <c r="H1610" s="1488" t="s">
        <v>350</v>
      </c>
      <c r="J1610" s="3126" t="s">
        <v>351</v>
      </c>
      <c r="K1610" s="3120"/>
      <c r="L1610" s="3120"/>
      <c r="M1610" s="1489" t="str">
        <f t="shared" si="274"/>
        <v>NOW</v>
      </c>
      <c r="P1610" s="1200"/>
      <c r="Q1610" s="1490">
        <f t="shared" si="275"/>
        <v>69275</v>
      </c>
      <c r="R1610" s="1491">
        <f t="shared" si="278"/>
        <v>73632.5</v>
      </c>
      <c r="S1610" s="1491">
        <f t="shared" si="276"/>
        <v>4357.5</v>
      </c>
      <c r="T1610" s="1496">
        <f>(R1610-Q1610)/Q1610</f>
        <v>6.2901479610249014E-2</v>
      </c>
    </row>
    <row r="1611" spans="1:27" hidden="1" outlineLevel="1" x14ac:dyDescent="0.35">
      <c r="A1611" s="7" t="s">
        <v>352</v>
      </c>
      <c r="B1611" s="1362">
        <v>250</v>
      </c>
      <c r="C1611" s="1363">
        <v>35.520000000000003</v>
      </c>
      <c r="D1611" s="1364">
        <f t="shared" si="273"/>
        <v>8880</v>
      </c>
      <c r="E1611" s="32"/>
      <c r="F1611" s="1486">
        <f t="shared" si="277"/>
        <v>3.0239539035005227E-2</v>
      </c>
      <c r="G1611" s="1494"/>
      <c r="H1611" s="1488"/>
      <c r="J1611" s="3126" t="s">
        <v>353</v>
      </c>
      <c r="K1611" s="3120"/>
      <c r="L1611" s="3120"/>
      <c r="M1611" s="1489" t="str">
        <f t="shared" si="274"/>
        <v>WORK</v>
      </c>
      <c r="P1611" s="1200"/>
      <c r="Q1611" s="1490">
        <f t="shared" si="275"/>
        <v>9185</v>
      </c>
      <c r="R1611" s="1491">
        <f t="shared" si="278"/>
        <v>8880</v>
      </c>
      <c r="S1611" s="1492">
        <f t="shared" si="276"/>
        <v>-305</v>
      </c>
      <c r="T1611" s="1493">
        <f t="shared" si="279"/>
        <v>-3.3206314643440392E-2</v>
      </c>
    </row>
    <row r="1612" spans="1:27" hidden="1" outlineLevel="1" x14ac:dyDescent="0.35">
      <c r="A1612" s="1346" t="s">
        <v>95</v>
      </c>
      <c r="B1612" s="1347">
        <v>200</v>
      </c>
      <c r="C1612" s="1348">
        <v>380.55</v>
      </c>
      <c r="D1612" s="1349">
        <f t="shared" si="273"/>
        <v>76110</v>
      </c>
      <c r="E1612" s="32"/>
      <c r="F1612" s="1486">
        <f t="shared" si="277"/>
        <v>0.25918145449935226</v>
      </c>
      <c r="G1612" s="1494">
        <v>133</v>
      </c>
      <c r="H1612" s="1488" t="s">
        <v>350</v>
      </c>
      <c r="I1612" s="1498"/>
      <c r="J1612" s="3126" t="s">
        <v>354</v>
      </c>
      <c r="K1612" s="3120"/>
      <c r="L1612" s="3120"/>
      <c r="M1612" s="1489" t="str">
        <f t="shared" si="274"/>
        <v>NFLX</v>
      </c>
      <c r="P1612" s="1086">
        <f ca="1">RANK(O1114,O1102:O1115,1)</f>
        <v>1</v>
      </c>
      <c r="Q1612" s="1490">
        <f t="shared" si="275"/>
        <v>74826</v>
      </c>
      <c r="R1612" s="1491">
        <f t="shared" si="278"/>
        <v>76110</v>
      </c>
      <c r="S1612" s="1495">
        <f t="shared" si="276"/>
        <v>1284</v>
      </c>
      <c r="T1612" s="1496">
        <f t="shared" si="279"/>
        <v>1.7159810760965441E-2</v>
      </c>
    </row>
    <row r="1613" spans="1:27" hidden="1" outlineLevel="1" x14ac:dyDescent="0.35">
      <c r="A1613" s="7" t="s">
        <v>355</v>
      </c>
      <c r="B1613" s="1362">
        <v>150</v>
      </c>
      <c r="C1613" s="1363">
        <v>268.25</v>
      </c>
      <c r="D1613" s="1364">
        <f t="shared" si="273"/>
        <v>40237.5</v>
      </c>
      <c r="E1613" s="32"/>
      <c r="F1613" s="1486">
        <f t="shared" si="277"/>
        <v>0.13702291125236743</v>
      </c>
      <c r="G1613" s="1494">
        <v>32</v>
      </c>
      <c r="H1613" s="1488" t="s">
        <v>356</v>
      </c>
      <c r="J1613" s="3126" t="s">
        <v>357</v>
      </c>
      <c r="K1613" s="3120"/>
      <c r="L1613" s="3120"/>
      <c r="M1613" s="1489" t="str">
        <f t="shared" si="274"/>
        <v>COST</v>
      </c>
      <c r="P1613" s="1200"/>
      <c r="Q1613" s="1490">
        <f t="shared" si="275"/>
        <v>39708.000000000007</v>
      </c>
      <c r="R1613" s="1491">
        <f t="shared" si="278"/>
        <v>40237.5</v>
      </c>
      <c r="S1613" s="1491">
        <f t="shared" si="276"/>
        <v>529.49999999999272</v>
      </c>
      <c r="T1613" s="1496">
        <f t="shared" si="279"/>
        <v>1.3334844363855965E-2</v>
      </c>
    </row>
    <row r="1614" spans="1:27" ht="16" hidden="1" outlineLevel="1" thickBot="1" x14ac:dyDescent="0.4">
      <c r="A1614" s="1346" t="s">
        <v>7</v>
      </c>
      <c r="B1614" s="1347"/>
      <c r="C1614" s="1348"/>
      <c r="D1614" s="1349">
        <v>1833.07</v>
      </c>
      <c r="E1614" s="32"/>
      <c r="F1614" s="1499">
        <f>D1614/D$1601</f>
        <v>6.3739825705877691E-3</v>
      </c>
      <c r="G1614" s="1418"/>
      <c r="H1614" s="1500"/>
      <c r="I1614" s="1501"/>
      <c r="J1614" s="1282"/>
      <c r="K1614" s="1462"/>
      <c r="L1614" s="1463"/>
      <c r="Q1614" s="1502">
        <f>SUM(Q1606:Q1613)</f>
        <v>254854</v>
      </c>
      <c r="R1614" s="1502">
        <f>SUM(R1606:R1613)</f>
        <v>291681.5</v>
      </c>
      <c r="S1614" s="1502">
        <f>SUM(S1606:S1613)</f>
        <v>36827.499999999993</v>
      </c>
      <c r="T1614" s="117"/>
      <c r="W1614" s="234"/>
      <c r="Y1614" s="193"/>
      <c r="Z1614" s="193"/>
      <c r="AA1614" s="234"/>
    </row>
    <row r="1615" spans="1:27" ht="16" hidden="1" outlineLevel="1" thickBot="1" x14ac:dyDescent="0.4">
      <c r="A1615" s="7" t="s">
        <v>60</v>
      </c>
      <c r="B1615" s="1362"/>
      <c r="C1615" s="1363"/>
      <c r="D1615" s="1364">
        <v>140.69999999999999</v>
      </c>
      <c r="E1615" s="32"/>
      <c r="F1615" s="1503">
        <f>D1615/D$1554</f>
        <v>4.6383111246579243E-4</v>
      </c>
      <c r="G1615" s="1504"/>
      <c r="H1615" s="1505"/>
      <c r="I1615" s="1290">
        <f>SUM(I1612:I1614)</f>
        <v>0</v>
      </c>
      <c r="J1615" s="1468" t="s">
        <v>358</v>
      </c>
      <c r="K1615" s="1151"/>
      <c r="L1615" s="1469"/>
      <c r="R1615" s="1470" t="str">
        <f>IF(SUM(D1606:D1613)&lt;&gt;R1614,"Out of Balance","Balances")</f>
        <v>Balances</v>
      </c>
      <c r="W1615" s="234"/>
      <c r="Y1615" s="193"/>
      <c r="Z1615" s="193"/>
      <c r="AA1615" s="234"/>
    </row>
    <row r="1616" spans="1:27" ht="19" hidden="1" outlineLevel="1" thickBot="1" x14ac:dyDescent="0.5">
      <c r="A1616" s="726" t="s">
        <v>62</v>
      </c>
      <c r="B1616" s="583"/>
      <c r="C1616" s="584"/>
      <c r="D1616" s="1230">
        <f>SUM(D1606:D1615)</f>
        <v>293655.27</v>
      </c>
      <c r="E1616" s="1471">
        <f>D1616-D1601</f>
        <v>6068.9799999999814</v>
      </c>
      <c r="F1616" s="1218">
        <f>(D1616-D1601)/D1601</f>
        <v>2.1103161767551507E-2</v>
      </c>
      <c r="G1616" s="679"/>
      <c r="H1616" s="1231"/>
      <c r="I1616" s="680"/>
      <c r="T1616">
        <v>7</v>
      </c>
      <c r="W1616" s="234"/>
      <c r="Y1616" s="193"/>
      <c r="Z1616" s="193"/>
      <c r="AA1616" s="234"/>
    </row>
    <row r="1617" spans="1:28" hidden="1" outlineLevel="1" x14ac:dyDescent="0.35">
      <c r="D1617" s="247"/>
      <c r="W1617" s="234"/>
      <c r="Y1617" s="193"/>
      <c r="Z1617" s="193"/>
      <c r="AA1617" s="234"/>
    </row>
    <row r="1618" spans="1:28" hidden="1" outlineLevel="1" x14ac:dyDescent="0.35">
      <c r="A1618" s="701" t="s">
        <v>25</v>
      </c>
      <c r="B1618" s="702" t="s">
        <v>26</v>
      </c>
      <c r="C1618" s="703" t="s">
        <v>27</v>
      </c>
      <c r="D1618" s="704">
        <f>D1603+7</f>
        <v>43658</v>
      </c>
      <c r="E1618" s="705" t="s">
        <v>28</v>
      </c>
      <c r="F1618" s="3138" t="s">
        <v>343</v>
      </c>
      <c r="G1618" s="3139"/>
      <c r="H1618" s="3140"/>
      <c r="I1618" s="1182"/>
      <c r="J1618" s="1183" t="s">
        <v>233</v>
      </c>
      <c r="W1618" s="234"/>
      <c r="Y1618" s="193"/>
      <c r="Z1618" s="193"/>
      <c r="AA1618" s="234"/>
    </row>
    <row r="1619" spans="1:28" ht="16" hidden="1" outlineLevel="1" thickBot="1" x14ac:dyDescent="0.4">
      <c r="A1619" s="706" t="s">
        <v>32</v>
      </c>
      <c r="B1619" s="255" t="str">
        <f ca="1">TEXT(TODAY(),"ddd")</f>
        <v>Sun</v>
      </c>
      <c r="C1619" s="256">
        <v>27332</v>
      </c>
      <c r="D1619" s="1441">
        <f>C1619-C1604</f>
        <v>410</v>
      </c>
      <c r="E1619" s="32">
        <f>(C1619-C1604)/C1604</f>
        <v>1.522918059579526E-2</v>
      </c>
      <c r="F1619" s="3130"/>
      <c r="G1619" s="3130"/>
      <c r="H1619" s="3142"/>
      <c r="I1619" s="1187"/>
      <c r="J1619" s="1188" t="s">
        <v>234</v>
      </c>
      <c r="K1619" s="1220" t="s">
        <v>34</v>
      </c>
      <c r="L1619" s="111" t="s">
        <v>35</v>
      </c>
      <c r="W1619" s="234"/>
      <c r="Y1619" s="193"/>
      <c r="Z1619" s="193"/>
      <c r="AA1619" s="234"/>
    </row>
    <row r="1620" spans="1:28" hidden="1" outlineLevel="1" x14ac:dyDescent="0.35">
      <c r="A1620" s="709" t="s">
        <v>36</v>
      </c>
      <c r="B1620" s="263"/>
      <c r="C1620" s="419">
        <v>8244</v>
      </c>
      <c r="D1620" s="1441">
        <f>C1620-C1605</f>
        <v>83</v>
      </c>
      <c r="E1620" s="32">
        <f>(C1620-C1605)/C1605</f>
        <v>1.0170322264428379E-2</v>
      </c>
      <c r="F1620" s="1128" t="s">
        <v>37</v>
      </c>
      <c r="G1620" s="1129" t="s">
        <v>38</v>
      </c>
      <c r="H1620" s="1130" t="s">
        <v>144</v>
      </c>
      <c r="J1620" s="3137" t="s">
        <v>42</v>
      </c>
      <c r="K1620" s="3122"/>
      <c r="L1620" s="3123"/>
      <c r="M1620" s="1199" t="s">
        <v>244</v>
      </c>
      <c r="P1620" s="1200" t="s">
        <v>44</v>
      </c>
      <c r="Q1620" s="1479" t="s">
        <v>45</v>
      </c>
      <c r="R1620" s="1479" t="s">
        <v>46</v>
      </c>
      <c r="S1620" s="1479" t="s">
        <v>47</v>
      </c>
      <c r="T1620" s="1485" t="s">
        <v>48</v>
      </c>
      <c r="W1620" s="234"/>
      <c r="Y1620" s="193"/>
      <c r="Z1620" s="193"/>
      <c r="AA1620" s="234"/>
    </row>
    <row r="1621" spans="1:28" hidden="1" outlineLevel="1" x14ac:dyDescent="0.35">
      <c r="A1621" s="1346" t="s">
        <v>65</v>
      </c>
      <c r="B1621" s="1347">
        <v>350</v>
      </c>
      <c r="C1621" s="1348">
        <v>175.09</v>
      </c>
      <c r="D1621" s="1349">
        <f>C1621*B1621</f>
        <v>61281.5</v>
      </c>
      <c r="E1621" s="32"/>
      <c r="F1621" s="1506">
        <f>D1621/$D$1616</f>
        <v>0.20868517019973792</v>
      </c>
      <c r="G1621" s="1494">
        <v>99</v>
      </c>
      <c r="H1621" s="1488" t="s">
        <v>146</v>
      </c>
      <c r="J1621" s="3126" t="s">
        <v>359</v>
      </c>
      <c r="K1621" s="3120"/>
      <c r="L1621" s="3120"/>
      <c r="M1621" s="1507" t="str">
        <f>A1621</f>
        <v>VEEV</v>
      </c>
      <c r="P1621" s="1085">
        <f ca="1">IF(O1123="","",RANK(O1123,O1123:O1130,1))</f>
        <v>4</v>
      </c>
      <c r="Q1621" s="1508">
        <f>B1621*RIGHT(J1621,7)</f>
        <v>56913.500000000007</v>
      </c>
      <c r="R1621" s="1491">
        <f>D1621</f>
        <v>61281.5</v>
      </c>
      <c r="S1621" s="1491">
        <f>R1621-Q1621</f>
        <v>4367.9999999999927</v>
      </c>
      <c r="T1621" s="1509">
        <f>(R1621-Q1621)/Q1621</f>
        <v>7.6748047475554873E-2</v>
      </c>
      <c r="Y1621" s="193"/>
      <c r="Z1621" s="193"/>
      <c r="AA1621" s="234"/>
    </row>
    <row r="1622" spans="1:28" hidden="1" outlineLevel="1" x14ac:dyDescent="0.35">
      <c r="A1622" s="7" t="s">
        <v>346</v>
      </c>
      <c r="B1622" s="1362">
        <v>300</v>
      </c>
      <c r="C1622" s="1363">
        <v>33.81</v>
      </c>
      <c r="D1622" s="1364">
        <f t="shared" ref="D1622:D1628" si="280">C1622*B1622</f>
        <v>10143</v>
      </c>
      <c r="E1622" s="32"/>
      <c r="F1622" s="1486">
        <f t="shared" ref="F1622:F1628" si="281">D1622/$D$1616</f>
        <v>3.4540500499105634E-2</v>
      </c>
      <c r="G1622" s="1494">
        <v>158</v>
      </c>
      <c r="H1622" s="1488"/>
      <c r="J1622" s="3126" t="s">
        <v>347</v>
      </c>
      <c r="K1622" s="3120"/>
      <c r="L1622" s="3120"/>
      <c r="M1622" s="1507" t="str">
        <f t="shared" ref="M1622:M1628" si="282">A1622</f>
        <v>GO</v>
      </c>
      <c r="P1622" s="1085" t="str">
        <f ca="1">IF(O1124="","",RANK(O1124,O1123:O1130,1))</f>
        <v/>
      </c>
      <c r="Q1622" s="1508">
        <f t="shared" ref="Q1622:Q1628" si="283">B1622*RIGHT(J1622,6)</f>
        <v>9870</v>
      </c>
      <c r="R1622" s="1491">
        <f t="shared" ref="R1622:R1628" si="284">D1622</f>
        <v>10143</v>
      </c>
      <c r="S1622" s="1510">
        <f t="shared" ref="S1622:S1628" si="285">R1622-Q1622</f>
        <v>273</v>
      </c>
      <c r="T1622" s="1493">
        <f t="shared" ref="T1622:T1628" si="286">(R1622-Q1622)/Q1622</f>
        <v>2.7659574468085105E-2</v>
      </c>
      <c r="W1622" s="234"/>
      <c r="Y1622" s="193"/>
      <c r="Z1622" s="193"/>
      <c r="AA1622" s="234"/>
    </row>
    <row r="1623" spans="1:28" hidden="1" outlineLevel="1" x14ac:dyDescent="0.35">
      <c r="A1623" s="1346" t="s">
        <v>315</v>
      </c>
      <c r="B1623" s="1347">
        <v>250</v>
      </c>
      <c r="C1623" s="1348">
        <v>19.41</v>
      </c>
      <c r="D1623" s="1349">
        <f t="shared" si="280"/>
        <v>4852.5</v>
      </c>
      <c r="E1623" s="32"/>
      <c r="F1623" s="1486">
        <f t="shared" si="281"/>
        <v>1.6524477834162485E-2</v>
      </c>
      <c r="G1623" s="1494"/>
      <c r="H1623" s="1488"/>
      <c r="J1623" s="3126" t="s">
        <v>349</v>
      </c>
      <c r="K1623" s="3120"/>
      <c r="L1623" s="3120"/>
      <c r="M1623" s="1507" t="str">
        <f t="shared" si="282"/>
        <v>LK</v>
      </c>
      <c r="P1623" s="1085" t="str">
        <f ca="1">IF(O1125="","",RANK(O1125,O1123:O1130,1))</f>
        <v/>
      </c>
      <c r="Q1623" s="1508">
        <f t="shared" si="283"/>
        <v>4905</v>
      </c>
      <c r="R1623" s="1491">
        <f t="shared" si="284"/>
        <v>4852.5</v>
      </c>
      <c r="S1623" s="1492">
        <f t="shared" si="285"/>
        <v>-52.5</v>
      </c>
      <c r="T1623" s="1493">
        <f t="shared" si="286"/>
        <v>-1.0703363914373088E-2</v>
      </c>
      <c r="W1623" s="117"/>
      <c r="Y1623" s="193"/>
      <c r="Z1623" s="193"/>
      <c r="AA1623" s="234"/>
    </row>
    <row r="1624" spans="1:28" hidden="1" outlineLevel="1" x14ac:dyDescent="0.35">
      <c r="A1624" s="7" t="s">
        <v>307</v>
      </c>
      <c r="B1624" s="1362">
        <v>250</v>
      </c>
      <c r="C1624" s="1363">
        <v>301.13</v>
      </c>
      <c r="D1624" s="1364">
        <f t="shared" si="280"/>
        <v>75282.5</v>
      </c>
      <c r="E1624" s="32"/>
      <c r="F1624" s="1506">
        <f t="shared" si="281"/>
        <v>0.25636352448229516</v>
      </c>
      <c r="G1624" s="1494"/>
      <c r="H1624" s="1488" t="s">
        <v>350</v>
      </c>
      <c r="J1624" s="3126" t="s">
        <v>351</v>
      </c>
      <c r="K1624" s="3120"/>
      <c r="L1624" s="3120"/>
      <c r="M1624" s="1507" t="str">
        <f t="shared" si="282"/>
        <v>NOW</v>
      </c>
      <c r="P1624" s="1085">
        <f ca="1">IF(O1126="","",RANK(O1126,O1123:O1130,1))</f>
        <v>2</v>
      </c>
      <c r="Q1624" s="1508">
        <f t="shared" si="283"/>
        <v>69275</v>
      </c>
      <c r="R1624" s="1491">
        <f t="shared" si="284"/>
        <v>75282.5</v>
      </c>
      <c r="S1624" s="1491">
        <f t="shared" si="285"/>
        <v>6007.5</v>
      </c>
      <c r="T1624" s="1509">
        <f t="shared" si="286"/>
        <v>8.6719595813785633E-2</v>
      </c>
      <c r="W1624" s="117"/>
      <c r="Y1624" s="193"/>
      <c r="Z1624" s="193"/>
      <c r="AA1624" s="234"/>
    </row>
    <row r="1625" spans="1:28" hidden="1" outlineLevel="1" x14ac:dyDescent="0.35">
      <c r="A1625" s="1346" t="s">
        <v>352</v>
      </c>
      <c r="B1625" s="1347">
        <v>250</v>
      </c>
      <c r="C1625" s="1348">
        <v>33.729999999999997</v>
      </c>
      <c r="D1625" s="1349">
        <f t="shared" si="280"/>
        <v>8432.5</v>
      </c>
      <c r="E1625" s="32"/>
      <c r="F1625" s="1486">
        <f t="shared" si="281"/>
        <v>2.8715643346022699E-2</v>
      </c>
      <c r="G1625" s="1494"/>
      <c r="H1625" s="1488"/>
      <c r="J1625" s="3126" t="s">
        <v>353</v>
      </c>
      <c r="K1625" s="3120"/>
      <c r="L1625" s="3120"/>
      <c r="M1625" s="1507" t="str">
        <f t="shared" si="282"/>
        <v>WORK</v>
      </c>
      <c r="P1625" s="1085" t="str">
        <f ca="1">IF(O1127="","",RANK(O1127,O1123:O1130,1))</f>
        <v/>
      </c>
      <c r="Q1625" s="1508">
        <f t="shared" si="283"/>
        <v>9185</v>
      </c>
      <c r="R1625" s="1491">
        <f t="shared" si="284"/>
        <v>8432.5</v>
      </c>
      <c r="S1625" s="1492">
        <f t="shared" si="285"/>
        <v>-752.5</v>
      </c>
      <c r="T1625" s="1493">
        <f t="shared" si="286"/>
        <v>-8.1927054980947198E-2</v>
      </c>
      <c r="W1625" s="234"/>
      <c r="Y1625" s="193"/>
    </row>
    <row r="1626" spans="1:28" hidden="1" outlineLevel="1" x14ac:dyDescent="0.35">
      <c r="A1626" s="7" t="s">
        <v>344</v>
      </c>
      <c r="B1626" s="1362">
        <v>200</v>
      </c>
      <c r="C1626" s="1363">
        <v>50.83</v>
      </c>
      <c r="D1626" s="1364">
        <f>C1626*B1626</f>
        <v>10166</v>
      </c>
      <c r="E1626" s="32"/>
      <c r="F1626" s="1486">
        <f>D1626/$D$1616</f>
        <v>3.4618823629489093E-2</v>
      </c>
      <c r="G1626" s="1487"/>
      <c r="H1626" s="1488"/>
      <c r="J1626" s="3126" t="s">
        <v>345</v>
      </c>
      <c r="K1626" s="3120"/>
      <c r="L1626" s="3120"/>
      <c r="M1626" s="1507" t="str">
        <f>A1626</f>
        <v>SWAV</v>
      </c>
      <c r="P1626" s="1085">
        <f ca="1">IF(O1128="","",RANK(O1128,O1123:O1130,1))</f>
        <v>3</v>
      </c>
      <c r="Q1626" s="1508">
        <f t="shared" si="283"/>
        <v>11496</v>
      </c>
      <c r="R1626" s="1491">
        <f>D1626</f>
        <v>10166</v>
      </c>
      <c r="S1626" s="1492">
        <f>R1626-Q1626</f>
        <v>-1330</v>
      </c>
      <c r="T1626" s="1493">
        <f>(R1626-Q1626)/Q1626</f>
        <v>-0.11569241475295755</v>
      </c>
      <c r="W1626" s="234"/>
      <c r="Y1626" s="193"/>
      <c r="Z1626" s="193"/>
      <c r="AA1626" s="234"/>
    </row>
    <row r="1627" spans="1:28" hidden="1" outlineLevel="1" x14ac:dyDescent="0.35">
      <c r="A1627" s="1346" t="s">
        <v>95</v>
      </c>
      <c r="B1627" s="1347">
        <v>200</v>
      </c>
      <c r="C1627" s="1348">
        <v>325</v>
      </c>
      <c r="D1627" s="1349">
        <f t="shared" si="280"/>
        <v>65000</v>
      </c>
      <c r="E1627" s="32"/>
      <c r="F1627" s="1506">
        <f t="shared" si="281"/>
        <v>0.22134797717064636</v>
      </c>
      <c r="G1627" s="1494">
        <v>133</v>
      </c>
      <c r="H1627" s="1488" t="s">
        <v>350</v>
      </c>
      <c r="I1627" s="1498"/>
      <c r="J1627" s="3126" t="s">
        <v>354</v>
      </c>
      <c r="K1627" s="3120"/>
      <c r="L1627" s="3120"/>
      <c r="M1627" s="1507" t="str">
        <f t="shared" si="282"/>
        <v>NFLX</v>
      </c>
      <c r="P1627" s="1085">
        <f ca="1">IF(O1129="","",RANK(O1129,O1123:O1130,1))</f>
        <v>1</v>
      </c>
      <c r="Q1627" s="1508">
        <f t="shared" si="283"/>
        <v>74826</v>
      </c>
      <c r="R1627" s="1491">
        <f t="shared" si="284"/>
        <v>65000</v>
      </c>
      <c r="S1627" s="1492">
        <f t="shared" si="285"/>
        <v>-9826</v>
      </c>
      <c r="T1627" s="1493">
        <f t="shared" si="286"/>
        <v>-0.13131799107262182</v>
      </c>
      <c r="U1627" t="s">
        <v>360</v>
      </c>
    </row>
    <row r="1628" spans="1:28" hidden="1" outlineLevel="1" x14ac:dyDescent="0.35">
      <c r="A1628" s="7" t="s">
        <v>355</v>
      </c>
      <c r="B1628" s="1362">
        <v>150</v>
      </c>
      <c r="C1628" s="1363">
        <v>279.44</v>
      </c>
      <c r="D1628" s="1364">
        <f t="shared" si="280"/>
        <v>41916</v>
      </c>
      <c r="E1628" s="32"/>
      <c r="F1628" s="1506">
        <f t="shared" si="281"/>
        <v>0.14273879709361251</v>
      </c>
      <c r="G1628" s="1494">
        <v>32</v>
      </c>
      <c r="H1628" s="1488" t="s">
        <v>356</v>
      </c>
      <c r="J1628" s="3126" t="s">
        <v>357</v>
      </c>
      <c r="K1628" s="3120"/>
      <c r="L1628" s="3120"/>
      <c r="M1628" s="1507" t="str">
        <f t="shared" si="282"/>
        <v>COST</v>
      </c>
      <c r="P1628" s="1085">
        <f ca="1">IF(O1130="","",RANK(O1130,O1123:O1130,1))</f>
        <v>5</v>
      </c>
      <c r="Q1628" s="1508">
        <f t="shared" si="283"/>
        <v>39708.000000000007</v>
      </c>
      <c r="R1628" s="1491">
        <f t="shared" si="284"/>
        <v>41916</v>
      </c>
      <c r="S1628" s="1491">
        <f t="shared" si="285"/>
        <v>2207.9999999999927</v>
      </c>
      <c r="T1628" s="1496">
        <f t="shared" si="286"/>
        <v>5.5605923239649246E-2</v>
      </c>
      <c r="W1628" s="234"/>
      <c r="AA1628" s="234"/>
    </row>
    <row r="1629" spans="1:28" ht="16" hidden="1" outlineLevel="1" thickBot="1" x14ac:dyDescent="0.4">
      <c r="A1629" s="1346" t="s">
        <v>7</v>
      </c>
      <c r="B1629" s="1347"/>
      <c r="C1629" s="1348"/>
      <c r="D1629" s="1349">
        <v>1822.42</v>
      </c>
      <c r="E1629" s="32"/>
      <c r="F1629" s="1499">
        <f>D1629/D$1601</f>
        <v>6.3369502071882492E-3</v>
      </c>
      <c r="G1629" s="1418"/>
      <c r="H1629" s="1500"/>
      <c r="I1629" s="1501"/>
      <c r="J1629" s="1282"/>
      <c r="K1629" s="1462"/>
      <c r="L1629" s="1463"/>
      <c r="Q1629" s="1502">
        <f>SUM(Q1622:Q1628)</f>
        <v>219265</v>
      </c>
      <c r="R1629" s="1502">
        <f>SUM(R1622:R1628)</f>
        <v>215792.5</v>
      </c>
      <c r="S1629" s="1502">
        <f>SUM(S1622:S1628)</f>
        <v>-3472.5000000000073</v>
      </c>
    </row>
    <row r="1630" spans="1:28" ht="16" hidden="1" outlineLevel="1" thickBot="1" x14ac:dyDescent="0.4">
      <c r="A1630" s="7" t="s">
        <v>60</v>
      </c>
      <c r="B1630" s="1362"/>
      <c r="C1630" s="1363"/>
      <c r="D1630" s="1364">
        <v>6819.71</v>
      </c>
      <c r="E1630" s="32"/>
      <c r="F1630" s="1503">
        <f>D1630/D$1554</f>
        <v>2.2481831385885498E-2</v>
      </c>
      <c r="G1630" s="1504"/>
      <c r="H1630" s="1505"/>
      <c r="I1630" s="1290">
        <f>SUM(I1627:I1629)</f>
        <v>0</v>
      </c>
      <c r="J1630" s="1468"/>
      <c r="K1630" s="1151"/>
      <c r="L1630" s="1469"/>
      <c r="R1630" s="1470" t="str">
        <f>IF(SUM(D1622:D1628)&lt;&gt;R1629,"Out of Balance","Balances")</f>
        <v>Balances</v>
      </c>
      <c r="X1630" s="117"/>
      <c r="Z1630" s="235"/>
      <c r="AB1630" s="235"/>
    </row>
    <row r="1631" spans="1:28" ht="19" hidden="1" outlineLevel="1" thickBot="1" x14ac:dyDescent="0.5">
      <c r="A1631" s="726" t="s">
        <v>62</v>
      </c>
      <c r="B1631" s="583"/>
      <c r="C1631" s="584"/>
      <c r="D1631" s="1230">
        <f>SUM(D1621:D1630)</f>
        <v>285716.13</v>
      </c>
      <c r="E1631" s="1483">
        <f>D1631-D1616</f>
        <v>-7939.140000000014</v>
      </c>
      <c r="F1631" s="1218">
        <f>(D1631-D1616)/D1616</f>
        <v>-2.7035578145762594E-2</v>
      </c>
      <c r="G1631" s="679"/>
      <c r="H1631" s="1231"/>
      <c r="I1631" s="680"/>
      <c r="X1631" s="117"/>
      <c r="Z1631" s="235"/>
      <c r="AB1631" s="235"/>
    </row>
    <row r="1632" spans="1:28" hidden="1" outlineLevel="1" x14ac:dyDescent="0.35">
      <c r="D1632" s="193"/>
    </row>
    <row r="1633" spans="1:26" hidden="1" outlineLevel="1" x14ac:dyDescent="0.35">
      <c r="A1633" s="701" t="s">
        <v>25</v>
      </c>
      <c r="B1633" s="702" t="s">
        <v>26</v>
      </c>
      <c r="C1633" s="703" t="s">
        <v>27</v>
      </c>
      <c r="D1633" s="704">
        <f>D1618+7</f>
        <v>43665</v>
      </c>
      <c r="E1633" s="705" t="s">
        <v>28</v>
      </c>
      <c r="F1633" s="3138" t="s">
        <v>343</v>
      </c>
      <c r="G1633" s="3139"/>
      <c r="H1633" s="3140"/>
      <c r="I1633" s="1182"/>
      <c r="J1633" s="1183" t="s">
        <v>233</v>
      </c>
    </row>
    <row r="1634" spans="1:26" ht="16" hidden="1" outlineLevel="1" thickBot="1" x14ac:dyDescent="0.4">
      <c r="A1634" s="706" t="s">
        <v>32</v>
      </c>
      <c r="B1634" s="255" t="str">
        <f ca="1">TEXT(TODAY(),"ddd")</f>
        <v>Sun</v>
      </c>
      <c r="C1634" s="256">
        <v>27154</v>
      </c>
      <c r="D1634" s="1441">
        <f>C1634-C1619</f>
        <v>-178</v>
      </c>
      <c r="E1634" s="32">
        <f>(C1634-C1619)/C1619</f>
        <v>-6.5125128055027078E-3</v>
      </c>
      <c r="F1634" s="3130"/>
      <c r="G1634" s="3130"/>
      <c r="H1634" s="3142"/>
      <c r="I1634" s="1187"/>
      <c r="J1634" s="1188" t="s">
        <v>234</v>
      </c>
      <c r="K1634" s="1220" t="s">
        <v>34</v>
      </c>
      <c r="L1634" s="111" t="s">
        <v>35</v>
      </c>
      <c r="V1634" s="602"/>
      <c r="W1634" s="229"/>
      <c r="X1634" s="229"/>
      <c r="Y1634" s="229"/>
    </row>
    <row r="1635" spans="1:26" hidden="1" outlineLevel="1" x14ac:dyDescent="0.35">
      <c r="A1635" s="709" t="s">
        <v>36</v>
      </c>
      <c r="B1635" s="263"/>
      <c r="C1635" s="419">
        <v>8146</v>
      </c>
      <c r="D1635" s="1441">
        <f>C1635-C1620</f>
        <v>-98</v>
      </c>
      <c r="E1635" s="32">
        <f>(C1635-C1620)/C1620</f>
        <v>-1.1887433284813197E-2</v>
      </c>
      <c r="F1635" s="1128" t="s">
        <v>37</v>
      </c>
      <c r="G1635" s="1129" t="s">
        <v>38</v>
      </c>
      <c r="H1635" s="1130" t="s">
        <v>144</v>
      </c>
      <c r="J1635" s="3137" t="s">
        <v>42</v>
      </c>
      <c r="K1635" s="3122"/>
      <c r="L1635" s="3123"/>
      <c r="M1635" s="1199" t="s">
        <v>244</v>
      </c>
      <c r="P1635" s="1200" t="s">
        <v>44</v>
      </c>
      <c r="Q1635" s="1479" t="s">
        <v>45</v>
      </c>
      <c r="R1635" s="1479" t="s">
        <v>46</v>
      </c>
      <c r="S1635" s="1479" t="s">
        <v>47</v>
      </c>
      <c r="T1635" s="1485" t="s">
        <v>48</v>
      </c>
      <c r="Y1635" s="1360"/>
      <c r="Z1635" s="117"/>
    </row>
    <row r="1636" spans="1:26" hidden="1" outlineLevel="1" x14ac:dyDescent="0.35">
      <c r="A1636" s="1346" t="s">
        <v>361</v>
      </c>
      <c r="B1636" s="1347">
        <v>500</v>
      </c>
      <c r="C1636" s="1348">
        <v>117.79</v>
      </c>
      <c r="D1636" s="1349">
        <f t="shared" ref="D1636:D1643" si="287">C1636*B1636</f>
        <v>58895</v>
      </c>
      <c r="E1636" s="32"/>
      <c r="F1636" s="1486">
        <f>D1636/$D$1616</f>
        <v>0.20055829408408027</v>
      </c>
      <c r="G1636" s="1487"/>
      <c r="H1636" s="1488"/>
      <c r="J1636" s="3126" t="s">
        <v>345</v>
      </c>
      <c r="K1636" s="3120"/>
      <c r="L1636" s="3120"/>
      <c r="M1636" s="1489" t="str">
        <f t="shared" ref="M1636:M1643" si="288">A1636</f>
        <v>RGLD</v>
      </c>
      <c r="P1636" s="1200"/>
      <c r="Q1636" s="1508">
        <f t="shared" ref="Q1636:Q1641" si="289">B1636*RIGHT(J1636,6)</f>
        <v>28740</v>
      </c>
      <c r="R1636" s="1491">
        <f>D1636</f>
        <v>58895</v>
      </c>
      <c r="S1636" s="1492">
        <f t="shared" ref="S1636:S1643" si="290">R1636-Q1636</f>
        <v>30155</v>
      </c>
      <c r="T1636" s="1496">
        <f>(R1636-Q1636)/Q1636</f>
        <v>1.0492345163535142</v>
      </c>
      <c r="Y1636" s="1360"/>
      <c r="Z1636" s="117"/>
    </row>
    <row r="1637" spans="1:26" hidden="1" outlineLevel="1" x14ac:dyDescent="0.35">
      <c r="A1637" s="1361" t="s">
        <v>65</v>
      </c>
      <c r="B1637" s="1362">
        <v>350</v>
      </c>
      <c r="C1637" s="1363">
        <v>169.49</v>
      </c>
      <c r="D1637" s="1364">
        <f>C1637*B1637</f>
        <v>59321.5</v>
      </c>
      <c r="E1637" s="32">
        <f t="shared" ref="E1637:E1642" si="291">(C1637-C1621)/C1621</f>
        <v>-3.1983551316465783E-2</v>
      </c>
      <c r="F1637" s="1486">
        <f>D1637/$D$1616</f>
        <v>0.20201067734966921</v>
      </c>
      <c r="G1637" s="1494">
        <v>99</v>
      </c>
      <c r="H1637" s="1488" t="s">
        <v>146</v>
      </c>
      <c r="J1637" s="3126" t="s">
        <v>348</v>
      </c>
      <c r="K1637" s="3120"/>
      <c r="L1637" s="3120"/>
      <c r="M1637" s="1489" t="str">
        <f>A1637</f>
        <v>VEEV</v>
      </c>
      <c r="P1637" s="1200"/>
      <c r="Q1637" s="1508">
        <f t="shared" si="289"/>
        <v>21402.5</v>
      </c>
      <c r="R1637" s="1491">
        <f>D1637</f>
        <v>59321.5</v>
      </c>
      <c r="S1637" s="1491">
        <f>R1637-Q1637</f>
        <v>37919</v>
      </c>
      <c r="T1637" s="1496">
        <f>(R1637-Q1637)/Q1637</f>
        <v>1.7717089125102208</v>
      </c>
      <c r="Y1637" s="1360"/>
      <c r="Z1637" s="117"/>
    </row>
    <row r="1638" spans="1:26" hidden="1" outlineLevel="1" x14ac:dyDescent="0.35">
      <c r="A1638" s="1346" t="s">
        <v>346</v>
      </c>
      <c r="B1638" s="1347">
        <v>300</v>
      </c>
      <c r="C1638" s="1348">
        <v>37.65</v>
      </c>
      <c r="D1638" s="1349">
        <f t="shared" si="287"/>
        <v>11295</v>
      </c>
      <c r="E1638" s="32">
        <f t="shared" si="291"/>
        <v>0.11357586512866004</v>
      </c>
      <c r="F1638" s="1486">
        <f t="shared" ref="F1638:F1643" si="292">D1638/$D$1616</f>
        <v>3.8463467725268471E-2</v>
      </c>
      <c r="G1638" s="1494">
        <v>158</v>
      </c>
      <c r="H1638" s="1488"/>
      <c r="J1638" s="3126" t="s">
        <v>347</v>
      </c>
      <c r="K1638" s="3120"/>
      <c r="L1638" s="3120"/>
      <c r="M1638" s="1489" t="str">
        <f t="shared" si="288"/>
        <v>GO</v>
      </c>
      <c r="P1638" s="1200"/>
      <c r="Q1638" s="1508">
        <f t="shared" si="289"/>
        <v>9870</v>
      </c>
      <c r="R1638" s="1491">
        <f t="shared" ref="R1638:R1643" si="293">D1638</f>
        <v>11295</v>
      </c>
      <c r="S1638" s="1492">
        <f t="shared" si="290"/>
        <v>1425</v>
      </c>
      <c r="T1638" s="1496">
        <f t="shared" ref="T1638:T1643" si="294">(R1638-Q1638)/Q1638</f>
        <v>0.14437689969604864</v>
      </c>
      <c r="Y1638" s="1360"/>
      <c r="Z1638" s="117"/>
    </row>
    <row r="1639" spans="1:26" hidden="1" outlineLevel="1" x14ac:dyDescent="0.35">
      <c r="A1639" s="1361" t="s">
        <v>315</v>
      </c>
      <c r="B1639" s="1362">
        <v>250</v>
      </c>
      <c r="C1639" s="1363">
        <v>20.05</v>
      </c>
      <c r="D1639" s="1364">
        <f t="shared" si="287"/>
        <v>5012.5</v>
      </c>
      <c r="E1639" s="32">
        <f t="shared" si="291"/>
        <v>3.297269448737767E-2</v>
      </c>
      <c r="F1639" s="1486">
        <f t="shared" si="292"/>
        <v>1.706933439335177E-2</v>
      </c>
      <c r="G1639" s="1494"/>
      <c r="H1639" s="1488"/>
      <c r="J1639" s="3126" t="s">
        <v>349</v>
      </c>
      <c r="K1639" s="3120"/>
      <c r="L1639" s="3120"/>
      <c r="M1639" s="1489" t="str">
        <f t="shared" si="288"/>
        <v>LK</v>
      </c>
      <c r="P1639" s="1200"/>
      <c r="Q1639" s="1508">
        <f t="shared" si="289"/>
        <v>4905</v>
      </c>
      <c r="R1639" s="1491">
        <f t="shared" si="293"/>
        <v>5012.5</v>
      </c>
      <c r="S1639" s="1492">
        <f t="shared" si="290"/>
        <v>107.5</v>
      </c>
      <c r="T1639" s="1496">
        <f t="shared" si="294"/>
        <v>2.1916411824668705E-2</v>
      </c>
      <c r="Y1639" s="1360"/>
      <c r="Z1639" s="117"/>
    </row>
    <row r="1640" spans="1:26" hidden="1" outlineLevel="1" x14ac:dyDescent="0.35">
      <c r="A1640" s="1346" t="s">
        <v>307</v>
      </c>
      <c r="B1640" s="1347">
        <v>250</v>
      </c>
      <c r="C1640" s="1348">
        <v>289.74</v>
      </c>
      <c r="D1640" s="1349">
        <f t="shared" si="287"/>
        <v>72435</v>
      </c>
      <c r="E1640" s="1185">
        <f t="shared" si="291"/>
        <v>-3.7824195530169649E-2</v>
      </c>
      <c r="F1640" s="1486">
        <f t="shared" si="292"/>
        <v>0.24666678040547338</v>
      </c>
      <c r="G1640" s="1494"/>
      <c r="H1640" s="1488" t="s">
        <v>350</v>
      </c>
      <c r="J1640" s="3126" t="s">
        <v>351</v>
      </c>
      <c r="K1640" s="3120"/>
      <c r="L1640" s="3120"/>
      <c r="M1640" s="1489" t="str">
        <f t="shared" si="288"/>
        <v>NOW</v>
      </c>
      <c r="P1640" s="1200"/>
      <c r="Q1640" s="1508">
        <f t="shared" si="289"/>
        <v>69275</v>
      </c>
      <c r="R1640" s="1491">
        <f t="shared" si="293"/>
        <v>72435</v>
      </c>
      <c r="S1640" s="1491">
        <f t="shared" si="290"/>
        <v>3160</v>
      </c>
      <c r="T1640" s="1496">
        <f t="shared" si="294"/>
        <v>4.5615301335258027E-2</v>
      </c>
      <c r="Y1640" s="1360"/>
      <c r="Z1640" s="117"/>
    </row>
    <row r="1641" spans="1:26" hidden="1" outlineLevel="1" x14ac:dyDescent="0.35">
      <c r="A1641" s="1361" t="s">
        <v>352</v>
      </c>
      <c r="B1641" s="1362">
        <v>250</v>
      </c>
      <c r="C1641" s="1363">
        <v>31.3</v>
      </c>
      <c r="D1641" s="1364">
        <f t="shared" si="287"/>
        <v>7825</v>
      </c>
      <c r="E1641" s="1185">
        <f t="shared" si="291"/>
        <v>-7.204269196560914E-2</v>
      </c>
      <c r="F1641" s="1486">
        <f t="shared" si="292"/>
        <v>2.664689109785089E-2</v>
      </c>
      <c r="G1641" s="1494"/>
      <c r="H1641" s="1488"/>
      <c r="J1641" s="3126" t="s">
        <v>353</v>
      </c>
      <c r="K1641" s="3120"/>
      <c r="L1641" s="3120"/>
      <c r="M1641" s="1489" t="str">
        <f t="shared" si="288"/>
        <v>WORK</v>
      </c>
      <c r="P1641" s="1200"/>
      <c r="Q1641" s="1508">
        <f t="shared" si="289"/>
        <v>9185</v>
      </c>
      <c r="R1641" s="1491">
        <f t="shared" si="293"/>
        <v>7825</v>
      </c>
      <c r="S1641" s="1491">
        <f t="shared" si="290"/>
        <v>-1360</v>
      </c>
      <c r="T1641" s="1496">
        <f t="shared" si="294"/>
        <v>-0.14806750136091454</v>
      </c>
      <c r="Y1641" s="1360"/>
      <c r="Z1641" s="117"/>
    </row>
    <row r="1642" spans="1:26" hidden="1" outlineLevel="1" x14ac:dyDescent="0.35">
      <c r="A1642" s="1346" t="s">
        <v>344</v>
      </c>
      <c r="B1642" s="1347">
        <v>200</v>
      </c>
      <c r="C1642" s="1348">
        <v>50.28</v>
      </c>
      <c r="D1642" s="1349">
        <f t="shared" si="287"/>
        <v>10056</v>
      </c>
      <c r="E1642" s="1185">
        <f t="shared" si="291"/>
        <v>-1.0820381664371378E-2</v>
      </c>
      <c r="F1642" s="1486"/>
      <c r="G1642" s="1494"/>
      <c r="H1642" s="1488"/>
      <c r="J1642" s="1511"/>
      <c r="K1642" s="1512"/>
      <c r="L1642" s="1512"/>
      <c r="M1642" s="1489"/>
      <c r="P1642" s="1200"/>
      <c r="Q1642" s="1508"/>
      <c r="R1642" s="1491"/>
      <c r="S1642" s="1491"/>
      <c r="T1642" s="1496"/>
      <c r="Y1642" s="1360"/>
      <c r="Z1642" s="117"/>
    </row>
    <row r="1643" spans="1:26" hidden="1" outlineLevel="1" x14ac:dyDescent="0.35">
      <c r="A1643" s="1361" t="s">
        <v>355</v>
      </c>
      <c r="B1643" s="1362">
        <v>150</v>
      </c>
      <c r="C1643" s="1363">
        <v>281.51</v>
      </c>
      <c r="D1643" s="1364">
        <f t="shared" si="287"/>
        <v>42226.5</v>
      </c>
      <c r="E1643" s="32">
        <f>(C1643-C1628)/C1628</f>
        <v>7.4076724878327843E-3</v>
      </c>
      <c r="F1643" s="1486">
        <f t="shared" si="292"/>
        <v>0.14379615935378923</v>
      </c>
      <c r="G1643" s="1494">
        <v>32</v>
      </c>
      <c r="H1643" s="1488" t="s">
        <v>356</v>
      </c>
      <c r="J1643" s="3126" t="s">
        <v>357</v>
      </c>
      <c r="K1643" s="3120"/>
      <c r="L1643" s="3120"/>
      <c r="M1643" s="1489" t="str">
        <f t="shared" si="288"/>
        <v>COST</v>
      </c>
      <c r="P1643" s="1200"/>
      <c r="Q1643" s="1508">
        <f>B1643*RIGHT(J1643,6)</f>
        <v>39708.000000000007</v>
      </c>
      <c r="R1643" s="1491">
        <f t="shared" si="293"/>
        <v>42226.5</v>
      </c>
      <c r="S1643" s="1491">
        <f t="shared" si="290"/>
        <v>2518.4999999999927</v>
      </c>
      <c r="T1643" s="1496">
        <f t="shared" si="294"/>
        <v>6.3425506195224954E-2</v>
      </c>
      <c r="Y1643" s="1360"/>
    </row>
    <row r="1644" spans="1:26" ht="16" hidden="1" outlineLevel="1" thickBot="1" x14ac:dyDescent="0.4">
      <c r="A1644" s="1346" t="s">
        <v>7</v>
      </c>
      <c r="B1644" s="1347"/>
      <c r="C1644" s="1348"/>
      <c r="D1644" s="1349">
        <v>1823.31</v>
      </c>
      <c r="E1644" s="32"/>
      <c r="F1644" s="1499">
        <f>D1644/D$1601</f>
        <v>6.3400449305145937E-3</v>
      </c>
      <c r="G1644" s="1418"/>
      <c r="H1644" s="1500"/>
      <c r="I1644" s="1501"/>
      <c r="J1644" s="1282"/>
      <c r="K1644" s="1462"/>
      <c r="L1644" s="1463"/>
      <c r="Q1644" s="1502">
        <f>SUM(Q1636:Q1643)</f>
        <v>183085.5</v>
      </c>
      <c r="R1644" s="1502">
        <f>SUM(R1636:R1643)</f>
        <v>257010.5</v>
      </c>
      <c r="S1644" s="1502">
        <f>SUM(S1636:S1643)</f>
        <v>73925</v>
      </c>
    </row>
    <row r="1645" spans="1:26" ht="16" hidden="1" outlineLevel="1" thickBot="1" x14ac:dyDescent="0.4">
      <c r="A1645" s="1361" t="s">
        <v>60</v>
      </c>
      <c r="B1645" s="1362"/>
      <c r="C1645" s="1363"/>
      <c r="D1645" s="1364">
        <v>7392.64</v>
      </c>
      <c r="E1645" s="32"/>
      <c r="F1645" s="1503">
        <f>D1645/D$1554</f>
        <v>2.437055035720765E-2</v>
      </c>
      <c r="G1645" s="1504"/>
      <c r="H1645" s="1505"/>
      <c r="I1645" s="1290">
        <f>SUM(I1643:I1644)</f>
        <v>0</v>
      </c>
      <c r="J1645" s="1468"/>
      <c r="K1645" s="1151"/>
      <c r="L1645" s="1469"/>
      <c r="R1645" s="1470" t="str">
        <f>IF(SUM(D1636:D1643)&lt;&gt;R1644,"Out of Balance","Balances")</f>
        <v>Out of Balance</v>
      </c>
    </row>
    <row r="1646" spans="1:26" ht="19" hidden="1" outlineLevel="1" thickBot="1" x14ac:dyDescent="0.5">
      <c r="A1646" s="726" t="s">
        <v>62</v>
      </c>
      <c r="B1646" s="583"/>
      <c r="C1646" s="584"/>
      <c r="D1646" s="1230">
        <f>SUM(D1636:D1645)</f>
        <v>276282.45</v>
      </c>
      <c r="E1646" s="1483">
        <f>D1646-D1631</f>
        <v>-9433.679999999993</v>
      </c>
      <c r="F1646" s="1218">
        <f>(D1646-D1631)/D1631</f>
        <v>-3.3017666870960326E-2</v>
      </c>
      <c r="G1646" s="679"/>
      <c r="H1646" s="1231"/>
      <c r="I1646" s="680"/>
    </row>
    <row r="1647" spans="1:26" hidden="1" outlineLevel="1" x14ac:dyDescent="0.35"/>
    <row r="1648" spans="1:26" hidden="1" outlineLevel="1" x14ac:dyDescent="0.35">
      <c r="A1648" s="701" t="s">
        <v>25</v>
      </c>
      <c r="B1648" s="702" t="s">
        <v>26</v>
      </c>
      <c r="C1648" s="703" t="s">
        <v>27</v>
      </c>
      <c r="D1648" s="704">
        <f>D1633+7</f>
        <v>43672</v>
      </c>
      <c r="E1648" s="705" t="s">
        <v>28</v>
      </c>
      <c r="F1648" s="3138" t="s">
        <v>343</v>
      </c>
      <c r="G1648" s="3139"/>
      <c r="H1648" s="3140"/>
      <c r="I1648" s="1182"/>
      <c r="J1648" s="1183" t="s">
        <v>233</v>
      </c>
    </row>
    <row r="1649" spans="1:20" ht="16" hidden="1" outlineLevel="1" thickBot="1" x14ac:dyDescent="0.4">
      <c r="A1649" s="706" t="s">
        <v>32</v>
      </c>
      <c r="B1649" s="255" t="str">
        <f ca="1">TEXT(TODAY(),"ddd")</f>
        <v>Sun</v>
      </c>
      <c r="C1649" s="256">
        <v>27192</v>
      </c>
      <c r="D1649" s="1441">
        <f>C1649-C1634</f>
        <v>38</v>
      </c>
      <c r="E1649" s="32">
        <f>(C1649-C1634)/C1634</f>
        <v>1.3994254990056714E-3</v>
      </c>
      <c r="F1649" s="3130"/>
      <c r="G1649" s="3130"/>
      <c r="H1649" s="3142"/>
      <c r="I1649" s="1187"/>
      <c r="J1649" s="1188" t="s">
        <v>234</v>
      </c>
      <c r="K1649" s="1220" t="s">
        <v>34</v>
      </c>
      <c r="L1649" s="111" t="s">
        <v>35</v>
      </c>
    </row>
    <row r="1650" spans="1:20" hidden="1" outlineLevel="1" x14ac:dyDescent="0.35">
      <c r="A1650" s="709" t="s">
        <v>36</v>
      </c>
      <c r="B1650" s="263"/>
      <c r="C1650" s="419">
        <v>8330</v>
      </c>
      <c r="D1650" s="1441">
        <f>C1650-C1635</f>
        <v>184</v>
      </c>
      <c r="E1650" s="32">
        <f>(C1650-C1635)/C1635</f>
        <v>2.2587773140191506E-2</v>
      </c>
      <c r="F1650" s="1128" t="s">
        <v>37</v>
      </c>
      <c r="G1650" s="1129" t="s">
        <v>38</v>
      </c>
      <c r="H1650" s="1130" t="s">
        <v>144</v>
      </c>
      <c r="J1650" s="3137" t="s">
        <v>42</v>
      </c>
      <c r="K1650" s="3122"/>
      <c r="L1650" s="3123"/>
      <c r="M1650" s="1199" t="s">
        <v>244</v>
      </c>
      <c r="P1650" s="1200" t="s">
        <v>44</v>
      </c>
      <c r="Q1650" s="1479" t="s">
        <v>45</v>
      </c>
      <c r="R1650" s="1479" t="s">
        <v>46</v>
      </c>
      <c r="S1650" s="1479" t="s">
        <v>47</v>
      </c>
      <c r="T1650" s="1485" t="s">
        <v>48</v>
      </c>
    </row>
    <row r="1651" spans="1:20" hidden="1" outlineLevel="1" x14ac:dyDescent="0.35">
      <c r="A1651" s="1361" t="s">
        <v>65</v>
      </c>
      <c r="B1651" s="1362">
        <v>350</v>
      </c>
      <c r="C1651" s="1363">
        <v>170.47</v>
      </c>
      <c r="D1651" s="1364">
        <f t="shared" ref="D1651:D1659" si="295">C1651*B1651</f>
        <v>59664.5</v>
      </c>
      <c r="E1651" s="32">
        <f t="shared" ref="E1651:E1656" si="296">(C1651-C1637)/C1637</f>
        <v>5.7820520384682852E-3</v>
      </c>
      <c r="F1651" s="1486">
        <f t="shared" ref="F1651:F1656" si="297">D1651/$D$1616</f>
        <v>0.20317871359843123</v>
      </c>
      <c r="G1651" s="1494">
        <v>158</v>
      </c>
      <c r="H1651" s="1488"/>
      <c r="J1651" s="3126" t="s">
        <v>359</v>
      </c>
      <c r="K1651" s="3120"/>
      <c r="L1651" s="3120"/>
      <c r="M1651" s="1489" t="str">
        <f t="shared" ref="M1651:M1659" si="298">A1651</f>
        <v>VEEV</v>
      </c>
      <c r="P1651" s="1200"/>
      <c r="Q1651" s="1508">
        <f t="shared" ref="Q1651:Q1656" si="299">B1651*RIGHT(J1651,6)</f>
        <v>56913.500000000007</v>
      </c>
      <c r="R1651" s="1491">
        <f t="shared" ref="R1651:R1659" si="300">D1651</f>
        <v>59664.5</v>
      </c>
      <c r="S1651" s="1491">
        <f t="shared" ref="S1651:S1659" si="301">R1651-Q1651</f>
        <v>2750.9999999999927</v>
      </c>
      <c r="T1651" s="1496">
        <f t="shared" ref="T1651:T1659" si="302">(R1651-Q1651)/Q1651</f>
        <v>4.8336510669700378E-2</v>
      </c>
    </row>
    <row r="1652" spans="1:20" hidden="1" outlineLevel="1" x14ac:dyDescent="0.35">
      <c r="A1652" s="1346" t="s">
        <v>346</v>
      </c>
      <c r="B1652" s="1347">
        <v>300</v>
      </c>
      <c r="C1652" s="1348">
        <v>38.99</v>
      </c>
      <c r="D1652" s="1349">
        <f t="shared" si="295"/>
        <v>11697</v>
      </c>
      <c r="E1652" s="32">
        <f t="shared" si="296"/>
        <v>3.5590969455511379E-2</v>
      </c>
      <c r="F1652" s="1486">
        <f t="shared" si="297"/>
        <v>3.9832419830231544E-2</v>
      </c>
      <c r="G1652" s="1494">
        <v>99</v>
      </c>
      <c r="H1652" s="1488" t="s">
        <v>146</v>
      </c>
      <c r="J1652" s="3126" t="s">
        <v>362</v>
      </c>
      <c r="K1652" s="3120"/>
      <c r="L1652" s="3120"/>
      <c r="M1652" s="1489" t="str">
        <f t="shared" si="298"/>
        <v>GO</v>
      </c>
      <c r="P1652" s="1200"/>
      <c r="Q1652" s="1508">
        <f t="shared" si="299"/>
        <v>9870</v>
      </c>
      <c r="R1652" s="1491">
        <f t="shared" si="300"/>
        <v>11697</v>
      </c>
      <c r="S1652" s="1491">
        <f t="shared" si="301"/>
        <v>1827</v>
      </c>
      <c r="T1652" s="1496">
        <f t="shared" si="302"/>
        <v>0.18510638297872339</v>
      </c>
    </row>
    <row r="1653" spans="1:20" hidden="1" outlineLevel="1" x14ac:dyDescent="0.35">
      <c r="A1653" s="1361" t="s">
        <v>315</v>
      </c>
      <c r="B1653" s="1362">
        <v>250</v>
      </c>
      <c r="C1653" s="1363">
        <v>24.92</v>
      </c>
      <c r="D1653" s="1364">
        <f t="shared" si="295"/>
        <v>6230</v>
      </c>
      <c r="E1653" s="32">
        <f t="shared" si="296"/>
        <v>0.24289276807980054</v>
      </c>
      <c r="F1653" s="1486">
        <f t="shared" si="297"/>
        <v>2.1215352273432721E-2</v>
      </c>
      <c r="G1653" s="1494"/>
      <c r="H1653" s="1488"/>
      <c r="J1653" s="3126" t="s">
        <v>349</v>
      </c>
      <c r="K1653" s="3120"/>
      <c r="L1653" s="3120"/>
      <c r="M1653" s="1489" t="str">
        <f t="shared" si="298"/>
        <v>LK</v>
      </c>
      <c r="P1653" s="1200"/>
      <c r="Q1653" s="1508">
        <f t="shared" si="299"/>
        <v>4905</v>
      </c>
      <c r="R1653" s="1491">
        <f t="shared" si="300"/>
        <v>6230</v>
      </c>
      <c r="S1653" s="1491">
        <f t="shared" si="301"/>
        <v>1325</v>
      </c>
      <c r="T1653" s="1496">
        <f t="shared" si="302"/>
        <v>0.27013251783893988</v>
      </c>
    </row>
    <row r="1654" spans="1:20" hidden="1" outlineLevel="1" x14ac:dyDescent="0.35">
      <c r="A1654" s="1346" t="s">
        <v>307</v>
      </c>
      <c r="B1654" s="1347">
        <v>225</v>
      </c>
      <c r="C1654" s="1348">
        <v>289.33</v>
      </c>
      <c r="D1654" s="1349">
        <f t="shared" si="295"/>
        <v>65099.25</v>
      </c>
      <c r="E1654" s="32">
        <f t="shared" si="296"/>
        <v>-1.4150617795265583E-3</v>
      </c>
      <c r="F1654" s="1486">
        <f t="shared" si="297"/>
        <v>0.22168595850501846</v>
      </c>
      <c r="G1654" s="1494"/>
      <c r="H1654" s="1488" t="s">
        <v>350</v>
      </c>
      <c r="J1654" s="3126" t="s">
        <v>351</v>
      </c>
      <c r="K1654" s="3120"/>
      <c r="L1654" s="3120"/>
      <c r="M1654" s="1489" t="str">
        <f t="shared" si="298"/>
        <v>NOW</v>
      </c>
      <c r="P1654" s="1200"/>
      <c r="Q1654" s="1508">
        <f t="shared" si="299"/>
        <v>62347.500000000007</v>
      </c>
      <c r="R1654" s="1491">
        <f t="shared" si="300"/>
        <v>65099.25</v>
      </c>
      <c r="S1654" s="1491">
        <f t="shared" si="301"/>
        <v>2751.7499999999927</v>
      </c>
      <c r="T1654" s="1496">
        <f t="shared" si="302"/>
        <v>4.4135691086250331E-2</v>
      </c>
    </row>
    <row r="1655" spans="1:20" hidden="1" outlineLevel="1" x14ac:dyDescent="0.35">
      <c r="A1655" s="1361" t="s">
        <v>352</v>
      </c>
      <c r="B1655" s="1362">
        <v>250</v>
      </c>
      <c r="C1655" s="1363">
        <v>34.090000000000003</v>
      </c>
      <c r="D1655" s="1364">
        <f t="shared" si="295"/>
        <v>8522.5</v>
      </c>
      <c r="E1655" s="32">
        <f t="shared" si="296"/>
        <v>8.9137380191693372E-2</v>
      </c>
      <c r="F1655" s="1486">
        <f t="shared" si="297"/>
        <v>2.9022125160566674E-2</v>
      </c>
      <c r="G1655" s="1494"/>
      <c r="H1655" s="1488"/>
      <c r="J1655" s="3126" t="s">
        <v>353</v>
      </c>
      <c r="K1655" s="3120"/>
      <c r="L1655" s="3120"/>
      <c r="M1655" s="1489" t="str">
        <f t="shared" si="298"/>
        <v>WORK</v>
      </c>
      <c r="P1655" s="1200"/>
      <c r="Q1655" s="1508">
        <f t="shared" si="299"/>
        <v>9185</v>
      </c>
      <c r="R1655" s="1491">
        <f t="shared" si="300"/>
        <v>8522.5</v>
      </c>
      <c r="S1655" s="1492">
        <f t="shared" si="301"/>
        <v>-662.5</v>
      </c>
      <c r="T1655" s="1513">
        <f t="shared" si="302"/>
        <v>-7.2128470332063141E-2</v>
      </c>
    </row>
    <row r="1656" spans="1:20" hidden="1" outlineLevel="1" x14ac:dyDescent="0.35">
      <c r="A1656" s="1346" t="s">
        <v>344</v>
      </c>
      <c r="B1656" s="1347">
        <v>200</v>
      </c>
      <c r="C1656" s="1348">
        <v>50.16</v>
      </c>
      <c r="D1656" s="1349">
        <f t="shared" si="295"/>
        <v>10032</v>
      </c>
      <c r="E1656" s="32">
        <f t="shared" si="296"/>
        <v>-2.3866348448688254E-3</v>
      </c>
      <c r="F1656" s="1486">
        <f t="shared" si="297"/>
        <v>3.4162506261168069E-2</v>
      </c>
      <c r="G1656" s="1494">
        <v>133</v>
      </c>
      <c r="H1656" s="1488" t="s">
        <v>350</v>
      </c>
      <c r="I1656" s="1498"/>
      <c r="J1656" s="3126" t="s">
        <v>363</v>
      </c>
      <c r="K1656" s="3120"/>
      <c r="L1656" s="3120"/>
      <c r="M1656" s="1489" t="str">
        <f t="shared" si="298"/>
        <v>SWAV</v>
      </c>
      <c r="P1656" s="1086">
        <f ca="1">RANK(O1158,O1147:O1161,1)</f>
        <v>1</v>
      </c>
      <c r="Q1656" s="1508">
        <f t="shared" si="299"/>
        <v>11496</v>
      </c>
      <c r="R1656" s="1491">
        <f t="shared" si="300"/>
        <v>10032</v>
      </c>
      <c r="S1656" s="1492">
        <f t="shared" si="301"/>
        <v>-1464</v>
      </c>
      <c r="T1656" s="1513">
        <f t="shared" si="302"/>
        <v>-0.12734864300626306</v>
      </c>
    </row>
    <row r="1657" spans="1:20" hidden="1" outlineLevel="1" x14ac:dyDescent="0.35">
      <c r="A1657" s="1361" t="s">
        <v>95</v>
      </c>
      <c r="B1657" s="1362">
        <v>185</v>
      </c>
      <c r="C1657" s="1363">
        <v>335.78</v>
      </c>
      <c r="D1657" s="1364">
        <f t="shared" si="295"/>
        <v>62119.299999999996</v>
      </c>
      <c r="E1657" s="32"/>
      <c r="F1657" s="1486"/>
      <c r="G1657" s="1494"/>
      <c r="H1657" s="1488"/>
      <c r="I1657" s="1514"/>
      <c r="J1657" s="1511"/>
      <c r="K1657" s="1512" t="s">
        <v>364</v>
      </c>
      <c r="L1657" s="1512"/>
      <c r="M1657" s="1489" t="str">
        <f t="shared" si="298"/>
        <v>NFLX</v>
      </c>
      <c r="P1657" s="1086"/>
      <c r="Q1657" s="1508">
        <v>59784.44</v>
      </c>
      <c r="R1657" s="1491">
        <f t="shared" si="300"/>
        <v>62119.299999999996</v>
      </c>
      <c r="S1657" s="1491">
        <f t="shared" si="301"/>
        <v>2334.8599999999933</v>
      </c>
      <c r="T1657" s="1496">
        <f t="shared" si="302"/>
        <v>3.9054643649752231E-2</v>
      </c>
    </row>
    <row r="1658" spans="1:20" hidden="1" outlineLevel="1" x14ac:dyDescent="0.35">
      <c r="A1658" s="1346" t="s">
        <v>355</v>
      </c>
      <c r="B1658" s="1347">
        <v>150</v>
      </c>
      <c r="C1658" s="1348">
        <v>281.51</v>
      </c>
      <c r="D1658" s="1349">
        <f t="shared" si="295"/>
        <v>42226.5</v>
      </c>
      <c r="E1658" s="32">
        <f>(C1658-C1643)/C1643</f>
        <v>0</v>
      </c>
      <c r="F1658" s="1486">
        <f>D1658/$D$1616</f>
        <v>0.14379615935378923</v>
      </c>
      <c r="G1658" s="1494">
        <v>32</v>
      </c>
      <c r="H1658" s="1488" t="s">
        <v>356</v>
      </c>
      <c r="J1658" s="3126" t="s">
        <v>357</v>
      </c>
      <c r="K1658" s="3120"/>
      <c r="L1658" s="3120"/>
      <c r="M1658" s="1489" t="str">
        <f>A1658</f>
        <v>COST</v>
      </c>
      <c r="P1658" s="1200"/>
      <c r="Q1658" s="1508">
        <f>B1658*RIGHT(J1658,6)</f>
        <v>39708.000000000007</v>
      </c>
      <c r="R1658" s="1491">
        <f>D1658</f>
        <v>42226.5</v>
      </c>
      <c r="S1658" s="1491">
        <f>R1658-Q1658</f>
        <v>2518.4999999999927</v>
      </c>
      <c r="T1658" s="1496">
        <f t="shared" si="302"/>
        <v>6.3425506195224954E-2</v>
      </c>
    </row>
    <row r="1659" spans="1:20" hidden="1" outlineLevel="1" x14ac:dyDescent="0.35">
      <c r="A1659" s="1361" t="s">
        <v>329</v>
      </c>
      <c r="B1659" s="1362">
        <v>110</v>
      </c>
      <c r="C1659" s="1363">
        <v>92.88</v>
      </c>
      <c r="D1659" s="1364">
        <f t="shared" si="295"/>
        <v>10216.799999999999</v>
      </c>
      <c r="E1659" s="32"/>
      <c r="F1659" s="1486"/>
      <c r="G1659" s="1494"/>
      <c r="H1659" s="1488"/>
      <c r="I1659" s="1514"/>
      <c r="J1659" s="3126" t="s">
        <v>365</v>
      </c>
      <c r="K1659" s="3120"/>
      <c r="L1659" s="3120"/>
      <c r="M1659" s="1489" t="str">
        <f t="shared" si="298"/>
        <v>CRWD</v>
      </c>
      <c r="P1659" s="1086"/>
      <c r="Q1659" s="1508">
        <v>10079.370000000001</v>
      </c>
      <c r="R1659" s="1491">
        <f t="shared" si="300"/>
        <v>10216.799999999999</v>
      </c>
      <c r="S1659" s="1491">
        <f t="shared" si="301"/>
        <v>137.42999999999847</v>
      </c>
      <c r="T1659" s="1496">
        <f t="shared" si="302"/>
        <v>1.3634780745224995E-2</v>
      </c>
    </row>
    <row r="1660" spans="1:20" ht="16" hidden="1" outlineLevel="1" thickBot="1" x14ac:dyDescent="0.4">
      <c r="A1660" s="1346" t="s">
        <v>7</v>
      </c>
      <c r="B1660" s="1347"/>
      <c r="C1660" s="1348"/>
      <c r="D1660" s="1349">
        <v>1831.99</v>
      </c>
      <c r="E1660" s="32"/>
      <c r="F1660" s="1499">
        <f>D1660/D$1601</f>
        <v>6.3702271759895086E-3</v>
      </c>
      <c r="G1660" s="1418"/>
      <c r="H1660" s="1500"/>
      <c r="I1660" s="1501"/>
      <c r="J1660" s="1282"/>
      <c r="K1660" s="1462"/>
      <c r="L1660" s="1463"/>
      <c r="Q1660" s="1502">
        <f>SUM(Q1651:Q1659)</f>
        <v>264288.81</v>
      </c>
      <c r="R1660" s="1502">
        <f>SUM(R1651:R1659)</f>
        <v>275807.84999999998</v>
      </c>
      <c r="S1660" s="1502">
        <f>SUM(S1651:S1659)</f>
        <v>11519.03999999997</v>
      </c>
    </row>
    <row r="1661" spans="1:20" ht="16" hidden="1" outlineLevel="1" thickBot="1" x14ac:dyDescent="0.4">
      <c r="A1661" s="1361" t="s">
        <v>60</v>
      </c>
      <c r="B1661" s="1362"/>
      <c r="C1661" s="1363"/>
      <c r="D1661" s="1364">
        <v>2254</v>
      </c>
      <c r="E1661" s="32"/>
      <c r="F1661" s="1503">
        <f>D1661/D$1554</f>
        <v>7.4305282693524965E-3</v>
      </c>
      <c r="G1661" s="1504"/>
      <c r="H1661" s="1505"/>
      <c r="I1661" s="1290">
        <f>SUM(I1656:I1660)</f>
        <v>0</v>
      </c>
      <c r="J1661" s="1468"/>
      <c r="K1661" s="1151"/>
      <c r="L1661" s="1469"/>
      <c r="R1661" s="1470" t="str">
        <f>IF(SUM(D1651:D1659)&lt;&gt;R1660,"Out of Balance","Balances")</f>
        <v>Balances</v>
      </c>
    </row>
    <row r="1662" spans="1:20" ht="19" hidden="1" outlineLevel="1" thickBot="1" x14ac:dyDescent="0.5">
      <c r="A1662" s="726" t="s">
        <v>62</v>
      </c>
      <c r="B1662" s="583"/>
      <c r="C1662" s="584"/>
      <c r="D1662" s="1230">
        <f>SUM(D1651:D1661)</f>
        <v>279893.83999999997</v>
      </c>
      <c r="E1662" s="1515">
        <f>D1662-D1646</f>
        <v>3611.3899999999558</v>
      </c>
      <c r="F1662" s="1218">
        <f>(D1662-D1646)/D1646</f>
        <v>1.3071369535053549E-2</v>
      </c>
      <c r="G1662" s="679"/>
      <c r="H1662" s="1231"/>
      <c r="I1662" s="680"/>
    </row>
    <row r="1663" spans="1:20" hidden="1" outlineLevel="1" x14ac:dyDescent="0.35">
      <c r="C1663" s="247"/>
    </row>
    <row r="1664" spans="1:20" hidden="1" outlineLevel="1" x14ac:dyDescent="0.35">
      <c r="A1664" s="701" t="s">
        <v>25</v>
      </c>
      <c r="B1664" s="702" t="s">
        <v>26</v>
      </c>
      <c r="C1664" s="703" t="s">
        <v>27</v>
      </c>
      <c r="D1664" s="704">
        <f>D1648+7</f>
        <v>43679</v>
      </c>
      <c r="E1664" s="705" t="s">
        <v>28</v>
      </c>
      <c r="F1664" s="3138" t="s">
        <v>343</v>
      </c>
      <c r="G1664" s="3139"/>
      <c r="H1664" s="3140"/>
      <c r="I1664" s="1182"/>
      <c r="J1664" s="1183" t="s">
        <v>233</v>
      </c>
    </row>
    <row r="1665" spans="1:20" ht="16" hidden="1" outlineLevel="1" thickBot="1" x14ac:dyDescent="0.4">
      <c r="A1665" s="706" t="s">
        <v>32</v>
      </c>
      <c r="B1665" s="255" t="str">
        <f ca="1">TEXT(TODAY(),"ddd")</f>
        <v>Sun</v>
      </c>
      <c r="C1665" s="256">
        <v>26487</v>
      </c>
      <c r="D1665" s="1516">
        <f>C1665-C1649</f>
        <v>-705</v>
      </c>
      <c r="E1665" s="32">
        <f>(C1665-C1649)/C1649</f>
        <v>-2.5926743159752869E-2</v>
      </c>
      <c r="F1665" s="3130"/>
      <c r="G1665" s="3130"/>
      <c r="H1665" s="3142"/>
      <c r="I1665" s="1187"/>
      <c r="J1665" s="1188" t="s">
        <v>234</v>
      </c>
      <c r="K1665" s="1220" t="s">
        <v>34</v>
      </c>
      <c r="L1665" s="111" t="s">
        <v>35</v>
      </c>
    </row>
    <row r="1666" spans="1:20" hidden="1" outlineLevel="1" x14ac:dyDescent="0.35">
      <c r="A1666" s="709" t="s">
        <v>36</v>
      </c>
      <c r="B1666" s="263"/>
      <c r="C1666" s="419">
        <v>8004</v>
      </c>
      <c r="D1666" s="1516">
        <f>C1666-C1650</f>
        <v>-326</v>
      </c>
      <c r="E1666" s="32">
        <f>(C1666-C1650)/C1650</f>
        <v>-3.9135654261704685E-2</v>
      </c>
      <c r="F1666" s="1128" t="s">
        <v>37</v>
      </c>
      <c r="G1666" s="1129" t="s">
        <v>38</v>
      </c>
      <c r="H1666" s="1130" t="s">
        <v>144</v>
      </c>
      <c r="J1666" s="3137" t="s">
        <v>42</v>
      </c>
      <c r="K1666" s="3122"/>
      <c r="L1666" s="3123"/>
      <c r="M1666" s="1199" t="s">
        <v>244</v>
      </c>
      <c r="P1666" s="1200" t="s">
        <v>44</v>
      </c>
      <c r="Q1666" s="1479" t="s">
        <v>45</v>
      </c>
      <c r="R1666" s="1479" t="s">
        <v>46</v>
      </c>
      <c r="S1666" s="1479" t="s">
        <v>47</v>
      </c>
      <c r="T1666" s="1485" t="s">
        <v>48</v>
      </c>
    </row>
    <row r="1667" spans="1:20" hidden="1" outlineLevel="1" x14ac:dyDescent="0.35">
      <c r="A1667" s="1346" t="s">
        <v>329</v>
      </c>
      <c r="B1667" s="1347">
        <v>370</v>
      </c>
      <c r="C1667" s="1348">
        <v>88.01</v>
      </c>
      <c r="D1667" s="1349">
        <f>C1667*B1667</f>
        <v>32563.7</v>
      </c>
      <c r="E1667" s="32"/>
      <c r="F1667" s="1517">
        <f t="shared" ref="F1667:F1674" si="303">D1667/$D$1616</f>
        <v>0.11089090960295042</v>
      </c>
      <c r="G1667" s="1518"/>
      <c r="H1667" s="1519"/>
      <c r="J1667" s="3126" t="s">
        <v>366</v>
      </c>
      <c r="K1667" s="3120" t="s">
        <v>367</v>
      </c>
      <c r="L1667" s="3120"/>
      <c r="M1667" s="1199" t="str">
        <f t="shared" ref="M1667:M1674" si="304">A1667</f>
        <v>CRWD</v>
      </c>
      <c r="P1667" s="1200"/>
      <c r="Q1667" s="1508">
        <f t="shared" ref="Q1667:Q1675" si="305">B1667*RIGHT(J1667,6)</f>
        <v>36063.9</v>
      </c>
      <c r="R1667" s="1491">
        <f t="shared" ref="R1667:R1674" si="306">D1667</f>
        <v>32563.7</v>
      </c>
      <c r="S1667" s="1492">
        <f t="shared" ref="S1667:S1674" si="307">R1667-Q1667</f>
        <v>-3500.2000000000007</v>
      </c>
      <c r="T1667" s="1493">
        <f t="shared" ref="T1667:T1674" si="308">(R1667-Q1667)/Q1667</f>
        <v>-9.7055504257720346E-2</v>
      </c>
    </row>
    <row r="1668" spans="1:20" hidden="1" outlineLevel="1" x14ac:dyDescent="0.35">
      <c r="A1668" s="1361" t="s">
        <v>65</v>
      </c>
      <c r="B1668" s="1362">
        <v>350</v>
      </c>
      <c r="C1668" s="1363">
        <v>162.81</v>
      </c>
      <c r="D1668" s="1364">
        <f>C1668*B1668</f>
        <v>56983.5</v>
      </c>
      <c r="E1668" s="32"/>
      <c r="F1668" s="1486">
        <f t="shared" si="303"/>
        <v>0.19404896087851581</v>
      </c>
      <c r="G1668" s="1520">
        <v>158</v>
      </c>
      <c r="H1668" s="1521"/>
      <c r="J1668" s="3126" t="s">
        <v>359</v>
      </c>
      <c r="K1668" s="3120"/>
      <c r="L1668" s="3120"/>
      <c r="M1668" s="1489" t="str">
        <f t="shared" si="304"/>
        <v>VEEV</v>
      </c>
      <c r="P1668" s="1200"/>
      <c r="Q1668" s="1508">
        <f t="shared" si="305"/>
        <v>56913.500000000007</v>
      </c>
      <c r="R1668" s="1491">
        <f t="shared" si="306"/>
        <v>56983.5</v>
      </c>
      <c r="S1668" s="1491">
        <f t="shared" si="307"/>
        <v>69.999999999992724</v>
      </c>
      <c r="T1668" s="1496">
        <f t="shared" si="308"/>
        <v>1.2299366582619715E-3</v>
      </c>
    </row>
    <row r="1669" spans="1:20" hidden="1" outlineLevel="1" x14ac:dyDescent="0.35">
      <c r="A1669" s="1346" t="s">
        <v>346</v>
      </c>
      <c r="B1669" s="1347">
        <v>300</v>
      </c>
      <c r="C1669" s="1348">
        <v>38.75</v>
      </c>
      <c r="D1669" s="1349">
        <f t="shared" ref="D1669:D1675" si="309">C1669*B1669</f>
        <v>11625</v>
      </c>
      <c r="E1669" s="32"/>
      <c r="F1669" s="1486">
        <f t="shared" si="303"/>
        <v>3.9587234378596368E-2</v>
      </c>
      <c r="G1669" s="1494">
        <v>99</v>
      </c>
      <c r="H1669" s="1488" t="s">
        <v>146</v>
      </c>
      <c r="J1669" s="3126" t="s">
        <v>362</v>
      </c>
      <c r="K1669" s="3120"/>
      <c r="L1669" s="3120"/>
      <c r="M1669" s="1489" t="str">
        <f t="shared" si="304"/>
        <v>GO</v>
      </c>
      <c r="P1669" s="1200"/>
      <c r="Q1669" s="1508">
        <f t="shared" si="305"/>
        <v>9870</v>
      </c>
      <c r="R1669" s="1491">
        <f t="shared" si="306"/>
        <v>11625</v>
      </c>
      <c r="S1669" s="1491">
        <f t="shared" si="307"/>
        <v>1755</v>
      </c>
      <c r="T1669" s="1496">
        <f t="shared" si="308"/>
        <v>0.17781155015197569</v>
      </c>
    </row>
    <row r="1670" spans="1:20" hidden="1" outlineLevel="1" x14ac:dyDescent="0.35">
      <c r="A1670" s="1361" t="s">
        <v>315</v>
      </c>
      <c r="B1670" s="1362">
        <v>250</v>
      </c>
      <c r="C1670" s="1363">
        <v>24.91</v>
      </c>
      <c r="D1670" s="1364">
        <f t="shared" si="309"/>
        <v>6227.5</v>
      </c>
      <c r="E1670" s="32"/>
      <c r="F1670" s="1486">
        <f t="shared" si="303"/>
        <v>2.1206838889695389E-2</v>
      </c>
      <c r="G1670" s="1494"/>
      <c r="H1670" s="1488"/>
      <c r="J1670" s="3126" t="s">
        <v>349</v>
      </c>
      <c r="K1670" s="3120"/>
      <c r="L1670" s="3120"/>
      <c r="M1670" s="1489" t="str">
        <f t="shared" si="304"/>
        <v>LK</v>
      </c>
      <c r="P1670" s="1200"/>
      <c r="Q1670" s="1508">
        <f t="shared" si="305"/>
        <v>4905</v>
      </c>
      <c r="R1670" s="1491">
        <f t="shared" si="306"/>
        <v>6227.5</v>
      </c>
      <c r="S1670" s="1491">
        <f t="shared" si="307"/>
        <v>1322.5</v>
      </c>
      <c r="T1670" s="1496">
        <f t="shared" si="308"/>
        <v>0.26962283384301733</v>
      </c>
    </row>
    <row r="1671" spans="1:20" hidden="1" outlineLevel="1" x14ac:dyDescent="0.35">
      <c r="A1671" s="1346" t="s">
        <v>307</v>
      </c>
      <c r="B1671" s="1347">
        <v>225</v>
      </c>
      <c r="C1671" s="1348">
        <v>265.86</v>
      </c>
      <c r="D1671" s="1349">
        <f t="shared" si="309"/>
        <v>59818.5</v>
      </c>
      <c r="E1671" s="32"/>
      <c r="F1671" s="1486">
        <f t="shared" si="303"/>
        <v>0.20370313803665091</v>
      </c>
      <c r="G1671" s="1494"/>
      <c r="H1671" s="1488" t="s">
        <v>350</v>
      </c>
      <c r="J1671" s="3126" t="s">
        <v>351</v>
      </c>
      <c r="K1671" s="3120"/>
      <c r="L1671" s="3120"/>
      <c r="M1671" s="1489" t="str">
        <f t="shared" si="304"/>
        <v>NOW</v>
      </c>
      <c r="P1671" s="1200"/>
      <c r="Q1671" s="1508">
        <f t="shared" si="305"/>
        <v>62347.500000000007</v>
      </c>
      <c r="R1671" s="1491">
        <f t="shared" si="306"/>
        <v>59818.5</v>
      </c>
      <c r="S1671" s="1492">
        <f t="shared" si="307"/>
        <v>-2529.0000000000073</v>
      </c>
      <c r="T1671" s="1493">
        <f t="shared" si="308"/>
        <v>-4.0562973655720071E-2</v>
      </c>
    </row>
    <row r="1672" spans="1:20" hidden="1" outlineLevel="1" x14ac:dyDescent="0.35">
      <c r="A1672" s="1361" t="s">
        <v>352</v>
      </c>
      <c r="B1672" s="1362">
        <v>250</v>
      </c>
      <c r="C1672" s="1363">
        <v>30.87</v>
      </c>
      <c r="D1672" s="1364">
        <f t="shared" si="309"/>
        <v>7717.5</v>
      </c>
      <c r="E1672" s="32"/>
      <c r="F1672" s="1486">
        <f t="shared" si="303"/>
        <v>2.6280815597145589E-2</v>
      </c>
      <c r="G1672" s="1494"/>
      <c r="H1672" s="1488"/>
      <c r="J1672" s="3126" t="s">
        <v>353</v>
      </c>
      <c r="K1672" s="3120"/>
      <c r="L1672" s="3120"/>
      <c r="M1672" s="1489" t="str">
        <f t="shared" si="304"/>
        <v>WORK</v>
      </c>
      <c r="P1672" s="1200"/>
      <c r="Q1672" s="1508">
        <f t="shared" si="305"/>
        <v>9185</v>
      </c>
      <c r="R1672" s="1491">
        <f t="shared" si="306"/>
        <v>7717.5</v>
      </c>
      <c r="S1672" s="1492">
        <f t="shared" si="307"/>
        <v>-1467.5</v>
      </c>
      <c r="T1672" s="1493">
        <f t="shared" si="308"/>
        <v>-0.1597713663581927</v>
      </c>
    </row>
    <row r="1673" spans="1:20" hidden="1" outlineLevel="1" x14ac:dyDescent="0.35">
      <c r="A1673" s="1346" t="s">
        <v>344</v>
      </c>
      <c r="B1673" s="1347">
        <v>200</v>
      </c>
      <c r="C1673" s="1348">
        <v>46.34</v>
      </c>
      <c r="D1673" s="1349">
        <f t="shared" si="309"/>
        <v>9268</v>
      </c>
      <c r="E1673" s="32"/>
      <c r="F1673" s="1486">
        <f t="shared" si="303"/>
        <v>3.1560816191039238E-2</v>
      </c>
      <c r="G1673" s="1494">
        <v>133</v>
      </c>
      <c r="H1673" s="1488" t="s">
        <v>350</v>
      </c>
      <c r="I1673" s="1498"/>
      <c r="J1673" s="3126" t="s">
        <v>363</v>
      </c>
      <c r="K1673" s="3120"/>
      <c r="L1673" s="3120"/>
      <c r="M1673" s="1489" t="str">
        <f t="shared" si="304"/>
        <v>SWAV</v>
      </c>
      <c r="P1673" s="1086">
        <f ca="1">RANK(O1175,O1163:O1177,1)</f>
        <v>1</v>
      </c>
      <c r="Q1673" s="1508">
        <f t="shared" si="305"/>
        <v>11496</v>
      </c>
      <c r="R1673" s="1491">
        <f t="shared" si="306"/>
        <v>9268</v>
      </c>
      <c r="S1673" s="1492">
        <f t="shared" si="307"/>
        <v>-2228</v>
      </c>
      <c r="T1673" s="1493">
        <f t="shared" si="308"/>
        <v>-0.19380654140570633</v>
      </c>
    </row>
    <row r="1674" spans="1:20" hidden="1" outlineLevel="1" x14ac:dyDescent="0.35">
      <c r="A1674" s="1361" t="s">
        <v>95</v>
      </c>
      <c r="B1674" s="1362">
        <v>100</v>
      </c>
      <c r="C1674" s="1363">
        <v>318.83</v>
      </c>
      <c r="D1674" s="1364">
        <f t="shared" si="309"/>
        <v>31883</v>
      </c>
      <c r="E1674" s="32"/>
      <c r="F1674" s="1486">
        <f t="shared" si="303"/>
        <v>0.10857288547894951</v>
      </c>
      <c r="G1674" s="1494"/>
      <c r="H1674" s="1488"/>
      <c r="I1674" s="1514"/>
      <c r="J1674" s="3126" t="s">
        <v>364</v>
      </c>
      <c r="K1674" s="3120"/>
      <c r="L1674" s="3120"/>
      <c r="M1674" s="1489" t="str">
        <f t="shared" si="304"/>
        <v>NFLX</v>
      </c>
      <c r="P1674" s="1086"/>
      <c r="Q1674" s="1508">
        <f t="shared" si="305"/>
        <v>32316.000000000004</v>
      </c>
      <c r="R1674" s="1491">
        <f t="shared" si="306"/>
        <v>31883</v>
      </c>
      <c r="S1674" s="1492">
        <f t="shared" si="307"/>
        <v>-433.00000000000364</v>
      </c>
      <c r="T1674" s="1493">
        <f t="shared" si="308"/>
        <v>-1.3398935511820882E-2</v>
      </c>
    </row>
    <row r="1675" spans="1:20" hidden="1" outlineLevel="1" x14ac:dyDescent="0.35">
      <c r="A1675" s="1346" t="s">
        <v>355</v>
      </c>
      <c r="B1675" s="1347">
        <v>150</v>
      </c>
      <c r="C1675" s="1348">
        <v>272.5</v>
      </c>
      <c r="D1675" s="1349">
        <f t="shared" si="309"/>
        <v>40875</v>
      </c>
      <c r="E1675" s="32"/>
      <c r="F1675" s="1486">
        <f>D1675/$D$1616</f>
        <v>0.13919382410538725</v>
      </c>
      <c r="G1675" s="1494">
        <v>32</v>
      </c>
      <c r="H1675" s="1488" t="s">
        <v>356</v>
      </c>
      <c r="J1675" s="3126" t="s">
        <v>357</v>
      </c>
      <c r="K1675" s="3120"/>
      <c r="L1675" s="3120"/>
      <c r="M1675" s="1489" t="str">
        <f>A1675</f>
        <v>COST</v>
      </c>
      <c r="P1675" s="1200"/>
      <c r="Q1675" s="1508">
        <f t="shared" si="305"/>
        <v>39708.000000000007</v>
      </c>
      <c r="R1675" s="1491">
        <f>D1675</f>
        <v>40875</v>
      </c>
      <c r="S1675" s="1491">
        <f>R1675-Q1675</f>
        <v>1166.9999999999927</v>
      </c>
      <c r="T1675" s="1496">
        <f>(R1675-Q1675)/Q1675</f>
        <v>2.9389543668781919E-2</v>
      </c>
    </row>
    <row r="1676" spans="1:20" ht="16" hidden="1" outlineLevel="1" thickBot="1" x14ac:dyDescent="0.4">
      <c r="A1676" s="1361" t="s">
        <v>7</v>
      </c>
      <c r="B1676" s="1362"/>
      <c r="C1676" s="1363"/>
      <c r="D1676" s="1364">
        <v>1809.95</v>
      </c>
      <c r="E1676" s="32"/>
      <c r="F1676" s="1499">
        <f>D1676/D$1601</f>
        <v>6.2935893084472136E-3</v>
      </c>
      <c r="G1676" s="1418"/>
      <c r="H1676" s="1500"/>
      <c r="I1676" s="1501"/>
      <c r="J1676" s="1282"/>
      <c r="K1676" s="1462"/>
      <c r="L1676" s="1463"/>
      <c r="Q1676" s="1502">
        <f>SUM(Q1668:Q1675)</f>
        <v>226741</v>
      </c>
      <c r="R1676" s="1502">
        <f>SUM(R1668:R1675)</f>
        <v>224398</v>
      </c>
      <c r="S1676" s="1522">
        <f>SUM(S1668:S1675)</f>
        <v>-2343.0000000000255</v>
      </c>
    </row>
    <row r="1677" spans="1:20" ht="16" hidden="1" outlineLevel="1" thickBot="1" x14ac:dyDescent="0.4">
      <c r="A1677" s="1346" t="s">
        <v>60</v>
      </c>
      <c r="B1677" s="1347"/>
      <c r="C1677" s="1348"/>
      <c r="D1677" s="1349">
        <v>2883.18</v>
      </c>
      <c r="E1677" s="32"/>
      <c r="F1677" s="1503">
        <f>D1677/D$1554</f>
        <v>9.5046807877691795E-3</v>
      </c>
      <c r="G1677" s="1504"/>
      <c r="H1677" s="1505"/>
      <c r="I1677" s="1290">
        <f>SUM(I1673:I1676)</f>
        <v>0</v>
      </c>
      <c r="J1677" s="1468"/>
      <c r="K1677" s="1151"/>
      <c r="L1677" s="1469"/>
      <c r="R1677" s="1470" t="str">
        <f>IF(SUM(D1668:D1675)&lt;&gt;R1676,"Out of Balance","Balances")</f>
        <v>Balances</v>
      </c>
    </row>
    <row r="1678" spans="1:20" ht="19" hidden="1" outlineLevel="1" thickBot="1" x14ac:dyDescent="0.5">
      <c r="A1678" s="726" t="s">
        <v>62</v>
      </c>
      <c r="B1678" s="583"/>
      <c r="C1678" s="584"/>
      <c r="D1678" s="1230">
        <f>SUM(D1667:D1677)</f>
        <v>261654.83000000002</v>
      </c>
      <c r="E1678" s="1483">
        <f>D1678-D1662</f>
        <v>-18239.009999999951</v>
      </c>
      <c r="F1678" s="1218">
        <f>(D1678-D1662)/D1662</f>
        <v>-6.5164027904293834E-2</v>
      </c>
      <c r="G1678" s="679"/>
      <c r="H1678" s="1231"/>
      <c r="I1678" s="680"/>
    </row>
    <row r="1679" spans="1:20" hidden="1" outlineLevel="1" x14ac:dyDescent="0.35"/>
    <row r="1680" spans="1:20" hidden="1" outlineLevel="1" x14ac:dyDescent="0.35">
      <c r="A1680" s="701" t="s">
        <v>25</v>
      </c>
      <c r="B1680" s="702" t="s">
        <v>26</v>
      </c>
      <c r="C1680" s="703" t="s">
        <v>27</v>
      </c>
      <c r="D1680" s="704">
        <f>D1664+7</f>
        <v>43686</v>
      </c>
      <c r="E1680" s="705" t="s">
        <v>28</v>
      </c>
      <c r="F1680" s="3138" t="s">
        <v>343</v>
      </c>
      <c r="G1680" s="3139"/>
      <c r="H1680" s="3140"/>
      <c r="I1680" s="1182"/>
      <c r="J1680" s="1183" t="s">
        <v>233</v>
      </c>
    </row>
    <row r="1681" spans="1:20" ht="16" hidden="1" outlineLevel="1" thickBot="1" x14ac:dyDescent="0.4">
      <c r="A1681" s="706" t="s">
        <v>32</v>
      </c>
      <c r="B1681" s="255" t="str">
        <f ca="1">TEXT(TODAY(),"ddd")</f>
        <v>Sun</v>
      </c>
      <c r="C1681" s="256">
        <v>26287</v>
      </c>
      <c r="D1681" s="1516">
        <f>C1681-C1665</f>
        <v>-200</v>
      </c>
      <c r="E1681" s="32">
        <f>(C1681-C1665)/C1665</f>
        <v>-7.5508740136670822E-3</v>
      </c>
      <c r="F1681" s="3130"/>
      <c r="G1681" s="3130"/>
      <c r="H1681" s="3142"/>
      <c r="I1681" s="1187"/>
      <c r="J1681" s="1188" t="s">
        <v>234</v>
      </c>
      <c r="K1681" s="1220" t="s">
        <v>34</v>
      </c>
      <c r="L1681" s="111" t="s">
        <v>35</v>
      </c>
    </row>
    <row r="1682" spans="1:20" hidden="1" outlineLevel="1" x14ac:dyDescent="0.35">
      <c r="A1682" s="709" t="s">
        <v>36</v>
      </c>
      <c r="B1682" s="263"/>
      <c r="C1682" s="419">
        <v>7959</v>
      </c>
      <c r="D1682" s="1516">
        <f>C1682-C1666</f>
        <v>-45</v>
      </c>
      <c r="E1682" s="32">
        <f>(C1682-C1666)/C1666</f>
        <v>-5.6221889055472268E-3</v>
      </c>
      <c r="F1682" s="1128" t="s">
        <v>37</v>
      </c>
      <c r="G1682" s="1129" t="s">
        <v>38</v>
      </c>
      <c r="H1682" s="1130" t="s">
        <v>144</v>
      </c>
      <c r="J1682" s="3137" t="s">
        <v>42</v>
      </c>
      <c r="K1682" s="3122"/>
      <c r="L1682" s="3123"/>
      <c r="M1682" s="1199" t="s">
        <v>244</v>
      </c>
      <c r="P1682" s="1200" t="s">
        <v>44</v>
      </c>
      <c r="Q1682" s="1479" t="s">
        <v>45</v>
      </c>
      <c r="R1682" s="1479" t="s">
        <v>46</v>
      </c>
      <c r="S1682" s="1479" t="s">
        <v>47</v>
      </c>
      <c r="T1682" s="1485" t="s">
        <v>48</v>
      </c>
    </row>
    <row r="1683" spans="1:20" hidden="1" outlineLevel="1" x14ac:dyDescent="0.35">
      <c r="A1683" s="1361" t="s">
        <v>315</v>
      </c>
      <c r="B1683" s="1362">
        <v>500</v>
      </c>
      <c r="C1683" s="1363">
        <v>25.94</v>
      </c>
      <c r="D1683" s="1364">
        <f t="shared" ref="D1683:D1689" si="310">C1683*B1683</f>
        <v>12970</v>
      </c>
      <c r="E1683" s="32"/>
      <c r="F1683" s="1486">
        <f>D1683/$D$1616</f>
        <v>4.4167434829281281E-2</v>
      </c>
      <c r="G1683" s="1494"/>
      <c r="H1683" s="1488"/>
      <c r="J1683" s="3126" t="s">
        <v>349</v>
      </c>
      <c r="K1683" s="3120"/>
      <c r="L1683" s="3120"/>
      <c r="M1683" s="1489" t="str">
        <f>A1683</f>
        <v>LK</v>
      </c>
      <c r="P1683" s="1200"/>
      <c r="Q1683" s="1508">
        <f>B1683*RIGHT(J1683,6)</f>
        <v>9810</v>
      </c>
      <c r="R1683" s="1491">
        <f>D1683</f>
        <v>12970</v>
      </c>
      <c r="S1683" s="1491">
        <f>R1683-Q1683</f>
        <v>3160</v>
      </c>
      <c r="T1683" s="1496">
        <f>(R1683-Q1683)/Q1683</f>
        <v>0.32212028542303772</v>
      </c>
    </row>
    <row r="1684" spans="1:20" hidden="1" outlineLevel="1" x14ac:dyDescent="0.35">
      <c r="A1684" s="1346" t="s">
        <v>329</v>
      </c>
      <c r="B1684" s="1347">
        <v>391</v>
      </c>
      <c r="C1684" s="1348">
        <v>94.9</v>
      </c>
      <c r="D1684" s="1349">
        <f t="shared" si="310"/>
        <v>37105.9</v>
      </c>
      <c r="E1684" s="32"/>
      <c r="F1684" s="1517">
        <f t="shared" ref="F1684:F1689" si="311">D1684/$D$1616</f>
        <v>0.12635870624763521</v>
      </c>
      <c r="G1684" s="1518"/>
      <c r="H1684" s="1519"/>
      <c r="J1684" s="3126" t="s">
        <v>366</v>
      </c>
      <c r="K1684" s="3120" t="s">
        <v>367</v>
      </c>
      <c r="L1684" s="3120"/>
      <c r="M1684" s="1199" t="str">
        <f t="shared" ref="M1684:M1689" si="312">A1684</f>
        <v>CRWD</v>
      </c>
      <c r="P1684" s="1200"/>
      <c r="Q1684" s="1508">
        <f>B1684*RIGHT(J1684,6)</f>
        <v>38110.769999999997</v>
      </c>
      <c r="R1684" s="1491">
        <f t="shared" ref="R1684:R1689" si="313">D1684</f>
        <v>37105.9</v>
      </c>
      <c r="S1684" s="1492">
        <f t="shared" ref="S1684:S1689" si="314">R1684-Q1684</f>
        <v>-1004.8699999999953</v>
      </c>
      <c r="T1684" s="1493">
        <f t="shared" ref="T1684:T1689" si="315">(R1684-Q1684)/Q1684</f>
        <v>-2.6367087308915443E-2</v>
      </c>
    </row>
    <row r="1685" spans="1:20" hidden="1" outlineLevel="1" x14ac:dyDescent="0.35">
      <c r="A1685" s="1361" t="s">
        <v>65</v>
      </c>
      <c r="B1685" s="1362">
        <v>350</v>
      </c>
      <c r="C1685" s="1363">
        <v>162.16</v>
      </c>
      <c r="D1685" s="1364">
        <f t="shared" si="310"/>
        <v>56756</v>
      </c>
      <c r="E1685" s="32"/>
      <c r="F1685" s="1486">
        <f t="shared" si="311"/>
        <v>0.19327424295841855</v>
      </c>
      <c r="G1685" s="1520">
        <v>158</v>
      </c>
      <c r="H1685" s="1521"/>
      <c r="J1685" s="3126" t="s">
        <v>359</v>
      </c>
      <c r="K1685" s="3120"/>
      <c r="L1685" s="3120"/>
      <c r="M1685" s="1489" t="str">
        <f t="shared" si="312"/>
        <v>VEEV</v>
      </c>
      <c r="P1685" s="1200"/>
      <c r="Q1685" s="1508">
        <f>B1685*RIGHT(J1685,6)</f>
        <v>56913.500000000007</v>
      </c>
      <c r="R1685" s="1491">
        <f t="shared" si="313"/>
        <v>56756</v>
      </c>
      <c r="S1685" s="1492">
        <f t="shared" si="314"/>
        <v>-157.50000000000728</v>
      </c>
      <c r="T1685" s="1496">
        <f t="shared" si="315"/>
        <v>-2.7673574810898514E-3</v>
      </c>
    </row>
    <row r="1686" spans="1:20" hidden="1" outlineLevel="1" x14ac:dyDescent="0.35">
      <c r="A1686" s="1346" t="s">
        <v>346</v>
      </c>
      <c r="B1686" s="1347">
        <v>300</v>
      </c>
      <c r="C1686" s="1348">
        <v>37.840000000000003</v>
      </c>
      <c r="D1686" s="1349">
        <f t="shared" si="310"/>
        <v>11352.000000000002</v>
      </c>
      <c r="E1686" s="32"/>
      <c r="F1686" s="1486">
        <f t="shared" si="311"/>
        <v>3.8657572874479663E-2</v>
      </c>
      <c r="G1686" s="1494">
        <v>99</v>
      </c>
      <c r="H1686" s="1488" t="s">
        <v>146</v>
      </c>
      <c r="J1686" s="3126" t="s">
        <v>362</v>
      </c>
      <c r="K1686" s="3120"/>
      <c r="L1686" s="3120"/>
      <c r="M1686" s="1489" t="str">
        <f t="shared" si="312"/>
        <v>GO</v>
      </c>
      <c r="P1686" s="1200"/>
      <c r="Q1686" s="1508">
        <f>B1686*RIGHT(J1686,7)</f>
        <v>9870</v>
      </c>
      <c r="R1686" s="1491">
        <f t="shared" si="313"/>
        <v>11352.000000000002</v>
      </c>
      <c r="S1686" s="1491">
        <f t="shared" si="314"/>
        <v>1482.0000000000018</v>
      </c>
      <c r="T1686" s="1496">
        <f t="shared" si="315"/>
        <v>0.15015197568389077</v>
      </c>
    </row>
    <row r="1687" spans="1:20" hidden="1" outlineLevel="1" x14ac:dyDescent="0.35">
      <c r="A1687" s="1361" t="s">
        <v>307</v>
      </c>
      <c r="B1687" s="1362">
        <v>225</v>
      </c>
      <c r="C1687" s="1363">
        <v>264.82</v>
      </c>
      <c r="D1687" s="1364">
        <f t="shared" si="310"/>
        <v>59584.5</v>
      </c>
      <c r="E1687" s="32"/>
      <c r="F1687" s="1486">
        <f t="shared" si="311"/>
        <v>0.20290628531883659</v>
      </c>
      <c r="G1687" s="1494"/>
      <c r="H1687" s="1488" t="s">
        <v>350</v>
      </c>
      <c r="J1687" s="3126" t="s">
        <v>351</v>
      </c>
      <c r="K1687" s="3120"/>
      <c r="L1687" s="3120"/>
      <c r="M1687" s="1489" t="str">
        <f t="shared" si="312"/>
        <v>NOW</v>
      </c>
      <c r="P1687" s="1200"/>
      <c r="Q1687" s="1508">
        <f>B1687*RIGHT(J1687,7)</f>
        <v>62347.500000000007</v>
      </c>
      <c r="R1687" s="1491">
        <f t="shared" si="313"/>
        <v>59584.5</v>
      </c>
      <c r="S1687" s="1492">
        <f t="shared" si="314"/>
        <v>-2763.0000000000073</v>
      </c>
      <c r="T1687" s="1493">
        <f t="shared" si="315"/>
        <v>-4.4316131360519782E-2</v>
      </c>
    </row>
    <row r="1688" spans="1:20" hidden="1" outlineLevel="1" x14ac:dyDescent="0.35">
      <c r="A1688" s="1346" t="s">
        <v>355</v>
      </c>
      <c r="B1688" s="1347">
        <v>150</v>
      </c>
      <c r="C1688" s="1348">
        <v>273.94</v>
      </c>
      <c r="D1688" s="1349">
        <f t="shared" si="310"/>
        <v>41091</v>
      </c>
      <c r="E1688" s="32"/>
      <c r="F1688" s="1486">
        <f>D1688/$D$1616</f>
        <v>0.13992938046029277</v>
      </c>
      <c r="G1688" s="1494">
        <v>32</v>
      </c>
      <c r="H1688" s="1488" t="s">
        <v>356</v>
      </c>
      <c r="J1688" s="3126" t="s">
        <v>357</v>
      </c>
      <c r="K1688" s="3120"/>
      <c r="L1688" s="3120"/>
      <c r="M1688" s="1489" t="str">
        <f>A1688</f>
        <v>COST</v>
      </c>
      <c r="P1688" s="1200"/>
      <c r="Q1688" s="1508">
        <f>B1688*RIGHT(J1688,6)</f>
        <v>39708.000000000007</v>
      </c>
      <c r="R1688" s="1491">
        <f>D1688</f>
        <v>41091</v>
      </c>
      <c r="S1688" s="1491">
        <f>R1688-Q1688</f>
        <v>1382.9999999999927</v>
      </c>
      <c r="T1688" s="1496">
        <f>(R1688-Q1688)/Q1688</f>
        <v>3.4829253550921542E-2</v>
      </c>
    </row>
    <row r="1689" spans="1:20" hidden="1" outlineLevel="1" x14ac:dyDescent="0.35">
      <c r="A1689" s="1361" t="s">
        <v>95</v>
      </c>
      <c r="B1689" s="1362">
        <v>100</v>
      </c>
      <c r="C1689" s="1363">
        <v>308.93</v>
      </c>
      <c r="D1689" s="1364">
        <f t="shared" si="310"/>
        <v>30893</v>
      </c>
      <c r="E1689" s="32"/>
      <c r="F1689" s="1486">
        <f t="shared" si="311"/>
        <v>0.10520158551896582</v>
      </c>
      <c r="G1689" s="1494">
        <v>121</v>
      </c>
      <c r="H1689" s="1488"/>
      <c r="I1689" s="1514"/>
      <c r="J1689" s="3126" t="s">
        <v>364</v>
      </c>
      <c r="K1689" s="3120"/>
      <c r="L1689" s="3120"/>
      <c r="M1689" s="1489" t="str">
        <f t="shared" si="312"/>
        <v>NFLX</v>
      </c>
      <c r="P1689" s="1086"/>
      <c r="Q1689" s="1508">
        <f>B1689*RIGHT(J1689,6)</f>
        <v>32316.000000000004</v>
      </c>
      <c r="R1689" s="1491">
        <f t="shared" si="313"/>
        <v>30893</v>
      </c>
      <c r="S1689" s="1492">
        <f t="shared" si="314"/>
        <v>-1423.0000000000036</v>
      </c>
      <c r="T1689" s="1493">
        <f t="shared" si="315"/>
        <v>-4.4033915088501158E-2</v>
      </c>
    </row>
    <row r="1690" spans="1:20" ht="16" hidden="1" outlineLevel="1" thickBot="1" x14ac:dyDescent="0.4">
      <c r="A1690" s="1346" t="s">
        <v>7</v>
      </c>
      <c r="B1690" s="1347"/>
      <c r="C1690" s="1348"/>
      <c r="D1690" s="1349">
        <v>1814.12</v>
      </c>
      <c r="E1690" s="32"/>
      <c r="F1690" s="1499">
        <f>D1690/D$1601</f>
        <v>6.3080893042571666E-3</v>
      </c>
      <c r="G1690" s="1418"/>
      <c r="H1690" s="1500"/>
      <c r="I1690" s="1501"/>
      <c r="J1690" s="1282"/>
      <c r="K1690" s="1462"/>
      <c r="L1690" s="1463"/>
      <c r="Q1690" s="1502">
        <f>SUM(Q1685:Q1689)</f>
        <v>201155</v>
      </c>
      <c r="R1690" s="1502">
        <f>SUM(R1685:R1689)</f>
        <v>199676.5</v>
      </c>
      <c r="S1690" s="1522">
        <f>SUM(S1685:S1689)</f>
        <v>-1478.5000000000236</v>
      </c>
    </row>
    <row r="1691" spans="1:20" ht="16" hidden="1" outlineLevel="1" thickBot="1" x14ac:dyDescent="0.4">
      <c r="A1691" s="1361" t="s">
        <v>60</v>
      </c>
      <c r="B1691" s="1362"/>
      <c r="C1691" s="1363"/>
      <c r="D1691" s="1364">
        <v>9820.86</v>
      </c>
      <c r="E1691" s="32"/>
      <c r="F1691" s="1503">
        <f>D1691/D$1554</f>
        <v>3.2375411650112318E-2</v>
      </c>
      <c r="G1691" s="1504"/>
      <c r="H1691" s="1505"/>
      <c r="I1691" s="1290">
        <f>SUM(I1689:I1690)</f>
        <v>0</v>
      </c>
      <c r="J1691" s="1468"/>
      <c r="K1691" s="1151"/>
      <c r="L1691" s="1469"/>
      <c r="R1691" s="1470" t="str">
        <f>IF(SUM(D1685:D1689)&lt;&gt;R1690,"Out of Balance","Balances")</f>
        <v>Balances</v>
      </c>
    </row>
    <row r="1692" spans="1:20" ht="19" hidden="1" outlineLevel="1" thickBot="1" x14ac:dyDescent="0.5">
      <c r="A1692" s="726" t="s">
        <v>62</v>
      </c>
      <c r="B1692" s="583"/>
      <c r="C1692" s="584"/>
      <c r="D1692" s="1230">
        <f>SUM(D1683:D1691)</f>
        <v>261387.38</v>
      </c>
      <c r="E1692" s="1483">
        <f>D1692-D1678</f>
        <v>-267.45000000001164</v>
      </c>
      <c r="F1692" s="1218">
        <f>(D1692-D1678)/D1678</f>
        <v>-1.0221481483831643E-3</v>
      </c>
      <c r="G1692" s="679"/>
      <c r="H1692" s="1231"/>
      <c r="I1692" s="680"/>
    </row>
    <row r="1693" spans="1:20" hidden="1" outlineLevel="1" x14ac:dyDescent="0.35"/>
    <row r="1694" spans="1:20" hidden="1" outlineLevel="1" x14ac:dyDescent="0.35">
      <c r="A1694" s="701" t="s">
        <v>25</v>
      </c>
      <c r="B1694" s="702" t="s">
        <v>26</v>
      </c>
      <c r="C1694" s="703" t="s">
        <v>27</v>
      </c>
      <c r="D1694" s="704">
        <f>D1680+7</f>
        <v>43693</v>
      </c>
      <c r="E1694" s="705" t="s">
        <v>28</v>
      </c>
      <c r="F1694" s="3138" t="s">
        <v>343</v>
      </c>
      <c r="G1694" s="3139"/>
      <c r="H1694" s="3140"/>
      <c r="I1694" s="1182"/>
      <c r="J1694" s="1183" t="s">
        <v>233</v>
      </c>
    </row>
    <row r="1695" spans="1:20" ht="16" hidden="1" outlineLevel="1" thickBot="1" x14ac:dyDescent="0.4">
      <c r="A1695" s="706" t="s">
        <v>32</v>
      </c>
      <c r="B1695" s="255" t="str">
        <f ca="1">TEXT(TODAY(),"ddd")</f>
        <v>Sun</v>
      </c>
      <c r="C1695" s="256">
        <v>25866</v>
      </c>
      <c r="D1695" s="1516">
        <f>C1695-C1681</f>
        <v>-421</v>
      </c>
      <c r="E1695" s="32">
        <f>(C1695-C1681)/C1681</f>
        <v>-1.6015520979952069E-2</v>
      </c>
      <c r="F1695" s="3130"/>
      <c r="G1695" s="3130"/>
      <c r="H1695" s="3142"/>
      <c r="I1695" s="1187"/>
      <c r="J1695" s="1188" t="s">
        <v>234</v>
      </c>
      <c r="K1695" s="1220" t="s">
        <v>34</v>
      </c>
      <c r="L1695" s="111" t="s">
        <v>35</v>
      </c>
    </row>
    <row r="1696" spans="1:20" hidden="1" outlineLevel="1" x14ac:dyDescent="0.35">
      <c r="A1696" s="709" t="s">
        <v>36</v>
      </c>
      <c r="B1696" s="263"/>
      <c r="C1696" s="419">
        <v>7895</v>
      </c>
      <c r="D1696" s="1516">
        <f>C1696-C1682</f>
        <v>-64</v>
      </c>
      <c r="E1696" s="32">
        <f>(C1696-C1682)/C1682</f>
        <v>-8.04121120743812E-3</v>
      </c>
      <c r="F1696" s="1128" t="s">
        <v>37</v>
      </c>
      <c r="G1696" s="1129" t="s">
        <v>38</v>
      </c>
      <c r="H1696" s="1130" t="s">
        <v>144</v>
      </c>
      <c r="J1696" s="3137" t="s">
        <v>42</v>
      </c>
      <c r="K1696" s="3122"/>
      <c r="L1696" s="3123"/>
      <c r="M1696" s="1199" t="s">
        <v>244</v>
      </c>
      <c r="P1696" s="1200" t="s">
        <v>44</v>
      </c>
      <c r="Q1696" s="1479" t="s">
        <v>45</v>
      </c>
      <c r="R1696" s="1479" t="s">
        <v>46</v>
      </c>
      <c r="S1696" s="1479" t="s">
        <v>47</v>
      </c>
      <c r="T1696" s="1485" t="s">
        <v>48</v>
      </c>
    </row>
    <row r="1697" spans="1:20" hidden="1" outlineLevel="1" x14ac:dyDescent="0.35">
      <c r="A1697" s="1361" t="s">
        <v>315</v>
      </c>
      <c r="B1697" s="1362">
        <v>500</v>
      </c>
      <c r="C1697" s="1363">
        <v>19.559999999999999</v>
      </c>
      <c r="D1697" s="1364">
        <f t="shared" ref="D1697:D1703" si="316">C1697*B1697</f>
        <v>9780</v>
      </c>
      <c r="E1697" s="32"/>
      <c r="F1697" s="1486">
        <f t="shared" ref="F1697:F1703" si="317">D1697/$D$1616</f>
        <v>3.3304357180444943E-2</v>
      </c>
      <c r="G1697" s="1494"/>
      <c r="H1697" s="1488"/>
      <c r="J1697" s="3126" t="s">
        <v>349</v>
      </c>
      <c r="K1697" s="3120"/>
      <c r="L1697" s="3120"/>
      <c r="M1697" s="1489" t="str">
        <f t="shared" ref="M1697:M1703" si="318">A1697</f>
        <v>LK</v>
      </c>
      <c r="P1697" s="1200"/>
      <c r="Q1697" s="1508">
        <f>B1697*RIGHT(J1697,6)</f>
        <v>9810</v>
      </c>
      <c r="R1697" s="1491">
        <f t="shared" ref="R1697:R1703" si="319">D1697</f>
        <v>9780</v>
      </c>
      <c r="S1697" s="1492">
        <f t="shared" ref="S1697:S1703" si="320">R1697-Q1697</f>
        <v>-30</v>
      </c>
      <c r="T1697" s="1496">
        <f t="shared" ref="T1697:T1703" si="321">(R1697-Q1697)/Q1697</f>
        <v>-3.0581039755351682E-3</v>
      </c>
    </row>
    <row r="1698" spans="1:20" hidden="1" outlineLevel="1" x14ac:dyDescent="0.35">
      <c r="A1698" s="1346" t="s">
        <v>329</v>
      </c>
      <c r="B1698" s="1347">
        <v>391</v>
      </c>
      <c r="C1698" s="1348">
        <v>96.05</v>
      </c>
      <c r="D1698" s="1349">
        <f t="shared" si="316"/>
        <v>37555.549999999996</v>
      </c>
      <c r="E1698" s="32"/>
      <c r="F1698" s="1517">
        <f t="shared" si="317"/>
        <v>0.1278899234466318</v>
      </c>
      <c r="G1698" s="1518"/>
      <c r="H1698" s="1519"/>
      <c r="J1698" s="3126" t="s">
        <v>366</v>
      </c>
      <c r="K1698" s="3120" t="s">
        <v>367</v>
      </c>
      <c r="L1698" s="3120"/>
      <c r="M1698" s="1199" t="str">
        <f t="shared" si="318"/>
        <v>CRWD</v>
      </c>
      <c r="P1698" s="1200"/>
      <c r="Q1698" s="1508">
        <f>B1698*RIGHT(J1698,6)</f>
        <v>38110.769999999997</v>
      </c>
      <c r="R1698" s="1491">
        <f t="shared" si="319"/>
        <v>37555.549999999996</v>
      </c>
      <c r="S1698" s="1492">
        <f t="shared" si="320"/>
        <v>-555.22000000000116</v>
      </c>
      <c r="T1698" s="1493">
        <f t="shared" si="321"/>
        <v>-1.4568585205704351E-2</v>
      </c>
    </row>
    <row r="1699" spans="1:20" hidden="1" outlineLevel="1" x14ac:dyDescent="0.35">
      <c r="A1699" s="1361" t="s">
        <v>65</v>
      </c>
      <c r="B1699" s="1362">
        <v>350</v>
      </c>
      <c r="C1699" s="1363">
        <v>160.34</v>
      </c>
      <c r="D1699" s="1364">
        <f t="shared" si="316"/>
        <v>56119</v>
      </c>
      <c r="E1699" s="32"/>
      <c r="F1699" s="1486">
        <f t="shared" si="317"/>
        <v>0.19110503278214622</v>
      </c>
      <c r="G1699" s="1520">
        <v>158</v>
      </c>
      <c r="H1699" s="1521"/>
      <c r="J1699" s="3126" t="s">
        <v>359</v>
      </c>
      <c r="K1699" s="3120"/>
      <c r="L1699" s="3120"/>
      <c r="M1699" s="1489" t="str">
        <f t="shared" si="318"/>
        <v>VEEV</v>
      </c>
      <c r="P1699" s="1200"/>
      <c r="Q1699" s="1508">
        <f>B1699*RIGHT(J1699,6)</f>
        <v>56913.500000000007</v>
      </c>
      <c r="R1699" s="1491">
        <f t="shared" si="319"/>
        <v>56119</v>
      </c>
      <c r="S1699" s="1491">
        <f t="shared" si="320"/>
        <v>-794.50000000000728</v>
      </c>
      <c r="T1699" s="1496">
        <f t="shared" si="321"/>
        <v>-1.3959781071274956E-2</v>
      </c>
    </row>
    <row r="1700" spans="1:20" hidden="1" outlineLevel="1" x14ac:dyDescent="0.35">
      <c r="A1700" s="1346" t="s">
        <v>346</v>
      </c>
      <c r="B1700" s="1347">
        <v>440</v>
      </c>
      <c r="C1700" s="1348">
        <v>46.64</v>
      </c>
      <c r="D1700" s="1349">
        <f t="shared" si="316"/>
        <v>20521.599999999999</v>
      </c>
      <c r="E1700" s="32"/>
      <c r="F1700" s="1486">
        <f t="shared" si="317"/>
        <v>6.9883302281617474E-2</v>
      </c>
      <c r="G1700" s="1494">
        <v>99</v>
      </c>
      <c r="H1700" s="1488" t="s">
        <v>146</v>
      </c>
      <c r="J1700" s="3126" t="s">
        <v>362</v>
      </c>
      <c r="K1700" s="3120"/>
      <c r="L1700" s="3120"/>
      <c r="M1700" s="1489" t="str">
        <f t="shared" si="318"/>
        <v>GO</v>
      </c>
      <c r="P1700" s="1200"/>
      <c r="Q1700" s="1508">
        <f>B1700*RIGHT(J1700,7)</f>
        <v>14476</v>
      </c>
      <c r="R1700" s="1491">
        <f t="shared" si="319"/>
        <v>20521.599999999999</v>
      </c>
      <c r="S1700" s="1491">
        <f t="shared" si="320"/>
        <v>6045.5999999999985</v>
      </c>
      <c r="T1700" s="1496">
        <f t="shared" si="321"/>
        <v>0.41762917933130689</v>
      </c>
    </row>
    <row r="1701" spans="1:20" hidden="1" outlineLevel="1" x14ac:dyDescent="0.35">
      <c r="A1701" s="1361" t="s">
        <v>307</v>
      </c>
      <c r="B1701" s="1362">
        <v>225</v>
      </c>
      <c r="C1701" s="1363">
        <v>256.91000000000003</v>
      </c>
      <c r="D1701" s="1364">
        <f t="shared" si="316"/>
        <v>57804.750000000007</v>
      </c>
      <c r="E1701" s="32"/>
      <c r="F1701" s="1486">
        <f t="shared" si="317"/>
        <v>0.19684560743622959</v>
      </c>
      <c r="G1701" s="1494"/>
      <c r="H1701" s="1488" t="s">
        <v>350</v>
      </c>
      <c r="J1701" s="3126" t="s">
        <v>351</v>
      </c>
      <c r="K1701" s="3120"/>
      <c r="L1701" s="3120"/>
      <c r="M1701" s="1489" t="str">
        <f t="shared" si="318"/>
        <v>NOW</v>
      </c>
      <c r="P1701" s="1200"/>
      <c r="Q1701" s="1508">
        <f>B1701*RIGHT(J1701,7)</f>
        <v>62347.500000000007</v>
      </c>
      <c r="R1701" s="1491">
        <f t="shared" si="319"/>
        <v>57804.750000000007</v>
      </c>
      <c r="S1701" s="1491">
        <f t="shared" si="320"/>
        <v>-4542.75</v>
      </c>
      <c r="T1701" s="1493">
        <f t="shared" si="321"/>
        <v>-7.2861782749909773E-2</v>
      </c>
    </row>
    <row r="1702" spans="1:20" hidden="1" outlineLevel="1" x14ac:dyDescent="0.35">
      <c r="A1702" s="1346" t="s">
        <v>355</v>
      </c>
      <c r="B1702" s="1347">
        <v>150</v>
      </c>
      <c r="C1702" s="1348">
        <v>274.10000000000002</v>
      </c>
      <c r="D1702" s="1349">
        <f t="shared" si="316"/>
        <v>41115</v>
      </c>
      <c r="E1702" s="32"/>
      <c r="F1702" s="1486">
        <f t="shared" si="317"/>
        <v>0.14001110894417115</v>
      </c>
      <c r="G1702" s="1494">
        <v>32</v>
      </c>
      <c r="H1702" s="1488" t="s">
        <v>356</v>
      </c>
      <c r="J1702" s="3126" t="s">
        <v>357</v>
      </c>
      <c r="K1702" s="3120"/>
      <c r="L1702" s="3120"/>
      <c r="M1702" s="1489" t="str">
        <f t="shared" si="318"/>
        <v>COST</v>
      </c>
      <c r="P1702" s="1200"/>
      <c r="Q1702" s="1508">
        <f>B1702*RIGHT(J1702,6)</f>
        <v>39708.000000000007</v>
      </c>
      <c r="R1702" s="1491">
        <f t="shared" si="319"/>
        <v>41115</v>
      </c>
      <c r="S1702" s="1491">
        <f t="shared" si="320"/>
        <v>1406.9999999999927</v>
      </c>
      <c r="T1702" s="1496">
        <f t="shared" si="321"/>
        <v>3.5433665760048166E-2</v>
      </c>
    </row>
    <row r="1703" spans="1:20" hidden="1" outlineLevel="1" x14ac:dyDescent="0.35">
      <c r="A1703" s="1361" t="s">
        <v>95</v>
      </c>
      <c r="B1703" s="1362">
        <v>100</v>
      </c>
      <c r="C1703" s="1363">
        <v>302.8</v>
      </c>
      <c r="D1703" s="1364">
        <f t="shared" si="316"/>
        <v>30280</v>
      </c>
      <c r="E1703" s="32"/>
      <c r="F1703" s="1486">
        <f t="shared" si="317"/>
        <v>0.10311410382657188</v>
      </c>
      <c r="G1703" s="1494">
        <v>121</v>
      </c>
      <c r="H1703" s="1488"/>
      <c r="I1703" s="1514"/>
      <c r="J1703" s="3126" t="s">
        <v>364</v>
      </c>
      <c r="K1703" s="3120"/>
      <c r="L1703" s="3120"/>
      <c r="M1703" s="1489" t="str">
        <f t="shared" si="318"/>
        <v>NFLX</v>
      </c>
      <c r="P1703" s="1086"/>
      <c r="Q1703" s="1508">
        <f>B1703*RIGHT(J1703,6)</f>
        <v>32316.000000000004</v>
      </c>
      <c r="R1703" s="1491">
        <f t="shared" si="319"/>
        <v>30280</v>
      </c>
      <c r="S1703" s="1492">
        <f t="shared" si="320"/>
        <v>-2036.0000000000036</v>
      </c>
      <c r="T1703" s="1493">
        <f t="shared" si="321"/>
        <v>-6.3002846886991065E-2</v>
      </c>
    </row>
    <row r="1704" spans="1:20" ht="16" hidden="1" outlineLevel="1" thickBot="1" x14ac:dyDescent="0.4">
      <c r="A1704" s="1346" t="s">
        <v>7</v>
      </c>
      <c r="B1704" s="1347"/>
      <c r="C1704" s="1348"/>
      <c r="D1704" s="1349">
        <v>1793.15</v>
      </c>
      <c r="E1704" s="32"/>
      <c r="F1704" s="1499">
        <f>D1704/D$1601</f>
        <v>6.2351720591409272E-3</v>
      </c>
      <c r="G1704" s="1418"/>
      <c r="H1704" s="1500"/>
      <c r="I1704" s="1501"/>
      <c r="J1704" s="1282"/>
      <c r="K1704" s="1462"/>
      <c r="L1704" s="1463"/>
      <c r="Q1704" s="1502">
        <f>SUM(Q1699:Q1703)</f>
        <v>205761</v>
      </c>
      <c r="R1704" s="1502">
        <f>SUM(R1699:R1703)</f>
        <v>205840.35</v>
      </c>
      <c r="S1704" s="1502">
        <f>SUM(S1699:S1703)</f>
        <v>79.349999999980355</v>
      </c>
    </row>
    <row r="1705" spans="1:20" ht="16" hidden="1" outlineLevel="1" thickBot="1" x14ac:dyDescent="0.4">
      <c r="A1705" s="1361" t="s">
        <v>60</v>
      </c>
      <c r="B1705" s="1362"/>
      <c r="C1705" s="1363"/>
      <c r="D1705" s="1364">
        <v>959</v>
      </c>
      <c r="E1705" s="32"/>
      <c r="F1705" s="1503">
        <f>D1705/D$1554</f>
        <v>3.1614359406872423E-3</v>
      </c>
      <c r="G1705" s="1504"/>
      <c r="H1705" s="1505"/>
      <c r="I1705" s="1290">
        <f>SUM(I1703:I1704)</f>
        <v>0</v>
      </c>
      <c r="J1705" s="1468"/>
      <c r="K1705" s="1151"/>
      <c r="L1705" s="1469"/>
      <c r="R1705" s="1470" t="str">
        <f>IF(SUM(D1699:D1703)&lt;&gt;R1704,"Out of Balance","Balances")</f>
        <v>Balances</v>
      </c>
    </row>
    <row r="1706" spans="1:20" ht="19" hidden="1" outlineLevel="1" thickBot="1" x14ac:dyDescent="0.5">
      <c r="A1706" s="726" t="s">
        <v>62</v>
      </c>
      <c r="B1706" s="583"/>
      <c r="C1706" s="584"/>
      <c r="D1706" s="1230">
        <f>SUM(D1697:D1705)</f>
        <v>255928.05</v>
      </c>
      <c r="E1706" s="1483">
        <f>D1706-D1692</f>
        <v>-5459.3300000000163</v>
      </c>
      <c r="F1706" s="1218">
        <f>(D1706-D1692)/D1692</f>
        <v>-2.0885973913507286E-2</v>
      </c>
      <c r="G1706" s="679"/>
      <c r="H1706" s="1231"/>
      <c r="I1706" s="680"/>
    </row>
    <row r="1707" spans="1:20" hidden="1" outlineLevel="1" x14ac:dyDescent="0.35"/>
    <row r="1708" spans="1:20" hidden="1" outlineLevel="1" x14ac:dyDescent="0.35">
      <c r="A1708" s="701" t="s">
        <v>25</v>
      </c>
      <c r="B1708" s="702" t="s">
        <v>26</v>
      </c>
      <c r="C1708" s="703" t="s">
        <v>27</v>
      </c>
      <c r="D1708" s="704">
        <f>D1694+7</f>
        <v>43700</v>
      </c>
      <c r="E1708" s="705" t="s">
        <v>28</v>
      </c>
      <c r="F1708" s="3138" t="s">
        <v>343</v>
      </c>
      <c r="G1708" s="3139"/>
      <c r="H1708" s="3140"/>
      <c r="I1708" s="1182"/>
      <c r="J1708" s="1183" t="s">
        <v>233</v>
      </c>
    </row>
    <row r="1709" spans="1:20" ht="16" hidden="1" outlineLevel="1" thickBot="1" x14ac:dyDescent="0.4">
      <c r="A1709" s="706" t="s">
        <v>32</v>
      </c>
      <c r="B1709" s="255" t="str">
        <f ca="1">TEXT(TODAY(),"ddd")</f>
        <v>Sun</v>
      </c>
      <c r="C1709" s="256">
        <v>25628</v>
      </c>
      <c r="D1709" s="1516">
        <f>C1709-C1695</f>
        <v>-238</v>
      </c>
      <c r="E1709" s="32">
        <f>(C1709-C1695)/C1695</f>
        <v>-9.2012680739194316E-3</v>
      </c>
      <c r="F1709" s="3130"/>
      <c r="G1709" s="3130"/>
      <c r="H1709" s="3142"/>
      <c r="I1709" s="1187"/>
      <c r="J1709" s="1188" t="s">
        <v>234</v>
      </c>
      <c r="K1709" s="1220" t="s">
        <v>34</v>
      </c>
      <c r="L1709" s="111" t="s">
        <v>35</v>
      </c>
    </row>
    <row r="1710" spans="1:20" hidden="1" outlineLevel="1" x14ac:dyDescent="0.35">
      <c r="A1710" s="709" t="s">
        <v>36</v>
      </c>
      <c r="B1710" s="263"/>
      <c r="C1710" s="419">
        <v>7751</v>
      </c>
      <c r="D1710" s="1516">
        <f>C1710-C1696</f>
        <v>-144</v>
      </c>
      <c r="E1710" s="32">
        <f>(C1710-C1696)/C1696</f>
        <v>-1.823939202026599E-2</v>
      </c>
      <c r="F1710" s="1128" t="s">
        <v>37</v>
      </c>
      <c r="G1710" s="1129" t="s">
        <v>38</v>
      </c>
      <c r="H1710" s="1130" t="s">
        <v>144</v>
      </c>
      <c r="J1710" s="3137" t="s">
        <v>42</v>
      </c>
      <c r="K1710" s="3122"/>
      <c r="L1710" s="3123"/>
      <c r="M1710" s="1199" t="s">
        <v>244</v>
      </c>
      <c r="P1710" s="1200" t="s">
        <v>44</v>
      </c>
      <c r="Q1710" s="1479" t="s">
        <v>45</v>
      </c>
      <c r="R1710" s="1479" t="s">
        <v>46</v>
      </c>
      <c r="S1710" s="1479" t="s">
        <v>47</v>
      </c>
      <c r="T1710" s="1485" t="s">
        <v>48</v>
      </c>
    </row>
    <row r="1711" spans="1:20" hidden="1" outlineLevel="1" x14ac:dyDescent="0.35">
      <c r="A1711" s="1361" t="s">
        <v>346</v>
      </c>
      <c r="B1711" s="1362">
        <v>440</v>
      </c>
      <c r="C1711" s="1363">
        <v>41.75</v>
      </c>
      <c r="D1711" s="1364">
        <f t="shared" ref="D1711:D1717" si="322">C1711*B1711</f>
        <v>18370</v>
      </c>
      <c r="E1711" s="32">
        <f>(C1711-C1697)/C1697</f>
        <v>1.1344580777096116</v>
      </c>
      <c r="F1711" s="1486">
        <f t="shared" ref="F1711:F1717" si="323">D1711/$D$1616</f>
        <v>6.2556343701919592E-2</v>
      </c>
      <c r="G1711" s="1494">
        <v>99</v>
      </c>
      <c r="H1711" s="1488" t="s">
        <v>146</v>
      </c>
      <c r="J1711" s="3126" t="s">
        <v>368</v>
      </c>
      <c r="K1711" s="3120"/>
      <c r="L1711" s="3141"/>
      <c r="M1711" s="1489" t="str">
        <f t="shared" ref="M1711:M1717" si="324">A1711</f>
        <v>GO</v>
      </c>
      <c r="P1711" s="1085" t="str">
        <f t="shared" ref="P1711:P1717" ca="1" si="325">IF(O1213="","",RANK(O1213,O1210:O1217,1))</f>
        <v/>
      </c>
      <c r="Q1711" s="1490">
        <f>B1711*RIGHT(J1711,7)</f>
        <v>15756.400000000001</v>
      </c>
      <c r="R1711" s="1491">
        <f t="shared" ref="R1711:R1717" si="326">D1711</f>
        <v>18370</v>
      </c>
      <c r="S1711" s="1491">
        <f t="shared" ref="S1711:S1717" si="327">R1711-Q1711</f>
        <v>2613.5999999999985</v>
      </c>
      <c r="T1711" s="1496">
        <f t="shared" ref="T1711:T1717" si="328">(R1711-Q1711)/Q1711</f>
        <v>0.16587545378385915</v>
      </c>
    </row>
    <row r="1712" spans="1:20" hidden="1" outlineLevel="1" x14ac:dyDescent="0.35">
      <c r="A1712" s="1346" t="s">
        <v>329</v>
      </c>
      <c r="B1712" s="1347">
        <v>391</v>
      </c>
      <c r="C1712" s="1348">
        <v>88.43</v>
      </c>
      <c r="D1712" s="1349">
        <f t="shared" si="322"/>
        <v>34576.130000000005</v>
      </c>
      <c r="E1712" s="32">
        <f>(C1712-C1698)/C1698</f>
        <v>-7.9333680374804691E-2</v>
      </c>
      <c r="F1712" s="1517">
        <f t="shared" si="323"/>
        <v>0.1177439451367585</v>
      </c>
      <c r="G1712" s="1518"/>
      <c r="H1712" s="1519"/>
      <c r="J1712" s="3126" t="s">
        <v>369</v>
      </c>
      <c r="K1712" s="3120"/>
      <c r="L1712" s="3120"/>
      <c r="M1712" s="1489" t="str">
        <f t="shared" si="324"/>
        <v>CRWD</v>
      </c>
      <c r="P1712" s="1085">
        <f t="shared" ca="1" si="325"/>
        <v>2</v>
      </c>
      <c r="Q1712" s="1490">
        <f t="shared" ref="Q1712:Q1717" si="329">B1712*RIGHT(J1712,6)</f>
        <v>36937.769999999997</v>
      </c>
      <c r="R1712" s="1491">
        <f t="shared" si="326"/>
        <v>34576.130000000005</v>
      </c>
      <c r="S1712" s="1492">
        <f t="shared" si="327"/>
        <v>-2361.6399999999921</v>
      </c>
      <c r="T1712" s="1493">
        <f t="shared" si="328"/>
        <v>-6.3935640944214889E-2</v>
      </c>
    </row>
    <row r="1713" spans="1:20" hidden="1" outlineLevel="1" x14ac:dyDescent="0.35">
      <c r="A1713" s="1361" t="s">
        <v>65</v>
      </c>
      <c r="B1713" s="1362">
        <v>350</v>
      </c>
      <c r="C1713" s="1363">
        <v>158.13</v>
      </c>
      <c r="D1713" s="1364">
        <f t="shared" si="322"/>
        <v>55345.5</v>
      </c>
      <c r="E1713" s="32">
        <f>(C1713-C1699)/C1699</f>
        <v>-1.3783210677310764E-2</v>
      </c>
      <c r="F1713" s="1486">
        <f t="shared" si="323"/>
        <v>0.18847099185381552</v>
      </c>
      <c r="G1713" s="1520">
        <v>158</v>
      </c>
      <c r="H1713" s="1521"/>
      <c r="J1713" s="3126" t="s">
        <v>359</v>
      </c>
      <c r="K1713" s="3120"/>
      <c r="L1713" s="3120"/>
      <c r="M1713" s="1489" t="str">
        <f t="shared" si="324"/>
        <v>VEEV</v>
      </c>
      <c r="P1713" s="1085">
        <f t="shared" ca="1" si="325"/>
        <v>1</v>
      </c>
      <c r="Q1713" s="1490">
        <f t="shared" si="329"/>
        <v>56913.500000000007</v>
      </c>
      <c r="R1713" s="1491">
        <f t="shared" si="326"/>
        <v>55345.5</v>
      </c>
      <c r="S1713" s="1492">
        <f t="shared" si="327"/>
        <v>-1568.0000000000073</v>
      </c>
      <c r="T1713" s="1493">
        <f t="shared" si="328"/>
        <v>-2.7550581145071154E-2</v>
      </c>
    </row>
    <row r="1714" spans="1:20" hidden="1" outlineLevel="1" x14ac:dyDescent="0.35">
      <c r="A1714" s="1346" t="s">
        <v>307</v>
      </c>
      <c r="B1714" s="1347">
        <v>225</v>
      </c>
      <c r="C1714" s="1348">
        <v>263.07</v>
      </c>
      <c r="D1714" s="1349">
        <f t="shared" si="322"/>
        <v>59190.75</v>
      </c>
      <c r="E1714" s="32">
        <f>(C1714-C1701)/C1701</f>
        <v>2.397726830407523E-2</v>
      </c>
      <c r="F1714" s="1486">
        <f t="shared" si="323"/>
        <v>0.20156542738020672</v>
      </c>
      <c r="G1714" s="1494"/>
      <c r="H1714" s="1488" t="s">
        <v>350</v>
      </c>
      <c r="J1714" s="3126" t="s">
        <v>351</v>
      </c>
      <c r="K1714" s="3120"/>
      <c r="L1714" s="3120"/>
      <c r="M1714" s="1489" t="str">
        <f t="shared" si="324"/>
        <v>NOW</v>
      </c>
      <c r="P1714" s="1085">
        <f t="shared" ca="1" si="325"/>
        <v>5</v>
      </c>
      <c r="Q1714" s="1490">
        <f t="shared" si="329"/>
        <v>62347.500000000007</v>
      </c>
      <c r="R1714" s="1491">
        <f t="shared" si="326"/>
        <v>59190.75</v>
      </c>
      <c r="S1714" s="1492">
        <f t="shared" si="327"/>
        <v>-3156.7500000000073</v>
      </c>
      <c r="T1714" s="1493">
        <f t="shared" si="328"/>
        <v>-5.0631540959942371E-2</v>
      </c>
    </row>
    <row r="1715" spans="1:20" hidden="1" outlineLevel="1" x14ac:dyDescent="0.35">
      <c r="A1715" s="1361" t="s">
        <v>315</v>
      </c>
      <c r="B1715" s="1362">
        <v>200</v>
      </c>
      <c r="C1715" s="1363">
        <v>18.79</v>
      </c>
      <c r="D1715" s="1364">
        <f t="shared" si="322"/>
        <v>3758</v>
      </c>
      <c r="E1715" s="32">
        <f>(C1715-C1697)/C1697</f>
        <v>-3.9366053169734135E-2</v>
      </c>
      <c r="F1715" s="1486">
        <f t="shared" si="323"/>
        <v>1.2797318433958293E-2</v>
      </c>
      <c r="G1715" s="1494"/>
      <c r="H1715" s="1488"/>
      <c r="J1715" s="3126" t="s">
        <v>370</v>
      </c>
      <c r="K1715" s="3120"/>
      <c r="L1715" s="3120"/>
      <c r="M1715" s="1489" t="str">
        <f t="shared" si="324"/>
        <v>LK</v>
      </c>
      <c r="P1715" s="1085" t="str">
        <f t="shared" ca="1" si="325"/>
        <v/>
      </c>
      <c r="Q1715" s="1490">
        <f t="shared" si="329"/>
        <v>5198</v>
      </c>
      <c r="R1715" s="1491">
        <f t="shared" si="326"/>
        <v>3758</v>
      </c>
      <c r="S1715" s="1492">
        <f t="shared" si="327"/>
        <v>-1440</v>
      </c>
      <c r="T1715" s="1523">
        <f t="shared" si="328"/>
        <v>-0.27702962677953058</v>
      </c>
    </row>
    <row r="1716" spans="1:20" hidden="1" outlineLevel="1" x14ac:dyDescent="0.35">
      <c r="A1716" s="1346" t="s">
        <v>355</v>
      </c>
      <c r="B1716" s="1347">
        <v>170</v>
      </c>
      <c r="C1716" s="1348">
        <v>274.01</v>
      </c>
      <c r="D1716" s="1349">
        <f t="shared" si="322"/>
        <v>46581.7</v>
      </c>
      <c r="E1716" s="32">
        <f>(C1716-C1702)/C1702</f>
        <v>-3.2834731849701505E-4</v>
      </c>
      <c r="F1716" s="1486">
        <f t="shared" si="323"/>
        <v>0.15862715489492149</v>
      </c>
      <c r="G1716" s="1494">
        <v>32</v>
      </c>
      <c r="H1716" s="1488" t="s">
        <v>356</v>
      </c>
      <c r="J1716" s="3126" t="s">
        <v>371</v>
      </c>
      <c r="K1716" s="3120"/>
      <c r="L1716" s="3120"/>
      <c r="M1716" s="1489" t="str">
        <f t="shared" si="324"/>
        <v>COST</v>
      </c>
      <c r="P1716" s="1085">
        <f t="shared" ca="1" si="325"/>
        <v>2</v>
      </c>
      <c r="Q1716" s="1490">
        <f t="shared" si="329"/>
        <v>45284.6</v>
      </c>
      <c r="R1716" s="1491">
        <f t="shared" si="326"/>
        <v>46581.7</v>
      </c>
      <c r="S1716" s="1491">
        <f t="shared" si="327"/>
        <v>1297.0999999999985</v>
      </c>
      <c r="T1716" s="1496">
        <f t="shared" si="328"/>
        <v>2.8643291538403753E-2</v>
      </c>
    </row>
    <row r="1717" spans="1:20" hidden="1" outlineLevel="1" x14ac:dyDescent="0.35">
      <c r="A1717" s="1361" t="s">
        <v>95</v>
      </c>
      <c r="B1717" s="1362">
        <v>100</v>
      </c>
      <c r="C1717" s="1363">
        <v>291.44</v>
      </c>
      <c r="D1717" s="1364">
        <f t="shared" si="322"/>
        <v>29144</v>
      </c>
      <c r="E1717" s="32">
        <f>(C1717-C1703)/C1703</f>
        <v>-3.7516512549537695E-2</v>
      </c>
      <c r="F1717" s="1486">
        <f t="shared" si="323"/>
        <v>9.9245622256327964E-2</v>
      </c>
      <c r="G1717" s="1494">
        <v>121</v>
      </c>
      <c r="H1717" s="1488"/>
      <c r="I1717" s="1514"/>
      <c r="J1717" s="3126" t="s">
        <v>364</v>
      </c>
      <c r="K1717" s="3120"/>
      <c r="L1717" s="3120"/>
      <c r="M1717" s="1489" t="str">
        <f t="shared" si="324"/>
        <v>NFLX</v>
      </c>
      <c r="P1717" s="1085">
        <f t="shared" ca="1" si="325"/>
        <v>2</v>
      </c>
      <c r="Q1717" s="1490">
        <f t="shared" si="329"/>
        <v>32316.000000000004</v>
      </c>
      <c r="R1717" s="1491">
        <f t="shared" si="326"/>
        <v>29144</v>
      </c>
      <c r="S1717" s="1492">
        <f t="shared" si="327"/>
        <v>-3172.0000000000036</v>
      </c>
      <c r="T1717" s="1523">
        <f t="shared" si="328"/>
        <v>-9.8155712340636317E-2</v>
      </c>
    </row>
    <row r="1718" spans="1:20" ht="16" hidden="1" outlineLevel="1" thickBot="1" x14ac:dyDescent="0.4">
      <c r="A1718" s="1346" t="s">
        <v>7</v>
      </c>
      <c r="B1718" s="1347"/>
      <c r="C1718" s="1348"/>
      <c r="D1718" s="1349">
        <v>1796.49</v>
      </c>
      <c r="E1718" s="32"/>
      <c r="F1718" s="1499">
        <f>D1718/D$1601</f>
        <v>6.2467859646577724E-3</v>
      </c>
      <c r="G1718" s="1418"/>
      <c r="H1718" s="1500"/>
      <c r="I1718" s="1501"/>
      <c r="J1718" s="1282"/>
      <c r="K1718" s="1462"/>
      <c r="L1718" s="1463"/>
      <c r="Q1718" s="1502">
        <f>SUM(Q1713:Q1717)</f>
        <v>202059.6</v>
      </c>
      <c r="R1718" s="1502">
        <f>SUM(R1713:R1717)</f>
        <v>194019.95</v>
      </c>
      <c r="S1718" s="1522">
        <f>SUM(S1713:S1717)</f>
        <v>-8039.6500000000196</v>
      </c>
    </row>
    <row r="1719" spans="1:20" ht="16" hidden="1" outlineLevel="1" thickBot="1" x14ac:dyDescent="0.4">
      <c r="A1719" s="1361" t="s">
        <v>60</v>
      </c>
      <c r="B1719" s="1362"/>
      <c r="C1719" s="1363"/>
      <c r="D1719" s="1364">
        <v>1029.8699999999999</v>
      </c>
      <c r="E1719" s="32"/>
      <c r="F1719" s="1503">
        <f>D1719/D$1554</f>
        <v>3.39506572704439E-3</v>
      </c>
      <c r="G1719" s="1504"/>
      <c r="H1719" s="1505"/>
      <c r="I1719" s="1290">
        <f>SUM(I1717:I1718)</f>
        <v>0</v>
      </c>
      <c r="J1719" s="1468"/>
      <c r="K1719" s="1151"/>
      <c r="L1719" s="1469"/>
      <c r="R1719" s="1470" t="str">
        <f>IF(SUM(D1713:D1717)&lt;&gt;R1718,"Out of Balance","Balances")</f>
        <v>Balances</v>
      </c>
    </row>
    <row r="1720" spans="1:20" ht="19" hidden="1" outlineLevel="1" thickBot="1" x14ac:dyDescent="0.5">
      <c r="A1720" s="726" t="s">
        <v>62</v>
      </c>
      <c r="B1720" s="583"/>
      <c r="C1720" s="584"/>
      <c r="D1720" s="1230">
        <f>SUM(D1711:D1719)</f>
        <v>249792.44</v>
      </c>
      <c r="E1720" s="1483">
        <f>D1720-D1706</f>
        <v>-6135.609999999986</v>
      </c>
      <c r="F1720" s="1218">
        <f>(D1720-D1706)/D1706</f>
        <v>-2.3973964557616825E-2</v>
      </c>
      <c r="G1720" s="679"/>
      <c r="H1720" s="1231"/>
      <c r="I1720" s="680"/>
    </row>
    <row r="1721" spans="1:20" hidden="1" outlineLevel="1" x14ac:dyDescent="0.35"/>
    <row r="1722" spans="1:20" hidden="1" outlineLevel="1" x14ac:dyDescent="0.35">
      <c r="A1722" s="701" t="s">
        <v>25</v>
      </c>
      <c r="B1722" s="702" t="s">
        <v>26</v>
      </c>
      <c r="C1722" s="703" t="s">
        <v>27</v>
      </c>
      <c r="D1722" s="704">
        <f>D1708+7</f>
        <v>43707</v>
      </c>
      <c r="E1722" s="705" t="s">
        <v>28</v>
      </c>
      <c r="F1722" s="3138" t="s">
        <v>343</v>
      </c>
      <c r="G1722" s="3139"/>
      <c r="H1722" s="3140"/>
      <c r="I1722" s="1182"/>
      <c r="J1722" s="1183" t="s">
        <v>233</v>
      </c>
    </row>
    <row r="1723" spans="1:20" ht="16" hidden="1" outlineLevel="1" thickBot="1" x14ac:dyDescent="0.4">
      <c r="A1723" s="706" t="s">
        <v>32</v>
      </c>
      <c r="B1723" s="255" t="str">
        <f ca="1">TEXT(TODAY(),"ddd")</f>
        <v>Sun</v>
      </c>
      <c r="C1723" s="256">
        <v>26403</v>
      </c>
      <c r="D1723" s="1516">
        <f>C1723-C1709</f>
        <v>775</v>
      </c>
      <c r="E1723" s="32">
        <f>(C1723-C1709)/C1709</f>
        <v>3.0240362103948808E-2</v>
      </c>
      <c r="F1723" s="3130"/>
      <c r="G1723" s="3130"/>
      <c r="H1723" s="3142"/>
      <c r="I1723" s="1187"/>
      <c r="J1723" s="1188" t="s">
        <v>234</v>
      </c>
      <c r="K1723" s="1220" t="s">
        <v>34</v>
      </c>
      <c r="L1723" s="111" t="s">
        <v>35</v>
      </c>
    </row>
    <row r="1724" spans="1:20" hidden="1" outlineLevel="1" x14ac:dyDescent="0.35">
      <c r="A1724" s="709" t="s">
        <v>36</v>
      </c>
      <c r="B1724" s="263"/>
      <c r="C1724" s="419">
        <v>7962</v>
      </c>
      <c r="D1724" s="1516">
        <f>C1724-C1710</f>
        <v>211</v>
      </c>
      <c r="E1724" s="32">
        <f>(C1724-C1710)/C1710</f>
        <v>2.7222293897561606E-2</v>
      </c>
      <c r="F1724" s="1128" t="s">
        <v>37</v>
      </c>
      <c r="G1724" s="1129" t="s">
        <v>38</v>
      </c>
      <c r="H1724" s="1130" t="s">
        <v>144</v>
      </c>
      <c r="J1724" s="3137" t="s">
        <v>42</v>
      </c>
      <c r="K1724" s="3122"/>
      <c r="L1724" s="3123"/>
      <c r="M1724" s="1199" t="s">
        <v>244</v>
      </c>
      <c r="P1724" s="1200" t="s">
        <v>44</v>
      </c>
      <c r="Q1724" s="1479" t="s">
        <v>45</v>
      </c>
      <c r="R1724" s="1479" t="s">
        <v>46</v>
      </c>
      <c r="S1724" s="1479" t="s">
        <v>47</v>
      </c>
      <c r="T1724" s="1485" t="s">
        <v>48</v>
      </c>
    </row>
    <row r="1725" spans="1:20" hidden="1" outlineLevel="1" x14ac:dyDescent="0.35">
      <c r="A1725" s="1346" t="s">
        <v>346</v>
      </c>
      <c r="B1725" s="1347">
        <v>440</v>
      </c>
      <c r="C1725" s="1348">
        <v>40.450000000000003</v>
      </c>
      <c r="D1725" s="1349">
        <f t="shared" ref="D1725:D1730" si="330">C1725*B1725</f>
        <v>17798</v>
      </c>
      <c r="E1725" s="32"/>
      <c r="F1725" s="1486">
        <f t="shared" ref="F1725:F1730" si="331">D1725/$D$1616</f>
        <v>6.0608481502817911E-2</v>
      </c>
      <c r="G1725" s="1494">
        <v>99</v>
      </c>
      <c r="H1725" s="1488" t="s">
        <v>146</v>
      </c>
      <c r="J1725" s="3126" t="s">
        <v>362</v>
      </c>
      <c r="K1725" s="3120"/>
      <c r="L1725" s="3141"/>
      <c r="M1725" s="1489" t="str">
        <f t="shared" ref="M1725:M1730" si="332">A1725</f>
        <v>GO</v>
      </c>
      <c r="P1725" s="1200"/>
      <c r="Q1725" s="1508">
        <f>B1725*RIGHT(J1725,7)</f>
        <v>14476</v>
      </c>
      <c r="R1725" s="1491">
        <f t="shared" ref="R1725:R1730" si="333">D1725</f>
        <v>17798</v>
      </c>
      <c r="S1725" s="1491">
        <f t="shared" ref="S1725:S1730" si="334">R1725-Q1725</f>
        <v>3322</v>
      </c>
      <c r="T1725" s="1496">
        <f t="shared" ref="T1725:T1730" si="335">(R1725-Q1725)/Q1725</f>
        <v>0.22948328267477203</v>
      </c>
    </row>
    <row r="1726" spans="1:20" hidden="1" outlineLevel="1" x14ac:dyDescent="0.35">
      <c r="A1726" s="1361" t="s">
        <v>65</v>
      </c>
      <c r="B1726" s="1362">
        <v>350</v>
      </c>
      <c r="C1726" s="1363">
        <v>160.38</v>
      </c>
      <c r="D1726" s="1364">
        <f t="shared" si="330"/>
        <v>56133</v>
      </c>
      <c r="E1726" s="32"/>
      <c r="F1726" s="1486">
        <f t="shared" si="331"/>
        <v>0.19115270773107526</v>
      </c>
      <c r="G1726" s="1520">
        <v>158</v>
      </c>
      <c r="H1726" s="1521"/>
      <c r="J1726" s="3126" t="s">
        <v>359</v>
      </c>
      <c r="K1726" s="3120"/>
      <c r="L1726" s="3120"/>
      <c r="M1726" s="1489" t="str">
        <f t="shared" si="332"/>
        <v>VEEV</v>
      </c>
      <c r="P1726" s="1200"/>
      <c r="Q1726" s="1508">
        <f>B1726*RIGHT(J1726,6)</f>
        <v>56913.500000000007</v>
      </c>
      <c r="R1726" s="1491">
        <f t="shared" si="333"/>
        <v>56133</v>
      </c>
      <c r="S1726" s="1491">
        <f t="shared" si="334"/>
        <v>-780.50000000000728</v>
      </c>
      <c r="T1726" s="1496">
        <f t="shared" si="335"/>
        <v>-1.3713793739622535E-2</v>
      </c>
    </row>
    <row r="1727" spans="1:20" hidden="1" outlineLevel="1" x14ac:dyDescent="0.35">
      <c r="A1727" s="1346" t="s">
        <v>355</v>
      </c>
      <c r="B1727" s="1347">
        <v>326</v>
      </c>
      <c r="C1727" s="1348">
        <v>294.76</v>
      </c>
      <c r="D1727" s="1349">
        <f t="shared" si="330"/>
        <v>96091.76</v>
      </c>
      <c r="E1727" s="32"/>
      <c r="F1727" s="1486">
        <f t="shared" si="331"/>
        <v>0.32722641075026504</v>
      </c>
      <c r="G1727" s="1494">
        <v>32</v>
      </c>
      <c r="H1727" s="1488" t="s">
        <v>356</v>
      </c>
      <c r="J1727" s="3126" t="s">
        <v>372</v>
      </c>
      <c r="K1727" s="3120"/>
      <c r="L1727" s="3120"/>
      <c r="M1727" s="1489" t="str">
        <f t="shared" si="332"/>
        <v>COST</v>
      </c>
      <c r="P1727" s="1200"/>
      <c r="Q1727" s="1508">
        <f>B1727*RIGHT(J1727,6)</f>
        <v>89982.51999999999</v>
      </c>
      <c r="R1727" s="1491">
        <f t="shared" si="333"/>
        <v>96091.76</v>
      </c>
      <c r="S1727" s="1491">
        <f t="shared" si="334"/>
        <v>6109.2400000000052</v>
      </c>
      <c r="T1727" s="1496">
        <f t="shared" si="335"/>
        <v>6.7893630896311924E-2</v>
      </c>
    </row>
    <row r="1728" spans="1:20" hidden="1" outlineLevel="1" x14ac:dyDescent="0.35">
      <c r="A1728" s="1361" t="s">
        <v>307</v>
      </c>
      <c r="B1728" s="1362">
        <v>225</v>
      </c>
      <c r="C1728" s="1363">
        <v>261.83999999999997</v>
      </c>
      <c r="D1728" s="1364">
        <f t="shared" si="330"/>
        <v>58913.999999999993</v>
      </c>
      <c r="E1728" s="32"/>
      <c r="F1728" s="1486">
        <f t="shared" si="331"/>
        <v>0.20062299580048398</v>
      </c>
      <c r="G1728" s="1494"/>
      <c r="H1728" s="1488" t="s">
        <v>350</v>
      </c>
      <c r="J1728" s="3126" t="s">
        <v>351</v>
      </c>
      <c r="K1728" s="3120"/>
      <c r="L1728" s="3120"/>
      <c r="M1728" s="1489" t="str">
        <f t="shared" si="332"/>
        <v>NOW</v>
      </c>
      <c r="P1728" s="1200"/>
      <c r="Q1728" s="1508">
        <f>B1728*RIGHT(J1728,6)</f>
        <v>62347.500000000007</v>
      </c>
      <c r="R1728" s="1491">
        <f t="shared" si="333"/>
        <v>58913.999999999993</v>
      </c>
      <c r="S1728" s="1492">
        <f t="shared" si="334"/>
        <v>-3433.5000000000146</v>
      </c>
      <c r="T1728" s="1493">
        <f t="shared" si="335"/>
        <v>-5.5070371706965222E-2</v>
      </c>
    </row>
    <row r="1729" spans="1:20" hidden="1" outlineLevel="1" x14ac:dyDescent="0.35">
      <c r="A1729" s="1346" t="s">
        <v>329</v>
      </c>
      <c r="B1729" s="1347">
        <v>200</v>
      </c>
      <c r="C1729" s="1348">
        <v>81.28</v>
      </c>
      <c r="D1729" s="1349">
        <f t="shared" si="330"/>
        <v>16256</v>
      </c>
      <c r="E1729" s="32"/>
      <c r="F1729" s="1517">
        <f t="shared" si="331"/>
        <v>5.5357426413631193E-2</v>
      </c>
      <c r="G1729" s="1518"/>
      <c r="H1729" s="1519"/>
      <c r="J1729" s="3126" t="s">
        <v>366</v>
      </c>
      <c r="K1729" s="3120" t="s">
        <v>367</v>
      </c>
      <c r="L1729" s="3120"/>
      <c r="M1729" s="1199" t="str">
        <f t="shared" si="332"/>
        <v>CRWD</v>
      </c>
      <c r="P1729" s="1200"/>
      <c r="Q1729" s="1508">
        <f>B1729*RIGHT(J1729,6)</f>
        <v>19494</v>
      </c>
      <c r="R1729" s="1491">
        <f t="shared" si="333"/>
        <v>16256</v>
      </c>
      <c r="S1729" s="1492">
        <f t="shared" si="334"/>
        <v>-3238</v>
      </c>
      <c r="T1729" s="1493">
        <f t="shared" si="335"/>
        <v>-0.16610239047912179</v>
      </c>
    </row>
    <row r="1730" spans="1:20" hidden="1" outlineLevel="1" x14ac:dyDescent="0.35">
      <c r="A1730" s="1361" t="s">
        <v>315</v>
      </c>
      <c r="B1730" s="1362">
        <v>200</v>
      </c>
      <c r="C1730" s="1363">
        <v>21.1</v>
      </c>
      <c r="D1730" s="1364">
        <f t="shared" si="330"/>
        <v>4220</v>
      </c>
      <c r="E1730" s="32"/>
      <c r="F1730" s="1486">
        <f t="shared" si="331"/>
        <v>1.4370591748617349E-2</v>
      </c>
      <c r="G1730" s="1494"/>
      <c r="H1730" s="1488"/>
      <c r="J1730" s="3126" t="s">
        <v>349</v>
      </c>
      <c r="K1730" s="3120"/>
      <c r="L1730" s="3120"/>
      <c r="M1730" s="1489" t="str">
        <f t="shared" si="332"/>
        <v>LK</v>
      </c>
      <c r="P1730" s="1200"/>
      <c r="Q1730" s="1508">
        <f>B1730*RIGHT(J1730,6)</f>
        <v>3924</v>
      </c>
      <c r="R1730" s="1491">
        <f t="shared" si="333"/>
        <v>4220</v>
      </c>
      <c r="S1730" s="1524">
        <f t="shared" si="334"/>
        <v>296</v>
      </c>
      <c r="T1730" s="1525">
        <f t="shared" si="335"/>
        <v>7.5433231396534142E-2</v>
      </c>
    </row>
    <row r="1731" spans="1:20" hidden="1" outlineLevel="1" x14ac:dyDescent="0.35">
      <c r="A1731" s="1346"/>
      <c r="B1731" s="1347"/>
      <c r="C1731" s="1348"/>
      <c r="D1731" s="1349"/>
      <c r="E1731" s="32"/>
      <c r="F1731" s="1486"/>
      <c r="G1731" s="1494"/>
      <c r="H1731" s="1488"/>
      <c r="I1731" s="1514"/>
      <c r="J1731" s="3126"/>
      <c r="K1731" s="3120"/>
      <c r="L1731" s="3120"/>
      <c r="M1731" s="1489"/>
      <c r="P1731" s="1086"/>
      <c r="Q1731" s="1508"/>
      <c r="R1731" s="1491"/>
      <c r="S1731" s="1492"/>
      <c r="T1731" s="1493"/>
    </row>
    <row r="1732" spans="1:20" ht="16" hidden="1" outlineLevel="1" thickBot="1" x14ac:dyDescent="0.4">
      <c r="A1732" s="1361" t="s">
        <v>7</v>
      </c>
      <c r="B1732" s="1362"/>
      <c r="C1732" s="1363"/>
      <c r="D1732" s="1364">
        <v>1796.49</v>
      </c>
      <c r="E1732" s="32"/>
      <c r="F1732" s="1499">
        <f>D1732/D$1601</f>
        <v>6.2467859646577724E-3</v>
      </c>
      <c r="G1732" s="1418"/>
      <c r="H1732" s="1500"/>
      <c r="I1732" s="1501"/>
      <c r="J1732" s="1282"/>
      <c r="K1732" s="1462"/>
      <c r="L1732" s="1463"/>
      <c r="Q1732" s="1502">
        <f>SUM(Q1726:Q1731)</f>
        <v>232661.52</v>
      </c>
      <c r="R1732" s="1502">
        <f>SUM(R1726:R1731)</f>
        <v>231614.76</v>
      </c>
      <c r="S1732" s="1522">
        <f>SUM(S1726:S1731)</f>
        <v>-1046.7600000000166</v>
      </c>
    </row>
    <row r="1733" spans="1:20" ht="16" hidden="1" outlineLevel="1" thickBot="1" x14ac:dyDescent="0.4">
      <c r="A1733" s="1346" t="s">
        <v>60</v>
      </c>
      <c r="B1733" s="1347"/>
      <c r="C1733" s="1348"/>
      <c r="D1733" s="1349">
        <v>1770.71</v>
      </c>
      <c r="E1733" s="32"/>
      <c r="F1733" s="1503">
        <f>D1733/D$1554</f>
        <v>5.8373161986801951E-3</v>
      </c>
      <c r="G1733" s="1504"/>
      <c r="H1733" s="1505"/>
      <c r="I1733" s="1290">
        <f>SUM(I1731:I1732)</f>
        <v>0</v>
      </c>
      <c r="J1733" s="1468"/>
      <c r="K1733" s="1151"/>
      <c r="L1733" s="1469"/>
      <c r="R1733" s="1470" t="str">
        <f>IF(SUM(D1726:D1731)&lt;&gt;R1732,"Out of Balance","Balances")</f>
        <v>Balances</v>
      </c>
    </row>
    <row r="1734" spans="1:20" ht="19" hidden="1" outlineLevel="1" thickBot="1" x14ac:dyDescent="0.5">
      <c r="A1734" s="726" t="s">
        <v>62</v>
      </c>
      <c r="B1734" s="583"/>
      <c r="C1734" s="584"/>
      <c r="D1734" s="1230">
        <f>SUM(D1725:D1733)</f>
        <v>252979.96</v>
      </c>
      <c r="E1734" s="1526">
        <f>D1734-D1720</f>
        <v>3187.5199999999895</v>
      </c>
      <c r="F1734" s="1294">
        <f>(D1734-D1720)/D1720</f>
        <v>1.2760674422332354E-2</v>
      </c>
      <c r="G1734" s="679"/>
      <c r="H1734" s="1231"/>
      <c r="I1734" s="680"/>
    </row>
    <row r="1735" spans="1:20" hidden="1" outlineLevel="1" x14ac:dyDescent="0.35"/>
    <row r="1736" spans="1:20" hidden="1" outlineLevel="1" x14ac:dyDescent="0.35">
      <c r="A1736" s="701" t="s">
        <v>25</v>
      </c>
      <c r="B1736" s="702" t="s">
        <v>26</v>
      </c>
      <c r="C1736" s="703" t="s">
        <v>27</v>
      </c>
      <c r="D1736" s="704">
        <f>D1722+7</f>
        <v>43714</v>
      </c>
      <c r="E1736" s="705" t="s">
        <v>28</v>
      </c>
      <c r="F1736" s="3138" t="s">
        <v>343</v>
      </c>
      <c r="G1736" s="3139"/>
      <c r="H1736" s="3140"/>
      <c r="I1736" s="1182"/>
      <c r="J1736" s="1183" t="s">
        <v>233</v>
      </c>
    </row>
    <row r="1737" spans="1:20" ht="16" hidden="1" outlineLevel="1" thickBot="1" x14ac:dyDescent="0.4">
      <c r="A1737" s="706" t="s">
        <v>32</v>
      </c>
      <c r="B1737" s="255" t="str">
        <f ca="1">TEXT(TODAY(),"ddd")</f>
        <v>Sun</v>
      </c>
      <c r="C1737" s="256">
        <v>26803</v>
      </c>
      <c r="D1737" s="1516">
        <f>C1737-C1723</f>
        <v>400</v>
      </c>
      <c r="E1737" s="32">
        <f>(C1737-C1723)/C1723</f>
        <v>1.5149793584062416E-2</v>
      </c>
      <c r="F1737" s="3130"/>
      <c r="G1737" s="3131"/>
      <c r="H1737" s="3132"/>
      <c r="I1737" s="1187"/>
      <c r="J1737" s="1188" t="s">
        <v>234</v>
      </c>
      <c r="K1737" s="1220" t="s">
        <v>34</v>
      </c>
      <c r="L1737" s="111" t="s">
        <v>35</v>
      </c>
    </row>
    <row r="1738" spans="1:20" hidden="1" outlineLevel="1" x14ac:dyDescent="0.35">
      <c r="A1738" s="709" t="s">
        <v>36</v>
      </c>
      <c r="B1738" s="263"/>
      <c r="C1738" s="419">
        <v>8114</v>
      </c>
      <c r="D1738" s="1516">
        <f>C1738-C1724</f>
        <v>152</v>
      </c>
      <c r="E1738" s="32">
        <f>(C1738-C1724)/C1724</f>
        <v>1.909068073348405E-2</v>
      </c>
      <c r="F1738" s="1128" t="s">
        <v>37</v>
      </c>
      <c r="G1738" s="1518" t="s">
        <v>38</v>
      </c>
      <c r="H1738" s="1519" t="s">
        <v>144</v>
      </c>
      <c r="J1738" s="3137" t="s">
        <v>42</v>
      </c>
      <c r="K1738" s="3122"/>
      <c r="L1738" s="3123"/>
      <c r="M1738" s="1199" t="s">
        <v>244</v>
      </c>
      <c r="P1738" s="1200" t="s">
        <v>44</v>
      </c>
      <c r="Q1738" s="1479" t="s">
        <v>45</v>
      </c>
      <c r="R1738" s="1479" t="s">
        <v>46</v>
      </c>
      <c r="S1738" s="1479" t="s">
        <v>47</v>
      </c>
      <c r="T1738" s="1485" t="s">
        <v>48</v>
      </c>
    </row>
    <row r="1739" spans="1:20" hidden="1" outlineLevel="1" x14ac:dyDescent="0.35">
      <c r="A1739" s="1361" t="s">
        <v>373</v>
      </c>
      <c r="B1739" s="1362">
        <v>520</v>
      </c>
      <c r="C1739" s="1363">
        <v>298.05</v>
      </c>
      <c r="D1739" s="1364">
        <f>C1739*B1739</f>
        <v>154986</v>
      </c>
      <c r="E1739" s="32"/>
      <c r="F1739" s="1486">
        <f>D1739/$D$1616</f>
        <v>0.5277821167656892</v>
      </c>
      <c r="G1739" s="1520"/>
      <c r="H1739" s="1521"/>
      <c r="J1739" s="3126" t="s">
        <v>374</v>
      </c>
      <c r="K1739" s="3120"/>
      <c r="L1739" s="3141"/>
      <c r="M1739" s="1489" t="str">
        <f>A1739</f>
        <v>SPY</v>
      </c>
      <c r="P1739" s="1200"/>
      <c r="Q1739" s="1508">
        <f>B1739*RIGHT(J1739,6)</f>
        <v>154783.20000000001</v>
      </c>
      <c r="R1739" s="1491">
        <f>D1739</f>
        <v>154986</v>
      </c>
      <c r="S1739" s="1491">
        <f>R1739-Q1739</f>
        <v>202.79999999998836</v>
      </c>
      <c r="T1739" s="1496">
        <f>(R1739-Q1739)/Q1739</f>
        <v>1.3102197137673103E-3</v>
      </c>
    </row>
    <row r="1740" spans="1:20" hidden="1" outlineLevel="1" x14ac:dyDescent="0.35">
      <c r="A1740" s="1346" t="s">
        <v>355</v>
      </c>
      <c r="B1740" s="1347">
        <v>326</v>
      </c>
      <c r="C1740" s="1348">
        <v>303.76</v>
      </c>
      <c r="D1740" s="1349">
        <f>C1740*B1740</f>
        <v>99025.76</v>
      </c>
      <c r="E1740" s="32"/>
      <c r="F1740" s="1486">
        <f>D1740/$D$1616</f>
        <v>0.33721771790439853</v>
      </c>
      <c r="G1740" s="1494">
        <v>32</v>
      </c>
      <c r="H1740" s="1488" t="s">
        <v>356</v>
      </c>
      <c r="J1740" s="3126" t="s">
        <v>372</v>
      </c>
      <c r="K1740" s="3120"/>
      <c r="L1740" s="3120"/>
      <c r="M1740" s="1489" t="str">
        <f>A1740</f>
        <v>COST</v>
      </c>
      <c r="P1740" s="1200"/>
      <c r="Q1740" s="1508">
        <f>B1740*RIGHT(J1740,6)</f>
        <v>89982.51999999999</v>
      </c>
      <c r="R1740" s="1491">
        <f>D1740</f>
        <v>99025.76</v>
      </c>
      <c r="S1740" s="1491">
        <f>R1740-Q1740</f>
        <v>9043.2400000000052</v>
      </c>
      <c r="T1740" s="1496">
        <f>(R1740-Q1740)/Q1740</f>
        <v>0.10049996377074132</v>
      </c>
    </row>
    <row r="1741" spans="1:20" hidden="1" outlineLevel="1" x14ac:dyDescent="0.35">
      <c r="A1741" s="1346" t="s">
        <v>375</v>
      </c>
      <c r="B1741" s="1347">
        <v>300</v>
      </c>
      <c r="C1741" s="1348">
        <v>291</v>
      </c>
      <c r="D1741" s="1349"/>
      <c r="E1741" s="32"/>
      <c r="F1741" s="1486"/>
      <c r="G1741" s="1494"/>
      <c r="H1741" s="1488"/>
      <c r="J1741" s="1511"/>
      <c r="K1741" s="1512"/>
      <c r="L1741" s="1512"/>
      <c r="M1741" s="1489"/>
      <c r="P1741" s="1200"/>
      <c r="Q1741" s="1508"/>
      <c r="R1741" s="1491"/>
      <c r="S1741" s="1491"/>
      <c r="T1741" s="1496"/>
    </row>
    <row r="1742" spans="1:20" hidden="1" outlineLevel="1" x14ac:dyDescent="0.35">
      <c r="A1742" s="1527" t="s">
        <v>376</v>
      </c>
      <c r="B1742" s="1347"/>
      <c r="C1742" s="1348"/>
      <c r="D1742" s="1349"/>
      <c r="E1742" s="32"/>
      <c r="F1742" s="1486"/>
      <c r="G1742" s="1494"/>
      <c r="H1742" s="1488"/>
      <c r="I1742" s="1514"/>
      <c r="J1742" s="3126"/>
      <c r="K1742" s="3120"/>
      <c r="L1742" s="3120"/>
      <c r="M1742" s="1489"/>
      <c r="P1742" s="1086"/>
      <c r="Q1742" s="1508"/>
      <c r="R1742" s="1491"/>
      <c r="S1742" s="1492"/>
      <c r="T1742" s="1493"/>
    </row>
    <row r="1743" spans="1:20" ht="16" hidden="1" outlineLevel="1" thickBot="1" x14ac:dyDescent="0.4">
      <c r="A1743" s="1361" t="s">
        <v>7</v>
      </c>
      <c r="B1743" s="1362"/>
      <c r="C1743" s="1363"/>
      <c r="D1743" s="1364">
        <v>1837.64</v>
      </c>
      <c r="E1743" s="32"/>
      <c r="F1743" s="1499">
        <f>D1743/D$1601</f>
        <v>6.3898734532859677E-3</v>
      </c>
      <c r="G1743" s="1418"/>
      <c r="H1743" s="1500"/>
      <c r="I1743" s="1501"/>
      <c r="J1743" s="1282" t="s">
        <v>377</v>
      </c>
      <c r="K1743" s="1462"/>
      <c r="L1743" s="1463"/>
      <c r="Q1743" s="1502">
        <f>SUM(Q1739:Q1742)</f>
        <v>244765.72</v>
      </c>
      <c r="R1743" s="1502">
        <f>SUM(R1739:R1742)</f>
        <v>254011.76</v>
      </c>
      <c r="S1743" s="1502">
        <f>SUM(S1739:S1742)</f>
        <v>9246.0399999999936</v>
      </c>
    </row>
    <row r="1744" spans="1:20" ht="16" hidden="1" outlineLevel="1" thickBot="1" x14ac:dyDescent="0.4">
      <c r="A1744" s="1346" t="s">
        <v>60</v>
      </c>
      <c r="B1744" s="1347"/>
      <c r="C1744" s="1348"/>
      <c r="D1744" s="1349">
        <v>470.22</v>
      </c>
      <c r="E1744" s="32"/>
      <c r="F1744" s="1503">
        <f>D1744/D$1554</f>
        <v>1.5501255558185143E-3</v>
      </c>
      <c r="G1744" s="1504"/>
      <c r="H1744" s="1505"/>
      <c r="I1744" s="1290">
        <f>SUM(I1742:I1743)</f>
        <v>0</v>
      </c>
      <c r="J1744" s="1468"/>
      <c r="K1744" s="1151"/>
      <c r="L1744" s="1469"/>
      <c r="R1744" s="1470" t="str">
        <f>IF(SUM(D1739:D1742)&lt;&gt;R1743,"Out of Balance","Balances")</f>
        <v>Balances</v>
      </c>
    </row>
    <row r="1745" spans="1:20" ht="19" hidden="1" outlineLevel="1" thickBot="1" x14ac:dyDescent="0.5">
      <c r="A1745" s="726" t="s">
        <v>62</v>
      </c>
      <c r="B1745" s="583"/>
      <c r="C1745" s="584"/>
      <c r="D1745" s="1230">
        <f>SUM(D1739:D1744)</f>
        <v>256319.62000000002</v>
      </c>
      <c r="E1745" s="1526">
        <f>D1745-D1734</f>
        <v>3339.6600000000326</v>
      </c>
      <c r="F1745" s="1294">
        <f>(D1745-D1734)/D1734</f>
        <v>1.3201282820979309E-2</v>
      </c>
      <c r="G1745" s="679"/>
      <c r="H1745" s="1231"/>
      <c r="I1745" s="680"/>
    </row>
    <row r="1746" spans="1:20" hidden="1" outlineLevel="1" x14ac:dyDescent="0.35"/>
    <row r="1747" spans="1:20" hidden="1" outlineLevel="1" x14ac:dyDescent="0.35">
      <c r="A1747" s="701" t="s">
        <v>25</v>
      </c>
      <c r="B1747" s="702" t="s">
        <v>26</v>
      </c>
      <c r="C1747" s="703" t="s">
        <v>27</v>
      </c>
      <c r="D1747" s="704">
        <f>D1736+7</f>
        <v>43721</v>
      </c>
      <c r="E1747" s="705" t="s">
        <v>28</v>
      </c>
      <c r="F1747" s="3138" t="s">
        <v>343</v>
      </c>
      <c r="G1747" s="3139"/>
      <c r="H1747" s="3140"/>
      <c r="I1747" s="1182"/>
      <c r="J1747" s="1183" t="s">
        <v>233</v>
      </c>
    </row>
    <row r="1748" spans="1:20" ht="16" hidden="1" outlineLevel="1" thickBot="1" x14ac:dyDescent="0.4">
      <c r="A1748" s="706" t="s">
        <v>32</v>
      </c>
      <c r="B1748" s="255" t="str">
        <f ca="1">TEXT(TODAY(),"ddd")</f>
        <v>Sun</v>
      </c>
      <c r="C1748" s="256">
        <v>27219</v>
      </c>
      <c r="D1748" s="1516">
        <f>C1748-C1737</f>
        <v>416</v>
      </c>
      <c r="E1748" s="32">
        <f>(C1748-C1737)/C1737</f>
        <v>1.5520650673432078E-2</v>
      </c>
      <c r="F1748" s="3130"/>
      <c r="G1748" s="3131"/>
      <c r="H1748" s="3132"/>
      <c r="I1748" s="1187"/>
      <c r="J1748" s="1188" t="s">
        <v>234</v>
      </c>
      <c r="K1748" s="1220" t="s">
        <v>34</v>
      </c>
      <c r="L1748" s="111" t="s">
        <v>35</v>
      </c>
    </row>
    <row r="1749" spans="1:20" hidden="1" outlineLevel="1" x14ac:dyDescent="0.35">
      <c r="A1749" s="709" t="s">
        <v>36</v>
      </c>
      <c r="B1749" s="263"/>
      <c r="C1749" s="419">
        <v>8176</v>
      </c>
      <c r="D1749" s="1516">
        <f>C1749-C1738</f>
        <v>62</v>
      </c>
      <c r="E1749" s="32">
        <f>(C1749-C1738)/C1738</f>
        <v>7.6411141237367509E-3</v>
      </c>
      <c r="F1749" s="1128" t="s">
        <v>37</v>
      </c>
      <c r="G1749" s="1518" t="s">
        <v>38</v>
      </c>
      <c r="H1749" s="1519" t="s">
        <v>144</v>
      </c>
      <c r="J1749" s="3137" t="s">
        <v>42</v>
      </c>
      <c r="K1749" s="3122"/>
      <c r="L1749" s="3123"/>
      <c r="M1749" s="1199" t="s">
        <v>244</v>
      </c>
      <c r="P1749" s="1200" t="s">
        <v>44</v>
      </c>
      <c r="Q1749" s="1479" t="s">
        <v>45</v>
      </c>
      <c r="R1749" s="1479" t="s">
        <v>46</v>
      </c>
      <c r="S1749" s="1479" t="s">
        <v>47</v>
      </c>
      <c r="T1749" s="1485" t="s">
        <v>48</v>
      </c>
    </row>
    <row r="1750" spans="1:20" hidden="1" outlineLevel="1" x14ac:dyDescent="0.35">
      <c r="A1750" s="1361" t="s">
        <v>373</v>
      </c>
      <c r="B1750" s="1362">
        <v>220</v>
      </c>
      <c r="C1750" s="1363">
        <v>301.08999999999997</v>
      </c>
      <c r="D1750" s="1364">
        <f>C1750*B1750</f>
        <v>66239.799999999988</v>
      </c>
      <c r="E1750" s="32">
        <f>(C1750-C1739)/C1739</f>
        <v>1.0199630934406857E-2</v>
      </c>
      <c r="F1750" s="1486">
        <f>D1750/$D$1616</f>
        <v>0.2255699344336643</v>
      </c>
      <c r="G1750" s="1520"/>
      <c r="H1750" s="1521"/>
      <c r="J1750" s="3126" t="s">
        <v>374</v>
      </c>
      <c r="K1750" s="3120"/>
      <c r="L1750" s="3141"/>
      <c r="M1750" s="1489" t="str">
        <f>A1750</f>
        <v>SPY</v>
      </c>
      <c r="P1750" s="1200"/>
      <c r="Q1750" s="1508">
        <f>B1750*RIGHT(J1750,6)</f>
        <v>65485.200000000004</v>
      </c>
      <c r="R1750" s="1491">
        <f>D1750</f>
        <v>66239.799999999988</v>
      </c>
      <c r="S1750" s="1491">
        <f>R1750-Q1750</f>
        <v>754.59999999998399</v>
      </c>
      <c r="T1750" s="1496">
        <f>(R1750-Q1750)/Q1750</f>
        <v>1.1523214405697531E-2</v>
      </c>
    </row>
    <row r="1751" spans="1:20" hidden="1" outlineLevel="1" x14ac:dyDescent="0.35">
      <c r="A1751" s="1346" t="s">
        <v>355</v>
      </c>
      <c r="B1751" s="1347">
        <v>326.72399999999999</v>
      </c>
      <c r="C1751" s="1348">
        <v>291.89999999999998</v>
      </c>
      <c r="D1751" s="1349">
        <f>C1751*B1751</f>
        <v>95370.735599999985</v>
      </c>
      <c r="E1751" s="32">
        <f>(C1751-C1740)/C1740</f>
        <v>-3.904398209112462E-2</v>
      </c>
      <c r="F1751" s="1486">
        <f>D1751/$D$1616</f>
        <v>0.32477106778979303</v>
      </c>
      <c r="G1751" s="1494">
        <v>32</v>
      </c>
      <c r="H1751" s="1488" t="s">
        <v>356</v>
      </c>
      <c r="J1751" s="3126" t="s">
        <v>372</v>
      </c>
      <c r="K1751" s="3120"/>
      <c r="L1751" s="3120"/>
      <c r="M1751" s="1489" t="str">
        <f>A1751</f>
        <v>COST</v>
      </c>
      <c r="P1751" s="1200"/>
      <c r="Q1751" s="1508">
        <f>B1751*RIGHT(J1751,6)</f>
        <v>90182.358479999995</v>
      </c>
      <c r="R1751" s="1491">
        <f>D1751</f>
        <v>95370.735599999985</v>
      </c>
      <c r="S1751" s="1491">
        <f>R1751-Q1751</f>
        <v>5188.3771199999901</v>
      </c>
      <c r="T1751" s="1496">
        <f>(R1751-Q1751)/Q1751</f>
        <v>5.7532062893993083E-2</v>
      </c>
    </row>
    <row r="1752" spans="1:20" hidden="1" outlineLevel="1" x14ac:dyDescent="0.35">
      <c r="A1752" s="1346" t="s">
        <v>375</v>
      </c>
      <c r="B1752" s="1347">
        <v>300</v>
      </c>
      <c r="C1752" s="1348">
        <v>276.32</v>
      </c>
      <c r="D1752" s="1349">
        <f>C1752*B1752</f>
        <v>82896</v>
      </c>
      <c r="E1752" s="32">
        <f>(C1752-C1741)/C1741</f>
        <v>-5.0446735395189027E-2</v>
      </c>
      <c r="F1752" s="1486"/>
      <c r="G1752" s="1494"/>
      <c r="H1752" s="1488"/>
      <c r="J1752" s="3126" t="s">
        <v>378</v>
      </c>
      <c r="K1752" s="3120"/>
      <c r="L1752" s="3120"/>
      <c r="M1752" s="1489" t="str">
        <f>A1752</f>
        <v>MA</v>
      </c>
      <c r="P1752" s="1200"/>
      <c r="Q1752" s="1508">
        <f>B1752*RIGHT(J1752,6)</f>
        <v>87117</v>
      </c>
      <c r="R1752" s="1491">
        <f>D1752</f>
        <v>82896</v>
      </c>
      <c r="S1752" s="1492">
        <f>R1752-Q1752</f>
        <v>-4221</v>
      </c>
      <c r="T1752" s="1493">
        <f>(R1752-Q1752)/Q1752</f>
        <v>-4.8452081683253559E-2</v>
      </c>
    </row>
    <row r="1753" spans="1:20" hidden="1" outlineLevel="1" x14ac:dyDescent="0.35">
      <c r="A1753" s="1527" t="s">
        <v>376</v>
      </c>
      <c r="B1753" s="1347"/>
      <c r="C1753" s="1348"/>
      <c r="D1753" s="1349"/>
      <c r="E1753" s="32"/>
      <c r="F1753" s="1486"/>
      <c r="G1753" s="1494"/>
      <c r="H1753" s="1488"/>
      <c r="I1753" s="1514"/>
      <c r="J1753" s="3126"/>
      <c r="K1753" s="3120"/>
      <c r="L1753" s="3120"/>
      <c r="M1753" s="1489"/>
      <c r="P1753" s="1086"/>
      <c r="Q1753" s="1508"/>
      <c r="R1753" s="1491"/>
      <c r="S1753" s="1492"/>
      <c r="T1753" s="1493"/>
    </row>
    <row r="1754" spans="1:20" ht="16" hidden="1" outlineLevel="1" thickBot="1" x14ac:dyDescent="0.4">
      <c r="A1754" s="1361" t="s">
        <v>7</v>
      </c>
      <c r="B1754" s="1362"/>
      <c r="C1754" s="1363"/>
      <c r="D1754" s="1364">
        <v>1838.46</v>
      </c>
      <c r="E1754" s="32"/>
      <c r="F1754" s="1499">
        <f>D1754/D$1601</f>
        <v>6.3927247714068696E-3</v>
      </c>
      <c r="G1754" s="1418"/>
      <c r="H1754" s="1500"/>
      <c r="I1754" s="1501"/>
      <c r="J1754" s="1282" t="s">
        <v>377</v>
      </c>
      <c r="K1754" s="1462"/>
      <c r="L1754" s="1463"/>
      <c r="Q1754" s="1502">
        <f>SUM(Q1750:Q1753)</f>
        <v>242784.55848000001</v>
      </c>
      <c r="R1754" s="1502">
        <f>SUM(R1750:R1753)</f>
        <v>244506.53559999997</v>
      </c>
      <c r="S1754" s="1522">
        <f>SUM(S1750:S1753)</f>
        <v>1721.9771199999741</v>
      </c>
    </row>
    <row r="1755" spans="1:20" ht="16" hidden="1" outlineLevel="1" thickBot="1" x14ac:dyDescent="0.4">
      <c r="A1755" s="1346" t="s">
        <v>60</v>
      </c>
      <c r="B1755" s="1347"/>
      <c r="C1755" s="1348"/>
      <c r="D1755" s="1349">
        <v>122.49</v>
      </c>
      <c r="E1755" s="32"/>
      <c r="F1755" s="1503">
        <f>D1755/D$1554</f>
        <v>4.0380009215305559E-4</v>
      </c>
      <c r="G1755" s="1504"/>
      <c r="H1755" s="1505"/>
      <c r="I1755" s="1290">
        <f>SUM(I1753:I1754)</f>
        <v>0</v>
      </c>
      <c r="J1755" s="1468"/>
      <c r="K1755" s="1151"/>
      <c r="L1755" s="1469"/>
      <c r="R1755" s="1470" t="str">
        <f>IF(SUM(D1750:D1753)&lt;&gt;R1754,"Out of Balance","Balances")</f>
        <v>Balances</v>
      </c>
    </row>
    <row r="1756" spans="1:20" ht="19" hidden="1" outlineLevel="1" thickBot="1" x14ac:dyDescent="0.5">
      <c r="A1756" s="726" t="s">
        <v>62</v>
      </c>
      <c r="B1756" s="583"/>
      <c r="C1756" s="584"/>
      <c r="D1756" s="1230">
        <f>SUM(D1750:D1755)</f>
        <v>246467.48559999996</v>
      </c>
      <c r="E1756" s="1483">
        <f>D1756-D1745</f>
        <v>-9852.1344000000681</v>
      </c>
      <c r="F1756" s="1180">
        <f>(D1756-D1745)/D1745</f>
        <v>-3.843691091614472E-2</v>
      </c>
      <c r="G1756" s="679"/>
      <c r="H1756" s="1231"/>
      <c r="I1756" s="680"/>
    </row>
    <row r="1757" spans="1:20" hidden="1" outlineLevel="1" x14ac:dyDescent="0.35"/>
    <row r="1758" spans="1:20" hidden="1" outlineLevel="1" x14ac:dyDescent="0.35">
      <c r="A1758" s="701" t="s">
        <v>25</v>
      </c>
      <c r="B1758" s="702" t="s">
        <v>26</v>
      </c>
      <c r="C1758" s="703" t="s">
        <v>27</v>
      </c>
      <c r="D1758" s="704">
        <v>43743</v>
      </c>
      <c r="E1758" s="705" t="s">
        <v>28</v>
      </c>
      <c r="F1758" s="3138" t="s">
        <v>343</v>
      </c>
      <c r="G1758" s="3139"/>
      <c r="H1758" s="3140"/>
      <c r="I1758" s="1182"/>
      <c r="J1758" s="1183" t="s">
        <v>233</v>
      </c>
    </row>
    <row r="1759" spans="1:20" ht="16" hidden="1" outlineLevel="1" thickBot="1" x14ac:dyDescent="0.4">
      <c r="A1759" s="706" t="s">
        <v>32</v>
      </c>
      <c r="B1759" s="255" t="str">
        <f ca="1">TEXT(TODAY(),"ddd")</f>
        <v>Sun</v>
      </c>
      <c r="C1759" s="256">
        <v>26573</v>
      </c>
      <c r="D1759" s="1516">
        <f>C1759-C1748</f>
        <v>-646</v>
      </c>
      <c r="E1759" s="32">
        <f>(C1759-C1748)/C1748</f>
        <v>-2.3733421507035526E-2</v>
      </c>
      <c r="F1759" s="3130"/>
      <c r="G1759" s="3131"/>
      <c r="H1759" s="3132"/>
      <c r="I1759" s="1187"/>
      <c r="J1759" s="1188" t="s">
        <v>234</v>
      </c>
      <c r="K1759" s="1220" t="s">
        <v>34</v>
      </c>
      <c r="L1759" s="111" t="s">
        <v>35</v>
      </c>
    </row>
    <row r="1760" spans="1:20" hidden="1" outlineLevel="1" x14ac:dyDescent="0.35">
      <c r="A1760" s="709" t="s">
        <v>36</v>
      </c>
      <c r="B1760" s="263"/>
      <c r="C1760" s="419">
        <v>7982</v>
      </c>
      <c r="D1760" s="1516">
        <f>C1760-C1749</f>
        <v>-194</v>
      </c>
      <c r="E1760" s="32">
        <f>(C1760-C1749)/C1749</f>
        <v>-2.3727984344422699E-2</v>
      </c>
      <c r="F1760" s="1128" t="s">
        <v>37</v>
      </c>
      <c r="G1760" s="1518" t="s">
        <v>38</v>
      </c>
      <c r="H1760" s="1519" t="s">
        <v>144</v>
      </c>
      <c r="J1760" s="3137" t="s">
        <v>42</v>
      </c>
      <c r="K1760" s="3122"/>
      <c r="L1760" s="3123"/>
      <c r="M1760" s="1199" t="s">
        <v>244</v>
      </c>
      <c r="P1760" s="1200" t="s">
        <v>44</v>
      </c>
      <c r="Q1760" s="1479" t="s">
        <v>45</v>
      </c>
      <c r="R1760" s="1479" t="s">
        <v>46</v>
      </c>
      <c r="S1760" s="1479" t="s">
        <v>47</v>
      </c>
      <c r="T1760" s="1485" t="s">
        <v>48</v>
      </c>
    </row>
    <row r="1761" spans="1:20" hidden="1" outlineLevel="1" x14ac:dyDescent="0.35">
      <c r="A1761" s="1361" t="s">
        <v>373</v>
      </c>
      <c r="B1761" s="1362">
        <v>220</v>
      </c>
      <c r="C1761" s="1363">
        <v>294.3</v>
      </c>
      <c r="D1761" s="1364">
        <f>C1761*B1761</f>
        <v>64746</v>
      </c>
      <c r="E1761" s="32">
        <f>(C1761-C1750)/C1750</f>
        <v>-2.2551396592380896E-2</v>
      </c>
      <c r="F1761" s="1486">
        <f>D1761/$D$1616</f>
        <v>0.22048301738293338</v>
      </c>
      <c r="G1761" s="1520"/>
      <c r="H1761" s="1521"/>
      <c r="J1761" s="3126" t="s">
        <v>374</v>
      </c>
      <c r="K1761" s="3120"/>
      <c r="L1761" s="3141"/>
      <c r="M1761" s="1489" t="str">
        <f>A1761</f>
        <v>SPY</v>
      </c>
      <c r="P1761" s="1200"/>
      <c r="Q1761" s="1508">
        <f>B1761*RIGHT(J1761,6)</f>
        <v>65485.200000000004</v>
      </c>
      <c r="R1761" s="1491">
        <f>D1761</f>
        <v>64746</v>
      </c>
      <c r="S1761" s="1491">
        <f>R1761-Q1761</f>
        <v>-739.20000000000437</v>
      </c>
      <c r="T1761" s="1496">
        <f>(R1761-Q1761)/Q1761</f>
        <v>-1.1288046764765235E-2</v>
      </c>
    </row>
    <row r="1762" spans="1:20" hidden="1" outlineLevel="1" x14ac:dyDescent="0.35">
      <c r="A1762" s="1346" t="s">
        <v>355</v>
      </c>
      <c r="B1762" s="1347">
        <v>326</v>
      </c>
      <c r="C1762" s="1348">
        <v>291.67</v>
      </c>
      <c r="D1762" s="1349">
        <f>C1762*B1762</f>
        <v>95084.42</v>
      </c>
      <c r="E1762" s="32">
        <f>(C1762-C1751)/C1751</f>
        <v>-7.8794107571072752E-4</v>
      </c>
      <c r="F1762" s="1486">
        <f>D1762/$D$1616</f>
        <v>0.32379606196067923</v>
      </c>
      <c r="G1762" s="1494">
        <v>32</v>
      </c>
      <c r="H1762" s="1488" t="s">
        <v>356</v>
      </c>
      <c r="J1762" s="3126" t="s">
        <v>372</v>
      </c>
      <c r="K1762" s="3120"/>
      <c r="L1762" s="3120"/>
      <c r="M1762" s="1489" t="str">
        <f>A1762</f>
        <v>COST</v>
      </c>
      <c r="P1762" s="1200"/>
      <c r="Q1762" s="1508">
        <f>B1762*RIGHT(J1762,6)</f>
        <v>89982.51999999999</v>
      </c>
      <c r="R1762" s="1491">
        <f>D1762</f>
        <v>95084.42</v>
      </c>
      <c r="S1762" s="1491">
        <f>R1762-Q1762</f>
        <v>5101.9000000000087</v>
      </c>
      <c r="T1762" s="1496">
        <f>(R1762-Q1762)/Q1762</f>
        <v>5.6698789942757878E-2</v>
      </c>
    </row>
    <row r="1763" spans="1:20" hidden="1" outlineLevel="1" x14ac:dyDescent="0.35">
      <c r="A1763" s="1346" t="s">
        <v>375</v>
      </c>
      <c r="B1763" s="1347">
        <v>300</v>
      </c>
      <c r="C1763" s="1348">
        <v>274.06</v>
      </c>
      <c r="D1763" s="1349">
        <f>C1763*B1763</f>
        <v>82218</v>
      </c>
      <c r="E1763" s="32">
        <f>(C1763-C1752)/C1752</f>
        <v>-8.1789229878401534E-3</v>
      </c>
      <c r="F1763" s="1486"/>
      <c r="G1763" s="1494"/>
      <c r="H1763" s="1488"/>
      <c r="J1763" s="3126" t="s">
        <v>378</v>
      </c>
      <c r="K1763" s="3120"/>
      <c r="L1763" s="3120"/>
      <c r="M1763" s="1489" t="str">
        <f>A1763</f>
        <v>MA</v>
      </c>
      <c r="P1763" s="1200"/>
      <c r="Q1763" s="1508">
        <f>B1763*RIGHT(J1763,6)</f>
        <v>87117</v>
      </c>
      <c r="R1763" s="1491">
        <f>D1763</f>
        <v>82218</v>
      </c>
      <c r="S1763" s="1492">
        <f>R1763-Q1763</f>
        <v>-4899</v>
      </c>
      <c r="T1763" s="1493">
        <f>(R1763-Q1763)/Q1763</f>
        <v>-5.623471882640587E-2</v>
      </c>
    </row>
    <row r="1764" spans="1:20" hidden="1" outlineLevel="1" x14ac:dyDescent="0.35">
      <c r="A1764" s="1527" t="s">
        <v>376</v>
      </c>
      <c r="B1764" s="1347"/>
      <c r="C1764" s="1348"/>
      <c r="D1764" s="1349"/>
      <c r="E1764" s="32"/>
      <c r="F1764" s="1486"/>
      <c r="G1764" s="1494"/>
      <c r="H1764" s="1488"/>
      <c r="I1764" s="1514"/>
      <c r="J1764" s="3126"/>
      <c r="K1764" s="3120"/>
      <c r="L1764" s="3120"/>
      <c r="M1764" s="1489"/>
      <c r="P1764" s="1086"/>
      <c r="Q1764" s="1508"/>
      <c r="R1764" s="1491"/>
      <c r="S1764" s="1492"/>
      <c r="T1764" s="1493"/>
    </row>
    <row r="1765" spans="1:20" ht="16" hidden="1" outlineLevel="1" thickBot="1" x14ac:dyDescent="0.4">
      <c r="A1765" s="1361" t="s">
        <v>7</v>
      </c>
      <c r="B1765" s="1362"/>
      <c r="C1765" s="1363"/>
      <c r="D1765" s="1364">
        <v>1796.49</v>
      </c>
      <c r="E1765" s="32"/>
      <c r="F1765" s="1499">
        <f>D1765/D$1601</f>
        <v>6.2467859646577724E-3</v>
      </c>
      <c r="G1765" s="1418"/>
      <c r="H1765" s="1500"/>
      <c r="I1765" s="1501"/>
      <c r="J1765" s="1282" t="s">
        <v>377</v>
      </c>
      <c r="K1765" s="1462"/>
      <c r="L1765" s="1463"/>
      <c r="Q1765" s="1502">
        <f>SUM(Q1761:Q1764)</f>
        <v>242584.72</v>
      </c>
      <c r="R1765" s="1502">
        <f>SUM(R1761:R1764)</f>
        <v>242048.41999999998</v>
      </c>
      <c r="S1765" s="1522">
        <f>SUM(S1761:S1764)</f>
        <v>-536.29999999999563</v>
      </c>
    </row>
    <row r="1766" spans="1:20" ht="16" hidden="1" outlineLevel="1" thickBot="1" x14ac:dyDescent="0.4">
      <c r="A1766" s="1346" t="s">
        <v>60</v>
      </c>
      <c r="B1766" s="1347"/>
      <c r="C1766" s="1348"/>
      <c r="D1766" s="1349">
        <v>470.22</v>
      </c>
      <c r="E1766" s="32"/>
      <c r="F1766" s="1503">
        <f>D1766/D$1554</f>
        <v>1.5501255558185143E-3</v>
      </c>
      <c r="G1766" s="1504"/>
      <c r="H1766" s="1505"/>
      <c r="I1766" s="1290">
        <f>SUM(I1764:I1765)</f>
        <v>0</v>
      </c>
      <c r="J1766" s="1468"/>
      <c r="K1766" s="1151"/>
      <c r="L1766" s="1469"/>
      <c r="R1766" s="1470" t="str">
        <f>IF(SUM(D1761:D1764)&lt;&gt;R1765,"Out of Balance","Balances")</f>
        <v>Balances</v>
      </c>
    </row>
    <row r="1767" spans="1:20" ht="19" hidden="1" outlineLevel="1" thickBot="1" x14ac:dyDescent="0.5">
      <c r="A1767" s="726" t="s">
        <v>62</v>
      </c>
      <c r="B1767" s="583"/>
      <c r="C1767" s="584"/>
      <c r="D1767" s="1230">
        <f>SUM(D1761:D1766)</f>
        <v>244315.12999999998</v>
      </c>
      <c r="E1767" s="1483">
        <f>D1767-D1756</f>
        <v>-2152.3555999999808</v>
      </c>
      <c r="F1767" s="1180">
        <f>(D1767-D1756)/D1756</f>
        <v>-8.7328176159232138E-3</v>
      </c>
      <c r="G1767" s="679"/>
      <c r="H1767" s="1231"/>
      <c r="I1767" s="680"/>
    </row>
    <row r="1768" spans="1:20" hidden="1" outlineLevel="1" x14ac:dyDescent="0.35"/>
    <row r="1769" spans="1:20" hidden="1" outlineLevel="1" x14ac:dyDescent="0.35">
      <c r="A1769" s="701" t="s">
        <v>25</v>
      </c>
      <c r="B1769" s="702" t="s">
        <v>26</v>
      </c>
      <c r="C1769" s="703" t="s">
        <v>27</v>
      </c>
      <c r="D1769" s="704">
        <f>D1758+7</f>
        <v>43750</v>
      </c>
      <c r="E1769" s="705" t="s">
        <v>28</v>
      </c>
      <c r="F1769" s="3138" t="s">
        <v>343</v>
      </c>
      <c r="G1769" s="3139"/>
      <c r="H1769" s="3140"/>
      <c r="I1769" s="1182"/>
      <c r="J1769" s="1183" t="s">
        <v>233</v>
      </c>
    </row>
    <row r="1770" spans="1:20" ht="16" hidden="1" outlineLevel="1" thickBot="1" x14ac:dyDescent="0.4">
      <c r="A1770" s="706" t="s">
        <v>32</v>
      </c>
      <c r="B1770" s="255" t="str">
        <f ca="1">TEXT(TODAY(),"ddd")</f>
        <v>Sun</v>
      </c>
      <c r="C1770" s="256">
        <v>27137</v>
      </c>
      <c r="D1770" s="1516">
        <f>C1770-C1759</f>
        <v>564</v>
      </c>
      <c r="E1770" s="32">
        <f>(C1770-C1759)/C1759</f>
        <v>2.1224551236217214E-2</v>
      </c>
      <c r="F1770" s="3130"/>
      <c r="G1770" s="3131"/>
      <c r="H1770" s="3132"/>
      <c r="I1770" s="1187"/>
      <c r="J1770" s="1188" t="s">
        <v>234</v>
      </c>
      <c r="K1770" s="1220" t="s">
        <v>34</v>
      </c>
      <c r="L1770" s="111" t="s">
        <v>35</v>
      </c>
    </row>
    <row r="1771" spans="1:20" hidden="1" outlineLevel="1" x14ac:dyDescent="0.35">
      <c r="A1771" s="709" t="s">
        <v>36</v>
      </c>
      <c r="B1771" s="263"/>
      <c r="C1771" s="419">
        <v>8169</v>
      </c>
      <c r="D1771" s="1516">
        <f>C1771-C1760</f>
        <v>187</v>
      </c>
      <c r="E1771" s="32">
        <f>(C1771-C1760)/C1760</f>
        <v>2.3427712352793787E-2</v>
      </c>
      <c r="F1771" s="1128" t="s">
        <v>37</v>
      </c>
      <c r="G1771" s="1518" t="s">
        <v>38</v>
      </c>
      <c r="H1771" s="1519" t="s">
        <v>144</v>
      </c>
      <c r="J1771" s="3137" t="s">
        <v>42</v>
      </c>
      <c r="K1771" s="3122"/>
      <c r="L1771" s="3123"/>
      <c r="M1771" s="1199" t="s">
        <v>244</v>
      </c>
      <c r="P1771" s="1200" t="s">
        <v>44</v>
      </c>
      <c r="Q1771" s="1479" t="s">
        <v>45</v>
      </c>
      <c r="R1771" s="1479" t="s">
        <v>46</v>
      </c>
      <c r="S1771" s="1479" t="s">
        <v>47</v>
      </c>
      <c r="T1771" s="1485" t="s">
        <v>48</v>
      </c>
    </row>
    <row r="1772" spans="1:20" hidden="1" outlineLevel="1" x14ac:dyDescent="0.35">
      <c r="A1772" s="1361" t="s">
        <v>373</v>
      </c>
      <c r="B1772" s="1362">
        <v>220</v>
      </c>
      <c r="C1772" s="1363">
        <v>300.31</v>
      </c>
      <c r="D1772" s="1364">
        <f>C1772*B1772</f>
        <v>66068.2</v>
      </c>
      <c r="E1772" s="32">
        <f>(C1772-C1761)/C1761</f>
        <v>2.0421338769962591E-2</v>
      </c>
      <c r="F1772" s="1486">
        <f>D1772/$D$1616</f>
        <v>0.22498557577393383</v>
      </c>
      <c r="G1772" s="1520"/>
      <c r="H1772" s="1521"/>
      <c r="J1772" s="3126" t="s">
        <v>374</v>
      </c>
      <c r="K1772" s="3120"/>
      <c r="L1772" s="3141"/>
      <c r="M1772" s="1489" t="str">
        <f>A1772</f>
        <v>SPY</v>
      </c>
      <c r="P1772" s="1200"/>
      <c r="Q1772" s="1508">
        <f>B1772*RIGHT(J1772,6)</f>
        <v>65485.200000000004</v>
      </c>
      <c r="R1772" s="1491">
        <f>D1772</f>
        <v>66068.2</v>
      </c>
      <c r="S1772" s="1491">
        <f>R1772-Q1772</f>
        <v>582.99999999999272</v>
      </c>
      <c r="T1772" s="1496">
        <f>(R1772-Q1772)/Q1772</f>
        <v>8.9027749781628931E-3</v>
      </c>
    </row>
    <row r="1773" spans="1:20" hidden="1" outlineLevel="1" x14ac:dyDescent="0.35">
      <c r="A1773" s="1346" t="s">
        <v>355</v>
      </c>
      <c r="B1773" s="1347">
        <v>326</v>
      </c>
      <c r="C1773" s="1348">
        <v>290.69</v>
      </c>
      <c r="D1773" s="1349">
        <f>C1773*B1773</f>
        <v>94764.94</v>
      </c>
      <c r="E1773" s="32">
        <f>(C1773-C1762)/C1762</f>
        <v>-3.3599616004389142E-3</v>
      </c>
      <c r="F1773" s="1486">
        <f>D1773/$D$1616</f>
        <v>0.32270811962611806</v>
      </c>
      <c r="G1773" s="1494">
        <v>32</v>
      </c>
      <c r="H1773" s="1488" t="s">
        <v>356</v>
      </c>
      <c r="J1773" s="3126" t="s">
        <v>379</v>
      </c>
      <c r="K1773" s="3120"/>
      <c r="L1773" s="3120"/>
      <c r="M1773" s="1489" t="str">
        <f>A1773</f>
        <v>COST</v>
      </c>
      <c r="P1773" s="1200"/>
      <c r="Q1773" s="1508">
        <f>B1773*RIGHT(J1773,6)</f>
        <v>97744.58</v>
      </c>
      <c r="R1773" s="1491">
        <f>D1773</f>
        <v>94764.94</v>
      </c>
      <c r="S1773" s="1491">
        <f>R1773-Q1773</f>
        <v>-2979.6399999999994</v>
      </c>
      <c r="T1773" s="1496">
        <f>(R1773-Q1773)/Q1773</f>
        <v>-3.0483940899843239E-2</v>
      </c>
    </row>
    <row r="1774" spans="1:20" hidden="1" outlineLevel="1" x14ac:dyDescent="0.35">
      <c r="A1774" s="1346" t="s">
        <v>375</v>
      </c>
      <c r="B1774" s="1347">
        <v>300</v>
      </c>
      <c r="C1774" s="1348">
        <v>269.95</v>
      </c>
      <c r="D1774" s="1349">
        <f>C1774*B1774</f>
        <v>80985</v>
      </c>
      <c r="E1774" s="32">
        <f>(C1774-C1763)/C1763</f>
        <v>-1.4996716047580872E-2</v>
      </c>
      <c r="F1774" s="1486"/>
      <c r="G1774" s="1494"/>
      <c r="H1774" s="1488"/>
      <c r="J1774" s="3126" t="s">
        <v>378</v>
      </c>
      <c r="K1774" s="3120"/>
      <c r="L1774" s="3120"/>
      <c r="M1774" s="1489" t="str">
        <f>A1774</f>
        <v>MA</v>
      </c>
      <c r="P1774" s="1200"/>
      <c r="Q1774" s="1508">
        <f>B1774*RIGHT(J1774,6)</f>
        <v>87117</v>
      </c>
      <c r="R1774" s="1491">
        <f>D1774</f>
        <v>80985</v>
      </c>
      <c r="S1774" s="1492">
        <f>R1774-Q1774</f>
        <v>-6132</v>
      </c>
      <c r="T1774" s="1493">
        <f>(R1774-Q1774)/Q1774</f>
        <v>-7.0388098763731533E-2</v>
      </c>
    </row>
    <row r="1775" spans="1:20" hidden="1" outlineLevel="1" x14ac:dyDescent="0.35">
      <c r="A1775" s="1527" t="s">
        <v>376</v>
      </c>
      <c r="B1775" s="1347"/>
      <c r="C1775" s="1348"/>
      <c r="D1775" s="1349"/>
      <c r="E1775" s="32"/>
      <c r="F1775" s="1486"/>
      <c r="G1775" s="1494"/>
      <c r="H1775" s="1488"/>
      <c r="I1775" s="1514"/>
      <c r="J1775" s="3126"/>
      <c r="K1775" s="3120"/>
      <c r="L1775" s="3120"/>
      <c r="M1775" s="1489"/>
      <c r="P1775" s="1086"/>
      <c r="Q1775" s="1508"/>
      <c r="R1775" s="1491"/>
      <c r="S1775" s="1492"/>
      <c r="T1775" s="1493"/>
    </row>
    <row r="1776" spans="1:20" ht="16" hidden="1" outlineLevel="1" thickBot="1" x14ac:dyDescent="0.4">
      <c r="A1776" s="1361" t="s">
        <v>7</v>
      </c>
      <c r="B1776" s="1362"/>
      <c r="C1776" s="1363"/>
      <c r="D1776" s="1364">
        <v>1796.49</v>
      </c>
      <c r="E1776" s="32"/>
      <c r="F1776" s="1499">
        <f>D1776/D$1601</f>
        <v>6.2467859646577724E-3</v>
      </c>
      <c r="G1776" s="1418"/>
      <c r="H1776" s="1500"/>
      <c r="I1776" s="1501"/>
      <c r="J1776" s="1282" t="s">
        <v>377</v>
      </c>
      <c r="K1776" s="1462"/>
      <c r="L1776" s="1463"/>
      <c r="Q1776" s="1502">
        <f>SUM(Q1772:Q1775)</f>
        <v>250346.78</v>
      </c>
      <c r="R1776" s="1502">
        <f>SUM(R1772:R1775)</f>
        <v>241818.14</v>
      </c>
      <c r="S1776" s="1522">
        <f>SUM(S1772:S1775)</f>
        <v>-8528.6400000000067</v>
      </c>
    </row>
    <row r="1777" spans="1:20" ht="16" hidden="1" outlineLevel="1" thickBot="1" x14ac:dyDescent="0.4">
      <c r="A1777" s="1346" t="s">
        <v>60</v>
      </c>
      <c r="B1777" s="1347"/>
      <c r="C1777" s="1348"/>
      <c r="D1777" s="1349">
        <v>470.22</v>
      </c>
      <c r="E1777" s="32"/>
      <c r="F1777" s="1503">
        <f>D1777/D$1554</f>
        <v>1.5501255558185143E-3</v>
      </c>
      <c r="G1777" s="1504"/>
      <c r="H1777" s="1505"/>
      <c r="I1777" s="1290">
        <f>SUM(I1775:I1776)</f>
        <v>0</v>
      </c>
      <c r="J1777" s="1468"/>
      <c r="K1777" s="1151"/>
      <c r="L1777" s="1469"/>
      <c r="R1777" s="1470" t="str">
        <f>IF(SUM(D1772:D1775)&lt;&gt;R1776,"Out of Balance","Balances")</f>
        <v>Balances</v>
      </c>
    </row>
    <row r="1778" spans="1:20" ht="19" hidden="1" outlineLevel="1" thickBot="1" x14ac:dyDescent="0.5">
      <c r="A1778" s="726" t="s">
        <v>62</v>
      </c>
      <c r="B1778" s="583"/>
      <c r="C1778" s="584"/>
      <c r="D1778" s="1230">
        <f>SUM(D1772:D1777)</f>
        <v>244084.85</v>
      </c>
      <c r="E1778" s="1483">
        <f>D1778-D1767</f>
        <v>-230.27999999996973</v>
      </c>
      <c r="F1778" s="1180">
        <f>(D1778-D1767)/D1767</f>
        <v>-9.4255316893378542E-4</v>
      </c>
      <c r="G1778" s="679"/>
      <c r="H1778" s="1231"/>
      <c r="I1778" s="680"/>
    </row>
    <row r="1779" spans="1:20" hidden="1" outlineLevel="1" x14ac:dyDescent="0.35"/>
    <row r="1780" spans="1:20" ht="21" hidden="1" outlineLevel="1" x14ac:dyDescent="0.5">
      <c r="A1780" s="1528" t="s">
        <v>25</v>
      </c>
      <c r="B1780" s="702" t="s">
        <v>26</v>
      </c>
      <c r="C1780" s="703" t="s">
        <v>27</v>
      </c>
      <c r="D1780" s="704">
        <v>43770</v>
      </c>
      <c r="E1780" s="705" t="s">
        <v>28</v>
      </c>
      <c r="F1780" s="3138" t="s">
        <v>343</v>
      </c>
      <c r="G1780" s="3139"/>
      <c r="H1780" s="3140"/>
      <c r="I1780" s="1182"/>
      <c r="J1780" s="1183" t="s">
        <v>233</v>
      </c>
    </row>
    <row r="1781" spans="1:20" ht="16" hidden="1" outlineLevel="1" thickBot="1" x14ac:dyDescent="0.4">
      <c r="A1781" s="706" t="s">
        <v>32</v>
      </c>
      <c r="B1781" s="255" t="str">
        <f ca="1">TEXT(TODAY(),"ddd")</f>
        <v>Sun</v>
      </c>
      <c r="C1781" s="256">
        <v>27347</v>
      </c>
      <c r="D1781" s="1516">
        <f>C1781-C1770</f>
        <v>210</v>
      </c>
      <c r="E1781" s="32">
        <f>(C1781-C1770)/C1770</f>
        <v>7.7385119946935914E-3</v>
      </c>
      <c r="F1781" s="3130"/>
      <c r="G1781" s="3131"/>
      <c r="H1781" s="3132"/>
      <c r="I1781" s="1187"/>
      <c r="J1781" s="1188" t="s">
        <v>234</v>
      </c>
      <c r="K1781" s="1220" t="s">
        <v>34</v>
      </c>
      <c r="L1781" s="111" t="s">
        <v>35</v>
      </c>
    </row>
    <row r="1782" spans="1:20" hidden="1" outlineLevel="1" x14ac:dyDescent="0.35">
      <c r="A1782" s="709" t="s">
        <v>36</v>
      </c>
      <c r="B1782" s="263"/>
      <c r="C1782" s="419">
        <v>8386</v>
      </c>
      <c r="D1782" s="1516">
        <f>C1782-C1771</f>
        <v>217</v>
      </c>
      <c r="E1782" s="32">
        <f>(C1782-C1771)/C1771</f>
        <v>2.6563838903170524E-2</v>
      </c>
      <c r="F1782" s="1128" t="s">
        <v>37</v>
      </c>
      <c r="G1782" s="1518" t="s">
        <v>38</v>
      </c>
      <c r="H1782" s="1519" t="s">
        <v>144</v>
      </c>
      <c r="J1782" s="3137" t="s">
        <v>42</v>
      </c>
      <c r="K1782" s="3122"/>
      <c r="L1782" s="3123"/>
      <c r="M1782" s="1199" t="s">
        <v>244</v>
      </c>
      <c r="P1782" s="1200" t="s">
        <v>44</v>
      </c>
      <c r="Q1782" s="1479" t="s">
        <v>45</v>
      </c>
      <c r="R1782" s="1479" t="s">
        <v>46</v>
      </c>
      <c r="S1782" s="1479" t="s">
        <v>47</v>
      </c>
      <c r="T1782" s="1485" t="s">
        <v>48</v>
      </c>
    </row>
    <row r="1783" spans="1:20" hidden="1" outlineLevel="1" x14ac:dyDescent="0.35">
      <c r="A1783" s="1346" t="s">
        <v>355</v>
      </c>
      <c r="B1783" s="1347">
        <v>211.72399999999999</v>
      </c>
      <c r="C1783" s="1348">
        <v>296.08999999999997</v>
      </c>
      <c r="D1783" s="1349">
        <f>C1783*B1783</f>
        <v>62689.359159999993</v>
      </c>
      <c r="E1783" s="32"/>
      <c r="F1783" s="1486">
        <f>D1783/$D$1790</f>
        <v>0.2681880650643772</v>
      </c>
      <c r="G1783" s="1494">
        <v>36</v>
      </c>
      <c r="H1783" s="1488" t="s">
        <v>146</v>
      </c>
      <c r="J1783" s="3126" t="s">
        <v>380</v>
      </c>
      <c r="K1783" s="3120"/>
      <c r="L1783" s="3120"/>
      <c r="M1783" s="1489" t="str">
        <f>A1783</f>
        <v>COST</v>
      </c>
      <c r="P1783" s="1200"/>
      <c r="Q1783" s="1508">
        <f>B1783*RIGHT(J1783,6)</f>
        <v>63754.330880000001</v>
      </c>
      <c r="R1783" s="1491">
        <f>D1783</f>
        <v>62689.359159999993</v>
      </c>
      <c r="S1783" s="1491">
        <f>R1783-Q1783</f>
        <v>-1064.9717200000086</v>
      </c>
      <c r="T1783" s="1496">
        <f>(R1783-Q1783)/Q1783</f>
        <v>-1.6704303931987383E-2</v>
      </c>
    </row>
    <row r="1784" spans="1:20" hidden="1" outlineLevel="1" x14ac:dyDescent="0.35">
      <c r="A1784" s="1361" t="s">
        <v>373</v>
      </c>
      <c r="B1784" s="1362">
        <v>208.00299999999999</v>
      </c>
      <c r="C1784" s="1363">
        <v>306.14</v>
      </c>
      <c r="D1784" s="1364">
        <f>C1784*B1784</f>
        <v>63678.03841999999</v>
      </c>
      <c r="E1784" s="32"/>
      <c r="F1784" s="1486">
        <f>D1784/$D$1790</f>
        <v>0.27241768204023337</v>
      </c>
      <c r="G1784" s="1520"/>
      <c r="H1784" s="1521"/>
      <c r="J1784" s="3126" t="s">
        <v>381</v>
      </c>
      <c r="K1784" s="3120"/>
      <c r="L1784" s="3141"/>
      <c r="M1784" s="1489" t="str">
        <f>A1784</f>
        <v>SPY</v>
      </c>
      <c r="P1784" s="1200"/>
      <c r="Q1784" s="1508">
        <f>B1784*RIGHT(J1784,6)</f>
        <v>61614.648659999999</v>
      </c>
      <c r="R1784" s="1491">
        <f>D1784</f>
        <v>63678.03841999999</v>
      </c>
      <c r="S1784" s="1491">
        <f>R1784-Q1784</f>
        <v>2063.3897599999909</v>
      </c>
      <c r="T1784" s="1496">
        <f>(R1784-Q1784)/Q1784</f>
        <v>3.3488623320504882E-2</v>
      </c>
    </row>
    <row r="1785" spans="1:20" hidden="1" outlineLevel="1" x14ac:dyDescent="0.35">
      <c r="A1785" s="1346" t="s">
        <v>96</v>
      </c>
      <c r="B1785" s="1347">
        <v>105</v>
      </c>
      <c r="C1785" s="1348">
        <v>559.37</v>
      </c>
      <c r="D1785" s="1349">
        <f>C1785*B1785</f>
        <v>58733.85</v>
      </c>
      <c r="E1785" s="32"/>
      <c r="F1785" s="1486">
        <f>D1785/$D$1790</f>
        <v>0.25126620843385522</v>
      </c>
      <c r="G1785" s="1494">
        <v>50</v>
      </c>
      <c r="H1785" s="1488" t="s">
        <v>350</v>
      </c>
      <c r="J1785" s="3126" t="s">
        <v>382</v>
      </c>
      <c r="K1785" s="3120"/>
      <c r="L1785" s="3120"/>
      <c r="M1785" s="1489" t="str">
        <f>A1785</f>
        <v>ISRG</v>
      </c>
      <c r="P1785" s="1200"/>
      <c r="Q1785" s="1529">
        <f>B1785*RIGHT(J1785,6)</f>
        <v>58491.299999999996</v>
      </c>
      <c r="R1785" s="1495">
        <f>D1785</f>
        <v>58733.85</v>
      </c>
      <c r="S1785" s="1510">
        <f>R1785-Q1785</f>
        <v>242.55000000000291</v>
      </c>
      <c r="T1785" s="1530">
        <f>(R1785-Q1785)/Q1785</f>
        <v>4.146770545363207E-3</v>
      </c>
    </row>
    <row r="1786" spans="1:20" hidden="1" outlineLevel="1" x14ac:dyDescent="0.35">
      <c r="A1786" s="7" t="s">
        <v>208</v>
      </c>
      <c r="B1786" s="1531">
        <v>100</v>
      </c>
      <c r="C1786" s="1143">
        <v>257.04000000000002</v>
      </c>
      <c r="D1786" s="1223">
        <f>C1786*B1786</f>
        <v>25704.000000000004</v>
      </c>
      <c r="E1786" s="32"/>
      <c r="F1786" s="1486">
        <f>D1786/$D$1790</f>
        <v>0.10996293656186025</v>
      </c>
      <c r="G1786" s="1494">
        <v>49</v>
      </c>
      <c r="H1786" s="1488" t="s">
        <v>145</v>
      </c>
      <c r="J1786" s="3126" t="s">
        <v>383</v>
      </c>
      <c r="K1786" s="3120"/>
      <c r="L1786" s="3120"/>
      <c r="M1786" s="1489" t="str">
        <f>A1786</f>
        <v>ALGN</v>
      </c>
      <c r="P1786" s="1200"/>
      <c r="Q1786" s="1529">
        <f>B1786*RIGHT(J1786,6)</f>
        <v>25691.000000000004</v>
      </c>
      <c r="R1786" s="1495">
        <f>D1786</f>
        <v>25704.000000000004</v>
      </c>
      <c r="S1786" s="1510">
        <f>R1786-Q1786</f>
        <v>13</v>
      </c>
      <c r="T1786" s="1530">
        <f>(R1786-Q1786)/Q1786</f>
        <v>5.0601377914444735E-4</v>
      </c>
    </row>
    <row r="1787" spans="1:20" hidden="1" outlineLevel="1" x14ac:dyDescent="0.35">
      <c r="A1787" s="1346" t="s">
        <v>137</v>
      </c>
      <c r="B1787" s="1347">
        <v>92</v>
      </c>
      <c r="C1787" s="1348">
        <v>216.79</v>
      </c>
      <c r="D1787" s="1349">
        <f>C1787*B1787</f>
        <v>19944.68</v>
      </c>
      <c r="E1787" s="32"/>
      <c r="F1787" s="1486">
        <f>D1787/$D$1790</f>
        <v>8.5324291222634713E-2</v>
      </c>
      <c r="G1787" s="1494">
        <v>45</v>
      </c>
      <c r="H1787" s="1488" t="s">
        <v>216</v>
      </c>
      <c r="J1787" s="3126" t="s">
        <v>384</v>
      </c>
      <c r="K1787" s="3120"/>
      <c r="L1787" s="3120"/>
      <c r="M1787" s="1489" t="str">
        <f>A1787</f>
        <v>ABMD</v>
      </c>
      <c r="P1787" s="1200"/>
      <c r="Q1787" s="1529">
        <f>B1787*RIGHT(J1787,6)</f>
        <v>19832.439999999999</v>
      </c>
      <c r="R1787" s="1495">
        <f>D1787</f>
        <v>19944.68</v>
      </c>
      <c r="S1787" s="1510">
        <f>R1787-Q1787</f>
        <v>112.2400000000016</v>
      </c>
      <c r="T1787" s="1530">
        <f>(R1787-Q1787)/Q1787</f>
        <v>5.6594145753120443E-3</v>
      </c>
    </row>
    <row r="1788" spans="1:20" ht="16" hidden="1" outlineLevel="1" thickBot="1" x14ac:dyDescent="0.4">
      <c r="A1788" s="1361" t="s">
        <v>7</v>
      </c>
      <c r="B1788" s="1362"/>
      <c r="C1788" s="1363"/>
      <c r="D1788" s="1364">
        <v>1873.63</v>
      </c>
      <c r="E1788" s="32"/>
      <c r="F1788" s="1499">
        <f>D1788/D$1601</f>
        <v>6.5150185010558045E-3</v>
      </c>
      <c r="G1788" s="1418"/>
      <c r="H1788" s="1500"/>
      <c r="I1788" s="1501"/>
      <c r="J1788" s="1282"/>
      <c r="K1788" s="1462"/>
      <c r="L1788" s="1463"/>
      <c r="Q1788" s="1502">
        <f>SUM(Q1783:Q1787)</f>
        <v>229383.71953999999</v>
      </c>
      <c r="R1788" s="1502">
        <f>SUM(R1783:R1787)</f>
        <v>230749.92757999999</v>
      </c>
      <c r="S1788" s="1532">
        <f>SUM(S1783:S1787)</f>
        <v>1366.2080399999868</v>
      </c>
    </row>
    <row r="1789" spans="1:20" ht="16" hidden="1" outlineLevel="1" thickBot="1" x14ac:dyDescent="0.4">
      <c r="A1789" s="1346" t="s">
        <v>60</v>
      </c>
      <c r="B1789" s="1347"/>
      <c r="C1789" s="1348"/>
      <c r="D1789" s="1349">
        <v>1127.93</v>
      </c>
      <c r="E1789" s="32"/>
      <c r="F1789" s="1503">
        <f>D1789/D$1554</f>
        <v>3.7183299693215447E-3</v>
      </c>
      <c r="G1789" s="1504"/>
      <c r="H1789" s="1505"/>
      <c r="I1789" s="1290">
        <f>SUM(I1788:I1788)</f>
        <v>0</v>
      </c>
      <c r="J1789" s="1468"/>
      <c r="K1789" s="1151"/>
      <c r="L1789" s="1469"/>
      <c r="R1789" s="1470" t="str">
        <f>IF(SUM(D1783:D1787)&lt;&gt;R1788,"Out of Balance","Balances")</f>
        <v>Balances</v>
      </c>
    </row>
    <row r="1790" spans="1:20" ht="19" hidden="1" outlineLevel="1" thickBot="1" x14ac:dyDescent="0.5">
      <c r="A1790" s="726" t="s">
        <v>62</v>
      </c>
      <c r="B1790" s="583"/>
      <c r="C1790" s="584"/>
      <c r="D1790" s="1230">
        <f>SUM(D1783:D1789)</f>
        <v>233751.48757999999</v>
      </c>
      <c r="E1790" s="1483">
        <f>D1790-D1778</f>
        <v>-10333.362420000019</v>
      </c>
      <c r="F1790" s="1180">
        <f>(D1790-D1778)/D1778</f>
        <v>-4.233512411769931E-2</v>
      </c>
    </row>
    <row r="1791" spans="1:20" hidden="1" outlineLevel="1" x14ac:dyDescent="0.35">
      <c r="E1791">
        <f>C1785*(1+E1795)</f>
        <v>569.4899999999999</v>
      </c>
    </row>
    <row r="1792" spans="1:20" hidden="1" outlineLevel="1" x14ac:dyDescent="0.35">
      <c r="A1792" s="701" t="s">
        <v>25</v>
      </c>
      <c r="B1792" s="702" t="s">
        <v>26</v>
      </c>
      <c r="C1792" s="703" t="s">
        <v>27</v>
      </c>
      <c r="D1792" s="704">
        <f>D1780+21</f>
        <v>43791</v>
      </c>
      <c r="E1792" s="705" t="s">
        <v>28</v>
      </c>
      <c r="F1792" s="3138" t="s">
        <v>343</v>
      </c>
      <c r="G1792" s="3139"/>
      <c r="H1792" s="3140"/>
      <c r="I1792" s="1182"/>
      <c r="J1792" s="1183" t="s">
        <v>233</v>
      </c>
    </row>
    <row r="1793" spans="1:20" ht="16" hidden="1" outlineLevel="1" thickBot="1" x14ac:dyDescent="0.4">
      <c r="A1793" s="706" t="s">
        <v>32</v>
      </c>
      <c r="B1793" s="255" t="str">
        <f ca="1">TEXT(TODAY(),"ddd")</f>
        <v>Sun</v>
      </c>
      <c r="C1793" s="256">
        <v>27875.62</v>
      </c>
      <c r="D1793" s="1516">
        <f>C1793-C1781</f>
        <v>528.61999999999898</v>
      </c>
      <c r="E1793" s="32">
        <f>(C1793-C1781)/C1782</f>
        <v>6.3036012401621627E-2</v>
      </c>
      <c r="F1793" s="3130"/>
      <c r="G1793" s="3131"/>
      <c r="H1793" s="3132"/>
      <c r="I1793" s="1187"/>
      <c r="J1793" s="1188" t="s">
        <v>234</v>
      </c>
      <c r="K1793" s="1220" t="s">
        <v>34</v>
      </c>
      <c r="L1793" s="111" t="s">
        <v>35</v>
      </c>
    </row>
    <row r="1794" spans="1:20" hidden="1" outlineLevel="1" x14ac:dyDescent="0.35">
      <c r="A1794" s="709" t="s">
        <v>36</v>
      </c>
      <c r="B1794" s="263"/>
      <c r="C1794" s="419">
        <v>8519</v>
      </c>
      <c r="D1794" s="1516">
        <f>C1794-C1782</f>
        <v>133</v>
      </c>
      <c r="E1794" s="32">
        <f>(C1794-C1782)/C1782</f>
        <v>1.5859766277128547E-2</v>
      </c>
      <c r="F1794" s="1128" t="s">
        <v>37</v>
      </c>
      <c r="G1794" s="1518" t="s">
        <v>38</v>
      </c>
      <c r="H1794" s="1519" t="s">
        <v>144</v>
      </c>
      <c r="J1794" s="3137" t="s">
        <v>42</v>
      </c>
      <c r="K1794" s="3122"/>
      <c r="L1794" s="3123"/>
      <c r="M1794" s="1199" t="s">
        <v>244</v>
      </c>
      <c r="P1794" s="1200" t="s">
        <v>44</v>
      </c>
      <c r="Q1794" s="1479" t="s">
        <v>45</v>
      </c>
      <c r="R1794" s="1479" t="s">
        <v>46</v>
      </c>
      <c r="S1794" s="1479" t="s">
        <v>47</v>
      </c>
      <c r="T1794" s="1485" t="s">
        <v>48</v>
      </c>
    </row>
    <row r="1795" spans="1:20" hidden="1" outlineLevel="1" x14ac:dyDescent="0.35">
      <c r="A1795" s="1346" t="s">
        <v>96</v>
      </c>
      <c r="B1795" s="1347">
        <v>215</v>
      </c>
      <c r="C1795" s="1348">
        <v>569.49</v>
      </c>
      <c r="D1795" s="1349">
        <f>C1795*B1795</f>
        <v>122440.35</v>
      </c>
      <c r="E1795" s="1533">
        <f>(C1795-C1785)/C1785</f>
        <v>1.8091781825982811E-2</v>
      </c>
      <c r="F1795" s="1486">
        <f>D1795/$D$1790</f>
        <v>0.52380565046926408</v>
      </c>
      <c r="G1795" s="1494">
        <v>50</v>
      </c>
      <c r="H1795" s="1488" t="s">
        <v>350</v>
      </c>
      <c r="J1795" s="3126" t="s">
        <v>385</v>
      </c>
      <c r="K1795" s="3120"/>
      <c r="L1795" s="3120"/>
      <c r="M1795" s="1489" t="str">
        <f>A1795</f>
        <v>ISRG</v>
      </c>
      <c r="P1795" s="1200"/>
      <c r="Q1795" s="1529">
        <f>B1795*RIGHT(J1795,6)</f>
        <v>120571.99999999999</v>
      </c>
      <c r="R1795" s="1495">
        <f>D1795</f>
        <v>122440.35</v>
      </c>
      <c r="S1795" s="1510">
        <f>R1795-Q1795</f>
        <v>1868.3500000000204</v>
      </c>
      <c r="T1795" s="1530">
        <f>(R1795-Q1795)/Q1795</f>
        <v>1.5495720399429558E-2</v>
      </c>
    </row>
    <row r="1796" spans="1:20" hidden="1" outlineLevel="1" x14ac:dyDescent="0.35">
      <c r="A1796" s="1346" t="s">
        <v>355</v>
      </c>
      <c r="B1796" s="1347">
        <v>211.72399999999999</v>
      </c>
      <c r="C1796" s="1348">
        <v>299.31</v>
      </c>
      <c r="D1796" s="1349">
        <f>C1796*B1796</f>
        <v>63371.110439999997</v>
      </c>
      <c r="E1796" s="1533">
        <f>(C1796-C1783)/C1783</f>
        <v>1.0875071768719064E-2</v>
      </c>
      <c r="F1796" s="1486">
        <f>D1796/$D$1790</f>
        <v>0.27110462951946618</v>
      </c>
      <c r="G1796" s="1494">
        <v>36</v>
      </c>
      <c r="H1796" s="1488" t="s">
        <v>145</v>
      </c>
      <c r="J1796" s="3126" t="s">
        <v>386</v>
      </c>
      <c r="K1796" s="3120"/>
      <c r="L1796" s="3120"/>
      <c r="M1796" s="1489" t="str">
        <f>A1796</f>
        <v>COST</v>
      </c>
      <c r="P1796" s="1200"/>
      <c r="Q1796" s="1508">
        <f>B1796*RIGHT(J1796,6)</f>
        <v>63546.841359999991</v>
      </c>
      <c r="R1796" s="1491">
        <f>D1796</f>
        <v>63371.110439999997</v>
      </c>
      <c r="S1796" s="1492">
        <f>R1796-Q1796</f>
        <v>-175.73091999999451</v>
      </c>
      <c r="T1796" s="1496">
        <f>(R1796-Q1796)/Q1796</f>
        <v>-2.765376157792944E-3</v>
      </c>
    </row>
    <row r="1797" spans="1:20" hidden="1" outlineLevel="1" x14ac:dyDescent="0.35">
      <c r="A1797" s="7" t="s">
        <v>208</v>
      </c>
      <c r="B1797" s="1531">
        <v>161</v>
      </c>
      <c r="C1797" s="1143">
        <v>274.39999999999998</v>
      </c>
      <c r="D1797" s="1223">
        <f>C1797*B1797</f>
        <v>44178.399999999994</v>
      </c>
      <c r="E1797" s="1533">
        <f>(C1797-C1786)/C1784</f>
        <v>5.6706082184621275E-2</v>
      </c>
      <c r="F1797" s="1486">
        <f>D1797/$D$1790</f>
        <v>0.18899729989902295</v>
      </c>
      <c r="G1797" s="1494">
        <v>49</v>
      </c>
      <c r="H1797" s="1488" t="s">
        <v>145</v>
      </c>
      <c r="J1797" s="3126" t="s">
        <v>387</v>
      </c>
      <c r="K1797" s="3120"/>
      <c r="L1797" s="3120"/>
      <c r="M1797" s="1489" t="str">
        <f>A1797</f>
        <v>ALGN</v>
      </c>
      <c r="P1797" s="1200"/>
      <c r="Q1797" s="1529">
        <f>B1797*RIGHT(J1797,6)</f>
        <v>42066.079999999994</v>
      </c>
      <c r="R1797" s="1495">
        <f>D1797</f>
        <v>44178.399999999994</v>
      </c>
      <c r="S1797" s="1510">
        <f>R1797-Q1797</f>
        <v>2112.3199999999997</v>
      </c>
      <c r="T1797" s="1530">
        <f>(R1797-Q1797)/Q1797</f>
        <v>5.0214329454990811E-2</v>
      </c>
    </row>
    <row r="1798" spans="1:20" hidden="1" outlineLevel="1" x14ac:dyDescent="0.35">
      <c r="A1798" s="1346" t="s">
        <v>215</v>
      </c>
      <c r="B1798" s="1347">
        <v>150</v>
      </c>
      <c r="C1798" s="1348">
        <v>20.91</v>
      </c>
      <c r="D1798" s="1349">
        <f>C1798*B1798</f>
        <v>3136.5</v>
      </c>
      <c r="E1798" s="32"/>
      <c r="F1798" s="1486">
        <f>D1798/$D$1790</f>
        <v>1.3418096425703184E-2</v>
      </c>
      <c r="G1798" s="1494">
        <v>45</v>
      </c>
      <c r="H1798" s="1488" t="s">
        <v>216</v>
      </c>
      <c r="J1798" s="3126" t="s">
        <v>388</v>
      </c>
      <c r="K1798" s="3120"/>
      <c r="L1798" s="3120"/>
      <c r="M1798" s="1489" t="str">
        <f>A1798</f>
        <v>AMRN</v>
      </c>
      <c r="P1798" s="1200"/>
      <c r="Q1798" s="1529">
        <f>B1798*RIGHT(J1798,6)</f>
        <v>3639.0000000000005</v>
      </c>
      <c r="R1798" s="1495">
        <f>D1798</f>
        <v>3136.5</v>
      </c>
      <c r="S1798" s="1492">
        <f>R1798-Q1798</f>
        <v>-502.50000000000045</v>
      </c>
      <c r="T1798" s="1530">
        <f>(R1798-Q1798)/Q1798</f>
        <v>-0.1380873866446827</v>
      </c>
    </row>
    <row r="1799" spans="1:20" ht="16" hidden="1" outlineLevel="1" thickBot="1" x14ac:dyDescent="0.4">
      <c r="A1799" s="1361" t="s">
        <v>7</v>
      </c>
      <c r="B1799" s="1362"/>
      <c r="C1799" s="1363"/>
      <c r="D1799" s="1364">
        <v>1881.41</v>
      </c>
      <c r="E1799" s="32"/>
      <c r="F1799" s="1499">
        <f>D1799/D$1601</f>
        <v>6.5420712510321681E-3</v>
      </c>
      <c r="G1799" s="1418"/>
      <c r="H1799" s="1500"/>
      <c r="I1799" s="1501"/>
      <c r="J1799" s="1282"/>
      <c r="K1799" s="1462"/>
      <c r="L1799" s="1463"/>
      <c r="Q1799" s="1502">
        <f>SUM(Q1796:Q1798)</f>
        <v>109251.92135999998</v>
      </c>
      <c r="R1799" s="1502">
        <f>SUM(R1796:R1798)</f>
        <v>110686.01043999998</v>
      </c>
      <c r="S1799" s="1532">
        <f>SUM(S1796:S1798)</f>
        <v>1434.0890800000047</v>
      </c>
    </row>
    <row r="1800" spans="1:20" ht="16" hidden="1" outlineLevel="1" thickBot="1" x14ac:dyDescent="0.4">
      <c r="A1800" s="1346" t="s">
        <v>60</v>
      </c>
      <c r="B1800" s="1347"/>
      <c r="C1800" s="1348"/>
      <c r="D1800" s="1349">
        <v>282.60000000000002</v>
      </c>
      <c r="E1800" s="32"/>
      <c r="F1800" s="1503">
        <f>D1800/D$1554</f>
        <v>9.3161814060293505E-4</v>
      </c>
      <c r="G1800" s="1504"/>
      <c r="H1800" s="1505"/>
      <c r="I1800" s="1290">
        <f>SUM(I1799:I1799)</f>
        <v>0</v>
      </c>
      <c r="J1800" s="1468"/>
      <c r="K1800" s="1151"/>
      <c r="L1800" s="1469"/>
      <c r="R1800" s="1470" t="str">
        <f>IF(SUM(D1796:D1798)&lt;&gt;R1799,"Out of Balance","Balances")</f>
        <v>Balances</v>
      </c>
    </row>
    <row r="1801" spans="1:20" ht="19" hidden="1" outlineLevel="1" thickBot="1" x14ac:dyDescent="0.5">
      <c r="A1801" s="726" t="s">
        <v>62</v>
      </c>
      <c r="B1801" s="583"/>
      <c r="C1801" s="584"/>
      <c r="D1801" s="1230">
        <f>SUM(D1795:D1800)</f>
        <v>235290.37044</v>
      </c>
      <c r="E1801" s="1534">
        <f>D1801-D1790</f>
        <v>1538.8828600000124</v>
      </c>
      <c r="F1801" s="1294">
        <f>(D1801-D1790)/D1790</f>
        <v>6.5834141888544747E-3</v>
      </c>
    </row>
    <row r="1802" spans="1:20" hidden="1" outlineLevel="1" x14ac:dyDescent="0.35"/>
    <row r="1803" spans="1:20" hidden="1" outlineLevel="1" x14ac:dyDescent="0.35">
      <c r="A1803" s="701" t="s">
        <v>25</v>
      </c>
      <c r="B1803" s="702" t="s">
        <v>26</v>
      </c>
      <c r="C1803" s="703" t="s">
        <v>27</v>
      </c>
      <c r="D1803" s="704">
        <f>D1792+7</f>
        <v>43798</v>
      </c>
      <c r="E1803" s="705" t="s">
        <v>28</v>
      </c>
      <c r="F1803" s="3138" t="s">
        <v>343</v>
      </c>
      <c r="G1803" s="3139"/>
      <c r="H1803" s="3140"/>
      <c r="I1803" s="1182"/>
      <c r="J1803" s="1183" t="s">
        <v>233</v>
      </c>
    </row>
    <row r="1804" spans="1:20" ht="16" hidden="1" outlineLevel="1" thickBot="1" x14ac:dyDescent="0.4">
      <c r="A1804" s="706" t="s">
        <v>32</v>
      </c>
      <c r="B1804" s="255" t="str">
        <f ca="1">TEXT(TODAY(),"ddd")</f>
        <v>Sun</v>
      </c>
      <c r="C1804" s="256">
        <v>28168</v>
      </c>
      <c r="D1804" s="1516">
        <f>C1804-C1793</f>
        <v>292.38000000000102</v>
      </c>
      <c r="E1804" s="32">
        <f>(C1804-C1793)/C1793</f>
        <v>1.0488735317815389E-2</v>
      </c>
      <c r="F1804" s="3130"/>
      <c r="G1804" s="3131"/>
      <c r="H1804" s="3132"/>
      <c r="I1804" s="1187"/>
      <c r="J1804" s="1188" t="s">
        <v>234</v>
      </c>
      <c r="K1804" s="1220" t="s">
        <v>34</v>
      </c>
      <c r="L1804" s="111" t="s">
        <v>35</v>
      </c>
    </row>
    <row r="1805" spans="1:20" hidden="1" outlineLevel="1" x14ac:dyDescent="0.35">
      <c r="A1805" s="709" t="s">
        <v>36</v>
      </c>
      <c r="B1805" s="263"/>
      <c r="C1805" s="419">
        <v>8697</v>
      </c>
      <c r="D1805" s="1516">
        <f>C1805-C1794</f>
        <v>178</v>
      </c>
      <c r="E1805" s="32">
        <f>(C1805-C1794)/C1794</f>
        <v>2.0894471182063622E-2</v>
      </c>
      <c r="F1805" s="1128" t="s">
        <v>37</v>
      </c>
      <c r="G1805" s="1518" t="s">
        <v>38</v>
      </c>
      <c r="H1805" s="1519" t="s">
        <v>144</v>
      </c>
      <c r="J1805" s="3137" t="s">
        <v>42</v>
      </c>
      <c r="K1805" s="3122"/>
      <c r="L1805" s="3123"/>
      <c r="M1805" s="1199" t="s">
        <v>244</v>
      </c>
      <c r="P1805" s="1200" t="s">
        <v>44</v>
      </c>
      <c r="Q1805" s="1479" t="s">
        <v>45</v>
      </c>
      <c r="R1805" s="1479" t="s">
        <v>46</v>
      </c>
      <c r="S1805" s="1479" t="s">
        <v>47</v>
      </c>
      <c r="T1805" s="1485" t="s">
        <v>48</v>
      </c>
    </row>
    <row r="1806" spans="1:20" hidden="1" outlineLevel="1" x14ac:dyDescent="0.35">
      <c r="A1806" s="1346" t="s">
        <v>96</v>
      </c>
      <c r="B1806" s="1347">
        <v>215</v>
      </c>
      <c r="C1806" s="1348">
        <v>591</v>
      </c>
      <c r="D1806" s="1349">
        <f>C1806*B1806</f>
        <v>127065</v>
      </c>
      <c r="E1806" s="1535">
        <f>(D1806-D1795)</f>
        <v>4624.6499999999942</v>
      </c>
      <c r="F1806" s="1486">
        <f>D1806/$D$1790</f>
        <v>0.54359012349178226</v>
      </c>
      <c r="G1806" s="1494">
        <v>50</v>
      </c>
      <c r="H1806" s="1488" t="s">
        <v>350</v>
      </c>
      <c r="J1806" s="3126" t="s">
        <v>385</v>
      </c>
      <c r="K1806" s="3120"/>
      <c r="L1806" s="3120"/>
      <c r="M1806" s="1489" t="str">
        <f>A1806</f>
        <v>ISRG</v>
      </c>
      <c r="P1806" s="1200"/>
      <c r="Q1806" s="1529">
        <f>B1806*RIGHT(J1806,6)</f>
        <v>120571.99999999999</v>
      </c>
      <c r="R1806" s="1495">
        <f>D1806</f>
        <v>127065</v>
      </c>
      <c r="S1806" s="1510">
        <f>R1806-Q1806</f>
        <v>6493.0000000000146</v>
      </c>
      <c r="T1806" s="1530">
        <f>(R1806-Q1806)/Q1806</f>
        <v>5.3851640513552193E-2</v>
      </c>
    </row>
    <row r="1807" spans="1:20" hidden="1" outlineLevel="1" x14ac:dyDescent="0.35">
      <c r="A1807" s="1346" t="s">
        <v>355</v>
      </c>
      <c r="B1807" s="1347">
        <v>211.72399999999999</v>
      </c>
      <c r="C1807" s="1348">
        <v>302</v>
      </c>
      <c r="D1807" s="1349">
        <f>C1807*B1807</f>
        <v>63940.647999999994</v>
      </c>
      <c r="E1807" s="1535">
        <f>(D1807-D1796)</f>
        <v>569.53755999999703</v>
      </c>
      <c r="F1807" s="1486">
        <f>D1807/$D$1790</f>
        <v>0.27354113833443178</v>
      </c>
      <c r="G1807" s="1494">
        <v>36</v>
      </c>
      <c r="H1807" s="1488" t="s">
        <v>145</v>
      </c>
      <c r="J1807" s="3126" t="s">
        <v>386</v>
      </c>
      <c r="K1807" s="3120"/>
      <c r="L1807" s="3120"/>
      <c r="M1807" s="1489" t="str">
        <f>A1807</f>
        <v>COST</v>
      </c>
      <c r="P1807" s="1200"/>
      <c r="Q1807" s="1508">
        <f>B1807*RIGHT(J1807,6)</f>
        <v>63546.841359999991</v>
      </c>
      <c r="R1807" s="1491">
        <f>D1807</f>
        <v>63940.647999999994</v>
      </c>
      <c r="S1807" s="1510">
        <f>R1807-Q1807</f>
        <v>393.80664000000252</v>
      </c>
      <c r="T1807" s="1496">
        <f>(R1807-Q1807)/Q1807</f>
        <v>6.1971080162591197E-3</v>
      </c>
    </row>
    <row r="1808" spans="1:20" hidden="1" outlineLevel="1" x14ac:dyDescent="0.35">
      <c r="A1808" s="7" t="s">
        <v>208</v>
      </c>
      <c r="B1808" s="1531">
        <v>161</v>
      </c>
      <c r="C1808" s="1143">
        <v>279</v>
      </c>
      <c r="D1808" s="1223">
        <f>C1808*B1808</f>
        <v>44919</v>
      </c>
      <c r="E1808" s="1535">
        <f>(D1808-D1797)</f>
        <v>740.60000000000582</v>
      </c>
      <c r="F1808" s="1486">
        <f>D1808/$D$1790</f>
        <v>0.19216562198187831</v>
      </c>
      <c r="G1808" s="1494">
        <v>49</v>
      </c>
      <c r="H1808" s="1488" t="s">
        <v>145</v>
      </c>
      <c r="J1808" s="3126" t="s">
        <v>387</v>
      </c>
      <c r="K1808" s="3120"/>
      <c r="L1808" s="3120"/>
      <c r="M1808" s="1489" t="str">
        <f>A1808</f>
        <v>ALGN</v>
      </c>
      <c r="P1808" s="1200"/>
      <c r="Q1808" s="1529">
        <f>B1808*RIGHT(J1808,6)</f>
        <v>42066.079999999994</v>
      </c>
      <c r="R1808" s="1495">
        <f>D1808</f>
        <v>44919</v>
      </c>
      <c r="S1808" s="1510">
        <f>R1808-Q1808</f>
        <v>2852.9200000000055</v>
      </c>
      <c r="T1808" s="1530">
        <f>(R1808-Q1808)/Q1808</f>
        <v>6.7819963257807855E-2</v>
      </c>
    </row>
    <row r="1809" spans="1:20" hidden="1" outlineLevel="1" x14ac:dyDescent="0.35">
      <c r="A1809" s="1346" t="s">
        <v>215</v>
      </c>
      <c r="B1809" s="1347">
        <v>150</v>
      </c>
      <c r="C1809" s="1348">
        <v>20</v>
      </c>
      <c r="D1809" s="1349">
        <f>C1809*B1809</f>
        <v>3000</v>
      </c>
      <c r="E1809" s="1536">
        <f>(D1809-D1798)</f>
        <v>-136.5</v>
      </c>
      <c r="F1809" s="1486">
        <f>D1809/$D$1790</f>
        <v>1.2834142922719449E-2</v>
      </c>
      <c r="G1809" s="1494">
        <v>45</v>
      </c>
      <c r="H1809" s="1488" t="s">
        <v>216</v>
      </c>
      <c r="J1809" s="3126" t="s">
        <v>388</v>
      </c>
      <c r="K1809" s="3120"/>
      <c r="L1809" s="3120"/>
      <c r="M1809" s="1489" t="str">
        <f>A1809</f>
        <v>AMRN</v>
      </c>
      <c r="P1809" s="1200"/>
      <c r="Q1809" s="1529">
        <f>B1809*RIGHT(J1809,6)</f>
        <v>3639.0000000000005</v>
      </c>
      <c r="R1809" s="1495">
        <f>D1809</f>
        <v>3000</v>
      </c>
      <c r="S1809" s="1492">
        <f>R1809-Q1809</f>
        <v>-639.00000000000045</v>
      </c>
      <c r="T1809" s="1493">
        <f>(R1809-Q1809)/Q1809</f>
        <v>-0.17559769167353678</v>
      </c>
    </row>
    <row r="1810" spans="1:20" ht="16" hidden="1" outlineLevel="1" thickBot="1" x14ac:dyDescent="0.4">
      <c r="A1810" s="1361" t="s">
        <v>7</v>
      </c>
      <c r="B1810" s="1362"/>
      <c r="C1810" s="1363"/>
      <c r="D1810" s="1364">
        <v>1881.41</v>
      </c>
      <c r="E1810" s="32"/>
      <c r="F1810" s="1499">
        <f>D1810/D$1601</f>
        <v>6.5420712510321681E-3</v>
      </c>
      <c r="G1810" s="1418"/>
      <c r="H1810" s="1500"/>
      <c r="I1810" s="1501"/>
      <c r="J1810" s="1282"/>
      <c r="K1810" s="1462"/>
      <c r="L1810" s="1463"/>
      <c r="Q1810" s="1502">
        <f>SUM(Q1807:Q1809)</f>
        <v>109251.92135999998</v>
      </c>
      <c r="R1810" s="1502">
        <f>SUM(R1807:R1809)</f>
        <v>111859.64799999999</v>
      </c>
      <c r="S1810" s="1532">
        <f>SUM(S1807:S1809)</f>
        <v>2607.7266400000076</v>
      </c>
    </row>
    <row r="1811" spans="1:20" ht="16" hidden="1" outlineLevel="1" thickBot="1" x14ac:dyDescent="0.4">
      <c r="A1811" s="1346" t="s">
        <v>60</v>
      </c>
      <c r="B1811" s="1347"/>
      <c r="C1811" s="1348"/>
      <c r="D1811" s="1349">
        <v>282.60000000000002</v>
      </c>
      <c r="E1811" s="32"/>
      <c r="F1811" s="1503">
        <f>D1811/D$1554</f>
        <v>9.3161814060293505E-4</v>
      </c>
      <c r="G1811" s="1504"/>
      <c r="H1811" s="1505"/>
      <c r="I1811" s="1290">
        <f>SUM(I1810:I1810)</f>
        <v>0</v>
      </c>
      <c r="J1811" s="1468"/>
      <c r="K1811" s="1151"/>
      <c r="L1811" s="1469"/>
      <c r="R1811" s="1470" t="str">
        <f>IF(SUM(D1807:D1809)&lt;&gt;R1810,"Out of Balance","Balances")</f>
        <v>Balances</v>
      </c>
    </row>
    <row r="1812" spans="1:20" ht="19" hidden="1" outlineLevel="1" thickBot="1" x14ac:dyDescent="0.5">
      <c r="A1812" s="726" t="s">
        <v>62</v>
      </c>
      <c r="B1812" s="583"/>
      <c r="C1812" s="584"/>
      <c r="D1812" s="1230">
        <f>SUM(D1806:D1811)</f>
        <v>241088.658</v>
      </c>
      <c r="E1812" s="1534">
        <f>D1812-D1801</f>
        <v>5798.287559999997</v>
      </c>
      <c r="F1812" s="1294">
        <f>(D1812-D1801)/D1801</f>
        <v>2.464311458712495E-2</v>
      </c>
    </row>
    <row r="1813" spans="1:20" hidden="1" outlineLevel="1" x14ac:dyDescent="0.35"/>
    <row r="1814" spans="1:20" hidden="1" outlineLevel="1" x14ac:dyDescent="0.35">
      <c r="A1814" s="701" t="s">
        <v>25</v>
      </c>
      <c r="B1814" s="702" t="s">
        <v>26</v>
      </c>
      <c r="C1814" s="703" t="s">
        <v>27</v>
      </c>
      <c r="D1814" s="704">
        <f>D1803+7</f>
        <v>43805</v>
      </c>
      <c r="E1814" s="705" t="s">
        <v>28</v>
      </c>
      <c r="F1814" s="3138" t="s">
        <v>343</v>
      </c>
      <c r="G1814" s="3139"/>
      <c r="H1814" s="3140"/>
      <c r="I1814" s="1182"/>
      <c r="J1814" s="1183" t="s">
        <v>233</v>
      </c>
    </row>
    <row r="1815" spans="1:20" ht="16" hidden="1" outlineLevel="1" thickBot="1" x14ac:dyDescent="0.4">
      <c r="A1815" s="706" t="s">
        <v>32</v>
      </c>
      <c r="B1815" s="255" t="str">
        <f ca="1">TEXT(TODAY(),"ddd")</f>
        <v>Sun</v>
      </c>
      <c r="C1815" s="256">
        <v>27875.62</v>
      </c>
      <c r="D1815" s="1516">
        <f>C1815-C1804</f>
        <v>-292.38000000000102</v>
      </c>
      <c r="E1815" s="32">
        <f>(C1815-C1804)/C1804</f>
        <v>-1.0379863675092339E-2</v>
      </c>
      <c r="F1815" s="3130"/>
      <c r="G1815" s="3131"/>
      <c r="H1815" s="3132"/>
      <c r="I1815" s="1187"/>
      <c r="J1815" s="1188" t="s">
        <v>234</v>
      </c>
      <c r="K1815" s="1220" t="s">
        <v>34</v>
      </c>
      <c r="L1815" s="111" t="s">
        <v>35</v>
      </c>
    </row>
    <row r="1816" spans="1:20" hidden="1" outlineLevel="1" x14ac:dyDescent="0.35">
      <c r="A1816" s="709" t="s">
        <v>36</v>
      </c>
      <c r="B1816" s="263"/>
      <c r="C1816" s="419">
        <v>8519</v>
      </c>
      <c r="D1816" s="1516">
        <f>C1816-C1805</f>
        <v>-178</v>
      </c>
      <c r="E1816" s="32">
        <f>(C1816-C1805)/C1805</f>
        <v>-2.0466827641715535E-2</v>
      </c>
      <c r="F1816" s="1128" t="s">
        <v>37</v>
      </c>
      <c r="G1816" s="1518" t="s">
        <v>38</v>
      </c>
      <c r="H1816" s="1519" t="s">
        <v>144</v>
      </c>
      <c r="J1816" s="3137" t="s">
        <v>42</v>
      </c>
      <c r="K1816" s="3122"/>
      <c r="L1816" s="3123"/>
      <c r="M1816" s="1199" t="s">
        <v>244</v>
      </c>
      <c r="P1816" s="1200" t="s">
        <v>44</v>
      </c>
      <c r="Q1816" s="1479" t="s">
        <v>45</v>
      </c>
      <c r="R1816" s="1479" t="s">
        <v>46</v>
      </c>
      <c r="S1816" s="1479" t="s">
        <v>47</v>
      </c>
      <c r="T1816" s="1485" t="s">
        <v>48</v>
      </c>
    </row>
    <row r="1817" spans="1:20" hidden="1" outlineLevel="1" x14ac:dyDescent="0.35">
      <c r="A1817" s="1346" t="s">
        <v>96</v>
      </c>
      <c r="B1817" s="1347">
        <v>215</v>
      </c>
      <c r="C1817" s="1348">
        <v>569.49</v>
      </c>
      <c r="D1817" s="1349">
        <f>C1817*B1817</f>
        <v>122440.35</v>
      </c>
      <c r="E1817" s="32"/>
      <c r="F1817" s="1486">
        <f>D1817/$D$1790</f>
        <v>0.52380565046926408</v>
      </c>
      <c r="G1817" s="1494">
        <v>50</v>
      </c>
      <c r="H1817" s="1488" t="s">
        <v>350</v>
      </c>
      <c r="J1817" s="3126" t="s">
        <v>385</v>
      </c>
      <c r="K1817" s="3120"/>
      <c r="L1817" s="3120"/>
      <c r="M1817" s="1489" t="str">
        <f>A1817</f>
        <v>ISRG</v>
      </c>
      <c r="P1817" s="1200"/>
      <c r="Q1817" s="1529">
        <f>B1817*RIGHT(J1817,6)</f>
        <v>120571.99999999999</v>
      </c>
      <c r="R1817" s="1495">
        <f>D1817</f>
        <v>122440.35</v>
      </c>
      <c r="S1817" s="1510">
        <f>R1817-Q1817</f>
        <v>1868.3500000000204</v>
      </c>
      <c r="T1817" s="1530">
        <f>(R1817-Q1817)/Q1817</f>
        <v>1.5495720399429558E-2</v>
      </c>
    </row>
    <row r="1818" spans="1:20" hidden="1" outlineLevel="1" x14ac:dyDescent="0.35">
      <c r="A1818" s="1346" t="s">
        <v>355</v>
      </c>
      <c r="B1818" s="1347">
        <v>211.72399999999999</v>
      </c>
      <c r="C1818" s="1348">
        <v>299.31</v>
      </c>
      <c r="D1818" s="1349">
        <f>C1818*B1818</f>
        <v>63371.110439999997</v>
      </c>
      <c r="E1818" s="32"/>
      <c r="F1818" s="1486">
        <f>D1818/$D$1790</f>
        <v>0.27110462951946618</v>
      </c>
      <c r="G1818" s="1494">
        <v>36</v>
      </c>
      <c r="H1818" s="1488" t="s">
        <v>145</v>
      </c>
      <c r="J1818" s="3126" t="s">
        <v>386</v>
      </c>
      <c r="K1818" s="3120"/>
      <c r="L1818" s="3120"/>
      <c r="M1818" s="1489" t="str">
        <f>A1818</f>
        <v>COST</v>
      </c>
      <c r="P1818" s="1200"/>
      <c r="Q1818" s="1508">
        <f>B1818*RIGHT(J1818,6)</f>
        <v>63546.841359999991</v>
      </c>
      <c r="R1818" s="1491">
        <f>D1818</f>
        <v>63371.110439999997</v>
      </c>
      <c r="S1818" s="1492">
        <f>R1818-Q1818</f>
        <v>-175.73091999999451</v>
      </c>
      <c r="T1818" s="1496">
        <f>(R1818-Q1818)/Q1818</f>
        <v>-2.765376157792944E-3</v>
      </c>
    </row>
    <row r="1819" spans="1:20" hidden="1" outlineLevel="1" x14ac:dyDescent="0.35">
      <c r="A1819" s="7" t="s">
        <v>208</v>
      </c>
      <c r="B1819" s="1531">
        <v>161</v>
      </c>
      <c r="C1819" s="1143">
        <v>274.39999999999998</v>
      </c>
      <c r="D1819" s="1223">
        <f>C1819*B1819</f>
        <v>44178.399999999994</v>
      </c>
      <c r="E1819" s="32"/>
      <c r="F1819" s="1486">
        <f>D1819/$D$1790</f>
        <v>0.18899729989902295</v>
      </c>
      <c r="G1819" s="1494">
        <v>49</v>
      </c>
      <c r="H1819" s="1488" t="s">
        <v>145</v>
      </c>
      <c r="J1819" s="3126" t="s">
        <v>387</v>
      </c>
      <c r="K1819" s="3120"/>
      <c r="L1819" s="3120"/>
      <c r="M1819" s="1489" t="str">
        <f>A1819</f>
        <v>ALGN</v>
      </c>
      <c r="P1819" s="1200"/>
      <c r="Q1819" s="1529">
        <f>B1819*RIGHT(J1819,6)</f>
        <v>42066.079999999994</v>
      </c>
      <c r="R1819" s="1495">
        <f>D1819</f>
        <v>44178.399999999994</v>
      </c>
      <c r="S1819" s="1510">
        <f>R1819-Q1819</f>
        <v>2112.3199999999997</v>
      </c>
      <c r="T1819" s="1530">
        <f>(R1819-Q1819)/Q1819</f>
        <v>5.0214329454990811E-2</v>
      </c>
    </row>
    <row r="1820" spans="1:20" hidden="1" outlineLevel="1" x14ac:dyDescent="0.35">
      <c r="A1820" s="1346" t="s">
        <v>215</v>
      </c>
      <c r="B1820" s="1347">
        <v>150</v>
      </c>
      <c r="C1820" s="1348">
        <v>20.91</v>
      </c>
      <c r="D1820" s="1349">
        <f>C1820*B1820</f>
        <v>3136.5</v>
      </c>
      <c r="E1820" s="32"/>
      <c r="F1820" s="1486">
        <f>D1820/$D$1790</f>
        <v>1.3418096425703184E-2</v>
      </c>
      <c r="G1820" s="1494">
        <v>45</v>
      </c>
      <c r="H1820" s="1488" t="s">
        <v>216</v>
      </c>
      <c r="J1820" s="3126" t="s">
        <v>388</v>
      </c>
      <c r="K1820" s="3120"/>
      <c r="L1820" s="3120"/>
      <c r="M1820" s="1489" t="str">
        <f>A1820</f>
        <v>AMRN</v>
      </c>
      <c r="P1820" s="1200"/>
      <c r="Q1820" s="1529">
        <f>B1820*RIGHT(J1820,6)</f>
        <v>3639.0000000000005</v>
      </c>
      <c r="R1820" s="1495">
        <f>D1820</f>
        <v>3136.5</v>
      </c>
      <c r="S1820" s="1492">
        <f>R1820-Q1820</f>
        <v>-502.50000000000045</v>
      </c>
      <c r="T1820" s="1530">
        <f>(R1820-Q1820)/Q1820</f>
        <v>-0.1380873866446827</v>
      </c>
    </row>
    <row r="1821" spans="1:20" ht="16" hidden="1" outlineLevel="1" thickBot="1" x14ac:dyDescent="0.4">
      <c r="A1821" s="1361" t="s">
        <v>7</v>
      </c>
      <c r="B1821" s="1362"/>
      <c r="C1821" s="1363"/>
      <c r="D1821" s="1364">
        <v>1881.41</v>
      </c>
      <c r="E1821" s="32"/>
      <c r="F1821" s="1499">
        <f>D1821/D$1601</f>
        <v>6.5420712510321681E-3</v>
      </c>
      <c r="G1821" s="1418"/>
      <c r="H1821" s="1500"/>
      <c r="I1821" s="1501"/>
      <c r="J1821" s="1282"/>
      <c r="K1821" s="1462"/>
      <c r="L1821" s="1463"/>
      <c r="Q1821" s="1502">
        <f>SUM(Q1818:Q1820)</f>
        <v>109251.92135999998</v>
      </c>
      <c r="R1821" s="1502">
        <f>SUM(R1818:R1820)</f>
        <v>110686.01043999998</v>
      </c>
      <c r="S1821" s="1532">
        <f>SUM(S1818:S1820)</f>
        <v>1434.0890800000047</v>
      </c>
    </row>
    <row r="1822" spans="1:20" ht="16" hidden="1" outlineLevel="1" thickBot="1" x14ac:dyDescent="0.4">
      <c r="A1822" s="1346" t="s">
        <v>60</v>
      </c>
      <c r="B1822" s="1347"/>
      <c r="C1822" s="1348"/>
      <c r="D1822" s="1349">
        <v>282.60000000000002</v>
      </c>
      <c r="E1822" s="32"/>
      <c r="F1822" s="1503">
        <f>D1822/D$1554</f>
        <v>9.3161814060293505E-4</v>
      </c>
      <c r="G1822" s="1504"/>
      <c r="H1822" s="1505"/>
      <c r="I1822" s="1290">
        <f>SUM(I1821:I1821)</f>
        <v>0</v>
      </c>
      <c r="J1822" s="1468"/>
      <c r="K1822" s="1151"/>
      <c r="L1822" s="1469"/>
      <c r="R1822" s="1470" t="str">
        <f>IF(SUM(D1818:D1820)&lt;&gt;R1821,"Out of Balance","Balances")</f>
        <v>Balances</v>
      </c>
    </row>
    <row r="1823" spans="1:20" ht="19" hidden="1" outlineLevel="1" thickBot="1" x14ac:dyDescent="0.5">
      <c r="A1823" s="726" t="s">
        <v>62</v>
      </c>
      <c r="B1823" s="583"/>
      <c r="C1823" s="584"/>
      <c r="D1823" s="1230">
        <f>SUM(D1817:D1822)</f>
        <v>235290.37044</v>
      </c>
      <c r="E1823" s="73">
        <f>D1823-D1812</f>
        <v>-5798.287559999997</v>
      </c>
      <c r="F1823" s="1537">
        <f>(D1823-D1812)/D1812</f>
        <v>-2.405043691437362E-2</v>
      </c>
    </row>
    <row r="1824" spans="1:20" hidden="1" outlineLevel="1" x14ac:dyDescent="0.35"/>
    <row r="1825" spans="1:20" hidden="1" outlineLevel="1" x14ac:dyDescent="0.35">
      <c r="A1825" s="701" t="s">
        <v>25</v>
      </c>
      <c r="B1825" s="702" t="s">
        <v>26</v>
      </c>
      <c r="C1825" s="703" t="s">
        <v>27</v>
      </c>
      <c r="D1825" s="704">
        <v>43868</v>
      </c>
      <c r="E1825" s="705" t="s">
        <v>28</v>
      </c>
      <c r="F1825" s="3138" t="s">
        <v>343</v>
      </c>
      <c r="G1825" s="3139"/>
      <c r="H1825" s="3140"/>
      <c r="I1825" s="1182"/>
      <c r="J1825" s="1183" t="s">
        <v>233</v>
      </c>
    </row>
    <row r="1826" spans="1:20" ht="16" hidden="1" outlineLevel="1" thickBot="1" x14ac:dyDescent="0.4">
      <c r="A1826" s="706" t="s">
        <v>32</v>
      </c>
      <c r="B1826" s="255" t="str">
        <f ca="1">TEXT(TODAY(),"ddd")</f>
        <v>Sun</v>
      </c>
      <c r="C1826" s="256">
        <v>29102.51</v>
      </c>
      <c r="D1826" s="1516">
        <f>C1826-C1815</f>
        <v>1226.8899999999994</v>
      </c>
      <c r="E1826" s="32">
        <f>(C1826-C1815)/C1815</f>
        <v>4.4013012087264769E-2</v>
      </c>
      <c r="F1826" s="3130"/>
      <c r="G1826" s="3131"/>
      <c r="H1826" s="3132"/>
      <c r="I1826" s="1187"/>
      <c r="J1826" s="1188" t="s">
        <v>234</v>
      </c>
      <c r="K1826" s="1220" t="s">
        <v>34</v>
      </c>
      <c r="L1826" s="111" t="s">
        <v>35</v>
      </c>
    </row>
    <row r="1827" spans="1:20" ht="16" hidden="1" customHeight="1" outlineLevel="1" x14ac:dyDescent="0.35">
      <c r="A1827" s="709" t="s">
        <v>36</v>
      </c>
      <c r="B1827" s="263"/>
      <c r="C1827" s="419">
        <v>9520</v>
      </c>
      <c r="D1827" s="1516">
        <f>C1827-C1816</f>
        <v>1001</v>
      </c>
      <c r="E1827" s="32">
        <f>(C1827-C1816)/C1816</f>
        <v>0.11750205423171733</v>
      </c>
      <c r="F1827" s="1128" t="s">
        <v>37</v>
      </c>
      <c r="G1827" s="1518" t="s">
        <v>38</v>
      </c>
      <c r="H1827" s="1519" t="s">
        <v>144</v>
      </c>
      <c r="J1827" s="3137" t="s">
        <v>42</v>
      </c>
      <c r="K1827" s="3122"/>
      <c r="L1827" s="3123"/>
      <c r="M1827" s="1199" t="s">
        <v>244</v>
      </c>
      <c r="P1827" s="1200" t="s">
        <v>44</v>
      </c>
      <c r="Q1827" s="1479" t="s">
        <v>45</v>
      </c>
      <c r="R1827" s="1479" t="s">
        <v>46</v>
      </c>
      <c r="S1827" s="1479" t="s">
        <v>47</v>
      </c>
      <c r="T1827" s="1485" t="s">
        <v>48</v>
      </c>
    </row>
    <row r="1828" spans="1:20" hidden="1" outlineLevel="1" x14ac:dyDescent="0.35">
      <c r="A1828" s="1346" t="s">
        <v>389</v>
      </c>
      <c r="B1828" s="1347">
        <v>1000</v>
      </c>
      <c r="C1828" s="1348">
        <v>14.54</v>
      </c>
      <c r="D1828" s="1349">
        <f>C1828*B1828</f>
        <v>14540</v>
      </c>
      <c r="E1828" s="32"/>
      <c r="F1828" s="1486"/>
      <c r="G1828" s="1494"/>
      <c r="H1828" s="1488"/>
      <c r="J1828" s="3126" t="s">
        <v>390</v>
      </c>
      <c r="K1828" s="3120"/>
      <c r="L1828" s="3120"/>
      <c r="M1828" s="1489" t="str">
        <f>A1828</f>
        <v>SDC</v>
      </c>
      <c r="P1828" s="1200"/>
      <c r="Q1828" s="1529">
        <f>B1828*RIGHT(J1828,6)</f>
        <v>12120</v>
      </c>
      <c r="R1828" s="1495">
        <f>D1828</f>
        <v>14540</v>
      </c>
      <c r="S1828" s="1510">
        <f>R1828-Q1828</f>
        <v>2420</v>
      </c>
      <c r="T1828" s="1530">
        <f>(R1828-Q1828)/Q1828</f>
        <v>0.19966996699669967</v>
      </c>
    </row>
    <row r="1829" spans="1:20" hidden="1" outlineLevel="1" x14ac:dyDescent="0.35">
      <c r="A1829" s="1346" t="s">
        <v>96</v>
      </c>
      <c r="B1829" s="1347">
        <v>215</v>
      </c>
      <c r="C1829" s="1348">
        <v>579.42999999999995</v>
      </c>
      <c r="D1829" s="1349">
        <f>C1829*B1829</f>
        <v>124577.44999999998</v>
      </c>
      <c r="E1829" s="32"/>
      <c r="F1829" s="1486">
        <f>D1829/$D$1790</f>
        <v>0.53294826608264523</v>
      </c>
      <c r="G1829" s="1494">
        <v>50</v>
      </c>
      <c r="H1829" s="1488" t="s">
        <v>350</v>
      </c>
      <c r="J1829" s="3126" t="s">
        <v>385</v>
      </c>
      <c r="K1829" s="3120"/>
      <c r="L1829" s="3120"/>
      <c r="M1829" s="1489" t="str">
        <f>A1829</f>
        <v>ISRG</v>
      </c>
      <c r="P1829" s="1200"/>
      <c r="Q1829" s="1529">
        <f>B1829*RIGHT(J1829,6)</f>
        <v>120571.99999999999</v>
      </c>
      <c r="R1829" s="1495">
        <f>D1829</f>
        <v>124577.44999999998</v>
      </c>
      <c r="S1829" s="1510">
        <f>R1829-Q1829</f>
        <v>4005.4499999999971</v>
      </c>
      <c r="T1829" s="1530">
        <f>(R1829-Q1829)/Q1829</f>
        <v>3.3220399429386573E-2</v>
      </c>
    </row>
    <row r="1830" spans="1:20" hidden="1" outlineLevel="1" x14ac:dyDescent="0.35">
      <c r="A1830" s="1346" t="s">
        <v>391</v>
      </c>
      <c r="B1830" s="1347">
        <v>100</v>
      </c>
      <c r="C1830" s="1348">
        <v>320.02999999999997</v>
      </c>
      <c r="D1830" s="1349">
        <f>C1830*B1830</f>
        <v>32002.999999999996</v>
      </c>
      <c r="E1830" s="32"/>
      <c r="F1830" s="1486">
        <f>D1830/$D$1790</f>
        <v>0.13691035865193016</v>
      </c>
      <c r="G1830" s="1494">
        <v>25</v>
      </c>
      <c r="H1830" s="1488" t="s">
        <v>145</v>
      </c>
      <c r="J1830" s="3126" t="s">
        <v>392</v>
      </c>
      <c r="K1830" s="3120"/>
      <c r="L1830" s="3120"/>
      <c r="M1830" s="1489" t="str">
        <f>A1830</f>
        <v>APPL</v>
      </c>
      <c r="P1830" s="1200"/>
      <c r="Q1830" s="1508">
        <f>B1830*RIGHT(J1830,6)</f>
        <v>31226</v>
      </c>
      <c r="R1830" s="1491">
        <f>D1830</f>
        <v>32002.999999999996</v>
      </c>
      <c r="S1830" s="1510">
        <f>R1830-Q1830</f>
        <v>776.99999999999636</v>
      </c>
      <c r="T1830" s="1496">
        <f>(R1830-Q1830)/Q1830</f>
        <v>2.488311022865549E-2</v>
      </c>
    </row>
    <row r="1831" spans="1:20" hidden="1" outlineLevel="1" x14ac:dyDescent="0.35">
      <c r="A1831" s="7" t="s">
        <v>315</v>
      </c>
      <c r="B1831" s="1531">
        <v>100</v>
      </c>
      <c r="C1831" s="1143">
        <v>35</v>
      </c>
      <c r="D1831" s="1223">
        <f>C1831*B1831</f>
        <v>3500</v>
      </c>
      <c r="E1831" s="32"/>
      <c r="F1831" s="1486">
        <f>D1831/$D$1790</f>
        <v>1.497316674317269E-2</v>
      </c>
      <c r="G1831" s="1494"/>
      <c r="H1831" s="1488" t="s">
        <v>145</v>
      </c>
      <c r="J1831" s="3126" t="s">
        <v>393</v>
      </c>
      <c r="K1831" s="3120"/>
      <c r="L1831" s="3120"/>
      <c r="M1831" s="1489" t="str">
        <f>A1831</f>
        <v>LK</v>
      </c>
      <c r="P1831" s="1200"/>
      <c r="Q1831" s="1529">
        <f>B1831*RIGHT(J1831,6)</f>
        <v>4343</v>
      </c>
      <c r="R1831" s="1495">
        <f>D1831</f>
        <v>3500</v>
      </c>
      <c r="S1831" s="1492">
        <f>R1831-Q1831</f>
        <v>-843</v>
      </c>
      <c r="T1831" s="1493">
        <f>(R1831-Q1831)/Q1831</f>
        <v>-0.19410545705733365</v>
      </c>
    </row>
    <row r="1832" spans="1:20" hidden="1" outlineLevel="1" x14ac:dyDescent="0.35">
      <c r="A1832" s="1346" t="s">
        <v>394</v>
      </c>
      <c r="B1832" s="1347">
        <v>95</v>
      </c>
      <c r="C1832" s="1348">
        <v>666.49</v>
      </c>
      <c r="D1832" s="1349">
        <f>C1832*B1832</f>
        <v>63316.55</v>
      </c>
      <c r="E1832" s="32"/>
      <c r="F1832" s="1486">
        <f>D1832/$D$1790</f>
        <v>0.27087121735783737</v>
      </c>
      <c r="G1832" s="1494">
        <v>78</v>
      </c>
      <c r="H1832" s="1488" t="s">
        <v>216</v>
      </c>
      <c r="J1832" s="3126" t="s">
        <v>395</v>
      </c>
      <c r="K1832" s="3120"/>
      <c r="L1832" s="3120"/>
      <c r="M1832" s="1489" t="str">
        <f>A1832</f>
        <v>CSGP</v>
      </c>
      <c r="P1832" s="1200"/>
      <c r="Q1832" s="1529">
        <f>B1832*RIGHT(J1832,6)</f>
        <v>61923.850000000006</v>
      </c>
      <c r="R1832" s="1495">
        <f>D1832</f>
        <v>63316.55</v>
      </c>
      <c r="S1832" s="1510">
        <f>R1832-Q1832</f>
        <v>1392.6999999999971</v>
      </c>
      <c r="T1832" s="1530">
        <f>(R1832-Q1832)/Q1832</f>
        <v>2.2490526671064492E-2</v>
      </c>
    </row>
    <row r="1833" spans="1:20" ht="16" hidden="1" outlineLevel="1" thickBot="1" x14ac:dyDescent="0.4">
      <c r="A1833" s="1361" t="s">
        <v>7</v>
      </c>
      <c r="B1833" s="1362"/>
      <c r="C1833" s="1363"/>
      <c r="D1833" s="1364">
        <v>1955.67</v>
      </c>
      <c r="E1833" s="32"/>
      <c r="F1833" s="1499">
        <f>D1833/D$1601</f>
        <v>6.8002894018348364E-3</v>
      </c>
      <c r="G1833" s="1418"/>
      <c r="H1833" s="1500"/>
      <c r="I1833" s="1501"/>
      <c r="J1833" s="1282"/>
      <c r="K1833" s="1462"/>
      <c r="L1833" s="1463"/>
      <c r="Q1833" s="1532">
        <f>SUM(Q1828:Q1832)</f>
        <v>230184.85</v>
      </c>
      <c r="R1833" s="1532">
        <f>SUM(R1828:R1832)</f>
        <v>237937</v>
      </c>
      <c r="S1833" s="1532">
        <f>SUM(S1828:S1832)</f>
        <v>7752.1499999999905</v>
      </c>
    </row>
    <row r="1834" spans="1:20" ht="16" hidden="1" outlineLevel="1" thickBot="1" x14ac:dyDescent="0.4">
      <c r="A1834" s="1346" t="s">
        <v>60</v>
      </c>
      <c r="B1834" s="1347"/>
      <c r="C1834" s="1348"/>
      <c r="D1834" s="1349">
        <v>308.02999999999997</v>
      </c>
      <c r="E1834" s="32"/>
      <c r="F1834" s="1503">
        <f>D1834/D$1554</f>
        <v>1.0154505868716279E-3</v>
      </c>
      <c r="G1834" s="1504"/>
      <c r="H1834" s="1505"/>
      <c r="I1834" s="1290">
        <f>SUM(I1833:I1833)</f>
        <v>0</v>
      </c>
      <c r="J1834" s="1468"/>
      <c r="K1834" s="1151"/>
      <c r="L1834" s="1469"/>
      <c r="R1834" s="1470" t="str">
        <f>IF(SUM(D1830:D1832)&lt;&gt;R1833,"Out of Balance","Balances")</f>
        <v>Out of Balance</v>
      </c>
    </row>
    <row r="1835" spans="1:20" ht="19" hidden="1" outlineLevel="1" thickBot="1" x14ac:dyDescent="0.5">
      <c r="A1835" s="726" t="s">
        <v>62</v>
      </c>
      <c r="B1835" s="583"/>
      <c r="C1835" s="584"/>
      <c r="D1835" s="1230">
        <f>SUM(D1828:D1834)</f>
        <v>240200.7</v>
      </c>
      <c r="E1835" s="1538">
        <f>D1835-D1823</f>
        <v>4910.3295600000129</v>
      </c>
      <c r="F1835" s="1539">
        <f>(D1835-D1823)/D1823</f>
        <v>2.0869232985682967E-2</v>
      </c>
    </row>
    <row r="1836" spans="1:20" hidden="1" outlineLevel="1" x14ac:dyDescent="0.35"/>
    <row r="1837" spans="1:20" hidden="1" outlineLevel="1" x14ac:dyDescent="0.35">
      <c r="A1837" s="701" t="s">
        <v>25</v>
      </c>
      <c r="B1837" s="702" t="s">
        <v>26</v>
      </c>
      <c r="C1837" s="703" t="s">
        <v>27</v>
      </c>
      <c r="D1837" s="704">
        <f>D1825+14</f>
        <v>43882</v>
      </c>
      <c r="E1837" s="705" t="s">
        <v>28</v>
      </c>
      <c r="F1837" s="3138" t="s">
        <v>343</v>
      </c>
      <c r="G1837" s="3139"/>
      <c r="H1837" s="3140"/>
      <c r="I1837" s="1182"/>
      <c r="J1837" s="1183" t="s">
        <v>233</v>
      </c>
    </row>
    <row r="1838" spans="1:20" ht="16" hidden="1" outlineLevel="1" thickBot="1" x14ac:dyDescent="0.4">
      <c r="A1838" s="706" t="s">
        <v>32</v>
      </c>
      <c r="B1838" s="255" t="str">
        <f ca="1">TEXT(TODAY(),"ddd")</f>
        <v>Sun</v>
      </c>
      <c r="C1838" s="256">
        <v>29219</v>
      </c>
      <c r="D1838" s="1516">
        <f>C1838-C1826</f>
        <v>116.4900000000016</v>
      </c>
      <c r="E1838" s="32">
        <f>(C1838-C1826)/C1826</f>
        <v>4.0027475293368722E-3</v>
      </c>
      <c r="F1838" s="3130"/>
      <c r="G1838" s="3131"/>
      <c r="H1838" s="3132"/>
      <c r="I1838" s="1187"/>
      <c r="J1838" s="1188" t="s">
        <v>234</v>
      </c>
      <c r="K1838" s="1220" t="s">
        <v>34</v>
      </c>
      <c r="L1838" s="111" t="s">
        <v>35</v>
      </c>
    </row>
    <row r="1839" spans="1:20" hidden="1" outlineLevel="1" x14ac:dyDescent="0.35">
      <c r="A1839" s="709" t="s">
        <v>36</v>
      </c>
      <c r="B1839" s="263"/>
      <c r="C1839" s="419">
        <v>9750</v>
      </c>
      <c r="D1839" s="1516">
        <f>C1839-C1827</f>
        <v>230</v>
      </c>
      <c r="E1839" s="32">
        <f>(C1839-C1827)/C1827</f>
        <v>2.4159663865546219E-2</v>
      </c>
      <c r="F1839" s="1128" t="s">
        <v>37</v>
      </c>
      <c r="G1839" s="1518" t="s">
        <v>38</v>
      </c>
      <c r="H1839" s="1519" t="s">
        <v>144</v>
      </c>
      <c r="J1839" s="3137" t="s">
        <v>42</v>
      </c>
      <c r="K1839" s="3122"/>
      <c r="L1839" s="3123"/>
      <c r="M1839" s="1199" t="s">
        <v>244</v>
      </c>
      <c r="P1839" s="1200" t="s">
        <v>44</v>
      </c>
      <c r="Q1839" s="1479" t="s">
        <v>45</v>
      </c>
      <c r="R1839" s="1479" t="s">
        <v>46</v>
      </c>
      <c r="S1839" s="1479" t="s">
        <v>47</v>
      </c>
      <c r="T1839" s="1485" t="s">
        <v>48</v>
      </c>
    </row>
    <row r="1840" spans="1:20" hidden="1" outlineLevel="1" x14ac:dyDescent="0.35">
      <c r="A1840" s="1346" t="s">
        <v>389</v>
      </c>
      <c r="B1840" s="1347">
        <v>1000</v>
      </c>
      <c r="C1840" s="1348">
        <v>12.07</v>
      </c>
      <c r="D1840" s="1349">
        <f>C1840*B1840</f>
        <v>12070</v>
      </c>
      <c r="E1840" s="32"/>
      <c r="F1840" s="1486"/>
      <c r="G1840" s="1494"/>
      <c r="H1840" s="1488"/>
      <c r="J1840" s="3126" t="s">
        <v>390</v>
      </c>
      <c r="K1840" s="3120"/>
      <c r="L1840" s="3120"/>
      <c r="M1840" s="1489" t="str">
        <f>A1840</f>
        <v>SDC</v>
      </c>
      <c r="P1840" s="1200"/>
      <c r="Q1840" s="1529">
        <f>B1840*RIGHT(J1840,6)</f>
        <v>12120</v>
      </c>
      <c r="R1840" s="1495">
        <f>D1840</f>
        <v>12070</v>
      </c>
      <c r="S1840" s="1510">
        <f>R1840-Q1840</f>
        <v>-50</v>
      </c>
      <c r="T1840" s="1530">
        <f>(R1840-Q1840)/Q1840</f>
        <v>-4.125412541254125E-3</v>
      </c>
    </row>
    <row r="1841" spans="1:20" hidden="1" outlineLevel="1" x14ac:dyDescent="0.35">
      <c r="A1841" s="1346" t="s">
        <v>96</v>
      </c>
      <c r="B1841" s="1347">
        <v>215</v>
      </c>
      <c r="C1841" s="1348">
        <v>618.29</v>
      </c>
      <c r="D1841" s="1349">
        <f>C1841*B1841</f>
        <v>132932.35</v>
      </c>
      <c r="E1841" s="32"/>
      <c r="F1841" s="1486">
        <f>D1841/$D$1790</f>
        <v>0.56869092631765494</v>
      </c>
      <c r="G1841" s="1494">
        <v>50</v>
      </c>
      <c r="H1841" s="1488" t="s">
        <v>350</v>
      </c>
      <c r="J1841" s="3126" t="s">
        <v>385</v>
      </c>
      <c r="K1841" s="3120"/>
      <c r="L1841" s="3120"/>
      <c r="M1841" s="1489" t="str">
        <f>A1841</f>
        <v>ISRG</v>
      </c>
      <c r="P1841" s="1200"/>
      <c r="Q1841" s="1529">
        <f>B1841*RIGHT(J1841,6)</f>
        <v>120571.99999999999</v>
      </c>
      <c r="R1841" s="1495">
        <f>D1841</f>
        <v>132932.35</v>
      </c>
      <c r="S1841" s="1510">
        <f>R1841-Q1841</f>
        <v>12360.35000000002</v>
      </c>
      <c r="T1841" s="1530">
        <f>(R1841-Q1841)/Q1841</f>
        <v>0.10251426533523555</v>
      </c>
    </row>
    <row r="1842" spans="1:20" hidden="1" outlineLevel="1" x14ac:dyDescent="0.35">
      <c r="A1842" s="1346" t="s">
        <v>391</v>
      </c>
      <c r="B1842" s="1347">
        <v>100</v>
      </c>
      <c r="C1842" s="1348">
        <v>320.3</v>
      </c>
      <c r="D1842" s="1349">
        <f>C1842*B1842</f>
        <v>32030</v>
      </c>
      <c r="E1842" s="32"/>
      <c r="F1842" s="1486">
        <f>D1842/$D$1790</f>
        <v>0.13702586593823465</v>
      </c>
      <c r="G1842" s="1494">
        <v>25</v>
      </c>
      <c r="H1842" s="1488" t="s">
        <v>145</v>
      </c>
      <c r="J1842" s="3126" t="s">
        <v>392</v>
      </c>
      <c r="K1842" s="3120"/>
      <c r="L1842" s="3120"/>
      <c r="M1842" s="1489" t="str">
        <f>A1842</f>
        <v>APPL</v>
      </c>
      <c r="P1842" s="1200"/>
      <c r="Q1842" s="1508">
        <f>B1842*RIGHT(J1842,6)</f>
        <v>31226</v>
      </c>
      <c r="R1842" s="1491">
        <f>D1842</f>
        <v>32030</v>
      </c>
      <c r="S1842" s="1510">
        <f>R1842-Q1842</f>
        <v>804</v>
      </c>
      <c r="T1842" s="1496">
        <f>(R1842-Q1842)/Q1842</f>
        <v>2.5747774290655223E-2</v>
      </c>
    </row>
    <row r="1843" spans="1:20" hidden="1" outlineLevel="1" x14ac:dyDescent="0.35">
      <c r="A1843" s="7" t="s">
        <v>315</v>
      </c>
      <c r="B1843" s="1531">
        <v>100</v>
      </c>
      <c r="C1843" s="1143">
        <v>41.04</v>
      </c>
      <c r="D1843" s="1223">
        <f>C1843*B1843</f>
        <v>4104</v>
      </c>
      <c r="E1843" s="32"/>
      <c r="F1843" s="1486">
        <f>D1843/$D$1790</f>
        <v>1.7557107518280206E-2</v>
      </c>
      <c r="G1843" s="1494"/>
      <c r="H1843" s="1488" t="s">
        <v>145</v>
      </c>
      <c r="J1843" s="3126" t="s">
        <v>393</v>
      </c>
      <c r="K1843" s="3120"/>
      <c r="L1843" s="3120"/>
      <c r="M1843" s="1489" t="str">
        <f>A1843</f>
        <v>LK</v>
      </c>
      <c r="P1843" s="1200"/>
      <c r="Q1843" s="1529">
        <f>B1843*RIGHT(J1843,6)</f>
        <v>4343</v>
      </c>
      <c r="R1843" s="1495">
        <f>D1843</f>
        <v>4104</v>
      </c>
      <c r="S1843" s="1492">
        <f>R1843-Q1843</f>
        <v>-239</v>
      </c>
      <c r="T1843" s="1493">
        <f>(R1843-Q1843)/Q1843</f>
        <v>-5.5031084503799219E-2</v>
      </c>
    </row>
    <row r="1844" spans="1:20" hidden="1" outlineLevel="1" x14ac:dyDescent="0.35">
      <c r="A1844" s="1346" t="s">
        <v>394</v>
      </c>
      <c r="B1844" s="1347">
        <v>95</v>
      </c>
      <c r="C1844" s="1348">
        <v>721.51</v>
      </c>
      <c r="D1844" s="1349">
        <f>C1844*B1844</f>
        <v>68543.45</v>
      </c>
      <c r="E1844" s="32"/>
      <c r="F1844" s="1486">
        <f>D1844/$D$1790</f>
        <v>0.29323214457209146</v>
      </c>
      <c r="G1844" s="1494">
        <v>78</v>
      </c>
      <c r="H1844" s="1488" t="s">
        <v>216</v>
      </c>
      <c r="J1844" s="3126" t="s">
        <v>395</v>
      </c>
      <c r="K1844" s="3120"/>
      <c r="L1844" s="3120"/>
      <c r="M1844" s="1489" t="str">
        <f>A1844</f>
        <v>CSGP</v>
      </c>
      <c r="P1844" s="1200"/>
      <c r="Q1844" s="1529">
        <f>B1844*RIGHT(J1844,6)</f>
        <v>61923.850000000006</v>
      </c>
      <c r="R1844" s="1495">
        <f>D1844</f>
        <v>68543.45</v>
      </c>
      <c r="S1844" s="1510">
        <f>R1844-Q1844</f>
        <v>6619.5999999999913</v>
      </c>
      <c r="T1844" s="1530">
        <f>(R1844-Q1844)/Q1844</f>
        <v>0.1068990380927541</v>
      </c>
    </row>
    <row r="1845" spans="1:20" ht="16" hidden="1" outlineLevel="1" thickBot="1" x14ac:dyDescent="0.4">
      <c r="A1845" s="1361" t="s">
        <v>7</v>
      </c>
      <c r="B1845" s="1362"/>
      <c r="C1845" s="1363"/>
      <c r="D1845" s="1364">
        <v>1955.67</v>
      </c>
      <c r="E1845" s="32"/>
      <c r="F1845" s="1499">
        <f>D1845/D$1601</f>
        <v>6.8002894018348364E-3</v>
      </c>
      <c r="G1845" s="1418"/>
      <c r="H1845" s="1500"/>
      <c r="I1845" s="1501"/>
      <c r="J1845" s="1282"/>
      <c r="K1845" s="1462"/>
      <c r="L1845" s="1463"/>
      <c r="Q1845" s="1532">
        <f>SUM(Q1840:Q1844)</f>
        <v>230184.85</v>
      </c>
      <c r="R1845" s="1532">
        <f>SUM(R1840:R1844)</f>
        <v>249679.8</v>
      </c>
      <c r="S1845" s="1532">
        <f>SUM(S1840:S1844)</f>
        <v>19494.950000000012</v>
      </c>
    </row>
    <row r="1846" spans="1:20" ht="16" hidden="1" outlineLevel="1" thickBot="1" x14ac:dyDescent="0.4">
      <c r="A1846" s="1346" t="s">
        <v>60</v>
      </c>
      <c r="B1846" s="1347"/>
      <c r="C1846" s="1348"/>
      <c r="D1846" s="1349">
        <v>308.02999999999997</v>
      </c>
      <c r="E1846" s="32"/>
      <c r="F1846" s="1503">
        <f>D1846/D$1554</f>
        <v>1.0154505868716279E-3</v>
      </c>
      <c r="G1846" s="1504"/>
      <c r="H1846" s="1505"/>
      <c r="I1846" s="1290">
        <f>SUM(I1845:I1845)</f>
        <v>0</v>
      </c>
      <c r="J1846" s="1468"/>
      <c r="K1846" s="1151"/>
      <c r="L1846" s="1469"/>
      <c r="R1846" s="1470" t="str">
        <f>IF(SUM(D1840:D1844)&lt;&gt;R1845,"Out of Balance","Balances")</f>
        <v>Balances</v>
      </c>
    </row>
    <row r="1847" spans="1:20" ht="19" hidden="1" outlineLevel="1" thickBot="1" x14ac:dyDescent="0.5">
      <c r="A1847" s="726" t="s">
        <v>62</v>
      </c>
      <c r="B1847" s="583"/>
      <c r="C1847" s="584"/>
      <c r="D1847" s="1230">
        <f>SUM(D1840:D1846)</f>
        <v>251943.5</v>
      </c>
      <c r="E1847" s="1538">
        <f>D1847-D1835</f>
        <v>11742.799999999988</v>
      </c>
      <c r="F1847" s="1539">
        <f>(D1847-D1835)/D1835</f>
        <v>4.888745120226539E-2</v>
      </c>
    </row>
    <row r="1848" spans="1:20" hidden="1" outlineLevel="1" x14ac:dyDescent="0.35"/>
    <row r="1849" spans="1:20" hidden="1" outlineLevel="1" x14ac:dyDescent="0.35">
      <c r="A1849" s="701" t="s">
        <v>25</v>
      </c>
      <c r="B1849" s="702" t="s">
        <v>26</v>
      </c>
      <c r="C1849" s="703" t="s">
        <v>27</v>
      </c>
      <c r="D1849" s="704">
        <f>D1837+7</f>
        <v>43889</v>
      </c>
      <c r="E1849" s="705" t="s">
        <v>28</v>
      </c>
      <c r="F1849" s="3138" t="s">
        <v>343</v>
      </c>
      <c r="G1849" s="3139"/>
      <c r="H1849" s="3140"/>
      <c r="I1849" s="1182"/>
      <c r="J1849" s="1183" t="s">
        <v>233</v>
      </c>
    </row>
    <row r="1850" spans="1:20" ht="16" hidden="1" outlineLevel="1" thickBot="1" x14ac:dyDescent="0.4">
      <c r="A1850" s="706" t="s">
        <v>32</v>
      </c>
      <c r="B1850" s="255" t="str">
        <f ca="1">TEXT(TODAY(),"ddd")</f>
        <v>Sun</v>
      </c>
      <c r="C1850" s="256">
        <v>25409</v>
      </c>
      <c r="D1850" s="1516">
        <f>C1850-C1838</f>
        <v>-3810</v>
      </c>
      <c r="E1850" s="1185">
        <f>(C1850-C1838)/C1838</f>
        <v>-0.13039460624935831</v>
      </c>
      <c r="F1850" s="3130"/>
      <c r="G1850" s="3131"/>
      <c r="H1850" s="3132"/>
      <c r="I1850" s="1187"/>
      <c r="J1850" s="1188" t="s">
        <v>234</v>
      </c>
      <c r="K1850" s="1220" t="s">
        <v>34</v>
      </c>
      <c r="L1850" s="111" t="s">
        <v>35</v>
      </c>
    </row>
    <row r="1851" spans="1:20" hidden="1" outlineLevel="1" x14ac:dyDescent="0.35">
      <c r="A1851" s="709" t="s">
        <v>36</v>
      </c>
      <c r="B1851" s="263"/>
      <c r="C1851" s="419">
        <v>8567</v>
      </c>
      <c r="D1851" s="1516">
        <f>C1851-C1839</f>
        <v>-1183</v>
      </c>
      <c r="E1851" s="1185">
        <f>(C1851-C1839)/C1839</f>
        <v>-0.12133333333333333</v>
      </c>
      <c r="F1851" s="1128" t="s">
        <v>37</v>
      </c>
      <c r="G1851" s="1518" t="s">
        <v>38</v>
      </c>
      <c r="H1851" s="1519" t="s">
        <v>144</v>
      </c>
      <c r="J1851" s="3137" t="s">
        <v>42</v>
      </c>
      <c r="K1851" s="3122"/>
      <c r="L1851" s="3123"/>
      <c r="M1851" s="1199" t="s">
        <v>244</v>
      </c>
      <c r="P1851" s="1200" t="s">
        <v>44</v>
      </c>
      <c r="Q1851" s="1479" t="s">
        <v>45</v>
      </c>
      <c r="R1851" s="1479" t="s">
        <v>46</v>
      </c>
      <c r="S1851" s="1479" t="s">
        <v>47</v>
      </c>
      <c r="T1851" s="1485" t="s">
        <v>48</v>
      </c>
    </row>
    <row r="1852" spans="1:20" hidden="1" outlineLevel="1" x14ac:dyDescent="0.35">
      <c r="A1852" s="1346" t="s">
        <v>389</v>
      </c>
      <c r="B1852" s="1347">
        <v>1000</v>
      </c>
      <c r="C1852" s="1348">
        <v>7.48</v>
      </c>
      <c r="D1852" s="1349">
        <f>C1852*B1852</f>
        <v>7480</v>
      </c>
      <c r="E1852" s="1540">
        <f>(D1852-D1840)/D1840</f>
        <v>-0.38028169014084506</v>
      </c>
      <c r="F1852" s="1486"/>
      <c r="G1852" s="1494"/>
      <c r="H1852" s="1488"/>
      <c r="J1852" s="3126" t="s">
        <v>390</v>
      </c>
      <c r="K1852" s="3120"/>
      <c r="L1852" s="3120"/>
      <c r="M1852" s="1489" t="str">
        <f>A1852</f>
        <v>SDC</v>
      </c>
      <c r="P1852" s="1200"/>
      <c r="Q1852" s="1529">
        <f>B1852*RIGHT(J1852,6)</f>
        <v>12120</v>
      </c>
      <c r="R1852" s="1495">
        <f>D1852</f>
        <v>7480</v>
      </c>
      <c r="S1852" s="1492">
        <f>R1852-Q1852</f>
        <v>-4640</v>
      </c>
      <c r="T1852" s="1493">
        <f>(R1852-Q1852)/Q1852</f>
        <v>-0.38283828382838286</v>
      </c>
    </row>
    <row r="1853" spans="1:20" hidden="1" outlineLevel="1" x14ac:dyDescent="0.35">
      <c r="A1853" s="1346" t="s">
        <v>96</v>
      </c>
      <c r="B1853" s="1347">
        <v>215</v>
      </c>
      <c r="C1853" s="1348">
        <v>533.96</v>
      </c>
      <c r="D1853" s="1349">
        <f>C1853*B1853</f>
        <v>114801.40000000001</v>
      </c>
      <c r="E1853" s="1540">
        <f>(D1853-D1841)/D1841</f>
        <v>-0.13639230781672029</v>
      </c>
      <c r="F1853" s="1486">
        <f>D1853/$D$1790</f>
        <v>0.49112585844276158</v>
      </c>
      <c r="G1853" s="1494">
        <v>50</v>
      </c>
      <c r="H1853" s="1488" t="s">
        <v>350</v>
      </c>
      <c r="J1853" s="3126" t="s">
        <v>385</v>
      </c>
      <c r="K1853" s="3120"/>
      <c r="L1853" s="3120"/>
      <c r="M1853" s="1489" t="str">
        <f>A1853</f>
        <v>ISRG</v>
      </c>
      <c r="P1853" s="1200"/>
      <c r="Q1853" s="1529">
        <f>B1853*RIGHT(J1853,6)</f>
        <v>120571.99999999999</v>
      </c>
      <c r="R1853" s="1495">
        <f>D1853</f>
        <v>114801.40000000001</v>
      </c>
      <c r="S1853" s="1492">
        <f>R1853-Q1853</f>
        <v>-5770.5999999999767</v>
      </c>
      <c r="T1853" s="1493">
        <f>(R1853-Q1853)/Q1853</f>
        <v>-4.7860199714693109E-2</v>
      </c>
    </row>
    <row r="1854" spans="1:20" hidden="1" outlineLevel="1" x14ac:dyDescent="0.35">
      <c r="A1854" s="1346" t="s">
        <v>391</v>
      </c>
      <c r="B1854" s="1347">
        <v>100</v>
      </c>
      <c r="C1854" s="1348">
        <v>273.36</v>
      </c>
      <c r="D1854" s="1349">
        <f>C1854*B1854</f>
        <v>27336</v>
      </c>
      <c r="E1854" s="1540">
        <f>(D1854-D1842)/D1842</f>
        <v>-0.14655010927255699</v>
      </c>
      <c r="F1854" s="1486">
        <f>D1854/$D$1790</f>
        <v>0.11694471031181962</v>
      </c>
      <c r="G1854" s="1494">
        <v>25</v>
      </c>
      <c r="H1854" s="1488" t="s">
        <v>145</v>
      </c>
      <c r="J1854" s="3126" t="s">
        <v>392</v>
      </c>
      <c r="K1854" s="3120"/>
      <c r="L1854" s="3120"/>
      <c r="M1854" s="1489" t="str">
        <f>A1854</f>
        <v>APPL</v>
      </c>
      <c r="P1854" s="1200"/>
      <c r="Q1854" s="1508">
        <f>B1854*RIGHT(J1854,6)</f>
        <v>31226</v>
      </c>
      <c r="R1854" s="1491">
        <f>D1854</f>
        <v>27336</v>
      </c>
      <c r="S1854" s="1492">
        <f>R1854-Q1854</f>
        <v>-3890</v>
      </c>
      <c r="T1854" s="1513">
        <f>(R1854-Q1854)/Q1854</f>
        <v>-0.12457567411772241</v>
      </c>
    </row>
    <row r="1855" spans="1:20" hidden="1" outlineLevel="1" x14ac:dyDescent="0.35">
      <c r="A1855" s="7" t="s">
        <v>315</v>
      </c>
      <c r="B1855" s="1531">
        <v>100</v>
      </c>
      <c r="C1855" s="1143">
        <v>39.56</v>
      </c>
      <c r="D1855" s="1223">
        <f>C1855*B1855</f>
        <v>3956</v>
      </c>
      <c r="E1855" s="1540">
        <f>(D1855-D1843)/D1843</f>
        <v>-3.6062378167641324E-2</v>
      </c>
      <c r="F1855" s="1486">
        <f>D1855/$D$1790</f>
        <v>1.6923956467426046E-2</v>
      </c>
      <c r="G1855" s="1494"/>
      <c r="H1855" s="1488" t="s">
        <v>145</v>
      </c>
      <c r="J1855" s="3126" t="s">
        <v>393</v>
      </c>
      <c r="K1855" s="3120"/>
      <c r="L1855" s="3120"/>
      <c r="M1855" s="1489" t="str">
        <f>A1855</f>
        <v>LK</v>
      </c>
      <c r="P1855" s="1200"/>
      <c r="Q1855" s="1529">
        <f>B1855*RIGHT(J1855,6)</f>
        <v>4343</v>
      </c>
      <c r="R1855" s="1495">
        <f>D1855</f>
        <v>3956</v>
      </c>
      <c r="S1855" s="1492">
        <f>R1855-Q1855</f>
        <v>-387</v>
      </c>
      <c r="T1855" s="1493">
        <f>(R1855-Q1855)/Q1855</f>
        <v>-8.9108910891089105E-2</v>
      </c>
    </row>
    <row r="1856" spans="1:20" hidden="1" outlineLevel="1" x14ac:dyDescent="0.35">
      <c r="A1856" s="1346" t="s">
        <v>394</v>
      </c>
      <c r="B1856" s="1347">
        <v>95</v>
      </c>
      <c r="C1856" s="1348">
        <v>667.59</v>
      </c>
      <c r="D1856" s="1349">
        <f>C1856*B1856</f>
        <v>63421.05</v>
      </c>
      <c r="E1856" s="1540">
        <f>(D1856-D1844)/D1844</f>
        <v>-7.4732158944435897E-2</v>
      </c>
      <c r="F1856" s="1486">
        <f>D1856/$D$1790</f>
        <v>0.27131827333631209</v>
      </c>
      <c r="G1856" s="1494">
        <v>78</v>
      </c>
      <c r="H1856" s="1488" t="s">
        <v>216</v>
      </c>
      <c r="J1856" s="3126" t="s">
        <v>395</v>
      </c>
      <c r="K1856" s="3120"/>
      <c r="L1856" s="3120"/>
      <c r="M1856" s="1489" t="str">
        <f>A1856</f>
        <v>CSGP</v>
      </c>
      <c r="P1856" s="1200"/>
      <c r="Q1856" s="1529">
        <f>B1856*RIGHT(J1856,6)</f>
        <v>61923.850000000006</v>
      </c>
      <c r="R1856" s="1495">
        <f>D1856</f>
        <v>63421.05</v>
      </c>
      <c r="S1856" s="1510">
        <f>R1856-Q1856</f>
        <v>1497.1999999999971</v>
      </c>
      <c r="T1856" s="1530">
        <f>(R1856-Q1856)/Q1856</f>
        <v>2.4178083242563195E-2</v>
      </c>
    </row>
    <row r="1857" spans="1:20" ht="16" hidden="1" outlineLevel="1" thickBot="1" x14ac:dyDescent="0.4">
      <c r="A1857" s="1361" t="s">
        <v>7</v>
      </c>
      <c r="B1857" s="1362"/>
      <c r="C1857" s="1363"/>
      <c r="D1857" s="1364">
        <v>1862.85</v>
      </c>
      <c r="E1857" s="32"/>
      <c r="F1857" s="1499">
        <f>D1857/D$1601</f>
        <v>6.4775340994176036E-3</v>
      </c>
      <c r="G1857" s="1418"/>
      <c r="H1857" s="1500"/>
      <c r="I1857" s="1501"/>
      <c r="J1857" s="1282"/>
      <c r="K1857" s="1462"/>
      <c r="L1857" s="1463"/>
      <c r="Q1857" s="1532">
        <f>SUM(Q1852:Q1856)</f>
        <v>230184.85</v>
      </c>
      <c r="R1857" s="1532">
        <f>SUM(R1852:R1856)</f>
        <v>216994.45</v>
      </c>
      <c r="S1857" s="1522">
        <f>SUM(S1852:S1856)</f>
        <v>-13190.39999999998</v>
      </c>
    </row>
    <row r="1858" spans="1:20" ht="16" hidden="1" outlineLevel="1" thickBot="1" x14ac:dyDescent="0.4">
      <c r="A1858" s="1346" t="s">
        <v>60</v>
      </c>
      <c r="B1858" s="1347"/>
      <c r="C1858" s="1348"/>
      <c r="D1858" s="1349">
        <v>308.02999999999997</v>
      </c>
      <c r="E1858" s="32"/>
      <c r="F1858" s="1503">
        <f>D1858/D$1554</f>
        <v>1.0154505868716279E-3</v>
      </c>
      <c r="G1858" s="1504"/>
      <c r="H1858" s="1505"/>
      <c r="I1858" s="1290">
        <f>SUM(I1857:I1857)</f>
        <v>0</v>
      </c>
      <c r="J1858" s="1468"/>
      <c r="K1858" s="1151"/>
      <c r="L1858" s="1469"/>
      <c r="R1858" s="1470" t="str">
        <f>IF(SUM(D1852:D1856)&lt;&gt;R1857,"Out of Balance","Balances")</f>
        <v>Balances</v>
      </c>
    </row>
    <row r="1859" spans="1:20" ht="19" hidden="1" outlineLevel="1" thickBot="1" x14ac:dyDescent="0.5">
      <c r="A1859" s="726" t="s">
        <v>62</v>
      </c>
      <c r="B1859" s="583"/>
      <c r="C1859" s="584"/>
      <c r="D1859" s="1541">
        <f>SUM(D1852:D1858)</f>
        <v>219165.33000000002</v>
      </c>
      <c r="E1859" s="73">
        <f>D1859-D1847</f>
        <v>-32778.169999999984</v>
      </c>
      <c r="F1859" s="1537">
        <f>(D1859-D1847)/D1847</f>
        <v>-0.13010127270598362</v>
      </c>
      <c r="H1859" s="1542">
        <f>SUM(E1859,E1847,E1835)</f>
        <v>-16125.040439999982</v>
      </c>
      <c r="I1859" s="1543" t="str">
        <f>TEXT(D1849,"mmmm")</f>
        <v>February</v>
      </c>
    </row>
    <row r="1860" spans="1:20" hidden="1" outlineLevel="1" x14ac:dyDescent="0.35"/>
    <row r="1861" spans="1:20" hidden="1" outlineLevel="1" x14ac:dyDescent="0.35">
      <c r="A1861" s="701" t="s">
        <v>25</v>
      </c>
      <c r="B1861" s="702" t="s">
        <v>26</v>
      </c>
      <c r="C1861" s="703" t="s">
        <v>27</v>
      </c>
      <c r="D1861" s="704">
        <f>D1849+7</f>
        <v>43896</v>
      </c>
      <c r="E1861" s="705" t="s">
        <v>28</v>
      </c>
      <c r="F1861" s="3138" t="s">
        <v>343</v>
      </c>
      <c r="G1861" s="3139"/>
      <c r="H1861" s="3140"/>
      <c r="I1861" s="1182"/>
      <c r="J1861" s="1183" t="s">
        <v>233</v>
      </c>
    </row>
    <row r="1862" spans="1:20" ht="16" hidden="1" outlineLevel="1" thickBot="1" x14ac:dyDescent="0.4">
      <c r="A1862" s="706" t="s">
        <v>32</v>
      </c>
      <c r="B1862" s="255" t="str">
        <f ca="1">TEXT(TODAY(),"ddd")</f>
        <v>Sun</v>
      </c>
      <c r="C1862" s="256">
        <v>25864.78</v>
      </c>
      <c r="D1862" s="1516">
        <f>C1862-C1850</f>
        <v>455.77999999999884</v>
      </c>
      <c r="E1862" s="1185">
        <f>(C1862-C1850)/C1850</f>
        <v>1.7937738596560227E-2</v>
      </c>
      <c r="F1862" s="3130"/>
      <c r="G1862" s="3131"/>
      <c r="H1862" s="3132"/>
      <c r="I1862" s="1187"/>
      <c r="J1862" s="1188" t="s">
        <v>234</v>
      </c>
      <c r="K1862" s="1220" t="s">
        <v>34</v>
      </c>
      <c r="L1862" s="111" t="s">
        <v>35</v>
      </c>
    </row>
    <row r="1863" spans="1:20" hidden="1" outlineLevel="1" x14ac:dyDescent="0.35">
      <c r="A1863" s="709" t="s">
        <v>36</v>
      </c>
      <c r="B1863" s="263"/>
      <c r="C1863" s="419">
        <v>8575</v>
      </c>
      <c r="D1863" s="1516">
        <f>C1863-C1851</f>
        <v>8</v>
      </c>
      <c r="E1863" s="1185">
        <f>(C1863-C1851)/C1851</f>
        <v>9.3381580483249682E-4</v>
      </c>
      <c r="F1863" s="1128" t="s">
        <v>37</v>
      </c>
      <c r="G1863" s="1518" t="s">
        <v>38</v>
      </c>
      <c r="H1863" s="1519" t="s">
        <v>144</v>
      </c>
      <c r="J1863" s="3137" t="s">
        <v>42</v>
      </c>
      <c r="K1863" s="3122"/>
      <c r="L1863" s="3123"/>
      <c r="M1863" s="1199" t="s">
        <v>244</v>
      </c>
      <c r="P1863" s="1200" t="s">
        <v>44</v>
      </c>
      <c r="Q1863" s="1479" t="s">
        <v>45</v>
      </c>
      <c r="R1863" s="1479" t="s">
        <v>46</v>
      </c>
      <c r="S1863" s="1479" t="s">
        <v>47</v>
      </c>
      <c r="T1863" s="1485" t="s">
        <v>48</v>
      </c>
    </row>
    <row r="1864" spans="1:20" hidden="1" outlineLevel="1" x14ac:dyDescent="0.35">
      <c r="A1864" s="1346" t="s">
        <v>389</v>
      </c>
      <c r="B1864" s="1347">
        <v>1000</v>
      </c>
      <c r="C1864" s="1348">
        <v>8.06</v>
      </c>
      <c r="D1864" s="1349">
        <f>C1864*B1864</f>
        <v>8060.0000000000009</v>
      </c>
      <c r="E1864" s="1544">
        <f>(D1864-D1852)/D1852</f>
        <v>7.7540106951871773E-2</v>
      </c>
      <c r="F1864" s="1486"/>
      <c r="G1864" s="1494"/>
      <c r="H1864" s="1488"/>
      <c r="J1864" s="3126" t="s">
        <v>390</v>
      </c>
      <c r="K1864" s="3120"/>
      <c r="L1864" s="3120"/>
      <c r="M1864" s="1489" t="str">
        <f>A1864</f>
        <v>SDC</v>
      </c>
      <c r="P1864" s="1200"/>
      <c r="Q1864" s="1529">
        <f>B1864*RIGHT(J1864,6)</f>
        <v>12120</v>
      </c>
      <c r="R1864" s="1495">
        <f>D1864</f>
        <v>8060.0000000000009</v>
      </c>
      <c r="S1864" s="1492">
        <f>R1864-Q1864</f>
        <v>-4059.9999999999991</v>
      </c>
      <c r="T1864" s="1493">
        <f>(R1864-Q1864)/Q1864</f>
        <v>-0.33498349834983493</v>
      </c>
    </row>
    <row r="1865" spans="1:20" hidden="1" outlineLevel="1" x14ac:dyDescent="0.35">
      <c r="A1865" s="1346" t="s">
        <v>96</v>
      </c>
      <c r="B1865" s="1347">
        <v>215</v>
      </c>
      <c r="C1865" s="1348">
        <v>555.14</v>
      </c>
      <c r="D1865" s="1349">
        <f>C1865*B1865</f>
        <v>119355.09999999999</v>
      </c>
      <c r="E1865" s="1544">
        <f>(D1865-D1853)/D1853</f>
        <v>3.9665892576222786E-2</v>
      </c>
      <c r="F1865" s="1486">
        <f>D1865/$D$1790</f>
        <v>0.51060680398515734</v>
      </c>
      <c r="G1865" s="1494">
        <v>48</v>
      </c>
      <c r="H1865" s="1488" t="s">
        <v>350</v>
      </c>
      <c r="J1865" s="3126" t="s">
        <v>385</v>
      </c>
      <c r="K1865" s="3120"/>
      <c r="L1865" s="3120"/>
      <c r="M1865" s="1489" t="str">
        <f>A1865</f>
        <v>ISRG</v>
      </c>
      <c r="P1865" s="1200"/>
      <c r="Q1865" s="1529">
        <f>B1865*RIGHT(J1865,6)</f>
        <v>120571.99999999999</v>
      </c>
      <c r="R1865" s="1495">
        <f>D1865</f>
        <v>119355.09999999999</v>
      </c>
      <c r="S1865" s="1492">
        <f>R1865-Q1865</f>
        <v>-1216.8999999999942</v>
      </c>
      <c r="T1865" s="1493">
        <f>(R1865-Q1865)/Q1865</f>
        <v>-1.009272467902991E-2</v>
      </c>
    </row>
    <row r="1866" spans="1:20" hidden="1" outlineLevel="1" x14ac:dyDescent="0.35">
      <c r="A1866" s="1346" t="s">
        <v>391</v>
      </c>
      <c r="B1866" s="1347">
        <v>100</v>
      </c>
      <c r="C1866" s="1348">
        <v>288.95</v>
      </c>
      <c r="D1866" s="1349">
        <f>C1866*B1866</f>
        <v>28895</v>
      </c>
      <c r="E1866" s="1544">
        <f>(D1866-D1854)/D1854</f>
        <v>5.7031021363769391E-2</v>
      </c>
      <c r="F1866" s="1486">
        <f>D1866/$D$1790</f>
        <v>0.12361418658399283</v>
      </c>
      <c r="G1866" s="1494">
        <v>23</v>
      </c>
      <c r="H1866" s="1488" t="s">
        <v>145</v>
      </c>
      <c r="J1866" s="3126" t="s">
        <v>392</v>
      </c>
      <c r="K1866" s="3120"/>
      <c r="L1866" s="3120"/>
      <c r="M1866" s="1489" t="str">
        <f>A1866</f>
        <v>APPL</v>
      </c>
      <c r="P1866" s="1200"/>
      <c r="Q1866" s="1508">
        <f>B1866*RIGHT(J1866,6)</f>
        <v>31226</v>
      </c>
      <c r="R1866" s="1491">
        <f>D1866</f>
        <v>28895</v>
      </c>
      <c r="S1866" s="1492">
        <f>R1866-Q1866</f>
        <v>-2331</v>
      </c>
      <c r="T1866" s="1513">
        <f>(R1866-Q1866)/Q1866</f>
        <v>-7.4649330685966825E-2</v>
      </c>
    </row>
    <row r="1867" spans="1:20" hidden="1" outlineLevel="1" x14ac:dyDescent="0.35">
      <c r="A1867" s="7" t="s">
        <v>315</v>
      </c>
      <c r="B1867" s="1531">
        <v>100</v>
      </c>
      <c r="C1867" s="1143">
        <v>37.94</v>
      </c>
      <c r="D1867" s="1223">
        <f>C1867*B1867</f>
        <v>3794</v>
      </c>
      <c r="E1867" s="1540">
        <f>(D1867-D1855)/D1855</f>
        <v>-4.0950455005055612E-2</v>
      </c>
      <c r="F1867" s="1486">
        <f>D1867/$D$1790</f>
        <v>1.6230912749599195E-2</v>
      </c>
      <c r="G1867" s="1494"/>
      <c r="H1867" s="1488" t="s">
        <v>145</v>
      </c>
      <c r="J1867" s="3126" t="s">
        <v>393</v>
      </c>
      <c r="K1867" s="3120"/>
      <c r="L1867" s="3120"/>
      <c r="M1867" s="1489" t="str">
        <f>A1867</f>
        <v>LK</v>
      </c>
      <c r="P1867" s="1200"/>
      <c r="Q1867" s="1529">
        <f>B1867*RIGHT(J1867,6)</f>
        <v>4343</v>
      </c>
      <c r="R1867" s="1495">
        <f>D1867</f>
        <v>3794</v>
      </c>
      <c r="S1867" s="1492">
        <f>R1867-Q1867</f>
        <v>-549</v>
      </c>
      <c r="T1867" s="1493">
        <f>(R1867-Q1867)/Q1867</f>
        <v>-0.12641031545014966</v>
      </c>
    </row>
    <row r="1868" spans="1:20" hidden="1" outlineLevel="1" x14ac:dyDescent="0.35">
      <c r="A1868" s="1346" t="s">
        <v>394</v>
      </c>
      <c r="B1868" s="1347">
        <v>95</v>
      </c>
      <c r="C1868" s="1348">
        <v>707.24</v>
      </c>
      <c r="D1868" s="1349">
        <f>C1868*B1868</f>
        <v>67187.8</v>
      </c>
      <c r="E1868" s="1544">
        <f>(D1868-D1856)/D1856</f>
        <v>5.9392741053640702E-2</v>
      </c>
      <c r="F1868" s="1486">
        <f>D1868/$D$1790</f>
        <v>0.28743260928769659</v>
      </c>
      <c r="G1868" s="1494">
        <v>82</v>
      </c>
      <c r="H1868" s="1488" t="s">
        <v>216</v>
      </c>
      <c r="J1868" s="3126" t="s">
        <v>395</v>
      </c>
      <c r="K1868" s="3120"/>
      <c r="L1868" s="3120"/>
      <c r="M1868" s="1489" t="str">
        <f>A1868</f>
        <v>CSGP</v>
      </c>
      <c r="P1868" s="1200"/>
      <c r="Q1868" s="1529">
        <f>B1868*RIGHT(J1868,6)</f>
        <v>61923.850000000006</v>
      </c>
      <c r="R1868" s="1495">
        <f>D1868</f>
        <v>67187.8</v>
      </c>
      <c r="S1868" s="1510">
        <f>R1868-Q1868</f>
        <v>5263.9499999999971</v>
      </c>
      <c r="T1868" s="1530">
        <f>(R1868-Q1868)/Q1868</f>
        <v>8.5006826933402821E-2</v>
      </c>
    </row>
    <row r="1869" spans="1:20" ht="16" hidden="1" outlineLevel="1" thickBot="1" x14ac:dyDescent="0.4">
      <c r="A1869" s="1361" t="s">
        <v>7</v>
      </c>
      <c r="B1869" s="1362"/>
      <c r="C1869" s="1363"/>
      <c r="D1869" s="1364">
        <v>1862.85</v>
      </c>
      <c r="E1869" s="32"/>
      <c r="F1869" s="1499">
        <f>D1869/D$1601</f>
        <v>6.4775340994176036E-3</v>
      </c>
      <c r="G1869" s="1418"/>
      <c r="H1869" s="1500"/>
      <c r="I1869" s="1501"/>
      <c r="J1869" s="1282"/>
      <c r="K1869" s="1462"/>
      <c r="L1869" s="1463"/>
      <c r="Q1869" s="1532">
        <f>SUM(Q1864:Q1868)</f>
        <v>230184.85</v>
      </c>
      <c r="R1869" s="1532">
        <f>SUM(R1864:R1868)</f>
        <v>227291.89999999997</v>
      </c>
      <c r="S1869" s="1522">
        <f>SUM(S1864:S1868)</f>
        <v>-2892.9499999999962</v>
      </c>
    </row>
    <row r="1870" spans="1:20" ht="16" hidden="1" outlineLevel="1" thickBot="1" x14ac:dyDescent="0.4">
      <c r="A1870" s="1346" t="s">
        <v>60</v>
      </c>
      <c r="B1870" s="1347"/>
      <c r="C1870" s="1348"/>
      <c r="D1870" s="1349">
        <v>308.02999999999997</v>
      </c>
      <c r="E1870" s="32"/>
      <c r="F1870" s="1503">
        <f>D1870/D$1554</f>
        <v>1.0154505868716279E-3</v>
      </c>
      <c r="G1870" s="1504"/>
      <c r="H1870" s="1505"/>
      <c r="I1870" s="1290">
        <f>SUM(I1869:I1869)</f>
        <v>0</v>
      </c>
      <c r="J1870" s="1468"/>
      <c r="K1870" s="1151"/>
      <c r="L1870" s="1469"/>
      <c r="R1870" s="1470" t="str">
        <f>IF(SUM(D1864:D1868)&lt;&gt;R1869,"Out of Balance","Balances")</f>
        <v>Balances</v>
      </c>
    </row>
    <row r="1871" spans="1:20" ht="19" hidden="1" outlineLevel="1" thickBot="1" x14ac:dyDescent="0.5">
      <c r="A1871" s="726" t="s">
        <v>62</v>
      </c>
      <c r="B1871" s="583"/>
      <c r="C1871" s="584"/>
      <c r="D1871" s="1230">
        <f>SUM(D1864:D1870)</f>
        <v>229462.77999999997</v>
      </c>
      <c r="E1871" s="1538">
        <f>D1871-D1859</f>
        <v>10297.449999999953</v>
      </c>
      <c r="F1871" s="1545">
        <f>(D1871-D1859)/D1859</f>
        <v>4.6984849291628161E-2</v>
      </c>
    </row>
    <row r="1872" spans="1:20" hidden="1" outlineLevel="1" x14ac:dyDescent="0.35"/>
    <row r="1873" spans="1:20" hidden="1" outlineLevel="1" x14ac:dyDescent="0.35">
      <c r="A1873" s="1546" t="s">
        <v>25</v>
      </c>
      <c r="B1873" s="1547" t="s">
        <v>26</v>
      </c>
      <c r="C1873" s="1548" t="s">
        <v>27</v>
      </c>
      <c r="D1873" s="1549">
        <f>D1861+7</f>
        <v>43903</v>
      </c>
      <c r="E1873" s="1550" t="s">
        <v>28</v>
      </c>
      <c r="F1873" s="3127" t="s">
        <v>396</v>
      </c>
      <c r="G1873" s="3128"/>
      <c r="H1873" s="3129"/>
      <c r="I1873" s="1551">
        <f>E1882+E1871+E1859</f>
        <v>-63407.260000000009</v>
      </c>
      <c r="J1873" s="1552" t="s">
        <v>233</v>
      </c>
      <c r="K1873" s="64"/>
      <c r="L1873" s="64"/>
      <c r="M1873" s="64"/>
      <c r="P1873" s="64"/>
      <c r="Q1873" s="64"/>
      <c r="R1873" s="64"/>
      <c r="S1873" s="64"/>
      <c r="T1873" s="1553"/>
    </row>
    <row r="1874" spans="1:20" ht="16" hidden="1" outlineLevel="1" thickBot="1" x14ac:dyDescent="0.4">
      <c r="A1874" s="1554" t="s">
        <v>32</v>
      </c>
      <c r="B1874" s="255" t="str">
        <f ca="1">TEXT(TODAY(),"ddd")</f>
        <v>Sun</v>
      </c>
      <c r="C1874" s="256">
        <v>21200.62</v>
      </c>
      <c r="D1874" s="1516">
        <f>C1874-C1862</f>
        <v>-4664.16</v>
      </c>
      <c r="E1874" s="1185">
        <f>(C1874-C1862)/C1862</f>
        <v>-0.18032861675220127</v>
      </c>
      <c r="F1874" s="3130"/>
      <c r="G1874" s="3131"/>
      <c r="H1874" s="3132"/>
      <c r="I1874" s="1187"/>
      <c r="J1874" s="1188" t="s">
        <v>234</v>
      </c>
      <c r="K1874" s="1220" t="s">
        <v>34</v>
      </c>
      <c r="L1874" s="111" t="s">
        <v>35</v>
      </c>
      <c r="T1874" s="1555"/>
    </row>
    <row r="1875" spans="1:20" hidden="1" outlineLevel="1" x14ac:dyDescent="0.35">
      <c r="A1875" s="1556" t="s">
        <v>36</v>
      </c>
      <c r="B1875" s="1557"/>
      <c r="C1875" s="419">
        <v>7201.8</v>
      </c>
      <c r="D1875" s="1516">
        <f>C1875-C1863</f>
        <v>-1373.1999999999998</v>
      </c>
      <c r="E1875" s="1185">
        <f>(C1875-C1863)/C1863</f>
        <v>-0.16013994169096207</v>
      </c>
      <c r="F1875" s="1128" t="s">
        <v>37</v>
      </c>
      <c r="G1875" s="1518" t="s">
        <v>38</v>
      </c>
      <c r="H1875" s="1519" t="s">
        <v>144</v>
      </c>
      <c r="J1875" s="3137" t="s">
        <v>42</v>
      </c>
      <c r="K1875" s="3122"/>
      <c r="L1875" s="3123"/>
      <c r="M1875" s="1199" t="s">
        <v>244</v>
      </c>
      <c r="P1875" s="1200" t="s">
        <v>44</v>
      </c>
      <c r="Q1875" s="1479" t="s">
        <v>45</v>
      </c>
      <c r="R1875" s="1479" t="s">
        <v>46</v>
      </c>
      <c r="S1875" s="1479" t="s">
        <v>47</v>
      </c>
      <c r="T1875" s="1558" t="s">
        <v>48</v>
      </c>
    </row>
    <row r="1876" spans="1:20" hidden="1" outlineLevel="1" x14ac:dyDescent="0.35">
      <c r="A1876" s="1559" t="s">
        <v>397</v>
      </c>
      <c r="B1876" s="1347">
        <v>540</v>
      </c>
      <c r="C1876" s="1348">
        <v>9.5</v>
      </c>
      <c r="D1876" s="1349">
        <f>C1876*B1876</f>
        <v>5130</v>
      </c>
      <c r="E1876" s="1540">
        <f>(D1876-D1864)/D1864</f>
        <v>-0.3635235732009926</v>
      </c>
      <c r="F1876" s="1486"/>
      <c r="G1876" s="1560" t="s">
        <v>398</v>
      </c>
      <c r="H1876" s="1488"/>
      <c r="J1876" s="3126" t="s">
        <v>390</v>
      </c>
      <c r="K1876" s="3120"/>
      <c r="L1876" s="3120"/>
      <c r="M1876" s="1489" t="str">
        <f>A1876</f>
        <v>INO</v>
      </c>
      <c r="P1876" s="1200"/>
      <c r="Q1876" s="1529">
        <f>B1876*RIGHT(J1876,6)</f>
        <v>6544.7999999999993</v>
      </c>
      <c r="R1876" s="1495">
        <f>D1876</f>
        <v>5130</v>
      </c>
      <c r="S1876" s="1492">
        <f>R1876-Q1876</f>
        <v>-1414.7999999999993</v>
      </c>
      <c r="T1876" s="1561">
        <f>(R1876-Q1876)/Q1876</f>
        <v>-0.2161716171617161</v>
      </c>
    </row>
    <row r="1877" spans="1:20" hidden="1" outlineLevel="1" x14ac:dyDescent="0.35">
      <c r="A1877" s="1559" t="s">
        <v>96</v>
      </c>
      <c r="B1877" s="1347">
        <v>215</v>
      </c>
      <c r="C1877" s="1348">
        <v>457.53</v>
      </c>
      <c r="D1877" s="1349">
        <f>C1877*B1877</f>
        <v>98368.95</v>
      </c>
      <c r="E1877" s="1540">
        <f>(D1877-D1865)/D1865</f>
        <v>-0.17582952048132</v>
      </c>
      <c r="F1877" s="1486">
        <f>D1877/$D$1790</f>
        <v>0.42082705448594776</v>
      </c>
      <c r="G1877" s="1494">
        <v>50</v>
      </c>
      <c r="H1877" s="1488" t="s">
        <v>350</v>
      </c>
      <c r="J1877" s="3126" t="s">
        <v>385</v>
      </c>
      <c r="K1877" s="3120"/>
      <c r="L1877" s="3120"/>
      <c r="M1877" s="1489" t="str">
        <f>A1877</f>
        <v>ISRG</v>
      </c>
      <c r="P1877" s="1200"/>
      <c r="Q1877" s="1529">
        <f>B1877*RIGHT(J1877,6)</f>
        <v>120571.99999999999</v>
      </c>
      <c r="R1877" s="1495">
        <f>D1877</f>
        <v>98368.95</v>
      </c>
      <c r="S1877" s="1492">
        <f>R1877-Q1877</f>
        <v>-22203.049999999988</v>
      </c>
      <c r="T1877" s="1561">
        <f>(R1877-Q1877)/Q1877</f>
        <v>-0.1841476462196861</v>
      </c>
    </row>
    <row r="1878" spans="1:20" hidden="1" outlineLevel="1" x14ac:dyDescent="0.35">
      <c r="A1878" s="1559" t="s">
        <v>391</v>
      </c>
      <c r="B1878" s="1347">
        <v>100</v>
      </c>
      <c r="C1878" s="1348">
        <v>248.23</v>
      </c>
      <c r="D1878" s="1349">
        <f>C1878*B1878</f>
        <v>24823</v>
      </c>
      <c r="E1878" s="1540">
        <f>(D1878-D1866)/D1866</f>
        <v>-0.14092403530022496</v>
      </c>
      <c r="F1878" s="1486">
        <f>D1878/$D$1790</f>
        <v>0.10619397659022163</v>
      </c>
      <c r="G1878" s="1494">
        <v>25</v>
      </c>
      <c r="H1878" s="1488" t="s">
        <v>145</v>
      </c>
      <c r="J1878" s="3126" t="s">
        <v>392</v>
      </c>
      <c r="K1878" s="3120"/>
      <c r="L1878" s="3120"/>
      <c r="M1878" s="1489" t="str">
        <f>A1878</f>
        <v>APPL</v>
      </c>
      <c r="P1878" s="1200"/>
      <c r="Q1878" s="1508">
        <f>B1878*RIGHT(J1878,6)</f>
        <v>31226</v>
      </c>
      <c r="R1878" s="1491">
        <f>D1878</f>
        <v>24823</v>
      </c>
      <c r="S1878" s="1492">
        <f>R1878-Q1878</f>
        <v>-6403</v>
      </c>
      <c r="T1878" s="1562">
        <f>(R1878-Q1878)/Q1878</f>
        <v>-0.20505348107346441</v>
      </c>
    </row>
    <row r="1879" spans="1:20" hidden="1" outlineLevel="1" x14ac:dyDescent="0.35">
      <c r="A1879" s="1559" t="s">
        <v>394</v>
      </c>
      <c r="B1879" s="1347">
        <v>95</v>
      </c>
      <c r="C1879" s="1348">
        <v>612.92999999999995</v>
      </c>
      <c r="D1879" s="1349">
        <f>C1879*B1879</f>
        <v>58228.35</v>
      </c>
      <c r="E1879" s="1540">
        <f>(D1879-D1868)/D1868</f>
        <v>-0.13334935806798265</v>
      </c>
      <c r="F1879" s="1486">
        <f>D1879/$D$1790</f>
        <v>0.24910365535137699</v>
      </c>
      <c r="G1879" s="1494">
        <v>78</v>
      </c>
      <c r="H1879" s="1488" t="s">
        <v>216</v>
      </c>
      <c r="J1879" s="3126" t="s">
        <v>395</v>
      </c>
      <c r="K1879" s="3120"/>
      <c r="L1879" s="3120"/>
      <c r="M1879" s="1489" t="str">
        <f>A1879</f>
        <v>CSGP</v>
      </c>
      <c r="P1879" s="1200"/>
      <c r="Q1879" s="1529">
        <f>B1879*RIGHT(J1879,6)</f>
        <v>61923.850000000006</v>
      </c>
      <c r="R1879" s="1495">
        <f>D1879</f>
        <v>58228.35</v>
      </c>
      <c r="S1879" s="1510">
        <f>R1879-Q1879</f>
        <v>-3695.5000000000073</v>
      </c>
      <c r="T1879" s="1563">
        <f>(R1879-Q1879)/Q1879</f>
        <v>-5.967813693754518E-2</v>
      </c>
    </row>
    <row r="1880" spans="1:20" ht="16" hidden="1" outlineLevel="1" thickBot="1" x14ac:dyDescent="0.4">
      <c r="A1880" s="1564" t="s">
        <v>7</v>
      </c>
      <c r="B1880" s="1362"/>
      <c r="C1880" s="1363"/>
      <c r="D1880" s="1364">
        <v>1677.91</v>
      </c>
      <c r="E1880" s="32"/>
      <c r="F1880" s="1499">
        <f>D1880/D$1601</f>
        <v>5.8344575466375672E-3</v>
      </c>
      <c r="G1880" s="1418"/>
      <c r="H1880" s="1500"/>
      <c r="I1880" s="1501"/>
      <c r="J1880" s="1282"/>
      <c r="K1880" s="1462"/>
      <c r="L1880" s="1463"/>
      <c r="Q1880" s="1532">
        <f>SUM(Q1876:Q1879)</f>
        <v>220266.65</v>
      </c>
      <c r="R1880" s="1532">
        <f>SUM(R1876:R1879)</f>
        <v>186550.3</v>
      </c>
      <c r="S1880" s="1522">
        <f>SUM(S1876:S1879)</f>
        <v>-33716.349999999991</v>
      </c>
      <c r="T1880" s="1555"/>
    </row>
    <row r="1881" spans="1:20" ht="16" hidden="1" outlineLevel="1" thickBot="1" x14ac:dyDescent="0.4">
      <c r="A1881" s="1559" t="s">
        <v>60</v>
      </c>
      <c r="B1881" s="1347"/>
      <c r="C1881" s="1348"/>
      <c r="D1881" s="1349">
        <v>308.02999999999997</v>
      </c>
      <c r="E1881" s="32"/>
      <c r="F1881" s="1503">
        <f>D1881/D$1554</f>
        <v>1.0154505868716279E-3</v>
      </c>
      <c r="G1881" s="1504"/>
      <c r="H1881" s="1505"/>
      <c r="I1881" s="1290">
        <f>SUM(I1880:I1880)</f>
        <v>0</v>
      </c>
      <c r="J1881" s="1468"/>
      <c r="K1881" s="1151"/>
      <c r="L1881" s="1469"/>
      <c r="R1881" s="1470" t="str">
        <f>IF(SUM(D1876:D1879)&lt;&gt;R1880,"Out of Balance","Balances")</f>
        <v>Balances</v>
      </c>
      <c r="T1881" s="1555"/>
    </row>
    <row r="1882" spans="1:20" ht="19" hidden="1" outlineLevel="1" thickBot="1" x14ac:dyDescent="0.5">
      <c r="A1882" s="1565" t="s">
        <v>62</v>
      </c>
      <c r="B1882" s="583"/>
      <c r="C1882" s="584"/>
      <c r="D1882" s="1566">
        <f>SUM(D1876:D1881)</f>
        <v>188536.24</v>
      </c>
      <c r="E1882" s="73">
        <f>D1882-D1871</f>
        <v>-40926.539999999979</v>
      </c>
      <c r="F1882" s="1537">
        <f>(D1882-D1871)/D1871</f>
        <v>-0.1783580761986758</v>
      </c>
      <c r="T1882" s="1555"/>
    </row>
    <row r="1883" spans="1:20" ht="16" hidden="1" outlineLevel="1" thickBot="1" x14ac:dyDescent="0.4">
      <c r="A1883" s="102"/>
      <c r="B1883" s="1567"/>
      <c r="C1883" s="40"/>
      <c r="D1883" s="40"/>
      <c r="E1883" s="40"/>
      <c r="F1883" s="1568"/>
      <c r="G1883" s="1569"/>
      <c r="H1883" s="1570"/>
      <c r="I1883" s="40"/>
      <c r="J1883" s="1570"/>
      <c r="K1883" s="40"/>
      <c r="L1883" s="40"/>
      <c r="M1883" s="40"/>
      <c r="P1883" s="40"/>
      <c r="Q1883" s="40"/>
      <c r="R1883" s="40"/>
      <c r="S1883" s="40"/>
      <c r="T1883" s="103"/>
    </row>
    <row r="1884" spans="1:20" hidden="1" outlineLevel="1" x14ac:dyDescent="0.35">
      <c r="A1884" s="1571" t="s">
        <v>25</v>
      </c>
      <c r="B1884" s="1572" t="s">
        <v>26</v>
      </c>
      <c r="C1884" s="1573" t="s">
        <v>27</v>
      </c>
      <c r="D1884" s="1574">
        <f>D1873</f>
        <v>43903</v>
      </c>
      <c r="E1884" s="1575" t="s">
        <v>28</v>
      </c>
      <c r="F1884" s="3133" t="s">
        <v>399</v>
      </c>
      <c r="G1884" s="3134"/>
      <c r="H1884" s="3135"/>
      <c r="I1884" s="1576"/>
      <c r="J1884" s="1577" t="s">
        <v>233</v>
      </c>
    </row>
    <row r="1885" spans="1:20" ht="16" hidden="1" outlineLevel="1" thickBot="1" x14ac:dyDescent="0.4">
      <c r="A1885" s="706" t="s">
        <v>32</v>
      </c>
      <c r="B1885" s="255" t="str">
        <f ca="1">TEXT(TODAY(),"ddd")</f>
        <v>Sun</v>
      </c>
      <c r="C1885" s="256">
        <v>23185</v>
      </c>
      <c r="D1885" s="1516">
        <f>C1885-C1874</f>
        <v>1984.380000000001</v>
      </c>
      <c r="E1885" s="1185">
        <f>(C1885-C1862)/C1862</f>
        <v>-0.10360729919218331</v>
      </c>
      <c r="F1885" s="3136"/>
      <c r="G1885" s="3134"/>
      <c r="H1885" s="3135"/>
      <c r="I1885" s="1187"/>
      <c r="J1885" s="1188" t="s">
        <v>234</v>
      </c>
      <c r="K1885" s="1220" t="s">
        <v>34</v>
      </c>
      <c r="L1885" s="111" t="s">
        <v>35</v>
      </c>
    </row>
    <row r="1886" spans="1:20" hidden="1" outlineLevel="1" x14ac:dyDescent="0.35">
      <c r="A1886" s="709" t="s">
        <v>36</v>
      </c>
      <c r="B1886" s="263"/>
      <c r="C1886" s="419">
        <v>7874</v>
      </c>
      <c r="D1886" s="1516">
        <f>C1886-C1875</f>
        <v>672.19999999999982</v>
      </c>
      <c r="E1886" s="1185">
        <f>(C1886-C1863)/C1863</f>
        <v>-8.1749271137026236E-2</v>
      </c>
      <c r="F1886" s="1128" t="s">
        <v>37</v>
      </c>
      <c r="G1886" s="1518" t="s">
        <v>38</v>
      </c>
      <c r="H1886" s="1519" t="s">
        <v>144</v>
      </c>
      <c r="I1886" t="s">
        <v>400</v>
      </c>
      <c r="J1886" s="3137" t="s">
        <v>42</v>
      </c>
      <c r="K1886" s="3122"/>
      <c r="L1886" s="3123"/>
      <c r="M1886" s="1199" t="s">
        <v>244</v>
      </c>
      <c r="P1886" s="1200" t="s">
        <v>44</v>
      </c>
      <c r="Q1886" s="1479" t="s">
        <v>45</v>
      </c>
      <c r="R1886" s="1479" t="s">
        <v>46</v>
      </c>
      <c r="S1886" s="1479" t="s">
        <v>47</v>
      </c>
      <c r="T1886" s="1485" t="s">
        <v>48</v>
      </c>
    </row>
    <row r="1887" spans="1:20" hidden="1" outlineLevel="1" x14ac:dyDescent="0.35">
      <c r="A1887" s="1346" t="s">
        <v>389</v>
      </c>
      <c r="B1887" s="1347">
        <v>310</v>
      </c>
      <c r="C1887" s="1348">
        <v>5.49</v>
      </c>
      <c r="D1887" s="1349">
        <f t="shared" ref="D1887:D1893" si="336">C1887*B1887</f>
        <v>1701.9</v>
      </c>
      <c r="E1887" s="1540" t="s">
        <v>223</v>
      </c>
      <c r="F1887" s="1486">
        <f t="shared" ref="F1887:F1893" si="337">D1887/D$1896</f>
        <v>9.1245518211975993E-3</v>
      </c>
      <c r="G1887" s="1494" t="s">
        <v>228</v>
      </c>
      <c r="H1887" s="1488"/>
      <c r="I1887">
        <v>21.1</v>
      </c>
      <c r="J1887" s="3126" t="s">
        <v>401</v>
      </c>
      <c r="K1887" s="3120"/>
      <c r="L1887" s="3120"/>
      <c r="M1887" s="1489" t="str">
        <f t="shared" ref="M1887:M1892" si="338">A1887</f>
        <v>SDC</v>
      </c>
      <c r="P1887" s="1200"/>
      <c r="Q1887" s="1529">
        <f>B1887*RIGHT(J1887,4)</f>
        <v>1813.5</v>
      </c>
      <c r="R1887" s="1495">
        <f t="shared" ref="R1887:R1892" si="339">D1887</f>
        <v>1701.9</v>
      </c>
      <c r="S1887" s="1492">
        <f t="shared" ref="S1887:S1892" si="340">R1887-Q1887</f>
        <v>-111.59999999999991</v>
      </c>
      <c r="T1887" s="1493">
        <f t="shared" ref="T1887:T1892" si="341">(R1887-Q1887)/Q1887</f>
        <v>-6.1538461538461486E-2</v>
      </c>
    </row>
    <row r="1888" spans="1:20" hidden="1" outlineLevel="1" x14ac:dyDescent="0.35">
      <c r="A1888" s="7" t="s">
        <v>402</v>
      </c>
      <c r="B1888" s="1531">
        <v>250</v>
      </c>
      <c r="C1888" s="1143">
        <v>11.81</v>
      </c>
      <c r="D1888" s="1223">
        <f t="shared" si="336"/>
        <v>2952.5</v>
      </c>
      <c r="E1888" s="1540" t="s">
        <v>223</v>
      </c>
      <c r="F1888" s="1486">
        <f t="shared" si="337"/>
        <v>1.5829507757263009E-2</v>
      </c>
      <c r="G1888" s="1494" t="s">
        <v>228</v>
      </c>
      <c r="H1888" s="1488" t="s">
        <v>350</v>
      </c>
      <c r="I1888">
        <v>19.59</v>
      </c>
      <c r="J1888" s="3126" t="s">
        <v>390</v>
      </c>
      <c r="K1888" s="3120"/>
      <c r="L1888" s="3120"/>
      <c r="M1888" s="1489" t="str">
        <f t="shared" si="338"/>
        <v>AVTR</v>
      </c>
      <c r="P1888" s="1200"/>
      <c r="Q1888" s="1529">
        <f t="shared" ref="Q1888:Q1893" si="342">B1888*RIGHT(J1888,6)</f>
        <v>3030</v>
      </c>
      <c r="R1888" s="1495">
        <f t="shared" si="339"/>
        <v>2952.5</v>
      </c>
      <c r="S1888" s="1492">
        <f t="shared" si="340"/>
        <v>-77.5</v>
      </c>
      <c r="T1888" s="1493">
        <f t="shared" si="341"/>
        <v>-2.5577557755775578E-2</v>
      </c>
    </row>
    <row r="1889" spans="1:20" hidden="1" outlineLevel="1" x14ac:dyDescent="0.35">
      <c r="A1889" s="1346" t="s">
        <v>403</v>
      </c>
      <c r="B1889" s="1347">
        <v>200</v>
      </c>
      <c r="C1889" s="1348">
        <v>101.57</v>
      </c>
      <c r="D1889" s="1349">
        <f t="shared" si="336"/>
        <v>20314</v>
      </c>
      <c r="E1889" s="1540" t="s">
        <v>223</v>
      </c>
      <c r="F1889" s="1486">
        <f t="shared" si="337"/>
        <v>0.10891130248299433</v>
      </c>
      <c r="G1889" s="1494" t="s">
        <v>228</v>
      </c>
      <c r="H1889" s="1488" t="s">
        <v>216</v>
      </c>
      <c r="I1889">
        <v>134.51</v>
      </c>
      <c r="J1889" s="3126" t="s">
        <v>404</v>
      </c>
      <c r="K1889" s="3120"/>
      <c r="L1889" s="3120"/>
      <c r="M1889" s="1489" t="str">
        <f t="shared" si="338"/>
        <v>ALNY</v>
      </c>
      <c r="P1889" s="1200"/>
      <c r="Q1889" s="1529">
        <f t="shared" si="342"/>
        <v>19448</v>
      </c>
      <c r="R1889" s="1495">
        <f t="shared" si="339"/>
        <v>20314</v>
      </c>
      <c r="S1889" s="1524">
        <f t="shared" si="340"/>
        <v>866</v>
      </c>
      <c r="T1889" s="1525">
        <f t="shared" si="341"/>
        <v>4.4529000411353353E-2</v>
      </c>
    </row>
    <row r="1890" spans="1:20" hidden="1" outlineLevel="1" x14ac:dyDescent="0.35">
      <c r="A1890" s="7" t="s">
        <v>405</v>
      </c>
      <c r="B1890" s="1531">
        <v>190</v>
      </c>
      <c r="C1890" s="1143">
        <v>113.14</v>
      </c>
      <c r="D1890" s="1223">
        <f t="shared" si="336"/>
        <v>21496.6</v>
      </c>
      <c r="E1890" s="1540" t="s">
        <v>223</v>
      </c>
      <c r="F1890" s="1486">
        <f t="shared" si="337"/>
        <v>0.11525168381194917</v>
      </c>
      <c r="G1890" s="1494">
        <v>37</v>
      </c>
      <c r="H1890" s="1488" t="s">
        <v>350</v>
      </c>
      <c r="I1890">
        <v>150.06</v>
      </c>
      <c r="J1890" s="3126" t="s">
        <v>406</v>
      </c>
      <c r="K1890" s="3120"/>
      <c r="L1890" s="3120"/>
      <c r="M1890" s="1489" t="str">
        <f t="shared" si="338"/>
        <v>VAR</v>
      </c>
      <c r="P1890" s="1200"/>
      <c r="Q1890" s="1529">
        <f t="shared" si="342"/>
        <v>20915.2</v>
      </c>
      <c r="R1890" s="1495">
        <f t="shared" si="339"/>
        <v>21496.6</v>
      </c>
      <c r="S1890" s="1524">
        <f t="shared" si="340"/>
        <v>581.39999999999782</v>
      </c>
      <c r="T1890" s="1525">
        <f t="shared" si="341"/>
        <v>2.7797965116278963E-2</v>
      </c>
    </row>
    <row r="1891" spans="1:20" hidden="1" outlineLevel="1" x14ac:dyDescent="0.35">
      <c r="A1891" s="1346" t="s">
        <v>96</v>
      </c>
      <c r="B1891" s="1347">
        <v>100</v>
      </c>
      <c r="C1891" s="1348">
        <v>470.98</v>
      </c>
      <c r="D1891" s="1349">
        <f t="shared" si="336"/>
        <v>47098</v>
      </c>
      <c r="E1891" s="1540">
        <f>(D1891-D1865)/D1865</f>
        <v>-0.60539599899794816</v>
      </c>
      <c r="F1891" s="1486">
        <f t="shared" si="337"/>
        <v>0.2525108065543008</v>
      </c>
      <c r="G1891" s="1494">
        <v>40</v>
      </c>
      <c r="H1891" s="1488" t="s">
        <v>350</v>
      </c>
      <c r="I1891">
        <v>619</v>
      </c>
      <c r="J1891" s="3126" t="s">
        <v>407</v>
      </c>
      <c r="K1891" s="3120"/>
      <c r="L1891" s="3120"/>
      <c r="M1891" s="1489" t="str">
        <f t="shared" si="338"/>
        <v>ISRG</v>
      </c>
      <c r="P1891" s="1200"/>
      <c r="Q1891" s="1529">
        <f t="shared" si="342"/>
        <v>56436</v>
      </c>
      <c r="R1891" s="1495">
        <f t="shared" si="339"/>
        <v>47098</v>
      </c>
      <c r="S1891" s="1492">
        <f t="shared" si="340"/>
        <v>-9338</v>
      </c>
      <c r="T1891" s="1493">
        <f t="shared" si="341"/>
        <v>-0.16546176199588916</v>
      </c>
    </row>
    <row r="1892" spans="1:20" hidden="1" outlineLevel="1" x14ac:dyDescent="0.35">
      <c r="A1892" s="7" t="s">
        <v>391</v>
      </c>
      <c r="B1892" s="1531">
        <v>100</v>
      </c>
      <c r="C1892" s="1143">
        <v>277.97000000000003</v>
      </c>
      <c r="D1892" s="1223">
        <f t="shared" si="336"/>
        <v>27797.000000000004</v>
      </c>
      <c r="E1892" s="1540">
        <f>(D1892-D1866)/D1866</f>
        <v>-3.7999653919363087E-2</v>
      </c>
      <c r="F1892" s="1486">
        <f t="shared" si="337"/>
        <v>0.14903059343899741</v>
      </c>
      <c r="G1892" s="1494">
        <v>22</v>
      </c>
      <c r="H1892" s="1488" t="s">
        <v>145</v>
      </c>
      <c r="I1892">
        <v>327.85</v>
      </c>
      <c r="J1892" s="3126" t="s">
        <v>408</v>
      </c>
      <c r="K1892" s="3120"/>
      <c r="L1892" s="3120"/>
      <c r="M1892" s="1489" t="str">
        <f t="shared" si="338"/>
        <v>APPL</v>
      </c>
      <c r="P1892" s="1200"/>
      <c r="Q1892" s="1508">
        <f t="shared" si="342"/>
        <v>31152</v>
      </c>
      <c r="R1892" s="1491">
        <f t="shared" si="339"/>
        <v>27797.000000000004</v>
      </c>
      <c r="S1892" s="1492">
        <f t="shared" si="340"/>
        <v>-3354.9999999999964</v>
      </c>
      <c r="T1892" s="1513">
        <f t="shared" si="341"/>
        <v>-0.10769774011299424</v>
      </c>
    </row>
    <row r="1893" spans="1:20" hidden="1" outlineLevel="1" x14ac:dyDescent="0.35">
      <c r="A1893" s="1346" t="s">
        <v>394</v>
      </c>
      <c r="B1893" s="1347">
        <v>95</v>
      </c>
      <c r="C1893" s="1348">
        <v>663.93</v>
      </c>
      <c r="D1893" s="1349">
        <f t="shared" si="336"/>
        <v>63073.35</v>
      </c>
      <c r="E1893" s="1540">
        <f>(D1893-D1868)/D1868</f>
        <v>-6.1238052146371874E-2</v>
      </c>
      <c r="F1893" s="1486">
        <f t="shared" si="337"/>
        <v>0.33816090875582205</v>
      </c>
      <c r="G1893" s="1494">
        <v>77</v>
      </c>
      <c r="H1893" s="1488" t="s">
        <v>216</v>
      </c>
      <c r="I1893">
        <v>746.7</v>
      </c>
      <c r="J1893" s="3126" t="s">
        <v>409</v>
      </c>
      <c r="K1893" s="3120"/>
      <c r="L1893" s="3120"/>
      <c r="M1893" s="1489" t="str">
        <f>A1893</f>
        <v>CSGP</v>
      </c>
      <c r="P1893" s="1200"/>
      <c r="Q1893" s="1529">
        <f t="shared" si="342"/>
        <v>61923.850000000006</v>
      </c>
      <c r="R1893" s="1495">
        <f>D1893</f>
        <v>63073.35</v>
      </c>
      <c r="S1893" s="1510">
        <f>R1893-Q1893</f>
        <v>1149.4999999999927</v>
      </c>
      <c r="T1893" s="1530">
        <f>(R1893-Q1893)/Q1893</f>
        <v>1.8563122286485621E-2</v>
      </c>
    </row>
    <row r="1894" spans="1:20" ht="16" hidden="1" outlineLevel="1" thickBot="1" x14ac:dyDescent="0.4">
      <c r="A1894" s="7" t="s">
        <v>7</v>
      </c>
      <c r="B1894" s="1531"/>
      <c r="C1894" s="1143"/>
      <c r="D1894" s="1223">
        <v>1734.01</v>
      </c>
      <c r="E1894" s="32"/>
      <c r="F1894" s="1499">
        <f>D1894/D$1601</f>
        <v>6.0295294327139164E-3</v>
      </c>
      <c r="G1894" s="1418"/>
      <c r="H1894" s="1500"/>
      <c r="I1894" s="1501"/>
      <c r="J1894" s="1282"/>
      <c r="K1894" s="1462"/>
      <c r="L1894" s="1463"/>
      <c r="Q1894" s="1532">
        <f>SUM(Q1887:Q1893)</f>
        <v>194718.55000000002</v>
      </c>
      <c r="R1894" s="1532">
        <f>SUM(R1887:R1893)</f>
        <v>184433.35</v>
      </c>
      <c r="S1894" s="1522">
        <f>SUM(S1887:S1893)</f>
        <v>-10285.200000000006</v>
      </c>
    </row>
    <row r="1895" spans="1:20" ht="16" hidden="1" outlineLevel="1" thickBot="1" x14ac:dyDescent="0.4">
      <c r="A1895" s="1346" t="s">
        <v>60</v>
      </c>
      <c r="B1895" s="1347"/>
      <c r="C1895" s="1348"/>
      <c r="D1895" s="1349">
        <v>351.39</v>
      </c>
      <c r="E1895" s="32"/>
      <c r="F1895" s="1503">
        <f>D1895/D$1554</f>
        <v>1.1583910064630761E-3</v>
      </c>
      <c r="G1895" s="1504"/>
      <c r="H1895" s="1505"/>
      <c r="I1895" s="1290">
        <f>SUM(I1894:I1894)</f>
        <v>0</v>
      </c>
      <c r="J1895" s="1468"/>
      <c r="K1895" s="1151"/>
      <c r="L1895" s="1469"/>
      <c r="R1895" s="1470" t="str">
        <f>IF(SUM(D1887:D1893)&lt;&gt;R1894,"Out of Balance","Balances")</f>
        <v>Balances</v>
      </c>
    </row>
    <row r="1896" spans="1:20" ht="19" hidden="1" outlineLevel="1" thickBot="1" x14ac:dyDescent="0.5">
      <c r="A1896" s="726" t="s">
        <v>62</v>
      </c>
      <c r="B1896" s="583"/>
      <c r="C1896" s="584"/>
      <c r="D1896" s="1566">
        <f>SUM(D1887:D1895)</f>
        <v>186518.75000000003</v>
      </c>
      <c r="E1896" s="73">
        <f>D1896-D1882</f>
        <v>-2017.4899999999616</v>
      </c>
      <c r="F1896" s="1537">
        <f>(D1896-D1882)/D1882</f>
        <v>-1.070080744158238E-2</v>
      </c>
    </row>
    <row r="1897" spans="1:20" hidden="1" outlineLevel="1" x14ac:dyDescent="0.35">
      <c r="D1897" s="1578"/>
    </row>
    <row r="1898" spans="1:20" hidden="1" outlineLevel="1" x14ac:dyDescent="0.35">
      <c r="A1898" s="1579" t="s">
        <v>25</v>
      </c>
      <c r="B1898" s="1580" t="s">
        <v>26</v>
      </c>
      <c r="C1898" s="1581" t="s">
        <v>27</v>
      </c>
      <c r="D1898" s="1582">
        <f>D1884+5</f>
        <v>43908</v>
      </c>
      <c r="E1898" s="1583" t="s">
        <v>28</v>
      </c>
      <c r="F1898" s="3127" t="s">
        <v>396</v>
      </c>
      <c r="G1898" s="3128"/>
      <c r="H1898" s="3129"/>
      <c r="I1898" s="1576"/>
      <c r="J1898" s="1577" t="s">
        <v>233</v>
      </c>
    </row>
    <row r="1899" spans="1:20" ht="16" hidden="1" outlineLevel="1" thickBot="1" x14ac:dyDescent="0.4">
      <c r="A1899" s="1584" t="s">
        <v>32</v>
      </c>
      <c r="B1899" s="1585" t="str">
        <f ca="1">TEXT(TODAY(),"ddd")</f>
        <v>Sun</v>
      </c>
      <c r="C1899" s="1586">
        <v>19237</v>
      </c>
      <c r="D1899" s="1587">
        <f>C1899-C1885</f>
        <v>-3948</v>
      </c>
      <c r="E1899" s="1588">
        <f>(C1899-C1885)/C1885</f>
        <v>-0.17028251024369204</v>
      </c>
      <c r="F1899" s="3130"/>
      <c r="G1899" s="3131"/>
      <c r="H1899" s="3132"/>
      <c r="I1899" s="1589"/>
      <c r="J1899" s="1188" t="s">
        <v>234</v>
      </c>
      <c r="K1899" s="1220" t="s">
        <v>34</v>
      </c>
      <c r="L1899" s="111" t="s">
        <v>35</v>
      </c>
    </row>
    <row r="1900" spans="1:20" hidden="1" outlineLevel="1" x14ac:dyDescent="0.35">
      <c r="A1900" s="709" t="s">
        <v>36</v>
      </c>
      <c r="B1900" s="263"/>
      <c r="C1900" s="419">
        <v>6741</v>
      </c>
      <c r="D1900" s="1516">
        <f>C1900-C1886</f>
        <v>-1133</v>
      </c>
      <c r="E1900" s="32">
        <f>(C1900-C1886)/C1886</f>
        <v>-0.14389128778257557</v>
      </c>
      <c r="F1900" s="1128" t="s">
        <v>37</v>
      </c>
      <c r="G1900" s="1518" t="s">
        <v>38</v>
      </c>
      <c r="H1900" s="1590" t="s">
        <v>144</v>
      </c>
      <c r="I1900" s="1591" t="s">
        <v>400</v>
      </c>
      <c r="J1900" s="3121" t="s">
        <v>42</v>
      </c>
      <c r="K1900" s="3122"/>
      <c r="L1900" s="3123"/>
      <c r="M1900" s="1199" t="s">
        <v>244</v>
      </c>
      <c r="P1900" s="1200" t="s">
        <v>44</v>
      </c>
      <c r="Q1900" s="1479" t="s">
        <v>45</v>
      </c>
      <c r="R1900" s="1479" t="s">
        <v>46</v>
      </c>
      <c r="S1900" s="1479" t="s">
        <v>47</v>
      </c>
      <c r="T1900" s="1485" t="s">
        <v>48</v>
      </c>
    </row>
    <row r="1901" spans="1:20" hidden="1" outlineLevel="1" x14ac:dyDescent="0.35">
      <c r="A1901" s="1346" t="s">
        <v>389</v>
      </c>
      <c r="B1901" s="1347">
        <v>310</v>
      </c>
      <c r="C1901" s="1348">
        <v>4.17</v>
      </c>
      <c r="D1901" s="1349">
        <f t="shared" ref="D1901:D1907" si="343">C1901*B1901</f>
        <v>1292.7</v>
      </c>
      <c r="E1901" s="1544">
        <f t="shared" ref="E1901:E1907" si="344">(D1901-D1887)/D1887</f>
        <v>-0.24043715846994537</v>
      </c>
      <c r="F1901" s="1592">
        <f t="shared" ref="F1901:F1909" si="345">D1901/D$1896</f>
        <v>6.930670508997084E-3</v>
      </c>
      <c r="G1901" s="1494" t="s">
        <v>228</v>
      </c>
      <c r="H1901" s="1593"/>
      <c r="I1901" s="1591">
        <v>21.1</v>
      </c>
      <c r="J1901" s="3120" t="s">
        <v>401</v>
      </c>
      <c r="K1901" s="3120"/>
      <c r="L1901" s="3120"/>
      <c r="M1901" s="1489" t="str">
        <f t="shared" ref="M1901:M1907" si="346">A1901</f>
        <v>SDC</v>
      </c>
      <c r="P1901" s="1200"/>
      <c r="Q1901" s="1529">
        <f>B1901*RIGHT(J1901,4)</f>
        <v>1813.5</v>
      </c>
      <c r="R1901" s="1495">
        <f t="shared" ref="R1901:R1907" si="347">D1901</f>
        <v>1292.7</v>
      </c>
      <c r="S1901" s="1492">
        <f t="shared" ref="S1901:S1907" si="348">R1901-Q1901</f>
        <v>-520.79999999999995</v>
      </c>
      <c r="T1901" s="1493">
        <f t="shared" ref="T1901:T1907" si="349">(R1901-Q1901)/Q1901</f>
        <v>-0.28717948717948716</v>
      </c>
    </row>
    <row r="1902" spans="1:20" hidden="1" outlineLevel="1" x14ac:dyDescent="0.35">
      <c r="A1902" s="7" t="s">
        <v>402</v>
      </c>
      <c r="B1902" s="1142">
        <v>250</v>
      </c>
      <c r="C1902" s="1143">
        <v>8.24</v>
      </c>
      <c r="D1902" s="1223">
        <f t="shared" si="343"/>
        <v>2060</v>
      </c>
      <c r="E1902" s="1544">
        <f t="shared" si="344"/>
        <v>-0.30228619813717189</v>
      </c>
      <c r="F1902" s="1592">
        <f t="shared" si="345"/>
        <v>1.1044466038937103E-2</v>
      </c>
      <c r="G1902" s="1494" t="s">
        <v>228</v>
      </c>
      <c r="H1902" s="1593" t="s">
        <v>350</v>
      </c>
      <c r="I1902" s="1591">
        <v>19.59</v>
      </c>
      <c r="J1902" s="3120" t="s">
        <v>390</v>
      </c>
      <c r="K1902" s="3120"/>
      <c r="L1902" s="3120"/>
      <c r="M1902" s="1489" t="str">
        <f t="shared" si="346"/>
        <v>AVTR</v>
      </c>
      <c r="P1902" s="1200"/>
      <c r="Q1902" s="1529">
        <f t="shared" ref="Q1902:Q1907" si="350">B1902*RIGHT(J1902,6)</f>
        <v>3030</v>
      </c>
      <c r="R1902" s="1495">
        <f t="shared" si="347"/>
        <v>2060</v>
      </c>
      <c r="S1902" s="1492">
        <f t="shared" si="348"/>
        <v>-970</v>
      </c>
      <c r="T1902" s="1493">
        <f t="shared" si="349"/>
        <v>-0.32013201320132012</v>
      </c>
    </row>
    <row r="1903" spans="1:20" hidden="1" outlineLevel="1" x14ac:dyDescent="0.35">
      <c r="A1903" s="1346" t="s">
        <v>403</v>
      </c>
      <c r="B1903" s="1347">
        <v>200</v>
      </c>
      <c r="C1903" s="1348">
        <v>95.66</v>
      </c>
      <c r="D1903" s="1349">
        <f t="shared" si="343"/>
        <v>19132</v>
      </c>
      <c r="E1903" s="1544">
        <f t="shared" si="344"/>
        <v>-5.8186472383577825E-2</v>
      </c>
      <c r="F1903" s="1592">
        <f t="shared" si="345"/>
        <v>0.10257413798880807</v>
      </c>
      <c r="G1903" s="1494" t="s">
        <v>228</v>
      </c>
      <c r="H1903" s="1593" t="s">
        <v>216</v>
      </c>
      <c r="I1903" s="1591">
        <v>134.51</v>
      </c>
      <c r="J1903" s="3120" t="s">
        <v>404</v>
      </c>
      <c r="K1903" s="3120"/>
      <c r="L1903" s="3120"/>
      <c r="M1903" s="1489" t="str">
        <f t="shared" si="346"/>
        <v>ALNY</v>
      </c>
      <c r="P1903" s="1200"/>
      <c r="Q1903" s="1529">
        <f t="shared" si="350"/>
        <v>19448</v>
      </c>
      <c r="R1903" s="1495">
        <f t="shared" si="347"/>
        <v>19132</v>
      </c>
      <c r="S1903" s="1492">
        <f t="shared" si="348"/>
        <v>-316</v>
      </c>
      <c r="T1903" s="1493">
        <f t="shared" si="349"/>
        <v>-1.6248457424928014E-2</v>
      </c>
    </row>
    <row r="1904" spans="1:20" hidden="1" outlineLevel="1" x14ac:dyDescent="0.35">
      <c r="A1904" s="7" t="s">
        <v>405</v>
      </c>
      <c r="B1904" s="1142">
        <v>190</v>
      </c>
      <c r="C1904" s="1143">
        <v>107.76</v>
      </c>
      <c r="D1904" s="1223">
        <f t="shared" si="343"/>
        <v>20474.400000000001</v>
      </c>
      <c r="E1904" s="1544">
        <f t="shared" si="344"/>
        <v>-4.7551705851157727E-2</v>
      </c>
      <c r="F1904" s="1592">
        <f t="shared" si="345"/>
        <v>0.10977126964447273</v>
      </c>
      <c r="G1904" s="1494">
        <v>37</v>
      </c>
      <c r="H1904" s="1593" t="s">
        <v>350</v>
      </c>
      <c r="I1904" s="1591">
        <v>150.06</v>
      </c>
      <c r="J1904" s="3120" t="s">
        <v>406</v>
      </c>
      <c r="K1904" s="3120"/>
      <c r="L1904" s="3120"/>
      <c r="M1904" s="1489" t="str">
        <f t="shared" si="346"/>
        <v>VAR</v>
      </c>
      <c r="P1904" s="1200"/>
      <c r="Q1904" s="1529">
        <f t="shared" si="350"/>
        <v>20915.2</v>
      </c>
      <c r="R1904" s="1495">
        <f t="shared" si="347"/>
        <v>20474.400000000001</v>
      </c>
      <c r="S1904" s="1492">
        <f t="shared" si="348"/>
        <v>-440.79999999999927</v>
      </c>
      <c r="T1904" s="1493">
        <f t="shared" si="349"/>
        <v>-2.1075581395348802E-2</v>
      </c>
    </row>
    <row r="1905" spans="1:26" hidden="1" outlineLevel="1" x14ac:dyDescent="0.35">
      <c r="A1905" s="1346" t="s">
        <v>96</v>
      </c>
      <c r="B1905" s="1347">
        <v>100</v>
      </c>
      <c r="C1905" s="1348">
        <v>381</v>
      </c>
      <c r="D1905" s="1349">
        <f t="shared" si="343"/>
        <v>38100</v>
      </c>
      <c r="E1905" s="1544">
        <f t="shared" si="344"/>
        <v>-0.19104845216357383</v>
      </c>
      <c r="F1905" s="1592">
        <f t="shared" si="345"/>
        <v>0.20426900780752602</v>
      </c>
      <c r="G1905" s="1494">
        <v>40</v>
      </c>
      <c r="H1905" s="1593" t="s">
        <v>350</v>
      </c>
      <c r="I1905" s="1591">
        <v>619</v>
      </c>
      <c r="J1905" s="3120" t="s">
        <v>407</v>
      </c>
      <c r="K1905" s="3120"/>
      <c r="L1905" s="3120"/>
      <c r="M1905" s="1489" t="str">
        <f t="shared" si="346"/>
        <v>ISRG</v>
      </c>
      <c r="P1905" s="1200"/>
      <c r="Q1905" s="1529">
        <f t="shared" si="350"/>
        <v>56436</v>
      </c>
      <c r="R1905" s="1495">
        <f t="shared" si="347"/>
        <v>38100</v>
      </c>
      <c r="S1905" s="1492">
        <f t="shared" si="348"/>
        <v>-18336</v>
      </c>
      <c r="T1905" s="1493">
        <f t="shared" si="349"/>
        <v>-0.32489900063789073</v>
      </c>
    </row>
    <row r="1906" spans="1:26" hidden="1" outlineLevel="1" x14ac:dyDescent="0.35">
      <c r="A1906" s="7" t="s">
        <v>391</v>
      </c>
      <c r="B1906" s="1142">
        <v>100</v>
      </c>
      <c r="C1906" s="1143">
        <v>241</v>
      </c>
      <c r="D1906" s="1223">
        <f t="shared" si="343"/>
        <v>24100</v>
      </c>
      <c r="E1906" s="1544">
        <f t="shared" si="344"/>
        <v>-0.13299996402489489</v>
      </c>
      <c r="F1906" s="1592">
        <f t="shared" si="345"/>
        <v>0.12920952987300202</v>
      </c>
      <c r="G1906" s="1494">
        <v>22</v>
      </c>
      <c r="H1906" s="1593" t="s">
        <v>145</v>
      </c>
      <c r="I1906" s="1591">
        <v>327.85</v>
      </c>
      <c r="J1906" s="3120" t="s">
        <v>408</v>
      </c>
      <c r="K1906" s="3120"/>
      <c r="L1906" s="3120"/>
      <c r="M1906" s="1489" t="str">
        <f t="shared" si="346"/>
        <v>APPL</v>
      </c>
      <c r="P1906" s="1200"/>
      <c r="Q1906" s="1508">
        <f t="shared" si="350"/>
        <v>31152</v>
      </c>
      <c r="R1906" s="1491">
        <f t="shared" si="347"/>
        <v>24100</v>
      </c>
      <c r="S1906" s="1492">
        <f t="shared" si="348"/>
        <v>-7052</v>
      </c>
      <c r="T1906" s="1493">
        <f t="shared" si="349"/>
        <v>-0.22637390857729842</v>
      </c>
    </row>
    <row r="1907" spans="1:26" hidden="1" outlineLevel="1" x14ac:dyDescent="0.35">
      <c r="A1907" s="1346" t="s">
        <v>394</v>
      </c>
      <c r="B1907" s="1347">
        <v>95</v>
      </c>
      <c r="C1907" s="1348">
        <v>541</v>
      </c>
      <c r="D1907" s="1349">
        <f t="shared" si="343"/>
        <v>51395</v>
      </c>
      <c r="E1907" s="1544">
        <f t="shared" si="344"/>
        <v>-0.18515506152757066</v>
      </c>
      <c r="F1907" s="1592">
        <f t="shared" si="345"/>
        <v>0.27554870488891864</v>
      </c>
      <c r="G1907" s="1494">
        <v>77</v>
      </c>
      <c r="H1907" s="1593" t="s">
        <v>216</v>
      </c>
      <c r="I1907" s="1591">
        <v>746.7</v>
      </c>
      <c r="J1907" s="3120" t="s">
        <v>409</v>
      </c>
      <c r="K1907" s="3120"/>
      <c r="L1907" s="3120"/>
      <c r="M1907" s="1489" t="str">
        <f t="shared" si="346"/>
        <v>CSGP</v>
      </c>
      <c r="P1907" s="1200"/>
      <c r="Q1907" s="1529">
        <f t="shared" si="350"/>
        <v>61923.850000000006</v>
      </c>
      <c r="R1907" s="1495">
        <f t="shared" si="347"/>
        <v>51395</v>
      </c>
      <c r="S1907" s="1492">
        <f t="shared" si="348"/>
        <v>-10528.850000000006</v>
      </c>
      <c r="T1907" s="1493">
        <f t="shared" si="349"/>
        <v>-0.17002899529018309</v>
      </c>
    </row>
    <row r="1908" spans="1:26" ht="16" hidden="1" outlineLevel="1" thickBot="1" x14ac:dyDescent="0.4">
      <c r="A1908" s="7" t="s">
        <v>7</v>
      </c>
      <c r="B1908" s="1142"/>
      <c r="C1908" s="1143"/>
      <c r="D1908" s="1223">
        <v>1734.01</v>
      </c>
      <c r="E1908" s="32"/>
      <c r="F1908" s="1592">
        <f t="shared" si="345"/>
        <v>9.2967060952317115E-3</v>
      </c>
      <c r="G1908" s="1418"/>
      <c r="H1908" s="1500"/>
      <c r="I1908" s="1501"/>
      <c r="J1908" s="1282"/>
      <c r="K1908" s="1462"/>
      <c r="L1908" s="1463"/>
      <c r="Q1908" s="1532">
        <f>SUM(Q1901:Q1907)</f>
        <v>194718.55000000002</v>
      </c>
      <c r="R1908" s="1532">
        <f>SUM(R1901:R1907)</f>
        <v>156554.1</v>
      </c>
      <c r="S1908" s="1594">
        <f>SUM(S1901:S1907)</f>
        <v>-38164.450000000004</v>
      </c>
      <c r="T1908" s="95"/>
    </row>
    <row r="1909" spans="1:26" ht="16" hidden="1" outlineLevel="1" thickBot="1" x14ac:dyDescent="0.4">
      <c r="A1909" s="1346" t="s">
        <v>60</v>
      </c>
      <c r="B1909" s="1347"/>
      <c r="C1909" s="1348"/>
      <c r="D1909" s="1349">
        <v>9752.41</v>
      </c>
      <c r="E1909" s="32"/>
      <c r="F1909" s="1592">
        <f t="shared" si="345"/>
        <v>5.2286485943102229E-2</v>
      </c>
      <c r="G1909" s="1504"/>
      <c r="H1909" s="1505"/>
      <c r="I1909" s="1290">
        <f>SUM(I1908:I1908)</f>
        <v>0</v>
      </c>
      <c r="J1909" s="1468"/>
      <c r="K1909" s="1151"/>
      <c r="L1909" s="1469"/>
      <c r="R1909" s="1470" t="str">
        <f>IF(SUM(D1901:D1907)&lt;&gt;R1908,"Out of Balance","Balances")</f>
        <v>Balances</v>
      </c>
    </row>
    <row r="1910" spans="1:26" ht="19" hidden="1" outlineLevel="1" thickBot="1" x14ac:dyDescent="0.5">
      <c r="A1910" s="726" t="s">
        <v>62</v>
      </c>
      <c r="B1910" s="583"/>
      <c r="C1910" s="584"/>
      <c r="D1910" s="1566">
        <f>SUM(D1901:D1909)</f>
        <v>168040.52000000002</v>
      </c>
      <c r="E1910" s="73">
        <f>D1910-D1896</f>
        <v>-18478.23000000001</v>
      </c>
      <c r="F1910" s="1537">
        <f>(D1910-D1896)/D1896</f>
        <v>-9.9069021211004291E-2</v>
      </c>
    </row>
    <row r="1911" spans="1:26" hidden="1" outlineLevel="1" x14ac:dyDescent="0.35">
      <c r="H1911" s="1123">
        <f>E1913+E1885+E1862+E1850+E1838+E1826+E1815+E1804</f>
        <v>-0.34150002728287471</v>
      </c>
    </row>
    <row r="1912" spans="1:26" ht="16" hidden="1" outlineLevel="1" thickBot="1" x14ac:dyDescent="0.4">
      <c r="A1912" s="1595" t="s">
        <v>25</v>
      </c>
      <c r="B1912" s="1596" t="s">
        <v>26</v>
      </c>
      <c r="C1912" s="1597" t="s">
        <v>27</v>
      </c>
      <c r="D1912" s="1598">
        <f>D1898+2</f>
        <v>43910</v>
      </c>
      <c r="E1912" s="1599" t="s">
        <v>28</v>
      </c>
      <c r="F1912" s="3082" t="s">
        <v>410</v>
      </c>
      <c r="G1912" s="3083"/>
      <c r="H1912" s="3096"/>
      <c r="I1912" s="1600">
        <f>E1914+E1886+E1875+E1863+E1851+E1839+E1827</f>
        <v>-0.34699226498973107</v>
      </c>
      <c r="J1912" s="1577" t="s">
        <v>233</v>
      </c>
    </row>
    <row r="1913" spans="1:26" ht="16" hidden="1" outlineLevel="1" thickBot="1" x14ac:dyDescent="0.4">
      <c r="A1913" s="1584" t="s">
        <v>32</v>
      </c>
      <c r="B1913" s="1585" t="str">
        <f ca="1">TEXT(TODAY(),"ddd")</f>
        <v>Sun</v>
      </c>
      <c r="C1913" s="1586">
        <v>19161</v>
      </c>
      <c r="D1913" s="1587">
        <f>C1913-C1885</f>
        <v>-4024</v>
      </c>
      <c r="E1913" s="1601">
        <f t="shared" ref="E1913:E1921" si="351">(C1913-C1885)/C1885</f>
        <v>-0.17356049169721802</v>
      </c>
      <c r="F1913" s="3097"/>
      <c r="G1913" s="3085"/>
      <c r="H1913" s="3086"/>
      <c r="I1913" s="1602"/>
      <c r="J1913" s="1188" t="s">
        <v>234</v>
      </c>
      <c r="K1913" s="1220" t="s">
        <v>34</v>
      </c>
      <c r="L1913" s="111" t="s">
        <v>411</v>
      </c>
    </row>
    <row r="1914" spans="1:26" ht="16" hidden="1" outlineLevel="1" thickBot="1" x14ac:dyDescent="0.4">
      <c r="A1914" s="709" t="s">
        <v>36</v>
      </c>
      <c r="B1914" s="263"/>
      <c r="C1914" s="419">
        <v>6879</v>
      </c>
      <c r="D1914" s="1516">
        <f>C1914-C1886</f>
        <v>-995</v>
      </c>
      <c r="E1914" s="1544">
        <f t="shared" si="351"/>
        <v>-0.12636525273050547</v>
      </c>
      <c r="F1914" s="1517" t="s">
        <v>37</v>
      </c>
      <c r="G1914" s="1603" t="s">
        <v>38</v>
      </c>
      <c r="H1914" s="1604" t="s">
        <v>144</v>
      </c>
      <c r="I1914" s="1591" t="s">
        <v>400</v>
      </c>
      <c r="J1914" s="3121" t="s">
        <v>42</v>
      </c>
      <c r="K1914" s="3122"/>
      <c r="L1914" s="3123"/>
      <c r="M1914" s="1605" t="s">
        <v>244</v>
      </c>
      <c r="N1914" s="228"/>
      <c r="O1914" s="228"/>
      <c r="P1914" s="1606" t="s">
        <v>44</v>
      </c>
      <c r="Q1914" s="1479" t="s">
        <v>45</v>
      </c>
      <c r="R1914" s="1479" t="s">
        <v>46</v>
      </c>
      <c r="S1914" s="1479" t="s">
        <v>47</v>
      </c>
      <c r="T1914" s="1485" t="s">
        <v>48</v>
      </c>
      <c r="V1914" s="94"/>
      <c r="W1914" s="3124" t="s">
        <v>90</v>
      </c>
      <c r="X1914" s="3125"/>
      <c r="Z1914" s="1532"/>
    </row>
    <row r="1915" spans="1:26" hidden="1" outlineLevel="1" x14ac:dyDescent="0.35">
      <c r="A1915" s="1346" t="s">
        <v>389</v>
      </c>
      <c r="B1915" s="1347">
        <v>310</v>
      </c>
      <c r="C1915" s="1348">
        <v>4.0999999999999996</v>
      </c>
      <c r="D1915" s="1349">
        <f t="shared" ref="D1915:D1921" si="352">C1915*B1915</f>
        <v>1271</v>
      </c>
      <c r="E1915" s="1601">
        <f t="shared" si="351"/>
        <v>-0.25318761384335164</v>
      </c>
      <c r="F1915" s="1486">
        <f t="shared" ref="F1915:F1921" si="353">D1915/D$1896</f>
        <v>6.8143283181985714E-3</v>
      </c>
      <c r="G1915" s="1494" t="s">
        <v>228</v>
      </c>
      <c r="H1915" s="1593"/>
      <c r="I1915" s="1591">
        <v>21.1</v>
      </c>
      <c r="J1915" s="3120" t="s">
        <v>401</v>
      </c>
      <c r="K1915" s="3120"/>
      <c r="L1915" s="3120"/>
      <c r="M1915" s="1607" t="str">
        <f t="shared" ref="M1915:M1921" si="354">A1915</f>
        <v>SDC</v>
      </c>
      <c r="N1915" s="46"/>
      <c r="O1915" s="46"/>
      <c r="P1915" s="1606"/>
      <c r="Q1915" s="1529">
        <f>B1915*RIGHT(J1915,4)</f>
        <v>1813.5</v>
      </c>
      <c r="R1915" s="1495">
        <f t="shared" ref="R1915:R1921" si="355">D1915</f>
        <v>1271</v>
      </c>
      <c r="S1915" s="1492">
        <f t="shared" ref="S1915:S1921" si="356">R1915-Q1915</f>
        <v>-542.5</v>
      </c>
      <c r="T1915" s="1493">
        <f t="shared" ref="T1915:T1921" si="357">(R1915-Q1915)/Q1915</f>
        <v>-0.29914529914529914</v>
      </c>
      <c r="V1915" s="99" t="s">
        <v>412</v>
      </c>
      <c r="W1915" s="1608">
        <v>9770.93</v>
      </c>
      <c r="X1915" s="1555"/>
    </row>
    <row r="1916" spans="1:26" hidden="1" outlineLevel="1" x14ac:dyDescent="0.35">
      <c r="A1916" s="7" t="s">
        <v>402</v>
      </c>
      <c r="B1916" s="1142">
        <v>250</v>
      </c>
      <c r="C1916" s="1143">
        <v>10.41</v>
      </c>
      <c r="D1916" s="1223">
        <f t="shared" si="352"/>
        <v>2602.5</v>
      </c>
      <c r="E1916" s="1601">
        <f t="shared" si="351"/>
        <v>-0.11854360711261645</v>
      </c>
      <c r="F1916" s="1486">
        <f t="shared" si="353"/>
        <v>1.3953020808899907E-2</v>
      </c>
      <c r="G1916" s="1494" t="s">
        <v>228</v>
      </c>
      <c r="H1916" s="1593" t="s">
        <v>350</v>
      </c>
      <c r="I1916" s="1591">
        <v>19.59</v>
      </c>
      <c r="J1916" s="3120" t="s">
        <v>390</v>
      </c>
      <c r="K1916" s="3120"/>
      <c r="L1916" s="3120"/>
      <c r="M1916" s="1607" t="str">
        <f t="shared" si="354"/>
        <v>AVTR</v>
      </c>
      <c r="N1916" s="46"/>
      <c r="O1916" s="46"/>
      <c r="P1916" s="1606"/>
      <c r="Q1916" s="1529">
        <f t="shared" ref="Q1916:Q1921" si="358">B1916*RIGHT(J1916,6)</f>
        <v>3030</v>
      </c>
      <c r="R1916" s="1495">
        <f t="shared" si="355"/>
        <v>2602.5</v>
      </c>
      <c r="S1916" s="1492">
        <f t="shared" si="356"/>
        <v>-427.5</v>
      </c>
      <c r="T1916" s="1493">
        <f t="shared" si="357"/>
        <v>-0.14108910891089108</v>
      </c>
      <c r="V1916" s="99" t="s">
        <v>405</v>
      </c>
      <c r="W1916" s="1608">
        <v>19870.240000000002</v>
      </c>
      <c r="X1916" s="1609">
        <f>W1915</f>
        <v>9770.93</v>
      </c>
    </row>
    <row r="1917" spans="1:26" ht="16" hidden="1" outlineLevel="1" thickBot="1" x14ac:dyDescent="0.4">
      <c r="A1917" s="1346" t="s">
        <v>403</v>
      </c>
      <c r="B1917" s="1347">
        <v>200</v>
      </c>
      <c r="C1917" s="1348">
        <v>103.85</v>
      </c>
      <c r="D1917" s="1349">
        <f t="shared" si="352"/>
        <v>20770</v>
      </c>
      <c r="E1917" s="1601">
        <f t="shared" si="351"/>
        <v>2.2447573102293998E-2</v>
      </c>
      <c r="F1917" s="1486">
        <f t="shared" si="353"/>
        <v>0.11135609690714739</v>
      </c>
      <c r="G1917" s="1494" t="s">
        <v>228</v>
      </c>
      <c r="H1917" s="1593" t="s">
        <v>216</v>
      </c>
      <c r="I1917" s="1591">
        <v>134.51</v>
      </c>
      <c r="J1917" s="3120" t="s">
        <v>404</v>
      </c>
      <c r="K1917" s="3120"/>
      <c r="L1917" s="3120"/>
      <c r="M1917" s="1607" t="str">
        <f t="shared" si="354"/>
        <v>ALNY</v>
      </c>
      <c r="N1917" s="46"/>
      <c r="O1917" s="46"/>
      <c r="P1917" s="1606"/>
      <c r="Q1917" s="1529">
        <f t="shared" si="358"/>
        <v>19448</v>
      </c>
      <c r="R1917" s="1495">
        <f t="shared" si="355"/>
        <v>20770</v>
      </c>
      <c r="S1917" s="1510">
        <f t="shared" si="356"/>
        <v>1322</v>
      </c>
      <c r="T1917" s="1530">
        <f t="shared" si="357"/>
        <v>6.797614150555327E-2</v>
      </c>
      <c r="V1917" s="99" t="s">
        <v>413</v>
      </c>
      <c r="W1917" s="1610">
        <v>9109.65</v>
      </c>
      <c r="X1917" s="1611">
        <f>W1917*-1</f>
        <v>-9109.65</v>
      </c>
      <c r="Y1917" s="1612"/>
      <c r="Z1917" s="1613"/>
    </row>
    <row r="1918" spans="1:26" ht="16" hidden="1" outlineLevel="1" thickBot="1" x14ac:dyDescent="0.4">
      <c r="A1918" s="7" t="s">
        <v>413</v>
      </c>
      <c r="B1918" s="1142">
        <v>110</v>
      </c>
      <c r="C1918" s="1143">
        <v>73.260000000000005</v>
      </c>
      <c r="D1918" s="1223">
        <f t="shared" si="352"/>
        <v>8058.6</v>
      </c>
      <c r="E1918" s="1601">
        <f t="shared" si="351"/>
        <v>-0.35248364857698422</v>
      </c>
      <c r="F1918" s="1486">
        <f t="shared" si="353"/>
        <v>4.3205307777368224E-2</v>
      </c>
      <c r="G1918" s="1494">
        <v>37</v>
      </c>
      <c r="H1918" s="1593" t="s">
        <v>350</v>
      </c>
      <c r="I1918" s="1591">
        <v>150.06</v>
      </c>
      <c r="J1918" s="3120" t="s">
        <v>414</v>
      </c>
      <c r="K1918" s="3120"/>
      <c r="L1918" s="3120"/>
      <c r="M1918" s="1607" t="str">
        <f t="shared" si="354"/>
        <v>GILD</v>
      </c>
      <c r="N1918" s="46"/>
      <c r="O1918" s="46"/>
      <c r="P1918" s="1606"/>
      <c r="Q1918" s="1529">
        <f t="shared" si="358"/>
        <v>9110.1999999999989</v>
      </c>
      <c r="R1918" s="1495">
        <f t="shared" si="355"/>
        <v>8058.6</v>
      </c>
      <c r="S1918" s="1510">
        <f t="shared" si="356"/>
        <v>-1051.5999999999985</v>
      </c>
      <c r="T1918" s="1530">
        <f t="shared" si="357"/>
        <v>-0.11543105530065187</v>
      </c>
      <c r="V1918" s="101"/>
      <c r="W1918" s="1614">
        <f>W1916-W1917</f>
        <v>10760.590000000002</v>
      </c>
      <c r="X1918" s="1615">
        <f>SUM(X1916:X1917)</f>
        <v>661.28000000000065</v>
      </c>
      <c r="Y1918" s="85"/>
    </row>
    <row r="1919" spans="1:26" hidden="1" outlineLevel="1" x14ac:dyDescent="0.35">
      <c r="A1919" s="1346" t="s">
        <v>96</v>
      </c>
      <c r="B1919" s="1347">
        <v>100</v>
      </c>
      <c r="C1919" s="1348">
        <v>394.19</v>
      </c>
      <c r="D1919" s="1349">
        <f t="shared" si="352"/>
        <v>39419</v>
      </c>
      <c r="E1919" s="1544">
        <f t="shared" si="351"/>
        <v>-0.16304301668860677</v>
      </c>
      <c r="F1919" s="1486">
        <f t="shared" si="353"/>
        <v>0.21134068290721439</v>
      </c>
      <c r="G1919" s="1494">
        <v>40</v>
      </c>
      <c r="H1919" s="1593" t="s">
        <v>350</v>
      </c>
      <c r="I1919" s="1591">
        <v>619</v>
      </c>
      <c r="J1919" s="3120" t="s">
        <v>407</v>
      </c>
      <c r="K1919" s="3120"/>
      <c r="L1919" s="3120"/>
      <c r="M1919" s="1607" t="str">
        <f t="shared" si="354"/>
        <v>ISRG</v>
      </c>
      <c r="N1919" s="46"/>
      <c r="O1919" s="46"/>
      <c r="P1919" s="1606"/>
      <c r="Q1919" s="1529">
        <f t="shared" si="358"/>
        <v>56436</v>
      </c>
      <c r="R1919" s="1495">
        <f t="shared" si="355"/>
        <v>39419</v>
      </c>
      <c r="S1919" s="1492">
        <f t="shared" si="356"/>
        <v>-17017</v>
      </c>
      <c r="T1919" s="1493">
        <f t="shared" si="357"/>
        <v>-0.30152739386207383</v>
      </c>
      <c r="Y1919" s="85"/>
    </row>
    <row r="1920" spans="1:26" hidden="1" outlineLevel="1" x14ac:dyDescent="0.35">
      <c r="A1920" s="7" t="s">
        <v>391</v>
      </c>
      <c r="B1920" s="1142">
        <v>100.239</v>
      </c>
      <c r="C1920" s="1143">
        <v>229.24</v>
      </c>
      <c r="D1920" s="1223">
        <f t="shared" si="352"/>
        <v>22978.788360000002</v>
      </c>
      <c r="E1920" s="1544">
        <f t="shared" si="351"/>
        <v>-0.17530668777206179</v>
      </c>
      <c r="F1920" s="1486">
        <f t="shared" si="353"/>
        <v>0.12319827556210836</v>
      </c>
      <c r="G1920" s="1494">
        <v>22</v>
      </c>
      <c r="H1920" s="1593" t="s">
        <v>145</v>
      </c>
      <c r="I1920" s="1591">
        <v>327.85</v>
      </c>
      <c r="J1920" s="3120" t="s">
        <v>408</v>
      </c>
      <c r="K1920" s="3120"/>
      <c r="L1920" s="3120"/>
      <c r="M1920" s="1607" t="str">
        <f t="shared" si="354"/>
        <v>APPL</v>
      </c>
      <c r="N1920" s="46"/>
      <c r="O1920" s="46"/>
      <c r="P1920" s="1606"/>
      <c r="Q1920" s="1508">
        <f t="shared" si="358"/>
        <v>31226.453279999998</v>
      </c>
      <c r="R1920" s="1491">
        <f t="shared" si="355"/>
        <v>22978.788360000002</v>
      </c>
      <c r="S1920" s="1492">
        <f t="shared" si="356"/>
        <v>-8247.6649199999956</v>
      </c>
      <c r="T1920" s="1493">
        <f t="shared" si="357"/>
        <v>-0.2641242937853106</v>
      </c>
    </row>
    <row r="1921" spans="1:23" hidden="1" outlineLevel="1" x14ac:dyDescent="0.35">
      <c r="A1921" s="1346" t="s">
        <v>394</v>
      </c>
      <c r="B1921" s="1347">
        <v>95</v>
      </c>
      <c r="C1921" s="1348">
        <v>550.96</v>
      </c>
      <c r="D1921" s="1349">
        <f t="shared" si="352"/>
        <v>52341.200000000004</v>
      </c>
      <c r="E1921" s="1544">
        <f t="shared" si="351"/>
        <v>-0.17015348003554581</v>
      </c>
      <c r="F1921" s="1486">
        <f t="shared" si="353"/>
        <v>0.28062165331903627</v>
      </c>
      <c r="G1921" s="1494">
        <v>77</v>
      </c>
      <c r="H1921" s="1593" t="s">
        <v>216</v>
      </c>
      <c r="I1921" s="1591">
        <v>746.7</v>
      </c>
      <c r="J1921" s="3120" t="s">
        <v>409</v>
      </c>
      <c r="K1921" s="3120"/>
      <c r="L1921" s="3120"/>
      <c r="M1921" s="1616" t="str">
        <f t="shared" si="354"/>
        <v>CSGP</v>
      </c>
      <c r="N1921" s="46"/>
      <c r="O1921" s="46"/>
      <c r="P1921" s="1606"/>
      <c r="Q1921" s="1529">
        <f t="shared" si="358"/>
        <v>61923.850000000006</v>
      </c>
      <c r="R1921" s="1495">
        <f t="shared" si="355"/>
        <v>52341.200000000004</v>
      </c>
      <c r="S1921" s="1492">
        <f t="shared" si="356"/>
        <v>-9582.6500000000015</v>
      </c>
      <c r="T1921" s="1493">
        <f t="shared" si="357"/>
        <v>-0.15474893760643113</v>
      </c>
    </row>
    <row r="1922" spans="1:23" ht="16" hidden="1" outlineLevel="1" thickBot="1" x14ac:dyDescent="0.4">
      <c r="A1922" s="7" t="s">
        <v>7</v>
      </c>
      <c r="B1922" s="1142"/>
      <c r="C1922" s="1143"/>
      <c r="D1922" s="1223">
        <v>1600.92</v>
      </c>
      <c r="E1922" s="32"/>
      <c r="F1922" s="1234">
        <f>D1922/D$1601</f>
        <v>5.5667465928226269E-3</v>
      </c>
      <c r="G1922" s="1418"/>
      <c r="H1922" s="1500"/>
      <c r="I1922" s="1501"/>
      <c r="J1922" s="1282"/>
      <c r="K1922" s="1462"/>
      <c r="L1922" s="1462"/>
      <c r="R1922" s="1532">
        <f>SUM(R1915:R1921)</f>
        <v>147441.08836000002</v>
      </c>
      <c r="S1922" s="1522">
        <f>SUM(S1915:S1921)</f>
        <v>-35546.914919999996</v>
      </c>
      <c r="T1922" s="1617">
        <f>AVERAGE(T1914:T1921)</f>
        <v>-0.17258427815787206</v>
      </c>
      <c r="W1922" s="247"/>
    </row>
    <row r="1923" spans="1:23" ht="16" hidden="1" outlineLevel="1" thickBot="1" x14ac:dyDescent="0.4">
      <c r="A1923" s="1346" t="s">
        <v>60</v>
      </c>
      <c r="B1923" s="1347"/>
      <c r="C1923" s="1348"/>
      <c r="D1923" s="1349">
        <f>9770.93+10760.59</f>
        <v>20531.52</v>
      </c>
      <c r="E1923" s="32"/>
      <c r="F1923" s="1618">
        <f>D1923/D$1554</f>
        <v>6.7684134770530688E-2</v>
      </c>
      <c r="G1923" s="1504"/>
      <c r="H1923" s="1505"/>
      <c r="I1923" s="1290">
        <f>SUM(I1922:I1922)</f>
        <v>0</v>
      </c>
      <c r="J1923" s="1468"/>
      <c r="K1923" s="1151"/>
      <c r="L1923" s="1151"/>
      <c r="R1923" s="1470" t="str">
        <f>IF(SUM(D1915:D1921)&lt;&gt;R1922,"Out of Balance","Balances")</f>
        <v>Balances</v>
      </c>
      <c r="W1923" s="247"/>
    </row>
    <row r="1924" spans="1:23" ht="19" hidden="1" outlineLevel="1" thickBot="1" x14ac:dyDescent="0.5">
      <c r="A1924" s="726" t="s">
        <v>62</v>
      </c>
      <c r="B1924" s="583"/>
      <c r="C1924" s="584"/>
      <c r="D1924" s="1230">
        <f>SUM(D1915:D1923)</f>
        <v>169573.52836000003</v>
      </c>
      <c r="E1924" s="73">
        <f>D1924-D1896</f>
        <v>-16945.221640000003</v>
      </c>
      <c r="F1924" s="1537">
        <f>(D1924-D1896)/D1896</f>
        <v>-9.084996355594277E-2</v>
      </c>
      <c r="W1924" s="247"/>
    </row>
    <row r="1925" spans="1:23" hidden="1" outlineLevel="1" x14ac:dyDescent="0.35">
      <c r="W1925" s="247"/>
    </row>
    <row r="1926" spans="1:23" ht="16" hidden="1" outlineLevel="1" thickBot="1" x14ac:dyDescent="0.4">
      <c r="A1926" s="1619" t="s">
        <v>25</v>
      </c>
      <c r="B1926" s="1620" t="s">
        <v>26</v>
      </c>
      <c r="C1926" s="1621" t="s">
        <v>27</v>
      </c>
      <c r="D1926" s="1622">
        <f>D1912+7</f>
        <v>43917</v>
      </c>
      <c r="E1926" s="1623" t="s">
        <v>28</v>
      </c>
      <c r="F1926" s="3082" t="s">
        <v>410</v>
      </c>
      <c r="G1926" s="3083"/>
      <c r="H1926" s="3096"/>
      <c r="I1926" s="1600"/>
      <c r="J1926" s="1577" t="s">
        <v>233</v>
      </c>
    </row>
    <row r="1927" spans="1:23" ht="16" hidden="1" outlineLevel="1" thickBot="1" x14ac:dyDescent="0.4">
      <c r="A1927" s="1584" t="s">
        <v>32</v>
      </c>
      <c r="B1927" s="1585" t="str">
        <f ca="1">TEXT(TODAY(),"ddd")</f>
        <v>Sun</v>
      </c>
      <c r="C1927" s="1586">
        <v>21636</v>
      </c>
      <c r="D1927" s="1587">
        <f>C1927-C1913</f>
        <v>2475</v>
      </c>
      <c r="E1927" s="1624">
        <f>(C1927-C1913)/C1913</f>
        <v>0.12916862376702679</v>
      </c>
      <c r="F1927" s="3097"/>
      <c r="G1927" s="3085"/>
      <c r="H1927" s="3086"/>
      <c r="I1927" s="1602"/>
      <c r="J1927" s="1188" t="s">
        <v>234</v>
      </c>
      <c r="K1927" s="1220" t="s">
        <v>34</v>
      </c>
      <c r="L1927" s="111" t="s">
        <v>415</v>
      </c>
    </row>
    <row r="1928" spans="1:23" hidden="1" outlineLevel="1" x14ac:dyDescent="0.35">
      <c r="A1928" s="709" t="s">
        <v>36</v>
      </c>
      <c r="B1928" s="263"/>
      <c r="C1928" s="419">
        <v>7502</v>
      </c>
      <c r="D1928" s="1516">
        <f>C1928-C1914</f>
        <v>623</v>
      </c>
      <c r="E1928" s="1625">
        <f>(C1928-C1914)/C1914</f>
        <v>9.0565489169937494E-2</v>
      </c>
      <c r="F1928" s="1517" t="s">
        <v>37</v>
      </c>
      <c r="G1928" s="1603" t="s">
        <v>38</v>
      </c>
      <c r="H1928" s="1604" t="s">
        <v>144</v>
      </c>
      <c r="I1928" s="1591" t="s">
        <v>400</v>
      </c>
      <c r="J1928" s="3033" t="s">
        <v>42</v>
      </c>
      <c r="K1928" s="3034"/>
      <c r="L1928" s="3034"/>
      <c r="M1928" s="1199" t="s">
        <v>244</v>
      </c>
      <c r="P1928" s="1200" t="s">
        <v>44</v>
      </c>
      <c r="Q1928" s="1479" t="s">
        <v>45</v>
      </c>
      <c r="R1928" s="1479" t="s">
        <v>46</v>
      </c>
      <c r="S1928" s="1479" t="s">
        <v>47</v>
      </c>
      <c r="T1928" s="1485" t="s">
        <v>48</v>
      </c>
    </row>
    <row r="1929" spans="1:23" hidden="1" outlineLevel="1" x14ac:dyDescent="0.35">
      <c r="A1929" s="1346" t="s">
        <v>389</v>
      </c>
      <c r="B1929" s="1347">
        <v>610</v>
      </c>
      <c r="C1929" s="1348">
        <v>5.5</v>
      </c>
      <c r="D1929" s="1348">
        <f t="shared" ref="D1929:D1936" si="359">C1929*B1929</f>
        <v>3355</v>
      </c>
      <c r="E1929" s="1626"/>
      <c r="F1929" s="1486">
        <f t="shared" ref="F1929:F1936" si="360">D1929/D$1896</f>
        <v>1.7987467747880573E-2</v>
      </c>
      <c r="G1929" s="1494" t="s">
        <v>228</v>
      </c>
      <c r="H1929" s="1593"/>
      <c r="I1929" s="1591">
        <v>21.1</v>
      </c>
      <c r="J1929" s="3054" t="s">
        <v>416</v>
      </c>
      <c r="K1929" s="3054"/>
      <c r="L1929" s="3054"/>
      <c r="M1929" s="1489" t="str">
        <f t="shared" ref="M1929:M1936" si="361">A1929</f>
        <v>SDC</v>
      </c>
      <c r="P1929" s="1200"/>
      <c r="Q1929" s="1529">
        <f>B1929*RIGHT(J1929,4)</f>
        <v>3653.9</v>
      </c>
      <c r="R1929" s="1495">
        <f t="shared" ref="R1929:R1935" si="362">D1929</f>
        <v>3355</v>
      </c>
      <c r="S1929" s="1492">
        <f t="shared" ref="S1929:S1935" si="363">R1929-Q1929</f>
        <v>-298.90000000000009</v>
      </c>
      <c r="T1929" s="1493">
        <f t="shared" ref="T1929:T1935" si="364">(R1929-Q1929)/Q1929</f>
        <v>-8.1803005008347265E-2</v>
      </c>
    </row>
    <row r="1930" spans="1:23" hidden="1" outlineLevel="1" x14ac:dyDescent="0.35">
      <c r="A1930" s="7" t="s">
        <v>402</v>
      </c>
      <c r="B1930" s="1142">
        <v>250</v>
      </c>
      <c r="C1930" s="1143">
        <v>11.6</v>
      </c>
      <c r="D1930" s="1143">
        <f t="shared" si="359"/>
        <v>2900</v>
      </c>
      <c r="E1930" s="1627">
        <f>(D1930-D1916)/D1916</f>
        <v>0.11431316042267051</v>
      </c>
      <c r="F1930" s="1486">
        <f t="shared" si="360"/>
        <v>1.5548034715008542E-2</v>
      </c>
      <c r="G1930" s="1494" t="s">
        <v>228</v>
      </c>
      <c r="H1930" s="1593" t="s">
        <v>350</v>
      </c>
      <c r="I1930" s="1591">
        <v>19.59</v>
      </c>
      <c r="J1930" s="3054" t="s">
        <v>390</v>
      </c>
      <c r="K1930" s="3054"/>
      <c r="L1930" s="3054"/>
      <c r="M1930" s="1489" t="str">
        <f t="shared" si="361"/>
        <v>AVTR</v>
      </c>
      <c r="P1930" s="1200"/>
      <c r="Q1930" s="1529">
        <f t="shared" ref="Q1930:Q1935" si="365">B1930*RIGHT(J1930,6)</f>
        <v>3030</v>
      </c>
      <c r="R1930" s="1495">
        <f t="shared" si="362"/>
        <v>2900</v>
      </c>
      <c r="S1930" s="1492">
        <f t="shared" si="363"/>
        <v>-130</v>
      </c>
      <c r="T1930" s="1493">
        <f t="shared" si="364"/>
        <v>-4.2904290429042903E-2</v>
      </c>
    </row>
    <row r="1931" spans="1:23" hidden="1" outlineLevel="1" x14ac:dyDescent="0.35">
      <c r="A1931" s="1346" t="s">
        <v>403</v>
      </c>
      <c r="B1931" s="1347">
        <v>200</v>
      </c>
      <c r="C1931" s="1348">
        <v>104.2</v>
      </c>
      <c r="D1931" s="1348">
        <f t="shared" si="359"/>
        <v>20840</v>
      </c>
      <c r="E1931" s="1540">
        <f>(D1931-D1917)/D1917</f>
        <v>3.3702455464612422E-3</v>
      </c>
      <c r="F1931" s="1486">
        <f t="shared" si="360"/>
        <v>0.11173139429682001</v>
      </c>
      <c r="G1931" s="1494" t="s">
        <v>228</v>
      </c>
      <c r="H1931" s="1593" t="s">
        <v>216</v>
      </c>
      <c r="I1931" s="1591">
        <v>134.51</v>
      </c>
      <c r="J1931" s="3054" t="s">
        <v>404</v>
      </c>
      <c r="K1931" s="3054"/>
      <c r="L1931" s="3054"/>
      <c r="M1931" s="1489" t="str">
        <f t="shared" si="361"/>
        <v>ALNY</v>
      </c>
      <c r="P1931" s="1200"/>
      <c r="Q1931" s="1529">
        <f t="shared" si="365"/>
        <v>19448</v>
      </c>
      <c r="R1931" s="1495">
        <f t="shared" si="362"/>
        <v>20840</v>
      </c>
      <c r="S1931" s="1510">
        <f t="shared" si="363"/>
        <v>1392</v>
      </c>
      <c r="T1931" s="1530">
        <f t="shared" si="364"/>
        <v>7.1575483340189219E-2</v>
      </c>
    </row>
    <row r="1932" spans="1:23" hidden="1" outlineLevel="1" x14ac:dyDescent="0.35">
      <c r="A1932" s="7" t="s">
        <v>417</v>
      </c>
      <c r="B1932" s="1142">
        <v>110</v>
      </c>
      <c r="C1932" s="1143">
        <v>145.55000000000001</v>
      </c>
      <c r="D1932" s="1143">
        <f t="shared" si="359"/>
        <v>16010.500000000002</v>
      </c>
      <c r="E1932" s="1628"/>
      <c r="F1932" s="1486">
        <f t="shared" si="360"/>
        <v>8.5838555105049757E-2</v>
      </c>
      <c r="G1932" s="1494">
        <v>68</v>
      </c>
      <c r="H1932" s="1593" t="s">
        <v>145</v>
      </c>
      <c r="I1932" s="1591">
        <v>176.9</v>
      </c>
      <c r="J1932" s="3054" t="s">
        <v>418</v>
      </c>
      <c r="K1932" s="3054"/>
      <c r="L1932" s="3054"/>
      <c r="M1932" s="1489" t="str">
        <f t="shared" si="361"/>
        <v xml:space="preserve">VEEV </v>
      </c>
      <c r="P1932" s="1200"/>
      <c r="Q1932" s="1529">
        <f>B1932*RIGHT(J1932,6)</f>
        <v>14361.6</v>
      </c>
      <c r="R1932" s="1495">
        <f>D1932</f>
        <v>16010.500000000002</v>
      </c>
      <c r="S1932" s="1629">
        <f>R1932-Q1932</f>
        <v>1648.9000000000015</v>
      </c>
      <c r="T1932" s="1630">
        <f>(R1932-Q1932)/Q1932</f>
        <v>0.11481311274509813</v>
      </c>
    </row>
    <row r="1933" spans="1:23" hidden="1" outlineLevel="1" x14ac:dyDescent="0.35">
      <c r="A1933" s="1346" t="s">
        <v>96</v>
      </c>
      <c r="B1933" s="1347">
        <v>100</v>
      </c>
      <c r="C1933" s="1348">
        <v>490.41</v>
      </c>
      <c r="D1933" s="1348">
        <f t="shared" si="359"/>
        <v>49041</v>
      </c>
      <c r="E1933" s="1627">
        <f>(D1933-D1919)/D1919</f>
        <v>0.24409548694791852</v>
      </c>
      <c r="F1933" s="1486">
        <f t="shared" si="360"/>
        <v>0.26292798981335652</v>
      </c>
      <c r="G1933" s="1494">
        <v>40</v>
      </c>
      <c r="H1933" s="1593" t="s">
        <v>350</v>
      </c>
      <c r="I1933" s="1591">
        <v>619</v>
      </c>
      <c r="J1933" s="3054" t="s">
        <v>407</v>
      </c>
      <c r="K1933" s="3054"/>
      <c r="L1933" s="3054"/>
      <c r="M1933" s="1489" t="str">
        <f t="shared" si="361"/>
        <v>ISRG</v>
      </c>
      <c r="P1933" s="1200"/>
      <c r="Q1933" s="1529">
        <f t="shared" si="365"/>
        <v>56436</v>
      </c>
      <c r="R1933" s="1495">
        <f t="shared" si="362"/>
        <v>49041</v>
      </c>
      <c r="S1933" s="1492">
        <f t="shared" si="363"/>
        <v>-7395</v>
      </c>
      <c r="T1933" s="1493">
        <f t="shared" si="364"/>
        <v>-0.13103338294705508</v>
      </c>
    </row>
    <row r="1934" spans="1:23" hidden="1" outlineLevel="1" x14ac:dyDescent="0.35">
      <c r="A1934" s="7" t="s">
        <v>391</v>
      </c>
      <c r="B1934" s="1142">
        <v>100.239</v>
      </c>
      <c r="C1934" s="1143">
        <v>247.74</v>
      </c>
      <c r="D1934" s="1143">
        <f t="shared" si="359"/>
        <v>24833.209860000003</v>
      </c>
      <c r="E1934" s="1627">
        <f>(D1934-D1920)/D1920</f>
        <v>8.0701448263828315E-2</v>
      </c>
      <c r="F1934" s="1486">
        <f t="shared" si="360"/>
        <v>0.1331405548235767</v>
      </c>
      <c r="G1934" s="1494">
        <v>22</v>
      </c>
      <c r="H1934" s="1593" t="s">
        <v>145</v>
      </c>
      <c r="I1934" s="1591">
        <v>327.85</v>
      </c>
      <c r="J1934" s="3054" t="s">
        <v>408</v>
      </c>
      <c r="K1934" s="3054"/>
      <c r="L1934" s="3054"/>
      <c r="M1934" s="1489" t="str">
        <f t="shared" si="361"/>
        <v>APPL</v>
      </c>
      <c r="P1934" s="1200"/>
      <c r="Q1934" s="1508">
        <f t="shared" si="365"/>
        <v>31226.453279999998</v>
      </c>
      <c r="R1934" s="1491">
        <f t="shared" si="362"/>
        <v>24833.209860000003</v>
      </c>
      <c r="S1934" s="1492">
        <f t="shared" si="363"/>
        <v>-6393.2434199999952</v>
      </c>
      <c r="T1934" s="1493">
        <f t="shared" si="364"/>
        <v>-0.20473805855161772</v>
      </c>
    </row>
    <row r="1935" spans="1:23" hidden="1" outlineLevel="1" x14ac:dyDescent="0.35">
      <c r="A1935" s="1346" t="s">
        <v>394</v>
      </c>
      <c r="B1935" s="1347">
        <v>95</v>
      </c>
      <c r="C1935" s="1348">
        <v>580.99</v>
      </c>
      <c r="D1935" s="1348">
        <f t="shared" si="359"/>
        <v>55194.05</v>
      </c>
      <c r="E1935" s="1540">
        <f>(D1935-D1921)/D1921</f>
        <v>5.4504864236968167E-2</v>
      </c>
      <c r="F1935" s="1486">
        <f t="shared" si="360"/>
        <v>0.2959168984351439</v>
      </c>
      <c r="G1935" s="1494">
        <v>77</v>
      </c>
      <c r="H1935" s="1593" t="s">
        <v>216</v>
      </c>
      <c r="I1935" s="1591">
        <v>746.7</v>
      </c>
      <c r="J1935" s="3054" t="s">
        <v>409</v>
      </c>
      <c r="K1935" s="3054"/>
      <c r="L1935" s="3054"/>
      <c r="M1935" s="1489" t="str">
        <f t="shared" si="361"/>
        <v>CSGP</v>
      </c>
      <c r="P1935" s="1200"/>
      <c r="Q1935" s="1529">
        <f t="shared" si="365"/>
        <v>61923.850000000006</v>
      </c>
      <c r="R1935" s="1495">
        <f t="shared" si="362"/>
        <v>55194.05</v>
      </c>
      <c r="S1935" s="1492">
        <f t="shared" si="363"/>
        <v>-6729.8000000000029</v>
      </c>
      <c r="T1935" s="1493">
        <f t="shared" si="364"/>
        <v>-0.10867864320451655</v>
      </c>
    </row>
    <row r="1936" spans="1:23" hidden="1" outlineLevel="1" x14ac:dyDescent="0.35">
      <c r="A1936" s="7" t="s">
        <v>137</v>
      </c>
      <c r="B1936" s="1142">
        <v>90</v>
      </c>
      <c r="C1936" s="1143">
        <v>145.24</v>
      </c>
      <c r="D1936" s="1143">
        <f t="shared" si="359"/>
        <v>13071.6</v>
      </c>
      <c r="E1936" s="1628"/>
      <c r="F1936" s="1486">
        <f t="shared" si="360"/>
        <v>7.0081962269208847E-2</v>
      </c>
      <c r="G1936" s="1494">
        <v>23</v>
      </c>
      <c r="H1936" s="1488" t="s">
        <v>145</v>
      </c>
      <c r="I1936" s="1631">
        <v>322.14</v>
      </c>
      <c r="J1936" s="3054" t="s">
        <v>419</v>
      </c>
      <c r="K1936" s="3054"/>
      <c r="L1936" s="3054"/>
      <c r="M1936" s="1489" t="str">
        <f t="shared" si="361"/>
        <v>ABMD</v>
      </c>
      <c r="P1936" s="1632"/>
      <c r="Q1936" s="1529">
        <f>B1936*RIGHT(J1936,6)</f>
        <v>12378.599999999999</v>
      </c>
      <c r="R1936" s="1495">
        <f>D1936</f>
        <v>13071.6</v>
      </c>
      <c r="S1936" s="1510">
        <f>R1936-Q1936</f>
        <v>693.00000000000182</v>
      </c>
      <c r="T1936" s="1530">
        <f>(R1936-Q1936)/Q1936</f>
        <v>5.5983713828704533E-2</v>
      </c>
    </row>
    <row r="1937" spans="1:21" ht="16" hidden="1" outlineLevel="1" thickBot="1" x14ac:dyDescent="0.4">
      <c r="A1937" s="1346" t="s">
        <v>7</v>
      </c>
      <c r="B1937" s="1347"/>
      <c r="C1937" s="1348"/>
      <c r="D1937" s="1348">
        <v>1716.27</v>
      </c>
      <c r="E1937" s="32"/>
      <c r="F1937" s="1499">
        <f>D1937/D$1601</f>
        <v>5.9678435992202537E-3</v>
      </c>
      <c r="G1937" s="1418"/>
      <c r="H1937" s="1500"/>
      <c r="I1937" s="1501"/>
      <c r="J1937" s="1633"/>
      <c r="K1937" s="1634"/>
      <c r="L1937" s="1634"/>
      <c r="R1937" s="1532">
        <f>SUM(R1929:R1935)</f>
        <v>172173.75985999999</v>
      </c>
      <c r="S1937" s="1522">
        <f>SUM(S1929:S1935)</f>
        <v>-17906.043419999995</v>
      </c>
    </row>
    <row r="1938" spans="1:21" ht="16" hidden="1" outlineLevel="1" thickBot="1" x14ac:dyDescent="0.4">
      <c r="A1938" s="7" t="s">
        <v>60</v>
      </c>
      <c r="B1938" s="1142"/>
      <c r="C1938" s="1143"/>
      <c r="D1938" s="1143">
        <v>137.61000000000001</v>
      </c>
      <c r="E1938" s="32"/>
      <c r="F1938" s="1503">
        <f>D1938/D$1554</f>
        <v>4.5364462961206616E-4</v>
      </c>
      <c r="G1938" s="1504"/>
      <c r="H1938" s="1505"/>
      <c r="I1938" s="1290">
        <f>SUM(I1937:I1937)</f>
        <v>0</v>
      </c>
      <c r="J1938" s="1468"/>
      <c r="K1938" s="1151"/>
      <c r="L1938" s="1151"/>
      <c r="R1938" s="1470" t="str">
        <f>IF(SUM(D1929:D1935)&lt;&gt;R1937,"Out of Balance","Balances")</f>
        <v>Balances</v>
      </c>
    </row>
    <row r="1939" spans="1:21" ht="19" hidden="1" outlineLevel="1" thickBot="1" x14ac:dyDescent="0.5">
      <c r="A1939" s="726" t="s">
        <v>62</v>
      </c>
      <c r="B1939" s="583"/>
      <c r="C1939" s="584"/>
      <c r="D1939" s="1635">
        <f>SUM(D1929:D1938)</f>
        <v>187099.23985999997</v>
      </c>
      <c r="E1939" s="1538">
        <f>D1939-D1924</f>
        <v>17525.711499999947</v>
      </c>
      <c r="F1939" s="1545">
        <f>(D1939-D1924)/D1924</f>
        <v>0.10335169450973111</v>
      </c>
      <c r="H1939" s="1542">
        <f>SUM(E1939,E1924,E1910,E1882,E1871)</f>
        <v>-48526.830140000093</v>
      </c>
      <c r="I1939" s="1543" t="str">
        <f>TEXT(D1926,"mmmm")</f>
        <v>March</v>
      </c>
    </row>
    <row r="1940" spans="1:21" hidden="1" outlineLevel="1" x14ac:dyDescent="0.35"/>
    <row r="1941" spans="1:21" ht="16" hidden="1" outlineLevel="1" thickBot="1" x14ac:dyDescent="0.4">
      <c r="A1941" s="1595" t="s">
        <v>25</v>
      </c>
      <c r="B1941" s="1596" t="s">
        <v>26</v>
      </c>
      <c r="C1941" s="1597" t="s">
        <v>27</v>
      </c>
      <c r="D1941" s="1636">
        <f>D1926+7</f>
        <v>43924</v>
      </c>
      <c r="E1941" s="1599" t="s">
        <v>28</v>
      </c>
      <c r="F1941" s="3082" t="s">
        <v>410</v>
      </c>
      <c r="G1941" s="3083"/>
      <c r="H1941" s="3096"/>
      <c r="I1941" s="1600"/>
      <c r="J1941" s="1577" t="s">
        <v>233</v>
      </c>
    </row>
    <row r="1942" spans="1:21" ht="16" hidden="1" outlineLevel="1" thickBot="1" x14ac:dyDescent="0.4">
      <c r="A1942" s="1584" t="s">
        <v>32</v>
      </c>
      <c r="B1942" s="1585" t="str">
        <f ca="1">TEXT(TODAY(),"ddd")</f>
        <v>Sun</v>
      </c>
      <c r="C1942" s="1586">
        <v>20959</v>
      </c>
      <c r="D1942" s="1587">
        <f>C1942-C1927</f>
        <v>-677</v>
      </c>
      <c r="E1942" s="1637">
        <f>(C1942-C1927)/C1927</f>
        <v>-3.1290441856165647E-2</v>
      </c>
      <c r="F1942" s="3097"/>
      <c r="G1942" s="3085"/>
      <c r="H1942" s="3086"/>
      <c r="I1942" s="1602"/>
      <c r="J1942" s="1188" t="s">
        <v>234</v>
      </c>
      <c r="K1942" s="1220" t="s">
        <v>34</v>
      </c>
      <c r="L1942" s="111" t="s">
        <v>420</v>
      </c>
    </row>
    <row r="1943" spans="1:21" hidden="1" outlineLevel="1" x14ac:dyDescent="0.35">
      <c r="A1943" s="709" t="s">
        <v>36</v>
      </c>
      <c r="B1943" s="263"/>
      <c r="C1943" s="419">
        <v>7342</v>
      </c>
      <c r="D1943" s="1516">
        <f>C1943-C1928</f>
        <v>-160</v>
      </c>
      <c r="E1943" s="1185">
        <f>(C1943-C1928)/C1928</f>
        <v>-2.1327645961077047E-2</v>
      </c>
      <c r="F1943" s="1517" t="s">
        <v>37</v>
      </c>
      <c r="G1943" s="1603" t="s">
        <v>38</v>
      </c>
      <c r="H1943" s="1604" t="s">
        <v>144</v>
      </c>
      <c r="I1943" s="1591" t="s">
        <v>400</v>
      </c>
      <c r="J1943" s="3033" t="s">
        <v>42</v>
      </c>
      <c r="K1943" s="3034"/>
      <c r="L1943" s="3034"/>
      <c r="M1943" s="1199" t="s">
        <v>244</v>
      </c>
      <c r="P1943" s="1200" t="s">
        <v>44</v>
      </c>
      <c r="Q1943" s="1479" t="s">
        <v>45</v>
      </c>
      <c r="R1943" s="1479" t="s">
        <v>46</v>
      </c>
      <c r="S1943" s="1479" t="s">
        <v>47</v>
      </c>
      <c r="T1943" s="1485" t="s">
        <v>48</v>
      </c>
    </row>
    <row r="1944" spans="1:21" hidden="1" outlineLevel="1" x14ac:dyDescent="0.35">
      <c r="A1944" s="1346" t="s">
        <v>389</v>
      </c>
      <c r="B1944" s="1347">
        <v>610</v>
      </c>
      <c r="C1944" s="1348">
        <v>3.7149999999999999</v>
      </c>
      <c r="D1944" s="1348">
        <f>C1944*B1944</f>
        <v>2266.15</v>
      </c>
      <c r="E1944" s="1540">
        <f>(D1944-D1929)/D1929</f>
        <v>-0.32454545454545453</v>
      </c>
      <c r="F1944" s="1486">
        <f t="shared" ref="F1944:F1951" si="366">D1944/D$1896</f>
        <v>1.2149716851522968E-2</v>
      </c>
      <c r="G1944" s="1494" t="s">
        <v>228</v>
      </c>
      <c r="H1944" s="1593"/>
      <c r="I1944" s="1591">
        <v>21.1</v>
      </c>
      <c r="J1944" s="3054" t="s">
        <v>416</v>
      </c>
      <c r="K1944" s="3054"/>
      <c r="L1944" s="3054"/>
      <c r="M1944" s="1489" t="str">
        <f t="shared" ref="M1944:M1951" si="367">A1944</f>
        <v>SDC</v>
      </c>
      <c r="P1944" s="1200"/>
      <c r="Q1944" s="1529">
        <f>B1944*RIGHT(J1944,4)</f>
        <v>3653.9</v>
      </c>
      <c r="R1944" s="1495">
        <f t="shared" ref="R1944:R1951" si="368">D1944</f>
        <v>2266.15</v>
      </c>
      <c r="S1944" s="1492">
        <f t="shared" ref="S1944:S1951" si="369">R1944-Q1944</f>
        <v>-1387.75</v>
      </c>
      <c r="T1944" s="1493">
        <f t="shared" ref="T1944:T1951" si="370">(R1944-Q1944)/Q1944</f>
        <v>-0.37979966611018362</v>
      </c>
    </row>
    <row r="1945" spans="1:21" hidden="1" outlineLevel="1" x14ac:dyDescent="0.35">
      <c r="A1945" s="7" t="s">
        <v>402</v>
      </c>
      <c r="B1945" s="1142">
        <v>250</v>
      </c>
      <c r="C1945" s="1143">
        <v>11.85</v>
      </c>
      <c r="D1945" s="1143">
        <f t="shared" ref="D1945:D1951" si="371">C1945*B1945</f>
        <v>2962.5</v>
      </c>
      <c r="E1945" s="1544">
        <f t="shared" ref="E1945:E1951" si="372">(D1945-D1930)/D1930</f>
        <v>2.1551724137931036E-2</v>
      </c>
      <c r="F1945" s="1486">
        <f t="shared" si="366"/>
        <v>1.5883121670073382E-2</v>
      </c>
      <c r="G1945" s="1494" t="s">
        <v>228</v>
      </c>
      <c r="H1945" s="1593" t="s">
        <v>350</v>
      </c>
      <c r="I1945" s="1591">
        <v>19.59</v>
      </c>
      <c r="J1945" s="3054" t="s">
        <v>390</v>
      </c>
      <c r="K1945" s="3054"/>
      <c r="L1945" s="3054"/>
      <c r="M1945" s="1489" t="str">
        <f t="shared" si="367"/>
        <v>AVTR</v>
      </c>
      <c r="P1945" s="1200"/>
      <c r="Q1945" s="1529">
        <f t="shared" ref="Q1945:Q1951" si="373">B1945*RIGHT(J1945,6)</f>
        <v>3030</v>
      </c>
      <c r="R1945" s="1495">
        <f t="shared" si="368"/>
        <v>2962.5</v>
      </c>
      <c r="S1945" s="1492">
        <f t="shared" si="369"/>
        <v>-67.5</v>
      </c>
      <c r="T1945" s="1493">
        <f t="shared" si="370"/>
        <v>-2.2277227722772276E-2</v>
      </c>
    </row>
    <row r="1946" spans="1:21" hidden="1" outlineLevel="1" x14ac:dyDescent="0.35">
      <c r="A1946" s="1346" t="s">
        <v>403</v>
      </c>
      <c r="B1946" s="1347">
        <v>200</v>
      </c>
      <c r="C1946" s="1348">
        <v>103.98</v>
      </c>
      <c r="D1946" s="1348">
        <f t="shared" si="371"/>
        <v>20796</v>
      </c>
      <c r="E1946" s="1540">
        <f t="shared" si="372"/>
        <v>-2.1113243761996161E-3</v>
      </c>
      <c r="F1946" s="1486">
        <f t="shared" si="366"/>
        <v>0.11149549308045437</v>
      </c>
      <c r="G1946" s="1494" t="s">
        <v>228</v>
      </c>
      <c r="H1946" s="1593" t="s">
        <v>216</v>
      </c>
      <c r="I1946" s="1591">
        <v>134.51</v>
      </c>
      <c r="J1946" s="3054" t="s">
        <v>404</v>
      </c>
      <c r="K1946" s="3054"/>
      <c r="L1946" s="3054"/>
      <c r="M1946" s="1489" t="str">
        <f t="shared" si="367"/>
        <v>ALNY</v>
      </c>
      <c r="P1946" s="1200"/>
      <c r="Q1946" s="1529">
        <f t="shared" si="373"/>
        <v>19448</v>
      </c>
      <c r="R1946" s="1495">
        <f t="shared" si="368"/>
        <v>20796</v>
      </c>
      <c r="S1946" s="1510">
        <f t="shared" si="369"/>
        <v>1348</v>
      </c>
      <c r="T1946" s="1530">
        <f t="shared" si="370"/>
        <v>6.93130399012752E-2</v>
      </c>
    </row>
    <row r="1947" spans="1:21" hidden="1" outlineLevel="1" x14ac:dyDescent="0.35">
      <c r="A1947" s="7" t="s">
        <v>417</v>
      </c>
      <c r="B1947" s="1142">
        <v>110</v>
      </c>
      <c r="C1947" s="1143">
        <v>152.88999999999999</v>
      </c>
      <c r="D1947" s="1143">
        <f t="shared" si="371"/>
        <v>16817.899999999998</v>
      </c>
      <c r="E1947" s="1540">
        <f t="shared" si="372"/>
        <v>5.0429405702507472E-2</v>
      </c>
      <c r="F1947" s="1638">
        <f t="shared" si="366"/>
        <v>9.0167342425359356E-2</v>
      </c>
      <c r="G1947" s="1494">
        <v>68</v>
      </c>
      <c r="H1947" s="1593" t="s">
        <v>145</v>
      </c>
      <c r="I1947" s="1591">
        <v>176.9</v>
      </c>
      <c r="J1947" s="3054" t="s">
        <v>418</v>
      </c>
      <c r="K1947" s="3054"/>
      <c r="L1947" s="3054"/>
      <c r="M1947" s="1489" t="str">
        <f t="shared" si="367"/>
        <v xml:space="preserve">VEEV </v>
      </c>
      <c r="P1947" s="1200"/>
      <c r="Q1947" s="1529">
        <f t="shared" si="373"/>
        <v>14361.6</v>
      </c>
      <c r="R1947" s="1495">
        <f t="shared" si="368"/>
        <v>16817.899999999998</v>
      </c>
      <c r="S1947" s="1510">
        <f t="shared" si="369"/>
        <v>2456.2999999999975</v>
      </c>
      <c r="T1947" s="1530">
        <f t="shared" si="370"/>
        <v>0.1710324754901959</v>
      </c>
    </row>
    <row r="1948" spans="1:21" hidden="1" outlineLevel="1" x14ac:dyDescent="0.35">
      <c r="A1948" s="1346" t="s">
        <v>96</v>
      </c>
      <c r="B1948" s="1347">
        <v>100</v>
      </c>
      <c r="C1948" s="1348">
        <v>454.87</v>
      </c>
      <c r="D1948" s="1348">
        <f t="shared" si="371"/>
        <v>45487</v>
      </c>
      <c r="E1948" s="1540">
        <f t="shared" si="372"/>
        <v>-7.2469974103301318E-2</v>
      </c>
      <c r="F1948" s="1486">
        <f t="shared" si="366"/>
        <v>0.24387360520054951</v>
      </c>
      <c r="G1948" s="1494">
        <v>40</v>
      </c>
      <c r="H1948" s="1593" t="s">
        <v>350</v>
      </c>
      <c r="I1948" s="1591">
        <v>619</v>
      </c>
      <c r="J1948" s="3054" t="s">
        <v>407</v>
      </c>
      <c r="K1948" s="3054"/>
      <c r="L1948" s="3054"/>
      <c r="M1948" s="1489" t="str">
        <f t="shared" si="367"/>
        <v>ISRG</v>
      </c>
      <c r="P1948" s="1200"/>
      <c r="Q1948" s="1529">
        <f t="shared" si="373"/>
        <v>56436</v>
      </c>
      <c r="R1948" s="1495">
        <f t="shared" si="368"/>
        <v>45487</v>
      </c>
      <c r="S1948" s="1492">
        <f t="shared" si="369"/>
        <v>-10949</v>
      </c>
      <c r="T1948" s="1493">
        <f t="shared" si="370"/>
        <v>-0.19400737118151534</v>
      </c>
    </row>
    <row r="1949" spans="1:21" hidden="1" outlineLevel="1" x14ac:dyDescent="0.35">
      <c r="A1949" s="7" t="s">
        <v>391</v>
      </c>
      <c r="B1949" s="1142">
        <v>100.239</v>
      </c>
      <c r="C1949" s="1143">
        <v>241.31</v>
      </c>
      <c r="D1949" s="1143">
        <f t="shared" si="371"/>
        <v>24188.67309</v>
      </c>
      <c r="E1949" s="1540">
        <f t="shared" si="372"/>
        <v>-2.5954629853879162E-2</v>
      </c>
      <c r="F1949" s="1486">
        <f t="shared" si="366"/>
        <v>0.12968494100459066</v>
      </c>
      <c r="G1949" s="1494">
        <v>22</v>
      </c>
      <c r="H1949" s="1593" t="s">
        <v>145</v>
      </c>
      <c r="I1949" s="1591">
        <v>327.85</v>
      </c>
      <c r="J1949" s="3054" t="s">
        <v>408</v>
      </c>
      <c r="K1949" s="3054"/>
      <c r="L1949" s="3054"/>
      <c r="M1949" s="1489" t="str">
        <f t="shared" si="367"/>
        <v>APPL</v>
      </c>
      <c r="P1949" s="1200"/>
      <c r="Q1949" s="1508">
        <f t="shared" si="373"/>
        <v>31226.453279999998</v>
      </c>
      <c r="R1949" s="1491">
        <f t="shared" si="368"/>
        <v>24188.67309</v>
      </c>
      <c r="S1949" s="1492">
        <f t="shared" si="369"/>
        <v>-7037.7801899999977</v>
      </c>
      <c r="T1949" s="1493">
        <f t="shared" si="370"/>
        <v>-0.22537878787878782</v>
      </c>
    </row>
    <row r="1950" spans="1:21" hidden="1" outlineLevel="1" x14ac:dyDescent="0.35">
      <c r="A1950" s="1346" t="s">
        <v>394</v>
      </c>
      <c r="B1950" s="1347">
        <v>95</v>
      </c>
      <c r="C1950" s="1348">
        <v>524.87</v>
      </c>
      <c r="D1950" s="1348">
        <f t="shared" si="371"/>
        <v>49862.65</v>
      </c>
      <c r="E1950" s="1540">
        <f t="shared" si="372"/>
        <v>-9.6593745159124958E-2</v>
      </c>
      <c r="F1950" s="1486">
        <f t="shared" si="366"/>
        <v>0.26733317695942094</v>
      </c>
      <c r="G1950" s="1494">
        <v>77</v>
      </c>
      <c r="H1950" s="1593" t="s">
        <v>216</v>
      </c>
      <c r="I1950" s="1591">
        <v>746.7</v>
      </c>
      <c r="J1950" s="3054" t="s">
        <v>409</v>
      </c>
      <c r="K1950" s="3054"/>
      <c r="L1950" s="3054"/>
      <c r="M1950" s="1489" t="str">
        <f t="shared" si="367"/>
        <v>CSGP</v>
      </c>
      <c r="P1950" s="1200"/>
      <c r="Q1950" s="1529">
        <f t="shared" si="373"/>
        <v>61923.850000000006</v>
      </c>
      <c r="R1950" s="1495">
        <f t="shared" si="368"/>
        <v>49862.65</v>
      </c>
      <c r="S1950" s="1492">
        <f t="shared" si="369"/>
        <v>-12061.200000000004</v>
      </c>
      <c r="T1950" s="1493">
        <f t="shared" si="370"/>
        <v>-0.19477471119770498</v>
      </c>
    </row>
    <row r="1951" spans="1:21" ht="16" hidden="1" outlineLevel="1" thickBot="1" x14ac:dyDescent="0.4">
      <c r="A1951" s="7" t="s">
        <v>137</v>
      </c>
      <c r="B1951" s="1142">
        <v>90</v>
      </c>
      <c r="C1951" s="1143">
        <v>142.37</v>
      </c>
      <c r="D1951" s="1143">
        <f t="shared" si="371"/>
        <v>12813.300000000001</v>
      </c>
      <c r="E1951" s="1540">
        <f t="shared" si="372"/>
        <v>-1.9760396584962765E-2</v>
      </c>
      <c r="F1951" s="1486">
        <f t="shared" si="366"/>
        <v>6.8697114901316886E-2</v>
      </c>
      <c r="G1951" s="1494">
        <v>23</v>
      </c>
      <c r="H1951" s="1593" t="s">
        <v>145</v>
      </c>
      <c r="I1951" s="1631">
        <v>322.14</v>
      </c>
      <c r="J1951" s="3054" t="s">
        <v>419</v>
      </c>
      <c r="K1951" s="3054"/>
      <c r="L1951" s="3054"/>
      <c r="M1951" s="1489" t="str">
        <f t="shared" si="367"/>
        <v>ABMD</v>
      </c>
      <c r="P1951" s="1632"/>
      <c r="Q1951" s="1529">
        <f t="shared" si="373"/>
        <v>12378.599999999999</v>
      </c>
      <c r="R1951" s="1495">
        <f t="shared" si="368"/>
        <v>12813.300000000001</v>
      </c>
      <c r="S1951" s="1510">
        <f t="shared" si="369"/>
        <v>434.70000000000255</v>
      </c>
      <c r="T1951" s="1530">
        <f t="shared" si="370"/>
        <v>3.5117056856187503E-2</v>
      </c>
      <c r="U1951" s="1639">
        <f>AVERAGE(T1944:T1951)</f>
        <v>-9.2596898980413178E-2</v>
      </c>
    </row>
    <row r="1952" spans="1:21" ht="16" hidden="1" outlineLevel="1" thickBot="1" x14ac:dyDescent="0.4">
      <c r="A1952" s="1346" t="s">
        <v>7</v>
      </c>
      <c r="B1952" s="1347"/>
      <c r="C1952" s="1348"/>
      <c r="D1952" s="1348">
        <v>1716.27</v>
      </c>
      <c r="E1952" s="32"/>
      <c r="F1952" s="1499">
        <f>D1952/D$1601</f>
        <v>5.9678435992202537E-3</v>
      </c>
      <c r="G1952" s="1418"/>
      <c r="H1952" s="1500"/>
      <c r="I1952" s="1501"/>
      <c r="J1952" s="1633"/>
      <c r="K1952" s="1634"/>
      <c r="L1952" s="1634"/>
      <c r="R1952" s="1532">
        <f>SUM(R1944:R1950)</f>
        <v>162380.87309000001</v>
      </c>
      <c r="S1952" s="1522">
        <f>SUM(S1944:S1950)</f>
        <v>-27698.930190000006</v>
      </c>
      <c r="T1952" s="1617">
        <f>AVERAGE(T1944:T1951)</f>
        <v>-9.2596898980413178E-2</v>
      </c>
    </row>
    <row r="1953" spans="1:21" ht="16" hidden="1" outlineLevel="1" thickBot="1" x14ac:dyDescent="0.4">
      <c r="A1953" s="7" t="s">
        <v>60</v>
      </c>
      <c r="B1953" s="1142"/>
      <c r="C1953" s="1143"/>
      <c r="D1953" s="1143">
        <v>137.61000000000001</v>
      </c>
      <c r="E1953" s="32"/>
      <c r="F1953" s="1503">
        <f>D1953/D$1554</f>
        <v>4.5364462961206616E-4</v>
      </c>
      <c r="G1953" s="1504"/>
      <c r="H1953" s="1505"/>
      <c r="I1953" s="1290">
        <f>SUM(I1952:I1952)</f>
        <v>0</v>
      </c>
      <c r="J1953" s="1468"/>
      <c r="K1953" s="1151"/>
      <c r="L1953" s="1151"/>
      <c r="R1953" s="1470" t="str">
        <f>IF(SUM(D1944:D1950)&lt;&gt;R1952,"Out of Balance","Balances")</f>
        <v>Balances</v>
      </c>
    </row>
    <row r="1954" spans="1:21" ht="19" hidden="1" outlineLevel="1" thickBot="1" x14ac:dyDescent="0.5">
      <c r="A1954" s="726" t="s">
        <v>62</v>
      </c>
      <c r="B1954" s="583"/>
      <c r="C1954" s="584"/>
      <c r="D1954" s="1230">
        <f>SUM(D1944:D1953)</f>
        <v>177048.05308999997</v>
      </c>
      <c r="E1954" s="73">
        <f>D1954-D1939</f>
        <v>-10051.18677</v>
      </c>
      <c r="F1954" s="1537">
        <f>(D1954-D1939)/D1939</f>
        <v>-5.3721152354873077E-2</v>
      </c>
    </row>
    <row r="1955" spans="1:21" hidden="1" outlineLevel="1" x14ac:dyDescent="0.35"/>
    <row r="1956" spans="1:21" ht="16" hidden="1" outlineLevel="1" thickBot="1" x14ac:dyDescent="0.4">
      <c r="A1956" s="1619" t="s">
        <v>25</v>
      </c>
      <c r="B1956" s="1620" t="s">
        <v>26</v>
      </c>
      <c r="C1956" s="1621" t="s">
        <v>27</v>
      </c>
      <c r="D1956" s="1640">
        <f>D1941+7</f>
        <v>43931</v>
      </c>
      <c r="E1956" s="1623" t="s">
        <v>28</v>
      </c>
      <c r="F1956" s="3082" t="s">
        <v>410</v>
      </c>
      <c r="G1956" s="3083"/>
      <c r="H1956" s="3096"/>
      <c r="I1956" s="1600"/>
      <c r="J1956" s="1577" t="s">
        <v>233</v>
      </c>
    </row>
    <row r="1957" spans="1:21" ht="16" hidden="1" outlineLevel="1" thickBot="1" x14ac:dyDescent="0.4">
      <c r="A1957" s="1584" t="s">
        <v>32</v>
      </c>
      <c r="B1957" s="1585" t="str">
        <f ca="1">TEXT(TODAY(),"ddd")</f>
        <v>Sun</v>
      </c>
      <c r="C1957" s="1586">
        <v>23719</v>
      </c>
      <c r="D1957" s="1587">
        <f>C1957-C1942</f>
        <v>2760</v>
      </c>
      <c r="E1957" s="1641">
        <f>(C1957-C1942)/C1942</f>
        <v>0.13168567202633713</v>
      </c>
      <c r="F1957" s="3097"/>
      <c r="G1957" s="3085"/>
      <c r="H1957" s="3086"/>
      <c r="I1957" s="1602"/>
      <c r="J1957" s="1188" t="s">
        <v>234</v>
      </c>
      <c r="K1957" s="1220" t="s">
        <v>34</v>
      </c>
      <c r="L1957" s="111" t="s">
        <v>421</v>
      </c>
    </row>
    <row r="1958" spans="1:21" hidden="1" outlineLevel="1" x14ac:dyDescent="0.35">
      <c r="A1958" s="709" t="s">
        <v>36</v>
      </c>
      <c r="B1958" s="263"/>
      <c r="C1958" s="419">
        <v>8153</v>
      </c>
      <c r="D1958" s="1516">
        <f>C1958-C1943</f>
        <v>811</v>
      </c>
      <c r="E1958" s="32">
        <f>(C1958-C1943)/C1943</f>
        <v>0.11046036502315446</v>
      </c>
      <c r="F1958" s="1517" t="s">
        <v>37</v>
      </c>
      <c r="G1958" s="1603" t="s">
        <v>38</v>
      </c>
      <c r="H1958" s="1604" t="s">
        <v>144</v>
      </c>
      <c r="I1958" s="1591" t="s">
        <v>400</v>
      </c>
      <c r="J1958" s="3033" t="s">
        <v>42</v>
      </c>
      <c r="K1958" s="3034"/>
      <c r="L1958" s="3034"/>
      <c r="M1958" s="1199" t="s">
        <v>244</v>
      </c>
      <c r="P1958" s="1200" t="s">
        <v>44</v>
      </c>
      <c r="Q1958" s="1479" t="s">
        <v>45</v>
      </c>
      <c r="R1958" s="1479" t="s">
        <v>46</v>
      </c>
      <c r="S1958" s="1479" t="s">
        <v>47</v>
      </c>
      <c r="T1958" s="1485" t="s">
        <v>48</v>
      </c>
    </row>
    <row r="1959" spans="1:21" hidden="1" outlineLevel="1" x14ac:dyDescent="0.35">
      <c r="A1959" s="1346" t="s">
        <v>389</v>
      </c>
      <c r="B1959" s="1347">
        <v>610</v>
      </c>
      <c r="C1959" s="1348">
        <v>4.3600000000000003</v>
      </c>
      <c r="D1959" s="1642">
        <f>C1959*B1959</f>
        <v>2659.6000000000004</v>
      </c>
      <c r="E1959" s="1544">
        <f>(D1959-D1944)/D1944</f>
        <v>0.17362045760430697</v>
      </c>
      <c r="F1959" s="1486">
        <f t="shared" ref="F1959:F1966" si="374">D1959/D$1896</f>
        <v>1.4259156251047147E-2</v>
      </c>
      <c r="G1959" s="1494" t="s">
        <v>228</v>
      </c>
      <c r="H1959" s="1593"/>
      <c r="I1959" s="1591">
        <v>21.1</v>
      </c>
      <c r="J1959" s="3054" t="s">
        <v>416</v>
      </c>
      <c r="K1959" s="3054"/>
      <c r="L1959" s="3054"/>
      <c r="M1959" s="1489" t="str">
        <f t="shared" ref="M1959:M1966" si="375">A1959</f>
        <v>SDC</v>
      </c>
      <c r="P1959" s="1200"/>
      <c r="Q1959" s="1529">
        <f>B1959*RIGHT(J1959,4)</f>
        <v>3653.9</v>
      </c>
      <c r="R1959" s="1495">
        <f t="shared" ref="R1959:R1966" si="376">D1959</f>
        <v>2659.6000000000004</v>
      </c>
      <c r="S1959" s="1492">
        <f t="shared" ref="S1959:S1966" si="377">R1959-Q1959</f>
        <v>-994.29999999999973</v>
      </c>
      <c r="T1959" s="1493">
        <f t="shared" ref="T1959:T1966" si="378">(R1959-Q1959)/Q1959</f>
        <v>-0.27212020033388973</v>
      </c>
    </row>
    <row r="1960" spans="1:21" hidden="1" outlineLevel="1" x14ac:dyDescent="0.35">
      <c r="A1960" s="7" t="s">
        <v>402</v>
      </c>
      <c r="B1960" s="1142">
        <v>250</v>
      </c>
      <c r="C1960" s="1143">
        <v>13.92</v>
      </c>
      <c r="D1960" s="1643">
        <f t="shared" ref="D1960:D1966" si="379">C1960*B1960</f>
        <v>3480</v>
      </c>
      <c r="E1960" s="1544">
        <f t="shared" ref="E1960:E1966" si="380">(D1960-D1945)/D1945</f>
        <v>0.17468354430379746</v>
      </c>
      <c r="F1960" s="1486">
        <f t="shared" si="374"/>
        <v>1.865764165801025E-2</v>
      </c>
      <c r="G1960" s="1494" t="s">
        <v>228</v>
      </c>
      <c r="H1960" s="1593" t="s">
        <v>350</v>
      </c>
      <c r="I1960" s="1591">
        <v>19.59</v>
      </c>
      <c r="J1960" s="3054" t="s">
        <v>390</v>
      </c>
      <c r="K1960" s="3054"/>
      <c r="L1960" s="3054"/>
      <c r="M1960" s="1489" t="str">
        <f t="shared" si="375"/>
        <v>AVTR</v>
      </c>
      <c r="P1960" s="1200"/>
      <c r="Q1960" s="1529">
        <f>B1960*RIGHT(J1960,6)</f>
        <v>3030</v>
      </c>
      <c r="R1960" s="1495">
        <f t="shared" si="376"/>
        <v>3480</v>
      </c>
      <c r="S1960" s="1510">
        <f t="shared" si="377"/>
        <v>450</v>
      </c>
      <c r="T1960" s="1530">
        <f t="shared" si="378"/>
        <v>0.14851485148514851</v>
      </c>
    </row>
    <row r="1961" spans="1:21" hidden="1" outlineLevel="1" x14ac:dyDescent="0.35">
      <c r="A1961" s="1346" t="s">
        <v>403</v>
      </c>
      <c r="B1961" s="1347">
        <v>200</v>
      </c>
      <c r="C1961" s="1348">
        <v>116.38</v>
      </c>
      <c r="D1961" s="1642">
        <f t="shared" si="379"/>
        <v>23276</v>
      </c>
      <c r="E1961" s="1544">
        <f t="shared" si="380"/>
        <v>0.11925370263512214</v>
      </c>
      <c r="F1961" s="1486">
        <f t="shared" si="374"/>
        <v>0.12479174345742718</v>
      </c>
      <c r="G1961" s="1494" t="s">
        <v>228</v>
      </c>
      <c r="H1961" s="1593" t="s">
        <v>216</v>
      </c>
      <c r="I1961" s="1591">
        <v>134.51</v>
      </c>
      <c r="J1961" s="3054" t="s">
        <v>404</v>
      </c>
      <c r="K1961" s="3054"/>
      <c r="L1961" s="3054"/>
      <c r="M1961" s="1489" t="str">
        <f t="shared" si="375"/>
        <v>ALNY</v>
      </c>
      <c r="P1961" s="1200"/>
      <c r="Q1961" s="1529">
        <f t="shared" ref="Q1961:Q1966" si="381">B1961*RIGHT(J1961,6)</f>
        <v>19448</v>
      </c>
      <c r="R1961" s="1495">
        <f t="shared" si="376"/>
        <v>23276</v>
      </c>
      <c r="S1961" s="1510">
        <f t="shared" si="377"/>
        <v>3828</v>
      </c>
      <c r="T1961" s="1530">
        <f t="shared" si="378"/>
        <v>0.19683257918552036</v>
      </c>
    </row>
    <row r="1962" spans="1:21" hidden="1" outlineLevel="1" x14ac:dyDescent="0.35">
      <c r="A1962" s="7" t="s">
        <v>417</v>
      </c>
      <c r="B1962" s="1142">
        <v>110</v>
      </c>
      <c r="C1962" s="1143">
        <v>162.11000000000001</v>
      </c>
      <c r="D1962" s="1643">
        <f t="shared" si="379"/>
        <v>17832.100000000002</v>
      </c>
      <c r="E1962" s="1544">
        <f t="shared" si="380"/>
        <v>6.0304794296553346E-2</v>
      </c>
      <c r="F1962" s="1486">
        <f t="shared" si="374"/>
        <v>9.5604865462587535E-2</v>
      </c>
      <c r="G1962" s="1494">
        <v>68</v>
      </c>
      <c r="H1962" s="1593" t="s">
        <v>145</v>
      </c>
      <c r="I1962" s="1591">
        <v>176.9</v>
      </c>
      <c r="J1962" s="3054" t="s">
        <v>418</v>
      </c>
      <c r="K1962" s="3054"/>
      <c r="L1962" s="3054"/>
      <c r="M1962" s="1489" t="str">
        <f t="shared" si="375"/>
        <v xml:space="preserve">VEEV </v>
      </c>
      <c r="P1962" s="1200"/>
      <c r="Q1962" s="1529">
        <f t="shared" si="381"/>
        <v>14361.6</v>
      </c>
      <c r="R1962" s="1495">
        <f t="shared" si="376"/>
        <v>17832.100000000002</v>
      </c>
      <c r="S1962" s="1510">
        <f t="shared" si="377"/>
        <v>3470.5000000000018</v>
      </c>
      <c r="T1962" s="1530">
        <f t="shared" si="378"/>
        <v>0.24165134803921581</v>
      </c>
    </row>
    <row r="1963" spans="1:21" hidden="1" outlineLevel="1" x14ac:dyDescent="0.35">
      <c r="A1963" s="1346" t="s">
        <v>96</v>
      </c>
      <c r="B1963" s="1347">
        <v>100</v>
      </c>
      <c r="C1963" s="1348">
        <v>503.79</v>
      </c>
      <c r="D1963" s="1642">
        <f t="shared" si="379"/>
        <v>50379</v>
      </c>
      <c r="E1963" s="1544">
        <f t="shared" si="380"/>
        <v>0.10754721129113813</v>
      </c>
      <c r="F1963" s="1486">
        <f t="shared" si="374"/>
        <v>0.27010153134738463</v>
      </c>
      <c r="G1963" s="1494">
        <v>40</v>
      </c>
      <c r="H1963" s="1593" t="s">
        <v>350</v>
      </c>
      <c r="I1963" s="1591">
        <v>619</v>
      </c>
      <c r="J1963" s="3054" t="s">
        <v>407</v>
      </c>
      <c r="K1963" s="3054"/>
      <c r="L1963" s="3054"/>
      <c r="M1963" s="1489" t="str">
        <f t="shared" si="375"/>
        <v>ISRG</v>
      </c>
      <c r="P1963" s="1200"/>
      <c r="Q1963" s="1529">
        <f t="shared" si="381"/>
        <v>56436</v>
      </c>
      <c r="R1963" s="1495">
        <f t="shared" si="376"/>
        <v>50379</v>
      </c>
      <c r="S1963" s="1492">
        <f t="shared" si="377"/>
        <v>-6057</v>
      </c>
      <c r="T1963" s="1493">
        <f t="shared" si="378"/>
        <v>-0.10732511163087391</v>
      </c>
    </row>
    <row r="1964" spans="1:21" hidden="1" outlineLevel="1" x14ac:dyDescent="0.35">
      <c r="A1964" s="7" t="s">
        <v>391</v>
      </c>
      <c r="B1964" s="1142">
        <v>100.239</v>
      </c>
      <c r="C1964" s="1143">
        <v>267.99</v>
      </c>
      <c r="D1964" s="1643">
        <f t="shared" si="379"/>
        <v>26863.049610000002</v>
      </c>
      <c r="E1964" s="1544">
        <f t="shared" si="380"/>
        <v>0.1105631759976794</v>
      </c>
      <c r="F1964" s="1486">
        <f t="shared" si="374"/>
        <v>0.14402331996112991</v>
      </c>
      <c r="G1964" s="1494">
        <v>22</v>
      </c>
      <c r="H1964" s="1593" t="s">
        <v>145</v>
      </c>
      <c r="I1964" s="1591">
        <v>327.85</v>
      </c>
      <c r="J1964" s="3054" t="s">
        <v>408</v>
      </c>
      <c r="K1964" s="3054"/>
      <c r="L1964" s="3054"/>
      <c r="M1964" s="1489" t="str">
        <f t="shared" si="375"/>
        <v>APPL</v>
      </c>
      <c r="P1964" s="1200"/>
      <c r="Q1964" s="1508">
        <f t="shared" si="381"/>
        <v>31226.453279999998</v>
      </c>
      <c r="R1964" s="1491">
        <f t="shared" si="376"/>
        <v>26863.049610000002</v>
      </c>
      <c r="S1964" s="1492">
        <f t="shared" si="377"/>
        <v>-4363.4036699999961</v>
      </c>
      <c r="T1964" s="1493">
        <f t="shared" si="378"/>
        <v>-0.13973420647149448</v>
      </c>
    </row>
    <row r="1965" spans="1:21" hidden="1" outlineLevel="1" x14ac:dyDescent="0.35">
      <c r="A1965" s="1346" t="s">
        <v>394</v>
      </c>
      <c r="B1965" s="1347">
        <v>95</v>
      </c>
      <c r="C1965" s="1348">
        <v>631.28</v>
      </c>
      <c r="D1965" s="1642">
        <f t="shared" si="379"/>
        <v>59971.6</v>
      </c>
      <c r="E1965" s="1544">
        <f t="shared" si="380"/>
        <v>0.20273591556004336</v>
      </c>
      <c r="F1965" s="1486">
        <f t="shared" si="374"/>
        <v>0.32153121334986423</v>
      </c>
      <c r="G1965" s="1494">
        <v>77</v>
      </c>
      <c r="H1965" s="1593" t="s">
        <v>216</v>
      </c>
      <c r="I1965" s="1591">
        <v>746.7</v>
      </c>
      <c r="J1965" s="3054" t="s">
        <v>409</v>
      </c>
      <c r="K1965" s="3054"/>
      <c r="L1965" s="3054"/>
      <c r="M1965" s="1489" t="str">
        <f t="shared" si="375"/>
        <v>CSGP</v>
      </c>
      <c r="P1965" s="1200"/>
      <c r="Q1965" s="1529">
        <f t="shared" si="381"/>
        <v>61923.850000000006</v>
      </c>
      <c r="R1965" s="1495">
        <f t="shared" si="376"/>
        <v>59971.6</v>
      </c>
      <c r="S1965" s="1492">
        <f t="shared" si="377"/>
        <v>-1952.2500000000073</v>
      </c>
      <c r="T1965" s="1493">
        <f t="shared" si="378"/>
        <v>-3.1526625040271351E-2</v>
      </c>
    </row>
    <row r="1966" spans="1:21" ht="16" hidden="1" outlineLevel="1" thickBot="1" x14ac:dyDescent="0.4">
      <c r="A1966" s="7" t="s">
        <v>137</v>
      </c>
      <c r="B1966" s="1142">
        <v>90</v>
      </c>
      <c r="C1966" s="1143">
        <v>160.08000000000001</v>
      </c>
      <c r="D1966" s="1643">
        <f t="shared" si="379"/>
        <v>14407.2</v>
      </c>
      <c r="E1966" s="1544">
        <f t="shared" si="380"/>
        <v>0.12439418416801289</v>
      </c>
      <c r="F1966" s="1486">
        <f t="shared" si="374"/>
        <v>7.7242636464162448E-2</v>
      </c>
      <c r="G1966" s="1494">
        <v>23</v>
      </c>
      <c r="H1966" s="1593" t="s">
        <v>145</v>
      </c>
      <c r="I1966" s="1591">
        <v>322.14</v>
      </c>
      <c r="J1966" s="3054" t="s">
        <v>419</v>
      </c>
      <c r="K1966" s="3054"/>
      <c r="L1966" s="3054"/>
      <c r="M1966" s="1489" t="str">
        <f t="shared" si="375"/>
        <v>ABMD</v>
      </c>
      <c r="P1966" s="1632"/>
      <c r="Q1966" s="1529">
        <f t="shared" si="381"/>
        <v>12378.599999999999</v>
      </c>
      <c r="R1966" s="1495">
        <f t="shared" si="376"/>
        <v>14407.2</v>
      </c>
      <c r="S1966" s="1510">
        <f t="shared" si="377"/>
        <v>2028.6000000000022</v>
      </c>
      <c r="T1966" s="1530">
        <f t="shared" si="378"/>
        <v>0.16387959866220755</v>
      </c>
      <c r="U1966" s="1639">
        <f>AVERAGE(T1959:T1966)</f>
        <v>2.5021529236945349E-2</v>
      </c>
    </row>
    <row r="1967" spans="1:21" ht="16" hidden="1" outlineLevel="1" thickBot="1" x14ac:dyDescent="0.4">
      <c r="A1967" s="1346" t="s">
        <v>7</v>
      </c>
      <c r="B1967" s="1347"/>
      <c r="C1967" s="1348"/>
      <c r="D1967" s="1642">
        <v>1753.78</v>
      </c>
      <c r="E1967" s="32"/>
      <c r="F1967" s="1499">
        <f>D1967/D$1601</f>
        <v>6.0982740171654209E-3</v>
      </c>
      <c r="G1967" s="1418"/>
      <c r="H1967" s="1500"/>
      <c r="I1967" s="1501"/>
      <c r="J1967" s="1633"/>
      <c r="K1967" s="1634"/>
      <c r="L1967" s="1634"/>
      <c r="R1967" s="1532">
        <f>SUM(R1959:R1966)</f>
        <v>198868.54961000002</v>
      </c>
      <c r="S1967" s="1532">
        <f>SUM(S1959:S1966)</f>
        <v>-3589.8536699999986</v>
      </c>
      <c r="T1967" s="1617">
        <f>AVERAGE(T1959:T1966)</f>
        <v>2.5021529236945349E-2</v>
      </c>
    </row>
    <row r="1968" spans="1:21" ht="16" hidden="1" outlineLevel="1" thickBot="1" x14ac:dyDescent="0.4">
      <c r="A1968" s="7" t="s">
        <v>60</v>
      </c>
      <c r="B1968" s="1142"/>
      <c r="C1968" s="1143"/>
      <c r="D1968" s="1643">
        <f>8.57+9.95+119.43</f>
        <v>137.95000000000002</v>
      </c>
      <c r="E1968" s="32"/>
      <c r="F1968" s="1503">
        <f>D1968/D$1554</f>
        <v>4.5476547238561537E-4</v>
      </c>
      <c r="G1968" s="1504"/>
      <c r="H1968" s="1505"/>
      <c r="I1968" s="1290">
        <f>SUM(I1967:I1967)</f>
        <v>0</v>
      </c>
      <c r="J1968" s="1468"/>
      <c r="K1968" s="1151"/>
      <c r="L1968" s="1151"/>
      <c r="R1968" s="1470" t="str">
        <f>IF(SUM(D1959:D1966)&lt;&gt;R1967,"Out of Balance","Balances")</f>
        <v>Balances</v>
      </c>
    </row>
    <row r="1969" spans="1:21" ht="19" hidden="1" outlineLevel="1" thickBot="1" x14ac:dyDescent="0.5">
      <c r="A1969" s="726" t="s">
        <v>62</v>
      </c>
      <c r="B1969" s="583"/>
      <c r="C1969" s="584"/>
      <c r="D1969" s="1230">
        <f>SUM(D1959:D1968)</f>
        <v>200760.27961000003</v>
      </c>
      <c r="E1969" s="1538">
        <f>D1969-D1954</f>
        <v>23712.226520000055</v>
      </c>
      <c r="F1969" s="1545">
        <f>(D1969-D1954)/D1954</f>
        <v>0.13393102102030044</v>
      </c>
    </row>
    <row r="1970" spans="1:21" hidden="1" outlineLevel="1" x14ac:dyDescent="0.35"/>
    <row r="1971" spans="1:21" ht="16" hidden="1" outlineLevel="1" thickBot="1" x14ac:dyDescent="0.4">
      <c r="A1971" s="1619" t="s">
        <v>25</v>
      </c>
      <c r="B1971" s="1620" t="s">
        <v>26</v>
      </c>
      <c r="C1971" s="1621" t="s">
        <v>27</v>
      </c>
      <c r="D1971" s="1622">
        <f>D1956+7</f>
        <v>43938</v>
      </c>
      <c r="E1971" s="1623" t="s">
        <v>28</v>
      </c>
      <c r="F1971" s="3082" t="s">
        <v>410</v>
      </c>
      <c r="G1971" s="3083"/>
      <c r="H1971" s="3096"/>
      <c r="I1971" s="1600"/>
      <c r="J1971" s="1577" t="s">
        <v>233</v>
      </c>
    </row>
    <row r="1972" spans="1:21" ht="16" hidden="1" outlineLevel="1" thickBot="1" x14ac:dyDescent="0.4">
      <c r="A1972" s="1584" t="s">
        <v>32</v>
      </c>
      <c r="B1972" s="1585" t="str">
        <f ca="1">TEXT(TODAY(),"ddd")</f>
        <v>Sun</v>
      </c>
      <c r="C1972" s="1586">
        <v>24242</v>
      </c>
      <c r="D1972" s="1587">
        <f>C1972-C1957</f>
        <v>523</v>
      </c>
      <c r="E1972" s="1641">
        <f>(C1972-C1957)/C1957</f>
        <v>2.2049833466840928E-2</v>
      </c>
      <c r="F1972" s="3097"/>
      <c r="G1972" s="3085"/>
      <c r="H1972" s="3086"/>
      <c r="I1972" s="1602"/>
      <c r="J1972" s="1188" t="s">
        <v>234</v>
      </c>
      <c r="K1972" s="1220" t="s">
        <v>34</v>
      </c>
      <c r="L1972" s="111" t="s">
        <v>422</v>
      </c>
    </row>
    <row r="1973" spans="1:21" hidden="1" outlineLevel="1" x14ac:dyDescent="0.35">
      <c r="A1973" s="709" t="s">
        <v>36</v>
      </c>
      <c r="B1973" s="263"/>
      <c r="C1973" s="419">
        <v>8650</v>
      </c>
      <c r="D1973" s="1516">
        <f>C1973-C1958</f>
        <v>497</v>
      </c>
      <c r="E1973" s="32">
        <f>(C1973-C1958)/C1958</f>
        <v>6.0959156138844596E-2</v>
      </c>
      <c r="F1973" s="1517" t="s">
        <v>37</v>
      </c>
      <c r="G1973" s="1603" t="s">
        <v>38</v>
      </c>
      <c r="H1973" s="1604" t="s">
        <v>144</v>
      </c>
      <c r="I1973" s="1591" t="s">
        <v>400</v>
      </c>
      <c r="J1973" s="3033" t="s">
        <v>42</v>
      </c>
      <c r="K1973" s="3034"/>
      <c r="L1973" s="3034"/>
      <c r="M1973" s="1199" t="s">
        <v>244</v>
      </c>
      <c r="P1973" s="1200" t="s">
        <v>44</v>
      </c>
      <c r="Q1973" s="1479" t="s">
        <v>45</v>
      </c>
      <c r="R1973" s="1479" t="s">
        <v>46</v>
      </c>
      <c r="S1973" s="1479" t="s">
        <v>47</v>
      </c>
      <c r="T1973" s="1485" t="s">
        <v>48</v>
      </c>
    </row>
    <row r="1974" spans="1:21" hidden="1" outlineLevel="1" x14ac:dyDescent="0.35">
      <c r="A1974" s="1346" t="s">
        <v>389</v>
      </c>
      <c r="B1974" s="1347">
        <v>610</v>
      </c>
      <c r="C1974" s="1348">
        <v>4.6500000000000004</v>
      </c>
      <c r="D1974" s="1348">
        <f t="shared" ref="D1974:D1981" si="382">C1974*B1974</f>
        <v>2836.5</v>
      </c>
      <c r="E1974" s="1544">
        <f t="shared" ref="E1974:E1981" si="383">(D1974-D1959)/D1959</f>
        <v>6.6513761467889759E-2</v>
      </c>
      <c r="F1974" s="1486">
        <f t="shared" ref="F1974:F1981" si="384">D1974/D$1896</f>
        <v>1.5207586368662665E-2</v>
      </c>
      <c r="G1974" s="1494" t="s">
        <v>228</v>
      </c>
      <c r="H1974" s="1593"/>
      <c r="I1974" s="1591">
        <v>21.1</v>
      </c>
      <c r="J1974" s="3054" t="s">
        <v>416</v>
      </c>
      <c r="K1974" s="3054"/>
      <c r="L1974" s="3054"/>
      <c r="M1974" s="1489" t="str">
        <f t="shared" ref="M1974:M1981" si="385">A1974</f>
        <v>SDC</v>
      </c>
      <c r="P1974" s="1200"/>
      <c r="Q1974" s="1529">
        <f>B1974*RIGHT(J1974,4)</f>
        <v>3653.9</v>
      </c>
      <c r="R1974" s="1495">
        <f t="shared" ref="R1974:R1981" si="386">D1974</f>
        <v>2836.5</v>
      </c>
      <c r="S1974" s="1492">
        <f t="shared" ref="S1974:S1981" si="387">R1974-Q1974</f>
        <v>-817.40000000000009</v>
      </c>
      <c r="T1974" s="1493">
        <f t="shared" ref="T1974:T1981" si="388">(R1974-Q1974)/Q1974</f>
        <v>-0.22370617696160269</v>
      </c>
    </row>
    <row r="1975" spans="1:21" hidden="1" outlineLevel="1" x14ac:dyDescent="0.35">
      <c r="A1975" s="7" t="s">
        <v>402</v>
      </c>
      <c r="B1975" s="1142">
        <v>250</v>
      </c>
      <c r="C1975" s="1143">
        <v>13.68</v>
      </c>
      <c r="D1975" s="1143">
        <f t="shared" si="382"/>
        <v>3420</v>
      </c>
      <c r="E1975" s="1544">
        <f t="shared" si="383"/>
        <v>-1.7241379310344827E-2</v>
      </c>
      <c r="F1975" s="1486">
        <f t="shared" si="384"/>
        <v>1.8335958181148006E-2</v>
      </c>
      <c r="G1975" s="1494" t="s">
        <v>228</v>
      </c>
      <c r="H1975" s="1593" t="s">
        <v>350</v>
      </c>
      <c r="I1975" s="1591">
        <v>19.59</v>
      </c>
      <c r="J1975" s="3054" t="s">
        <v>390</v>
      </c>
      <c r="K1975" s="3054"/>
      <c r="L1975" s="3054"/>
      <c r="M1975" s="1489" t="str">
        <f t="shared" si="385"/>
        <v>AVTR</v>
      </c>
      <c r="P1975" s="1200"/>
      <c r="Q1975" s="1529">
        <f t="shared" ref="Q1975:Q1981" si="389">B1975*RIGHT(J1975,6)</f>
        <v>3030</v>
      </c>
      <c r="R1975" s="1495">
        <f t="shared" si="386"/>
        <v>3420</v>
      </c>
      <c r="S1975" s="1510">
        <f t="shared" si="387"/>
        <v>390</v>
      </c>
      <c r="T1975" s="1530">
        <f t="shared" si="388"/>
        <v>0.12871287128712872</v>
      </c>
    </row>
    <row r="1976" spans="1:21" hidden="1" outlineLevel="1" x14ac:dyDescent="0.35">
      <c r="A1976" s="1346" t="s">
        <v>403</v>
      </c>
      <c r="B1976" s="1347">
        <v>200</v>
      </c>
      <c r="C1976" s="1348">
        <v>138.47999999999999</v>
      </c>
      <c r="D1976" s="1348">
        <f t="shared" si="382"/>
        <v>27695.999999999996</v>
      </c>
      <c r="E1976" s="1544">
        <f t="shared" si="383"/>
        <v>0.18989517099157915</v>
      </c>
      <c r="F1976" s="1486">
        <f t="shared" si="384"/>
        <v>0.1484890929196126</v>
      </c>
      <c r="G1976" s="1494" t="s">
        <v>228</v>
      </c>
      <c r="H1976" s="1593" t="s">
        <v>216</v>
      </c>
      <c r="I1976" s="1591">
        <v>134.51</v>
      </c>
      <c r="J1976" s="3054" t="s">
        <v>404</v>
      </c>
      <c r="K1976" s="3054"/>
      <c r="L1976" s="3054"/>
      <c r="M1976" s="1489" t="str">
        <f t="shared" si="385"/>
        <v>ALNY</v>
      </c>
      <c r="P1976" s="1200"/>
      <c r="Q1976" s="1529">
        <f t="shared" si="389"/>
        <v>19448</v>
      </c>
      <c r="R1976" s="1495">
        <f t="shared" si="386"/>
        <v>27695.999999999996</v>
      </c>
      <c r="S1976" s="1510">
        <f t="shared" si="387"/>
        <v>8247.9999999999964</v>
      </c>
      <c r="T1976" s="1530">
        <f t="shared" si="388"/>
        <v>0.42410530645824746</v>
      </c>
    </row>
    <row r="1977" spans="1:21" hidden="1" outlineLevel="1" x14ac:dyDescent="0.35">
      <c r="A1977" s="7" t="s">
        <v>417</v>
      </c>
      <c r="B1977" s="1142">
        <v>110</v>
      </c>
      <c r="C1977" s="1143">
        <v>181.12</v>
      </c>
      <c r="D1977" s="1143">
        <f t="shared" si="382"/>
        <v>19923.2</v>
      </c>
      <c r="E1977" s="1544">
        <f t="shared" si="383"/>
        <v>0.11726605391400891</v>
      </c>
      <c r="F1977" s="1486">
        <f t="shared" si="384"/>
        <v>0.1068160707703649</v>
      </c>
      <c r="G1977" s="1494">
        <v>68</v>
      </c>
      <c r="H1977" s="1593" t="s">
        <v>145</v>
      </c>
      <c r="I1977" s="1591">
        <v>176.9</v>
      </c>
      <c r="J1977" s="3054" t="s">
        <v>418</v>
      </c>
      <c r="K1977" s="3054"/>
      <c r="L1977" s="3054"/>
      <c r="M1977" s="1489" t="str">
        <f t="shared" si="385"/>
        <v xml:space="preserve">VEEV </v>
      </c>
      <c r="P1977" s="1200"/>
      <c r="Q1977" s="1529">
        <f t="shared" si="389"/>
        <v>14361.6</v>
      </c>
      <c r="R1977" s="1495">
        <f t="shared" si="386"/>
        <v>19923.2</v>
      </c>
      <c r="S1977" s="1510">
        <f t="shared" si="387"/>
        <v>5561.6</v>
      </c>
      <c r="T1977" s="1530">
        <f t="shared" si="388"/>
        <v>0.38725490196078433</v>
      </c>
    </row>
    <row r="1978" spans="1:21" hidden="1" outlineLevel="1" x14ac:dyDescent="0.35">
      <c r="A1978" s="1346" t="s">
        <v>96</v>
      </c>
      <c r="B1978" s="1347">
        <v>100</v>
      </c>
      <c r="C1978" s="1348">
        <v>526.33000000000004</v>
      </c>
      <c r="D1978" s="1348">
        <f t="shared" si="382"/>
        <v>52633.000000000007</v>
      </c>
      <c r="E1978" s="1544">
        <f t="shared" si="383"/>
        <v>4.4740864248992783E-2</v>
      </c>
      <c r="F1978" s="1486">
        <f t="shared" si="384"/>
        <v>0.282186107294843</v>
      </c>
      <c r="G1978" s="1494">
        <v>40</v>
      </c>
      <c r="H1978" s="1593" t="s">
        <v>350</v>
      </c>
      <c r="I1978" s="1591">
        <v>619</v>
      </c>
      <c r="J1978" s="3054" t="s">
        <v>407</v>
      </c>
      <c r="K1978" s="3054"/>
      <c r="L1978" s="3054"/>
      <c r="M1978" s="1489" t="str">
        <f t="shared" si="385"/>
        <v>ISRG</v>
      </c>
      <c r="P1978" s="1200"/>
      <c r="Q1978" s="1529">
        <f t="shared" si="389"/>
        <v>56436</v>
      </c>
      <c r="R1978" s="1495">
        <f t="shared" si="386"/>
        <v>52633.000000000007</v>
      </c>
      <c r="S1978" s="1492">
        <f t="shared" si="387"/>
        <v>-3802.9999999999927</v>
      </c>
      <c r="T1978" s="1493">
        <f t="shared" si="388"/>
        <v>-6.7386065631866054E-2</v>
      </c>
    </row>
    <row r="1979" spans="1:21" hidden="1" outlineLevel="1" x14ac:dyDescent="0.35">
      <c r="A1979" s="7" t="s">
        <v>391</v>
      </c>
      <c r="B1979" s="1142">
        <v>100.239</v>
      </c>
      <c r="C1979" s="1143">
        <v>282.8</v>
      </c>
      <c r="D1979" s="1143">
        <f t="shared" si="382"/>
        <v>28347.589200000002</v>
      </c>
      <c r="E1979" s="1544">
        <f t="shared" si="383"/>
        <v>5.5263256091645216E-2</v>
      </c>
      <c r="F1979" s="1486">
        <f t="shared" si="384"/>
        <v>0.15198251757531078</v>
      </c>
      <c r="G1979" s="1494">
        <v>22</v>
      </c>
      <c r="H1979" s="1593" t="s">
        <v>145</v>
      </c>
      <c r="I1979" s="1591">
        <v>327.85</v>
      </c>
      <c r="J1979" s="3054" t="s">
        <v>408</v>
      </c>
      <c r="K1979" s="3054"/>
      <c r="L1979" s="3054"/>
      <c r="M1979" s="1489" t="str">
        <f t="shared" si="385"/>
        <v>APPL</v>
      </c>
      <c r="P1979" s="1200"/>
      <c r="Q1979" s="1508">
        <f t="shared" si="389"/>
        <v>31226.453279999998</v>
      </c>
      <c r="R1979" s="1491">
        <f t="shared" si="386"/>
        <v>28347.589200000002</v>
      </c>
      <c r="S1979" s="1492">
        <f t="shared" si="387"/>
        <v>-2878.8640799999957</v>
      </c>
      <c r="T1979" s="1493">
        <f t="shared" si="388"/>
        <v>-9.2193117616846301E-2</v>
      </c>
    </row>
    <row r="1980" spans="1:21" hidden="1" outlineLevel="1" x14ac:dyDescent="0.35">
      <c r="A1980" s="1346" t="s">
        <v>394</v>
      </c>
      <c r="B1980" s="1347">
        <v>95</v>
      </c>
      <c r="C1980" s="1348">
        <v>635.54999999999995</v>
      </c>
      <c r="D1980" s="1348">
        <f t="shared" si="382"/>
        <v>60377.249999999993</v>
      </c>
      <c r="E1980" s="1544">
        <f t="shared" si="383"/>
        <v>6.7640349765554731E-3</v>
      </c>
      <c r="F1980" s="1486">
        <f t="shared" si="384"/>
        <v>0.32370606172301702</v>
      </c>
      <c r="G1980" s="1494">
        <v>77</v>
      </c>
      <c r="H1980" s="1593" t="s">
        <v>216</v>
      </c>
      <c r="I1980" s="1591">
        <v>746.7</v>
      </c>
      <c r="J1980" s="3054" t="s">
        <v>409</v>
      </c>
      <c r="K1980" s="3054"/>
      <c r="L1980" s="3054"/>
      <c r="M1980" s="1489" t="str">
        <f t="shared" si="385"/>
        <v>CSGP</v>
      </c>
      <c r="P1980" s="1200"/>
      <c r="Q1980" s="1529">
        <f t="shared" si="389"/>
        <v>61923.850000000006</v>
      </c>
      <c r="R1980" s="1495">
        <f t="shared" si="386"/>
        <v>60377.249999999993</v>
      </c>
      <c r="S1980" s="1492">
        <f t="shared" si="387"/>
        <v>-1546.6000000000131</v>
      </c>
      <c r="T1980" s="1493">
        <f t="shared" si="388"/>
        <v>-2.4975837258181022E-2</v>
      </c>
    </row>
    <row r="1981" spans="1:21" ht="16" hidden="1" outlineLevel="1" thickBot="1" x14ac:dyDescent="0.4">
      <c r="A1981" s="7" t="s">
        <v>137</v>
      </c>
      <c r="B1981" s="1142">
        <v>90</v>
      </c>
      <c r="C1981" s="1143">
        <v>166.02</v>
      </c>
      <c r="D1981" s="1143">
        <f t="shared" si="382"/>
        <v>14941.800000000001</v>
      </c>
      <c r="E1981" s="1544">
        <f t="shared" si="383"/>
        <v>3.7106446776611721E-2</v>
      </c>
      <c r="F1981" s="1486">
        <f t="shared" si="384"/>
        <v>8.0108836243005049E-2</v>
      </c>
      <c r="G1981" s="1494">
        <v>23</v>
      </c>
      <c r="H1981" s="1593" t="s">
        <v>145</v>
      </c>
      <c r="I1981" s="1631">
        <v>322.14</v>
      </c>
      <c r="J1981" s="3054" t="s">
        <v>419</v>
      </c>
      <c r="K1981" s="3054"/>
      <c r="L1981" s="3054"/>
      <c r="M1981" s="1489" t="str">
        <f t="shared" si="385"/>
        <v>ABMD</v>
      </c>
      <c r="P1981" s="1632"/>
      <c r="Q1981" s="1529">
        <f t="shared" si="389"/>
        <v>12378.599999999999</v>
      </c>
      <c r="R1981" s="1495">
        <f t="shared" si="386"/>
        <v>14941.800000000001</v>
      </c>
      <c r="S1981" s="1510">
        <f t="shared" si="387"/>
        <v>2563.2000000000025</v>
      </c>
      <c r="T1981" s="1530">
        <f t="shared" si="388"/>
        <v>0.20706703504435098</v>
      </c>
      <c r="U1981" s="1639">
        <f>AVERAGE(T1974:T1981)</f>
        <v>9.2359864660251922E-2</v>
      </c>
    </row>
    <row r="1982" spans="1:21" ht="16" hidden="1" outlineLevel="1" thickBot="1" x14ac:dyDescent="0.4">
      <c r="A1982" s="1346" t="s">
        <v>7</v>
      </c>
      <c r="B1982" s="1347"/>
      <c r="C1982" s="1348"/>
      <c r="D1982" s="1348">
        <v>1753.78</v>
      </c>
      <c r="E1982" s="32"/>
      <c r="F1982" s="1499">
        <f>D1982/D$1601</f>
        <v>6.0982740171654209E-3</v>
      </c>
      <c r="G1982" s="1418"/>
      <c r="H1982" s="1500"/>
      <c r="I1982" s="1501"/>
      <c r="J1982" s="1633"/>
      <c r="K1982" s="1634"/>
      <c r="L1982" s="1634"/>
      <c r="R1982" s="1532">
        <f>SUM(R1974:R1980)</f>
        <v>195233.5392</v>
      </c>
      <c r="S1982" s="1532">
        <f>SUM(S1974:S1980)</f>
        <v>5153.7359199999955</v>
      </c>
      <c r="T1982" s="1617">
        <f>AVERAGE(T1974:T1981)</f>
        <v>9.2359864660251922E-2</v>
      </c>
    </row>
    <row r="1983" spans="1:21" ht="16" hidden="1" outlineLevel="1" thickBot="1" x14ac:dyDescent="0.4">
      <c r="A1983" s="7" t="s">
        <v>60</v>
      </c>
      <c r="B1983" s="1142"/>
      <c r="C1983" s="1143"/>
      <c r="D1983" s="1143">
        <f>8.57+9.95+119.43</f>
        <v>137.95000000000002</v>
      </c>
      <c r="E1983" s="32"/>
      <c r="F1983" s="1503">
        <f>D1983/D$1554</f>
        <v>4.5476547238561537E-4</v>
      </c>
      <c r="G1983" s="1504"/>
      <c r="H1983" s="1505"/>
      <c r="I1983" s="1290">
        <f>SUM(I1982:I1982)</f>
        <v>0</v>
      </c>
      <c r="J1983" s="1468"/>
      <c r="K1983" s="1151"/>
      <c r="L1983" s="1151"/>
      <c r="R1983" s="1470" t="str">
        <f>IF(SUM(D1974:D1980)&lt;&gt;R1982,"Out of Balance","Balances")</f>
        <v>Balances</v>
      </c>
    </row>
    <row r="1984" spans="1:21" ht="19" hidden="1" outlineLevel="1" thickBot="1" x14ac:dyDescent="0.5">
      <c r="A1984" s="726" t="s">
        <v>62</v>
      </c>
      <c r="B1984" s="583"/>
      <c r="C1984" s="584"/>
      <c r="D1984" s="1230">
        <f>SUM(D1974:D1983)</f>
        <v>212067.0692</v>
      </c>
      <c r="E1984" s="1644">
        <f>D1984-D1969</f>
        <v>11306.789589999971</v>
      </c>
      <c r="F1984" s="1218">
        <f>(D1984-D1969)/D1969</f>
        <v>5.6319853767710988E-2</v>
      </c>
    </row>
    <row r="1985" spans="1:21" hidden="1" outlineLevel="1" x14ac:dyDescent="0.35"/>
    <row r="1986" spans="1:21" ht="16" hidden="1" outlineLevel="1" thickBot="1" x14ac:dyDescent="0.4">
      <c r="A1986" s="1619" t="s">
        <v>25</v>
      </c>
      <c r="B1986" s="1620" t="s">
        <v>26</v>
      </c>
      <c r="C1986" s="1621" t="s">
        <v>27</v>
      </c>
      <c r="D1986" s="1622">
        <f>D1971+7</f>
        <v>43945</v>
      </c>
      <c r="E1986" s="1623" t="s">
        <v>28</v>
      </c>
      <c r="F1986" s="3082" t="s">
        <v>410</v>
      </c>
      <c r="G1986" s="3083"/>
      <c r="H1986" s="3096"/>
      <c r="I1986" s="1600"/>
      <c r="J1986" s="1577" t="s">
        <v>233</v>
      </c>
    </row>
    <row r="1987" spans="1:21" ht="16" hidden="1" outlineLevel="1" thickBot="1" x14ac:dyDescent="0.4">
      <c r="A1987" s="1584" t="s">
        <v>32</v>
      </c>
      <c r="B1987" s="1585" t="str">
        <f ca="1">TEXT(TODAY(),"ddd")</f>
        <v>Sun</v>
      </c>
      <c r="C1987" s="1586">
        <v>23775</v>
      </c>
      <c r="D1987" s="1587">
        <f>C1987-C1972</f>
        <v>-467</v>
      </c>
      <c r="E1987" s="1641">
        <f>(C1987-C1972)/C1972</f>
        <v>-1.9264087121524626E-2</v>
      </c>
      <c r="F1987" s="3097"/>
      <c r="G1987" s="3085"/>
      <c r="H1987" s="3086"/>
      <c r="I1987" s="1602"/>
      <c r="J1987" s="1188" t="s">
        <v>234</v>
      </c>
      <c r="K1987" s="1220" t="s">
        <v>34</v>
      </c>
      <c r="L1987" s="111" t="s">
        <v>35</v>
      </c>
    </row>
    <row r="1988" spans="1:21" hidden="1" outlineLevel="1" x14ac:dyDescent="0.35">
      <c r="A1988" s="709" t="s">
        <v>36</v>
      </c>
      <c r="B1988" s="263"/>
      <c r="C1988" s="419">
        <v>8634</v>
      </c>
      <c r="D1988" s="1516">
        <f>C1988-C1973</f>
        <v>-16</v>
      </c>
      <c r="E1988" s="32">
        <f>(C1988-C1973)/C1973</f>
        <v>-1.8497109826589595E-3</v>
      </c>
      <c r="F1988" s="1517" t="s">
        <v>37</v>
      </c>
      <c r="G1988" s="1603" t="s">
        <v>38</v>
      </c>
      <c r="H1988" s="1604" t="s">
        <v>144</v>
      </c>
      <c r="I1988" s="1591" t="s">
        <v>400</v>
      </c>
      <c r="J1988" s="3033" t="s">
        <v>42</v>
      </c>
      <c r="K1988" s="3034"/>
      <c r="L1988" s="3034"/>
      <c r="M1988" s="1199" t="s">
        <v>244</v>
      </c>
      <c r="P1988" s="1200" t="s">
        <v>44</v>
      </c>
      <c r="Q1988" s="1479" t="s">
        <v>45</v>
      </c>
      <c r="R1988" s="1479" t="s">
        <v>46</v>
      </c>
      <c r="S1988" s="1479" t="s">
        <v>47</v>
      </c>
      <c r="T1988" s="1485" t="s">
        <v>48</v>
      </c>
    </row>
    <row r="1989" spans="1:21" hidden="1" outlineLevel="1" x14ac:dyDescent="0.35">
      <c r="A1989" s="1346" t="s">
        <v>389</v>
      </c>
      <c r="B1989" s="1347">
        <v>610</v>
      </c>
      <c r="C1989" s="1348">
        <v>5.28</v>
      </c>
      <c r="D1989" s="1348">
        <f t="shared" ref="D1989:D1996" si="390">C1989*B1989</f>
        <v>3220.8</v>
      </c>
      <c r="E1989" s="1544">
        <f t="shared" ref="E1989:E1996" si="391">(D1989-D1974)/D1974</f>
        <v>0.135483870967742</v>
      </c>
      <c r="F1989" s="1486">
        <f t="shared" ref="F1989:F1996" si="392">D1989/D$1896</f>
        <v>1.7267969037965351E-2</v>
      </c>
      <c r="G1989" s="1494" t="s">
        <v>228</v>
      </c>
      <c r="H1989" s="1593"/>
      <c r="I1989" s="1591">
        <v>21.1</v>
      </c>
      <c r="J1989" s="3054" t="s">
        <v>416</v>
      </c>
      <c r="K1989" s="3054"/>
      <c r="L1989" s="3054"/>
      <c r="M1989" s="1489" t="str">
        <f t="shared" ref="M1989:M1996" si="393">A1989</f>
        <v>SDC</v>
      </c>
      <c r="P1989" s="1200"/>
      <c r="Q1989" s="1529">
        <f>B1989*RIGHT(J1989,4)</f>
        <v>3653.9</v>
      </c>
      <c r="R1989" s="1495">
        <f t="shared" ref="R1989:R1996" si="394">D1989</f>
        <v>3220.8</v>
      </c>
      <c r="S1989" s="1492">
        <f t="shared" ref="S1989:S1996" si="395">R1989-Q1989</f>
        <v>-433.09999999999991</v>
      </c>
      <c r="T1989" s="1493">
        <f t="shared" ref="T1989:T1996" si="396">(R1989-Q1989)/Q1989</f>
        <v>-0.11853088480801333</v>
      </c>
    </row>
    <row r="1990" spans="1:21" hidden="1" outlineLevel="1" x14ac:dyDescent="0.35">
      <c r="A1990" s="7" t="s">
        <v>402</v>
      </c>
      <c r="B1990" s="1142">
        <v>250</v>
      </c>
      <c r="C1990" s="1143">
        <v>14.04</v>
      </c>
      <c r="D1990" s="1143">
        <f t="shared" si="390"/>
        <v>3510</v>
      </c>
      <c r="E1990" s="1544">
        <f t="shared" si="391"/>
        <v>2.6315789473684209E-2</v>
      </c>
      <c r="F1990" s="1486">
        <f t="shared" si="392"/>
        <v>1.8818483396441373E-2</v>
      </c>
      <c r="G1990" s="1494" t="s">
        <v>228</v>
      </c>
      <c r="H1990" s="1593" t="s">
        <v>350</v>
      </c>
      <c r="I1990" s="1591">
        <v>19.59</v>
      </c>
      <c r="J1990" s="3054" t="s">
        <v>390</v>
      </c>
      <c r="K1990" s="3054"/>
      <c r="L1990" s="3054"/>
      <c r="M1990" s="1489" t="str">
        <f t="shared" si="393"/>
        <v>AVTR</v>
      </c>
      <c r="P1990" s="1200"/>
      <c r="Q1990" s="1529">
        <f t="shared" ref="Q1990:Q1996" si="397">B1990*RIGHT(J1990,6)</f>
        <v>3030</v>
      </c>
      <c r="R1990" s="1495">
        <f t="shared" si="394"/>
        <v>3510</v>
      </c>
      <c r="S1990" s="1510">
        <f t="shared" si="395"/>
        <v>480</v>
      </c>
      <c r="T1990" s="1530">
        <f t="shared" si="396"/>
        <v>0.15841584158415842</v>
      </c>
    </row>
    <row r="1991" spans="1:21" hidden="1" outlineLevel="1" x14ac:dyDescent="0.35">
      <c r="A1991" s="1346" t="s">
        <v>403</v>
      </c>
      <c r="B1991" s="1347">
        <v>200</v>
      </c>
      <c r="C1991" s="1348">
        <v>145.63</v>
      </c>
      <c r="D1991" s="1348">
        <f t="shared" si="390"/>
        <v>29126</v>
      </c>
      <c r="E1991" s="1544">
        <f t="shared" si="391"/>
        <v>5.1632004621606144E-2</v>
      </c>
      <c r="F1991" s="1486">
        <f t="shared" si="392"/>
        <v>0.15615588245149614</v>
      </c>
      <c r="G1991" s="1494" t="s">
        <v>228</v>
      </c>
      <c r="H1991" s="1593" t="s">
        <v>216</v>
      </c>
      <c r="I1991" s="1591">
        <v>134.51</v>
      </c>
      <c r="J1991" s="3054" t="s">
        <v>404</v>
      </c>
      <c r="K1991" s="3054"/>
      <c r="L1991" s="3054"/>
      <c r="M1991" s="1489" t="str">
        <f t="shared" si="393"/>
        <v>ALNY</v>
      </c>
      <c r="P1991" s="1200"/>
      <c r="Q1991" s="1529">
        <f t="shared" si="397"/>
        <v>19448</v>
      </c>
      <c r="R1991" s="1495">
        <f t="shared" si="394"/>
        <v>29126</v>
      </c>
      <c r="S1991" s="1510">
        <f t="shared" si="395"/>
        <v>9678</v>
      </c>
      <c r="T1991" s="1530">
        <f t="shared" si="396"/>
        <v>0.49763471822295352</v>
      </c>
    </row>
    <row r="1992" spans="1:21" hidden="1" outlineLevel="1" x14ac:dyDescent="0.35">
      <c r="A1992" s="7" t="s">
        <v>417</v>
      </c>
      <c r="B1992" s="1142">
        <v>110</v>
      </c>
      <c r="C1992" s="1143">
        <v>187.63</v>
      </c>
      <c r="D1992" s="1143">
        <f t="shared" si="390"/>
        <v>20639.3</v>
      </c>
      <c r="E1992" s="1544">
        <f t="shared" si="391"/>
        <v>3.594302120141335E-2</v>
      </c>
      <c r="F1992" s="1486">
        <f t="shared" si="392"/>
        <v>0.11065536306671579</v>
      </c>
      <c r="G1992" s="1494">
        <v>68</v>
      </c>
      <c r="H1992" s="1593" t="s">
        <v>145</v>
      </c>
      <c r="I1992" s="1591">
        <v>176.9</v>
      </c>
      <c r="J1992" s="3054" t="s">
        <v>418</v>
      </c>
      <c r="K1992" s="3054"/>
      <c r="L1992" s="3054"/>
      <c r="M1992" s="1489" t="str">
        <f t="shared" si="393"/>
        <v xml:space="preserve">VEEV </v>
      </c>
      <c r="P1992" s="1200"/>
      <c r="Q1992" s="1529">
        <f t="shared" si="397"/>
        <v>14361.6</v>
      </c>
      <c r="R1992" s="1495">
        <f t="shared" si="394"/>
        <v>20639.3</v>
      </c>
      <c r="S1992" s="1510">
        <f t="shared" si="395"/>
        <v>6277.6999999999989</v>
      </c>
      <c r="T1992" s="1530">
        <f t="shared" si="396"/>
        <v>0.43711703431372539</v>
      </c>
    </row>
    <row r="1993" spans="1:21" hidden="1" outlineLevel="1" x14ac:dyDescent="0.35">
      <c r="A1993" s="1346" t="s">
        <v>96</v>
      </c>
      <c r="B1993" s="1347">
        <v>100</v>
      </c>
      <c r="C1993" s="1348">
        <v>514.92999999999995</v>
      </c>
      <c r="D1993" s="1348">
        <f t="shared" si="390"/>
        <v>51492.999999999993</v>
      </c>
      <c r="E1993" s="1544">
        <f t="shared" si="391"/>
        <v>-2.1659415195789986E-2</v>
      </c>
      <c r="F1993" s="1486">
        <f t="shared" si="392"/>
        <v>0.27607412123446023</v>
      </c>
      <c r="G1993" s="1494">
        <v>40</v>
      </c>
      <c r="H1993" s="1593" t="s">
        <v>350</v>
      </c>
      <c r="I1993" s="1591">
        <v>619</v>
      </c>
      <c r="J1993" s="3054" t="s">
        <v>407</v>
      </c>
      <c r="K1993" s="3054"/>
      <c r="L1993" s="3054"/>
      <c r="M1993" s="1489" t="str">
        <f t="shared" si="393"/>
        <v>ISRG</v>
      </c>
      <c r="P1993" s="1200"/>
      <c r="Q1993" s="1529">
        <f t="shared" si="397"/>
        <v>56436</v>
      </c>
      <c r="R1993" s="1495">
        <f t="shared" si="394"/>
        <v>51492.999999999993</v>
      </c>
      <c r="S1993" s="1492">
        <f t="shared" si="395"/>
        <v>-4943.0000000000073</v>
      </c>
      <c r="T1993" s="1493">
        <f t="shared" si="396"/>
        <v>-8.7585938053724707E-2</v>
      </c>
    </row>
    <row r="1994" spans="1:21" hidden="1" outlineLevel="1" x14ac:dyDescent="0.35">
      <c r="A1994" s="7" t="s">
        <v>391</v>
      </c>
      <c r="B1994" s="1142">
        <v>100.239</v>
      </c>
      <c r="C1994" s="1143">
        <v>282.97000000000003</v>
      </c>
      <c r="D1994" s="1143">
        <f t="shared" si="390"/>
        <v>28364.629830000005</v>
      </c>
      <c r="E1994" s="1544">
        <f t="shared" si="391"/>
        <v>6.0113154172571211E-4</v>
      </c>
      <c r="F1994" s="1486">
        <f t="shared" si="392"/>
        <v>0.15207387906041619</v>
      </c>
      <c r="G1994" s="1494">
        <v>22</v>
      </c>
      <c r="H1994" s="1593" t="s">
        <v>145</v>
      </c>
      <c r="I1994" s="1591">
        <v>327.85</v>
      </c>
      <c r="J1994" s="3054" t="s">
        <v>408</v>
      </c>
      <c r="K1994" s="3054"/>
      <c r="L1994" s="3054"/>
      <c r="M1994" s="1489" t="str">
        <f t="shared" si="393"/>
        <v>APPL</v>
      </c>
      <c r="P1994" s="1200"/>
      <c r="Q1994" s="1508">
        <f t="shared" si="397"/>
        <v>31226.453279999998</v>
      </c>
      <c r="R1994" s="1491">
        <f t="shared" si="394"/>
        <v>28364.629830000005</v>
      </c>
      <c r="S1994" s="1492">
        <f t="shared" si="395"/>
        <v>-2861.8234499999926</v>
      </c>
      <c r="T1994" s="1493">
        <f t="shared" si="396"/>
        <v>-9.1647406266050099E-2</v>
      </c>
    </row>
    <row r="1995" spans="1:21" hidden="1" outlineLevel="1" x14ac:dyDescent="0.35">
      <c r="A1995" s="1346" t="s">
        <v>394</v>
      </c>
      <c r="B1995" s="1347">
        <v>95</v>
      </c>
      <c r="C1995" s="1348">
        <v>593.6</v>
      </c>
      <c r="D1995" s="1348">
        <f t="shared" si="390"/>
        <v>56392</v>
      </c>
      <c r="E1995" s="1544">
        <f t="shared" si="391"/>
        <v>-6.6005821729210809E-2</v>
      </c>
      <c r="F1995" s="1486">
        <f t="shared" si="392"/>
        <v>0.30233957712026266</v>
      </c>
      <c r="G1995" s="1494">
        <v>77</v>
      </c>
      <c r="H1995" s="1593" t="s">
        <v>216</v>
      </c>
      <c r="I1995" s="1591">
        <v>746.7</v>
      </c>
      <c r="J1995" s="3054" t="s">
        <v>409</v>
      </c>
      <c r="K1995" s="3054"/>
      <c r="L1995" s="3054"/>
      <c r="M1995" s="1489" t="str">
        <f t="shared" si="393"/>
        <v>CSGP</v>
      </c>
      <c r="P1995" s="1200"/>
      <c r="Q1995" s="1529">
        <f t="shared" si="397"/>
        <v>61923.850000000006</v>
      </c>
      <c r="R1995" s="1495">
        <f t="shared" si="394"/>
        <v>56392</v>
      </c>
      <c r="S1995" s="1492">
        <f t="shared" si="395"/>
        <v>-5531.8500000000058</v>
      </c>
      <c r="T1995" s="1493">
        <f t="shared" si="396"/>
        <v>-8.9333108325790556E-2</v>
      </c>
    </row>
    <row r="1996" spans="1:21" ht="16" hidden="1" outlineLevel="1" thickBot="1" x14ac:dyDescent="0.4">
      <c r="A1996" s="7" t="s">
        <v>137</v>
      </c>
      <c r="B1996" s="1142">
        <v>90</v>
      </c>
      <c r="C1996" s="1143">
        <v>168.52</v>
      </c>
      <c r="D1996" s="1143">
        <f t="shared" si="390"/>
        <v>15166.800000000001</v>
      </c>
      <c r="E1996" s="1544">
        <f t="shared" si="391"/>
        <v>1.5058426695578844E-2</v>
      </c>
      <c r="F1996" s="1486">
        <f t="shared" si="392"/>
        <v>8.131514928123848E-2</v>
      </c>
      <c r="G1996" s="1494">
        <v>23</v>
      </c>
      <c r="H1996" s="1593" t="s">
        <v>145</v>
      </c>
      <c r="I1996" s="1631">
        <v>322.14</v>
      </c>
      <c r="J1996" s="3054" t="s">
        <v>419</v>
      </c>
      <c r="K1996" s="3054"/>
      <c r="L1996" s="3054"/>
      <c r="M1996" s="1489" t="str">
        <f t="shared" si="393"/>
        <v>ABMD</v>
      </c>
      <c r="P1996" s="1632"/>
      <c r="Q1996" s="1529">
        <f t="shared" si="397"/>
        <v>12378.599999999999</v>
      </c>
      <c r="R1996" s="1495">
        <f t="shared" si="394"/>
        <v>15166.800000000001</v>
      </c>
      <c r="S1996" s="1510">
        <f t="shared" si="395"/>
        <v>2788.2000000000025</v>
      </c>
      <c r="T1996" s="1530">
        <f t="shared" si="396"/>
        <v>0.22524356550821603</v>
      </c>
      <c r="U1996" s="1639">
        <f>AVERAGE(T1989:T1996)</f>
        <v>0.11641422777193433</v>
      </c>
    </row>
    <row r="1997" spans="1:21" ht="16" hidden="1" outlineLevel="1" thickBot="1" x14ac:dyDescent="0.4">
      <c r="A1997" s="1346" t="s">
        <v>7</v>
      </c>
      <c r="B1997" s="1347"/>
      <c r="C1997" s="1348"/>
      <c r="D1997" s="1348">
        <v>1778.42</v>
      </c>
      <c r="E1997" s="32"/>
      <c r="F1997" s="1499">
        <f>D1997/D$1601</f>
        <v>6.1839526494813085E-3</v>
      </c>
      <c r="G1997" s="1418"/>
      <c r="H1997" s="1500"/>
      <c r="I1997" s="1501"/>
      <c r="J1997" s="1633"/>
      <c r="K1997" s="1634"/>
      <c r="L1997" s="1634"/>
      <c r="R1997" s="1532">
        <f>SUM(R1989:R1995)</f>
        <v>192745.72983000003</v>
      </c>
      <c r="S1997" s="1532">
        <f>SUM(S1989:S1995)</f>
        <v>2665.9265499999929</v>
      </c>
    </row>
    <row r="1998" spans="1:21" ht="16" hidden="1" outlineLevel="1" thickBot="1" x14ac:dyDescent="0.4">
      <c r="A1998" s="7" t="s">
        <v>60</v>
      </c>
      <c r="B1998" s="1142"/>
      <c r="C1998" s="1143"/>
      <c r="D1998" s="1143">
        <f>8.57+9.95+119.43</f>
        <v>137.95000000000002</v>
      </c>
      <c r="E1998" s="32"/>
      <c r="F1998" s="1503">
        <f>D1998/D$1554</f>
        <v>4.5476547238561537E-4</v>
      </c>
      <c r="G1998" s="1504"/>
      <c r="H1998" s="1505"/>
      <c r="I1998" s="1290">
        <f>SUM(I1997:I1997)</f>
        <v>0</v>
      </c>
      <c r="J1998" s="1468"/>
      <c r="K1998" s="1151"/>
      <c r="L1998" s="1151"/>
      <c r="R1998" s="1470" t="str">
        <f>IF(SUM(D1989:D1995)&lt;&gt;R1997,"Out of Balance","Balances")</f>
        <v>Balances</v>
      </c>
    </row>
    <row r="1999" spans="1:21" ht="19" hidden="1" outlineLevel="1" thickBot="1" x14ac:dyDescent="0.5">
      <c r="A1999" s="726" t="s">
        <v>62</v>
      </c>
      <c r="B1999" s="583"/>
      <c r="C1999" s="584"/>
      <c r="D1999" s="1230">
        <f>SUM(D1989:D1998)</f>
        <v>209828.89983000004</v>
      </c>
      <c r="E1999" s="73">
        <f>D1999-D1984</f>
        <v>-2238.1693699999596</v>
      </c>
      <c r="F1999" s="1537">
        <f>(D1999-D1984)/D1984</f>
        <v>-1.0554063761258222E-2</v>
      </c>
      <c r="H1999" s="1645">
        <f>SUM(E1999,E1984,E1969,E1954)</f>
        <v>22729.659970000066</v>
      </c>
      <c r="I1999" s="1646" t="str">
        <f>TEXT(D1986,"mmmm")</f>
        <v>April</v>
      </c>
    </row>
    <row r="2000" spans="1:21" hidden="1" outlineLevel="1" x14ac:dyDescent="0.35"/>
    <row r="2001" spans="1:21" ht="16" hidden="1" outlineLevel="1" thickBot="1" x14ac:dyDescent="0.4">
      <c r="A2001" s="1619" t="s">
        <v>25</v>
      </c>
      <c r="B2001" s="1620" t="s">
        <v>26</v>
      </c>
      <c r="C2001" s="1621" t="s">
        <v>27</v>
      </c>
      <c r="D2001" s="1622">
        <f>D1986+7</f>
        <v>43952</v>
      </c>
      <c r="E2001" s="1623" t="s">
        <v>28</v>
      </c>
      <c r="F2001" s="3082" t="s">
        <v>410</v>
      </c>
      <c r="G2001" s="3083"/>
      <c r="H2001" s="3096"/>
      <c r="I2001" s="1600"/>
      <c r="J2001" s="1577" t="s">
        <v>233</v>
      </c>
    </row>
    <row r="2002" spans="1:21" ht="16" hidden="1" outlineLevel="1" thickBot="1" x14ac:dyDescent="0.4">
      <c r="A2002" s="1584" t="s">
        <v>32</v>
      </c>
      <c r="B2002" s="1585" t="str">
        <f ca="1">TEXT(TODAY(),"ddd")</f>
        <v>Sun</v>
      </c>
      <c r="C2002" s="1586">
        <f>23539-183</f>
        <v>23356</v>
      </c>
      <c r="D2002" s="1587">
        <f>C2002-C1987</f>
        <v>-419</v>
      </c>
      <c r="E2002" s="1641">
        <f>(C2002-C1987)/C1987</f>
        <v>-1.7623554153522607E-2</v>
      </c>
      <c r="F2002" s="3097"/>
      <c r="G2002" s="3085"/>
      <c r="H2002" s="3086"/>
      <c r="I2002" s="1602"/>
      <c r="J2002" s="1188" t="s">
        <v>234</v>
      </c>
      <c r="K2002" s="1220" t="s">
        <v>34</v>
      </c>
      <c r="L2002" s="111" t="s">
        <v>35</v>
      </c>
    </row>
    <row r="2003" spans="1:21" hidden="1" outlineLevel="1" x14ac:dyDescent="0.35">
      <c r="A2003" s="709" t="s">
        <v>36</v>
      </c>
      <c r="B2003" s="263"/>
      <c r="C2003" s="419">
        <f>8664.31-59.36</f>
        <v>8604.9499999999989</v>
      </c>
      <c r="D2003" s="1516">
        <f>C2003-C1988</f>
        <v>-29.050000000001091</v>
      </c>
      <c r="E2003" s="32">
        <f>(C2003-C1988)/C1988</f>
        <v>-3.3646050498032302E-3</v>
      </c>
      <c r="F2003" s="1517" t="s">
        <v>37</v>
      </c>
      <c r="G2003" s="1603" t="s">
        <v>38</v>
      </c>
      <c r="H2003" s="1604" t="s">
        <v>144</v>
      </c>
      <c r="I2003" s="1591" t="s">
        <v>400</v>
      </c>
      <c r="J2003" s="3033" t="s">
        <v>42</v>
      </c>
      <c r="K2003" s="3034"/>
      <c r="L2003" s="3034"/>
      <c r="M2003" s="1199" t="s">
        <v>244</v>
      </c>
      <c r="P2003" s="1200" t="s">
        <v>44</v>
      </c>
      <c r="Q2003" s="1479" t="s">
        <v>45</v>
      </c>
      <c r="R2003" s="1479" t="s">
        <v>46</v>
      </c>
      <c r="S2003" s="1479" t="s">
        <v>47</v>
      </c>
      <c r="T2003" s="1485" t="s">
        <v>48</v>
      </c>
    </row>
    <row r="2004" spans="1:21" hidden="1" outlineLevel="1" x14ac:dyDescent="0.35">
      <c r="A2004" s="1346" t="s">
        <v>389</v>
      </c>
      <c r="B2004" s="1347">
        <v>610</v>
      </c>
      <c r="C2004" s="1348">
        <f>7.29-0.34</f>
        <v>6.95</v>
      </c>
      <c r="D2004" s="1348">
        <f t="shared" ref="D2004:D2011" si="398">C2004*B2004</f>
        <v>4239.5</v>
      </c>
      <c r="E2004" s="1544">
        <f t="shared" ref="E2004:E2011" si="399">(D2004-D1989)/D1989</f>
        <v>0.31628787878787873</v>
      </c>
      <c r="F2004" s="1486">
        <f t="shared" ref="F2004:F2011" si="400">D2004/D$1896</f>
        <v>2.2729618335958178E-2</v>
      </c>
      <c r="G2004" s="1494" t="s">
        <v>228</v>
      </c>
      <c r="H2004" s="1593"/>
      <c r="I2004" s="1591">
        <v>21.1</v>
      </c>
      <c r="J2004" s="3054" t="s">
        <v>416</v>
      </c>
      <c r="K2004" s="3054"/>
      <c r="L2004" s="3054"/>
      <c r="M2004" s="1489" t="str">
        <f t="shared" ref="M2004:M2011" si="401">A2004</f>
        <v>SDC</v>
      </c>
      <c r="P2004" s="1200"/>
      <c r="Q2004" s="1529">
        <f>B2004*RIGHT(J2004,4)</f>
        <v>3653.9</v>
      </c>
      <c r="R2004" s="1495">
        <f t="shared" ref="R2004:R2011" si="402">D2004</f>
        <v>4239.5</v>
      </c>
      <c r="S2004" s="1510">
        <f t="shared" ref="S2004:S2011" si="403">R2004-Q2004</f>
        <v>585.59999999999991</v>
      </c>
      <c r="T2004" s="1530">
        <f t="shared" ref="T2004:T2011" si="404">(R2004-Q2004)/Q2004</f>
        <v>0.16026711185308845</v>
      </c>
    </row>
    <row r="2005" spans="1:21" hidden="1" outlineLevel="1" x14ac:dyDescent="0.35">
      <c r="A2005" s="7" t="s">
        <v>402</v>
      </c>
      <c r="B2005" s="1142">
        <v>250</v>
      </c>
      <c r="C2005" s="1143">
        <f>16.87-0.06</f>
        <v>16.810000000000002</v>
      </c>
      <c r="D2005" s="1143">
        <f t="shared" si="398"/>
        <v>4202.5000000000009</v>
      </c>
      <c r="E2005" s="1544">
        <f t="shared" si="399"/>
        <v>0.19729344729344755</v>
      </c>
      <c r="F2005" s="1486">
        <f t="shared" si="400"/>
        <v>2.2531246858559797E-2</v>
      </c>
      <c r="G2005" s="1494" t="s">
        <v>228</v>
      </c>
      <c r="H2005" s="1593" t="s">
        <v>350</v>
      </c>
      <c r="I2005" s="1591">
        <v>19.59</v>
      </c>
      <c r="J2005" s="3054" t="s">
        <v>390</v>
      </c>
      <c r="K2005" s="3054"/>
      <c r="L2005" s="3054"/>
      <c r="M2005" s="1489" t="str">
        <f t="shared" si="401"/>
        <v>AVTR</v>
      </c>
      <c r="P2005" s="1200"/>
      <c r="Q2005" s="1529">
        <f t="shared" ref="Q2005:Q2011" si="405">B2005*RIGHT(J2005,6)</f>
        <v>3030</v>
      </c>
      <c r="R2005" s="1495">
        <f t="shared" si="402"/>
        <v>4202.5000000000009</v>
      </c>
      <c r="S2005" s="1510">
        <f t="shared" si="403"/>
        <v>1172.5000000000009</v>
      </c>
      <c r="T2005" s="1530">
        <f t="shared" si="404"/>
        <v>0.38696369636963729</v>
      </c>
    </row>
    <row r="2006" spans="1:21" hidden="1" outlineLevel="1" x14ac:dyDescent="0.35">
      <c r="A2006" s="1346" t="s">
        <v>403</v>
      </c>
      <c r="B2006" s="1347">
        <v>200</v>
      </c>
      <c r="C2006" s="1348">
        <f>134.33-5.36</f>
        <v>128.97</v>
      </c>
      <c r="D2006" s="1348">
        <f t="shared" si="398"/>
        <v>25794</v>
      </c>
      <c r="E2006" s="1544">
        <f t="shared" si="399"/>
        <v>-0.11439950559637438</v>
      </c>
      <c r="F2006" s="1486">
        <f t="shared" si="400"/>
        <v>0.13829172670307943</v>
      </c>
      <c r="G2006" s="1494" t="s">
        <v>228</v>
      </c>
      <c r="H2006" s="1593" t="s">
        <v>216</v>
      </c>
      <c r="I2006" s="1591">
        <v>134.51</v>
      </c>
      <c r="J2006" s="3054" t="s">
        <v>404</v>
      </c>
      <c r="K2006" s="3054"/>
      <c r="L2006" s="3054"/>
      <c r="M2006" s="1489" t="str">
        <f t="shared" si="401"/>
        <v>ALNY</v>
      </c>
      <c r="P2006" s="1200"/>
      <c r="Q2006" s="1529">
        <f t="shared" si="405"/>
        <v>19448</v>
      </c>
      <c r="R2006" s="1495">
        <f t="shared" si="402"/>
        <v>25794</v>
      </c>
      <c r="S2006" s="1510">
        <f t="shared" si="403"/>
        <v>6346</v>
      </c>
      <c r="T2006" s="1530">
        <f t="shared" si="404"/>
        <v>0.32630604689428216</v>
      </c>
    </row>
    <row r="2007" spans="1:21" hidden="1" outlineLevel="1" x14ac:dyDescent="0.35">
      <c r="A2007" s="7" t="s">
        <v>417</v>
      </c>
      <c r="B2007" s="1142">
        <v>110</v>
      </c>
      <c r="C2007" s="1143">
        <f>190.26-2.46</f>
        <v>187.79999999999998</v>
      </c>
      <c r="D2007" s="1143">
        <f t="shared" si="398"/>
        <v>20657.999999999996</v>
      </c>
      <c r="E2007" s="1544">
        <f t="shared" si="399"/>
        <v>9.0603847998706785E-4</v>
      </c>
      <c r="F2007" s="1486">
        <f t="shared" si="400"/>
        <v>0.11075562108367118</v>
      </c>
      <c r="G2007" s="1494">
        <v>68</v>
      </c>
      <c r="H2007" s="1593" t="s">
        <v>145</v>
      </c>
      <c r="I2007" s="1591">
        <v>176.9</v>
      </c>
      <c r="J2007" s="3054" t="s">
        <v>418</v>
      </c>
      <c r="K2007" s="3054"/>
      <c r="L2007" s="3054"/>
      <c r="M2007" s="1489" t="str">
        <f t="shared" si="401"/>
        <v xml:space="preserve">VEEV </v>
      </c>
      <c r="P2007" s="1200"/>
      <c r="Q2007" s="1529">
        <f t="shared" si="405"/>
        <v>14361.6</v>
      </c>
      <c r="R2007" s="1495">
        <f t="shared" si="402"/>
        <v>20657.999999999996</v>
      </c>
      <c r="S2007" s="1510">
        <f t="shared" si="403"/>
        <v>6296.399999999996</v>
      </c>
      <c r="T2007" s="1530">
        <f t="shared" si="404"/>
        <v>0.43841911764705854</v>
      </c>
    </row>
    <row r="2008" spans="1:21" hidden="1" outlineLevel="1" x14ac:dyDescent="0.35">
      <c r="A2008" s="1346" t="s">
        <v>96</v>
      </c>
      <c r="B2008" s="1347">
        <v>100</v>
      </c>
      <c r="C2008" s="1348">
        <f>502.18-3.32</f>
        <v>498.86</v>
      </c>
      <c r="D2008" s="1348">
        <f t="shared" si="398"/>
        <v>49886</v>
      </c>
      <c r="E2008" s="1544">
        <f t="shared" si="399"/>
        <v>-3.1208125376264599E-2</v>
      </c>
      <c r="F2008" s="1486">
        <f t="shared" si="400"/>
        <v>0.26745836544583318</v>
      </c>
      <c r="G2008" s="1494">
        <v>40</v>
      </c>
      <c r="H2008" s="1593" t="s">
        <v>350</v>
      </c>
      <c r="I2008" s="1591">
        <v>619</v>
      </c>
      <c r="J2008" s="3054" t="s">
        <v>407</v>
      </c>
      <c r="K2008" s="3054"/>
      <c r="L2008" s="3054"/>
      <c r="M2008" s="1489" t="str">
        <f t="shared" si="401"/>
        <v>ISRG</v>
      </c>
      <c r="P2008" s="1200"/>
      <c r="Q2008" s="1529">
        <f t="shared" si="405"/>
        <v>56436</v>
      </c>
      <c r="R2008" s="1495">
        <f t="shared" si="402"/>
        <v>49886</v>
      </c>
      <c r="S2008" s="1492">
        <f t="shared" si="403"/>
        <v>-6550</v>
      </c>
      <c r="T2008" s="1493">
        <f t="shared" si="404"/>
        <v>-0.11606067049401092</v>
      </c>
    </row>
    <row r="2009" spans="1:21" hidden="1" outlineLevel="1" x14ac:dyDescent="0.35">
      <c r="A2009" s="7" t="s">
        <v>391</v>
      </c>
      <c r="B2009" s="1142">
        <v>100.239</v>
      </c>
      <c r="C2009" s="1143">
        <f>291.91-2.84</f>
        <v>289.07000000000005</v>
      </c>
      <c r="D2009" s="1143">
        <f t="shared" si="398"/>
        <v>28976.087730000007</v>
      </c>
      <c r="E2009" s="1544">
        <f t="shared" si="399"/>
        <v>2.1557055518252859E-2</v>
      </c>
      <c r="F2009" s="1486">
        <f t="shared" si="400"/>
        <v>0.15535214411419765</v>
      </c>
      <c r="G2009" s="1494">
        <v>22</v>
      </c>
      <c r="H2009" s="1593" t="s">
        <v>145</v>
      </c>
      <c r="I2009" s="1591">
        <v>327.85</v>
      </c>
      <c r="J2009" s="3054" t="s">
        <v>408</v>
      </c>
      <c r="K2009" s="3054"/>
      <c r="L2009" s="3054"/>
      <c r="M2009" s="1489" t="str">
        <f t="shared" si="401"/>
        <v>APPL</v>
      </c>
      <c r="P2009" s="1200"/>
      <c r="Q2009" s="1508">
        <f t="shared" si="405"/>
        <v>31226.453279999998</v>
      </c>
      <c r="R2009" s="1491">
        <f t="shared" si="402"/>
        <v>28976.087730000007</v>
      </c>
      <c r="S2009" s="1492">
        <f t="shared" si="403"/>
        <v>-2250.3655499999913</v>
      </c>
      <c r="T2009" s="1493">
        <f t="shared" si="404"/>
        <v>-7.2065998972778364E-2</v>
      </c>
    </row>
    <row r="2010" spans="1:21" hidden="1" outlineLevel="1" x14ac:dyDescent="0.35">
      <c r="A2010" s="1346" t="s">
        <v>394</v>
      </c>
      <c r="B2010" s="1347">
        <v>95</v>
      </c>
      <c r="C2010" s="1348">
        <f>629.68-7.07</f>
        <v>622.6099999999999</v>
      </c>
      <c r="D2010" s="1348">
        <f t="shared" si="398"/>
        <v>59147.94999999999</v>
      </c>
      <c r="E2010" s="1544">
        <f t="shared" si="399"/>
        <v>4.8871293800538902E-2</v>
      </c>
      <c r="F2010" s="1486">
        <f t="shared" si="400"/>
        <v>0.31711530342123773</v>
      </c>
      <c r="G2010" s="1494">
        <v>77</v>
      </c>
      <c r="H2010" s="1593" t="s">
        <v>216</v>
      </c>
      <c r="I2010" s="1591">
        <v>746.7</v>
      </c>
      <c r="J2010" s="3054" t="s">
        <v>409</v>
      </c>
      <c r="K2010" s="3054"/>
      <c r="L2010" s="3054"/>
      <c r="M2010" s="1489" t="str">
        <f t="shared" si="401"/>
        <v>CSGP</v>
      </c>
      <c r="P2010" s="1200"/>
      <c r="Q2010" s="1529">
        <f t="shared" si="405"/>
        <v>61923.850000000006</v>
      </c>
      <c r="R2010" s="1495">
        <f t="shared" si="402"/>
        <v>59147.94999999999</v>
      </c>
      <c r="S2010" s="1492">
        <f t="shared" si="403"/>
        <v>-2775.900000000016</v>
      </c>
      <c r="T2010" s="1493">
        <f t="shared" si="404"/>
        <v>-4.4827639108356729E-2</v>
      </c>
    </row>
    <row r="2011" spans="1:21" hidden="1" outlineLevel="1" x14ac:dyDescent="0.35">
      <c r="A2011" s="7" t="s">
        <v>137</v>
      </c>
      <c r="B2011" s="1142">
        <v>90</v>
      </c>
      <c r="C2011" s="1143">
        <f>180.34+3.15</f>
        <v>183.49</v>
      </c>
      <c r="D2011" s="1143">
        <f t="shared" si="398"/>
        <v>16514.100000000002</v>
      </c>
      <c r="E2011" s="1544">
        <f t="shared" si="399"/>
        <v>8.8832186090671797E-2</v>
      </c>
      <c r="F2011" s="1486">
        <f t="shared" si="400"/>
        <v>8.8538551754180211E-2</v>
      </c>
      <c r="G2011" s="1494">
        <v>23</v>
      </c>
      <c r="H2011" s="1593" t="s">
        <v>145</v>
      </c>
      <c r="I2011" s="1631">
        <v>322.14</v>
      </c>
      <c r="J2011" s="3054" t="s">
        <v>419</v>
      </c>
      <c r="K2011" s="3054"/>
      <c r="L2011" s="3054"/>
      <c r="M2011" s="1489" t="str">
        <f t="shared" si="401"/>
        <v>ABMD</v>
      </c>
      <c r="P2011" s="1632"/>
      <c r="Q2011" s="1529">
        <f t="shared" si="405"/>
        <v>12378.599999999999</v>
      </c>
      <c r="R2011" s="1495">
        <f t="shared" si="402"/>
        <v>16514.100000000002</v>
      </c>
      <c r="S2011" s="1510">
        <f t="shared" si="403"/>
        <v>4135.5000000000036</v>
      </c>
      <c r="T2011" s="1530">
        <f t="shared" si="404"/>
        <v>0.33408462992584009</v>
      </c>
    </row>
    <row r="2012" spans="1:21" ht="16" hidden="1" outlineLevel="1" thickBot="1" x14ac:dyDescent="0.4">
      <c r="A2012" s="1346" t="s">
        <v>7</v>
      </c>
      <c r="B2012" s="1347"/>
      <c r="C2012" s="1348"/>
      <c r="D2012" s="1348">
        <v>1806.31</v>
      </c>
      <c r="E2012" s="32"/>
      <c r="F2012" s="1499">
        <f>D2012/D$1601</f>
        <v>6.2809322377641846E-3</v>
      </c>
      <c r="G2012" s="1418"/>
      <c r="H2012" s="1500"/>
      <c r="I2012" s="1501"/>
      <c r="J2012" s="1633"/>
      <c r="K2012" s="1634"/>
      <c r="L2012" s="1634"/>
      <c r="R2012" s="1532">
        <f>SUM(R2004:R2010)</f>
        <v>192904.03772999998</v>
      </c>
      <c r="S2012" s="1532">
        <f>SUM(S2004:S2010)</f>
        <v>2824.234449999989</v>
      </c>
      <c r="T2012" s="1617">
        <f>AVERAGE(T2004:T2011)</f>
        <v>0.17663578676434505</v>
      </c>
      <c r="U2012" s="1639">
        <f>AVERAGE(T2005:T2012)</f>
        <v>0.17868187112825215</v>
      </c>
    </row>
    <row r="2013" spans="1:21" ht="16" hidden="1" outlineLevel="1" thickBot="1" x14ac:dyDescent="0.4">
      <c r="A2013" s="7" t="s">
        <v>60</v>
      </c>
      <c r="B2013" s="1142"/>
      <c r="C2013" s="1143"/>
      <c r="D2013" s="1143">
        <f>8.57+9.95+119.43</f>
        <v>137.95000000000002</v>
      </c>
      <c r="E2013" s="32"/>
      <c r="F2013" s="1503">
        <f>D2013/D$1554</f>
        <v>4.5476547238561537E-4</v>
      </c>
      <c r="G2013" s="1504"/>
      <c r="H2013" s="1505"/>
      <c r="I2013" s="1290">
        <f>SUM(I2012:I2012)</f>
        <v>0</v>
      </c>
      <c r="J2013" s="1468"/>
      <c r="K2013" s="1151"/>
      <c r="L2013" s="1151"/>
      <c r="R2013" s="1470" t="str">
        <f>IF(SUM(D2004:D2010)&lt;&gt;R2012,"Out of Balance","Balances")</f>
        <v>Balances</v>
      </c>
    </row>
    <row r="2014" spans="1:21" ht="19" hidden="1" outlineLevel="1" thickBot="1" x14ac:dyDescent="0.5">
      <c r="A2014" s="726" t="s">
        <v>62</v>
      </c>
      <c r="B2014" s="583"/>
      <c r="C2014" s="584"/>
      <c r="D2014" s="1230">
        <f>SUM(D2004:D2013)</f>
        <v>211362.39773</v>
      </c>
      <c r="E2014" s="1538">
        <f>D2014-D1999</f>
        <v>1533.4978999999585</v>
      </c>
      <c r="F2014" s="1545">
        <f>(D2014-D1999)/D1999</f>
        <v>7.3083255035048724E-3</v>
      </c>
    </row>
    <row r="2015" spans="1:21" hidden="1" outlineLevel="1" x14ac:dyDescent="0.35"/>
    <row r="2016" spans="1:21" ht="16" hidden="1" outlineLevel="1" thickBot="1" x14ac:dyDescent="0.4">
      <c r="A2016" s="1619" t="s">
        <v>25</v>
      </c>
      <c r="B2016" s="1620" t="s">
        <v>26</v>
      </c>
      <c r="C2016" s="1621" t="s">
        <v>27</v>
      </c>
      <c r="D2016" s="1622">
        <f>D2001+7</f>
        <v>43959</v>
      </c>
      <c r="E2016" s="1623" t="s">
        <v>28</v>
      </c>
      <c r="F2016" s="3082" t="s">
        <v>410</v>
      </c>
      <c r="G2016" s="3083"/>
      <c r="H2016" s="3096"/>
      <c r="I2016" s="1600"/>
      <c r="J2016" s="1577" t="s">
        <v>233</v>
      </c>
    </row>
    <row r="2017" spans="1:21" ht="16" hidden="1" outlineLevel="1" thickBot="1" x14ac:dyDescent="0.4">
      <c r="A2017" s="1584" t="s">
        <v>32</v>
      </c>
      <c r="B2017" s="1585" t="str">
        <f ca="1">TEXT(TODAY(),"ddd")</f>
        <v>Sun</v>
      </c>
      <c r="C2017" s="1586">
        <v>24331</v>
      </c>
      <c r="D2017" s="1647">
        <f>C2017-C2002</f>
        <v>975</v>
      </c>
      <c r="E2017" s="1641">
        <f t="shared" ref="E2017:E2026" si="406">(C2017-C2002)/C2002</f>
        <v>4.1745161842781299E-2</v>
      </c>
      <c r="F2017" s="3097"/>
      <c r="G2017" s="3085"/>
      <c r="H2017" s="3086"/>
      <c r="I2017" s="1602"/>
      <c r="J2017" s="1188" t="s">
        <v>234</v>
      </c>
      <c r="K2017" s="1220" t="s">
        <v>34</v>
      </c>
      <c r="L2017" s="111" t="s">
        <v>35</v>
      </c>
    </row>
    <row r="2018" spans="1:21" hidden="1" outlineLevel="1" x14ac:dyDescent="0.35">
      <c r="A2018" s="709" t="s">
        <v>36</v>
      </c>
      <c r="B2018" s="263"/>
      <c r="C2018" s="419">
        <v>9121</v>
      </c>
      <c r="D2018" s="1647">
        <f>C2018-C2003</f>
        <v>516.05000000000109</v>
      </c>
      <c r="E2018" s="32">
        <f t="shared" si="406"/>
        <v>5.9971295591491079E-2</v>
      </c>
      <c r="F2018" s="1517" t="s">
        <v>37</v>
      </c>
      <c r="G2018" s="1603" t="s">
        <v>38</v>
      </c>
      <c r="H2018" s="1604" t="s">
        <v>144</v>
      </c>
      <c r="I2018" s="1591" t="s">
        <v>400</v>
      </c>
      <c r="J2018" s="3033" t="s">
        <v>42</v>
      </c>
      <c r="K2018" s="3034"/>
      <c r="L2018" s="3034"/>
      <c r="M2018" s="1199" t="s">
        <v>244</v>
      </c>
      <c r="P2018" s="1200" t="s">
        <v>44</v>
      </c>
      <c r="Q2018" s="1479" t="s">
        <v>45</v>
      </c>
      <c r="R2018" s="1479" t="s">
        <v>46</v>
      </c>
      <c r="S2018" s="1479" t="s">
        <v>47</v>
      </c>
      <c r="T2018" s="1485" t="s">
        <v>48</v>
      </c>
    </row>
    <row r="2019" spans="1:21" hidden="1" outlineLevel="1" x14ac:dyDescent="0.35">
      <c r="A2019" s="1346" t="s">
        <v>389</v>
      </c>
      <c r="B2019" s="1347">
        <v>610</v>
      </c>
      <c r="C2019" s="1348">
        <v>8.02</v>
      </c>
      <c r="D2019" s="1348">
        <f t="shared" ref="D2019:D2026" si="407">C2019*B2019</f>
        <v>4892.2</v>
      </c>
      <c r="E2019" s="1544">
        <f t="shared" si="406"/>
        <v>0.15395683453237402</v>
      </c>
      <c r="F2019" s="1486">
        <f t="shared" ref="F2019:F2026" si="408">D2019/D$1896</f>
        <v>2.6228998425091306E-2</v>
      </c>
      <c r="G2019" s="1494" t="s">
        <v>228</v>
      </c>
      <c r="H2019" s="1593"/>
      <c r="I2019" s="1591">
        <v>21.1</v>
      </c>
      <c r="J2019" s="3054" t="s">
        <v>416</v>
      </c>
      <c r="K2019" s="3054"/>
      <c r="L2019" s="3054"/>
      <c r="M2019" s="1489" t="str">
        <f t="shared" ref="M2019:M2026" si="409">A2019</f>
        <v>SDC</v>
      </c>
      <c r="P2019" s="1200"/>
      <c r="Q2019" s="1529">
        <f>B2019*RIGHT(J2019,4)</f>
        <v>3653.9</v>
      </c>
      <c r="R2019" s="1495">
        <f t="shared" ref="R2019:R2026" si="410">D2019</f>
        <v>4892.2</v>
      </c>
      <c r="S2019" s="1510">
        <f t="shared" ref="S2019:S2026" si="411">R2019-Q2019</f>
        <v>1238.2999999999997</v>
      </c>
      <c r="T2019" s="1530">
        <f t="shared" ref="T2019:T2026" si="412">(R2019-Q2019)/Q2019</f>
        <v>0.33889816360600994</v>
      </c>
    </row>
    <row r="2020" spans="1:21" hidden="1" outlineLevel="1" x14ac:dyDescent="0.35">
      <c r="A2020" s="7" t="s">
        <v>402</v>
      </c>
      <c r="B2020" s="1142">
        <v>250</v>
      </c>
      <c r="C2020" s="1143">
        <v>17.28</v>
      </c>
      <c r="D2020" s="1143">
        <f t="shared" si="407"/>
        <v>4320</v>
      </c>
      <c r="E2020" s="1544">
        <f t="shared" si="406"/>
        <v>2.7959547888161736E-2</v>
      </c>
      <c r="F2020" s="1486">
        <f t="shared" si="408"/>
        <v>2.3161210334081691E-2</v>
      </c>
      <c r="G2020" s="1494" t="s">
        <v>228</v>
      </c>
      <c r="H2020" s="1593" t="s">
        <v>350</v>
      </c>
      <c r="I2020" s="1591">
        <v>19.59</v>
      </c>
      <c r="J2020" s="3054" t="s">
        <v>390</v>
      </c>
      <c r="K2020" s="3054"/>
      <c r="L2020" s="3054"/>
      <c r="M2020" s="1489" t="str">
        <f t="shared" si="409"/>
        <v>AVTR</v>
      </c>
      <c r="P2020" s="1200"/>
      <c r="Q2020" s="1529">
        <f t="shared" ref="Q2020:Q2026" si="413">B2020*RIGHT(J2020,6)</f>
        <v>3030</v>
      </c>
      <c r="R2020" s="1495">
        <f t="shared" si="410"/>
        <v>4320</v>
      </c>
      <c r="S2020" s="1510">
        <f t="shared" si="411"/>
        <v>1290</v>
      </c>
      <c r="T2020" s="1530">
        <f t="shared" si="412"/>
        <v>0.42574257425742573</v>
      </c>
    </row>
    <row r="2021" spans="1:21" hidden="1" outlineLevel="1" x14ac:dyDescent="0.35">
      <c r="A2021" s="1346" t="s">
        <v>403</v>
      </c>
      <c r="B2021" s="1347">
        <v>200</v>
      </c>
      <c r="C2021" s="1348">
        <v>136.13</v>
      </c>
      <c r="D2021" s="1348">
        <f t="shared" si="407"/>
        <v>27226</v>
      </c>
      <c r="E2021" s="1544">
        <f t="shared" si="406"/>
        <v>5.5516786849654935E-2</v>
      </c>
      <c r="F2021" s="1486">
        <f t="shared" si="408"/>
        <v>0.14596923901752504</v>
      </c>
      <c r="G2021" s="1494" t="s">
        <v>228</v>
      </c>
      <c r="H2021" s="1593" t="s">
        <v>216</v>
      </c>
      <c r="I2021" s="1591">
        <v>134.51</v>
      </c>
      <c r="J2021" s="3054" t="s">
        <v>404</v>
      </c>
      <c r="K2021" s="3054"/>
      <c r="L2021" s="3054"/>
      <c r="M2021" s="1489" t="str">
        <f t="shared" si="409"/>
        <v>ALNY</v>
      </c>
      <c r="P2021" s="1200"/>
      <c r="Q2021" s="1529">
        <f t="shared" si="413"/>
        <v>19448</v>
      </c>
      <c r="R2021" s="1495">
        <f t="shared" si="410"/>
        <v>27226</v>
      </c>
      <c r="S2021" s="1510">
        <f t="shared" si="411"/>
        <v>7778</v>
      </c>
      <c r="T2021" s="1530">
        <f t="shared" si="412"/>
        <v>0.39993829699712052</v>
      </c>
    </row>
    <row r="2022" spans="1:21" hidden="1" outlineLevel="1" x14ac:dyDescent="0.35">
      <c r="A2022" s="7" t="s">
        <v>417</v>
      </c>
      <c r="B2022" s="1142">
        <v>110</v>
      </c>
      <c r="C2022" s="1143">
        <v>192.34</v>
      </c>
      <c r="D2022" s="1143">
        <f t="shared" si="407"/>
        <v>21157.4</v>
      </c>
      <c r="E2022" s="1544">
        <f t="shared" si="406"/>
        <v>2.4174653887114064E-2</v>
      </c>
      <c r="F2022" s="1486">
        <f t="shared" si="408"/>
        <v>0.1134330998894213</v>
      </c>
      <c r="G2022" s="1494">
        <v>68</v>
      </c>
      <c r="H2022" s="1593" t="s">
        <v>145</v>
      </c>
      <c r="I2022" s="1591">
        <v>176.9</v>
      </c>
      <c r="J2022" s="3054" t="s">
        <v>418</v>
      </c>
      <c r="K2022" s="3054"/>
      <c r="L2022" s="3054"/>
      <c r="M2022" s="1489" t="str">
        <f t="shared" si="409"/>
        <v xml:space="preserve">VEEV </v>
      </c>
      <c r="P2022" s="1200"/>
      <c r="Q2022" s="1529">
        <f t="shared" si="413"/>
        <v>14361.6</v>
      </c>
      <c r="R2022" s="1495">
        <f t="shared" si="410"/>
        <v>21157.4</v>
      </c>
      <c r="S2022" s="1510">
        <f t="shared" si="411"/>
        <v>6795.8000000000011</v>
      </c>
      <c r="T2022" s="1530">
        <f t="shared" si="412"/>
        <v>0.47319240196078438</v>
      </c>
    </row>
    <row r="2023" spans="1:21" hidden="1" outlineLevel="1" x14ac:dyDescent="0.35">
      <c r="A2023" s="1346" t="s">
        <v>96</v>
      </c>
      <c r="B2023" s="1347">
        <v>100</v>
      </c>
      <c r="C2023" s="1348">
        <v>537.77</v>
      </c>
      <c r="D2023" s="1348">
        <f t="shared" si="407"/>
        <v>53777</v>
      </c>
      <c r="E2023" s="1544">
        <f t="shared" si="406"/>
        <v>7.7997835063945725E-2</v>
      </c>
      <c r="F2023" s="1486">
        <f t="shared" si="408"/>
        <v>0.28831953892034978</v>
      </c>
      <c r="G2023" s="1494">
        <v>40</v>
      </c>
      <c r="H2023" s="1593" t="s">
        <v>350</v>
      </c>
      <c r="I2023" s="1591">
        <v>619</v>
      </c>
      <c r="J2023" s="3054" t="s">
        <v>407</v>
      </c>
      <c r="K2023" s="3054"/>
      <c r="L2023" s="3054"/>
      <c r="M2023" s="1489" t="str">
        <f t="shared" si="409"/>
        <v>ISRG</v>
      </c>
      <c r="P2023" s="1200"/>
      <c r="Q2023" s="1529">
        <f t="shared" si="413"/>
        <v>56436</v>
      </c>
      <c r="R2023" s="1495">
        <f t="shared" si="410"/>
        <v>53777</v>
      </c>
      <c r="S2023" s="1492">
        <f t="shared" si="411"/>
        <v>-2659</v>
      </c>
      <c r="T2023" s="1493">
        <f t="shared" si="412"/>
        <v>-4.711531646466794E-2</v>
      </c>
    </row>
    <row r="2024" spans="1:21" hidden="1" outlineLevel="1" x14ac:dyDescent="0.35">
      <c r="A2024" s="7" t="s">
        <v>391</v>
      </c>
      <c r="B2024" s="1142">
        <v>100.239</v>
      </c>
      <c r="C2024" s="1143">
        <v>310.13</v>
      </c>
      <c r="D2024" s="1143">
        <f t="shared" si="407"/>
        <v>31087.121070000001</v>
      </c>
      <c r="E2024" s="1544">
        <f t="shared" si="406"/>
        <v>7.2854325941813194E-2</v>
      </c>
      <c r="F2024" s="1486">
        <f t="shared" si="408"/>
        <v>0.16667021985725294</v>
      </c>
      <c r="G2024" s="1494">
        <v>22</v>
      </c>
      <c r="H2024" s="1593" t="s">
        <v>145</v>
      </c>
      <c r="I2024" s="1591">
        <v>327.85</v>
      </c>
      <c r="J2024" s="3054" t="s">
        <v>408</v>
      </c>
      <c r="K2024" s="3054"/>
      <c r="L2024" s="3054"/>
      <c r="M2024" s="1489" t="str">
        <f t="shared" si="409"/>
        <v>APPL</v>
      </c>
      <c r="P2024" s="1200"/>
      <c r="Q2024" s="1508">
        <f t="shared" si="413"/>
        <v>31226.453279999998</v>
      </c>
      <c r="R2024" s="1491">
        <f t="shared" si="410"/>
        <v>31087.121070000001</v>
      </c>
      <c r="S2024" s="1492">
        <f t="shared" si="411"/>
        <v>-139.33220999999685</v>
      </c>
      <c r="T2024" s="1493">
        <f t="shared" si="412"/>
        <v>-4.4619928094503363E-3</v>
      </c>
    </row>
    <row r="2025" spans="1:21" hidden="1" outlineLevel="1" x14ac:dyDescent="0.35">
      <c r="A2025" s="1346" t="s">
        <v>394</v>
      </c>
      <c r="B2025" s="1347">
        <v>95</v>
      </c>
      <c r="C2025" s="1348">
        <v>657.42</v>
      </c>
      <c r="D2025" s="1348">
        <f t="shared" si="407"/>
        <v>62454.899999999994</v>
      </c>
      <c r="E2025" s="1544">
        <f t="shared" si="406"/>
        <v>5.5909799071650092E-2</v>
      </c>
      <c r="F2025" s="1486">
        <f t="shared" si="408"/>
        <v>0.33484515631806444</v>
      </c>
      <c r="G2025" s="1494">
        <v>77</v>
      </c>
      <c r="H2025" s="1593" t="s">
        <v>216</v>
      </c>
      <c r="I2025" s="1591">
        <v>746.7</v>
      </c>
      <c r="J2025" s="3054" t="s">
        <v>409</v>
      </c>
      <c r="K2025" s="3054"/>
      <c r="L2025" s="3054"/>
      <c r="M2025" s="1489" t="str">
        <f t="shared" si="409"/>
        <v>CSGP</v>
      </c>
      <c r="P2025" s="1200"/>
      <c r="Q2025" s="1529">
        <f t="shared" si="413"/>
        <v>61923.850000000006</v>
      </c>
      <c r="R2025" s="1495">
        <f t="shared" si="410"/>
        <v>62454.899999999994</v>
      </c>
      <c r="S2025" s="1510">
        <f t="shared" si="411"/>
        <v>531.04999999998836</v>
      </c>
      <c r="T2025" s="1530">
        <f t="shared" si="412"/>
        <v>8.5758556678886787E-3</v>
      </c>
    </row>
    <row r="2026" spans="1:21" ht="16" hidden="1" outlineLevel="1" thickBot="1" x14ac:dyDescent="0.4">
      <c r="A2026" s="7" t="s">
        <v>137</v>
      </c>
      <c r="B2026" s="1142">
        <v>90</v>
      </c>
      <c r="C2026" s="1143">
        <v>187.07</v>
      </c>
      <c r="D2026" s="1143">
        <f t="shared" si="407"/>
        <v>16836.3</v>
      </c>
      <c r="E2026" s="1544">
        <f t="shared" si="406"/>
        <v>1.9510600032699242E-2</v>
      </c>
      <c r="F2026" s="1486">
        <f t="shared" si="408"/>
        <v>9.026599202493045E-2</v>
      </c>
      <c r="G2026" s="1494">
        <v>23</v>
      </c>
      <c r="H2026" s="1593" t="s">
        <v>145</v>
      </c>
      <c r="I2026" s="1631">
        <v>322.14</v>
      </c>
      <c r="J2026" s="3054" t="s">
        <v>419</v>
      </c>
      <c r="K2026" s="3054"/>
      <c r="L2026" s="3054"/>
      <c r="M2026" s="1489" t="str">
        <f t="shared" si="409"/>
        <v>ABMD</v>
      </c>
      <c r="P2026" s="1632"/>
      <c r="Q2026" s="1529">
        <f t="shared" si="413"/>
        <v>12378.599999999999</v>
      </c>
      <c r="R2026" s="1495">
        <f t="shared" si="410"/>
        <v>16836.3</v>
      </c>
      <c r="S2026" s="1510">
        <f t="shared" si="411"/>
        <v>4457.7000000000007</v>
      </c>
      <c r="T2026" s="1648">
        <f t="shared" si="412"/>
        <v>0.36011342155009463</v>
      </c>
      <c r="U2026" s="1639">
        <f>AVERAGE(T2019:T2026)</f>
        <v>0.24436042559565074</v>
      </c>
    </row>
    <row r="2027" spans="1:21" ht="16" hidden="1" outlineLevel="1" thickBot="1" x14ac:dyDescent="0.4">
      <c r="A2027" s="1346" t="s">
        <v>7</v>
      </c>
      <c r="B2027" s="1347"/>
      <c r="C2027" s="1348"/>
      <c r="D2027" s="1348">
        <v>1822.27</v>
      </c>
      <c r="E2027" s="32"/>
      <c r="F2027" s="1499">
        <f>D2027/D$1601</f>
        <v>6.3364286246051565E-3</v>
      </c>
      <c r="G2027" s="1418"/>
      <c r="H2027" s="1500"/>
      <c r="I2027" s="1501"/>
      <c r="J2027" s="1633"/>
      <c r="K2027" s="1634"/>
      <c r="L2027" s="1634"/>
      <c r="R2027" s="1532">
        <f>SUM(R2019:R2025)</f>
        <v>204914.62106999999</v>
      </c>
      <c r="S2027" s="1532">
        <f>SUM(S2019:S2025)</f>
        <v>14834.81778999999</v>
      </c>
      <c r="T2027" s="1617">
        <f>AVERAGE(T2019:T2026)</f>
        <v>0.24436042559565074</v>
      </c>
    </row>
    <row r="2028" spans="1:21" ht="16" hidden="1" outlineLevel="1" thickBot="1" x14ac:dyDescent="0.4">
      <c r="A2028" s="7" t="s">
        <v>60</v>
      </c>
      <c r="B2028" s="1142"/>
      <c r="C2028" s="1143"/>
      <c r="D2028" s="1143">
        <f>8.57+9.95+119.43</f>
        <v>137.95000000000002</v>
      </c>
      <c r="E2028" s="32"/>
      <c r="F2028" s="1503">
        <f>D2028/D$1554</f>
        <v>4.5476547238561537E-4</v>
      </c>
      <c r="G2028" s="1504"/>
      <c r="H2028" s="1505"/>
      <c r="I2028" s="1290">
        <f>SUM(I2027:I2027)</f>
        <v>0</v>
      </c>
      <c r="J2028" s="1468"/>
      <c r="K2028" s="1151"/>
      <c r="L2028" s="1151"/>
      <c r="R2028" s="1470" t="str">
        <f>IF(SUM(D2019:D2025)&lt;&gt;R2027,"Out of Balance","Balances")</f>
        <v>Balances</v>
      </c>
    </row>
    <row r="2029" spans="1:21" ht="19" hidden="1" outlineLevel="1" thickBot="1" x14ac:dyDescent="0.5">
      <c r="A2029" s="726" t="s">
        <v>62</v>
      </c>
      <c r="B2029" s="583"/>
      <c r="C2029" s="584"/>
      <c r="D2029" s="1649">
        <f>SUM(D2019:D2028)</f>
        <v>223711.14106999998</v>
      </c>
      <c r="E2029" s="1538">
        <f>D2029-D2014</f>
        <v>12348.743339999986</v>
      </c>
      <c r="F2029" s="1545">
        <f>(D2029-D2014)/D2014</f>
        <v>5.8424504418116051E-2</v>
      </c>
    </row>
    <row r="2030" spans="1:21" hidden="1" outlineLevel="1" x14ac:dyDescent="0.35"/>
    <row r="2031" spans="1:21" ht="16" hidden="1" outlineLevel="1" thickBot="1" x14ac:dyDescent="0.4">
      <c r="A2031" s="1619" t="s">
        <v>25</v>
      </c>
      <c r="B2031" s="1620" t="s">
        <v>26</v>
      </c>
      <c r="C2031" s="1621" t="s">
        <v>27</v>
      </c>
      <c r="D2031" s="1622">
        <f>D2016+7</f>
        <v>43966</v>
      </c>
      <c r="E2031" s="1623" t="s">
        <v>28</v>
      </c>
      <c r="F2031" s="3082" t="s">
        <v>410</v>
      </c>
      <c r="G2031" s="3083"/>
      <c r="H2031" s="3096"/>
      <c r="I2031" s="1600"/>
      <c r="J2031" s="1577" t="s">
        <v>233</v>
      </c>
    </row>
    <row r="2032" spans="1:21" ht="16" hidden="1" outlineLevel="1" thickBot="1" x14ac:dyDescent="0.4">
      <c r="A2032" s="1584" t="s">
        <v>32</v>
      </c>
      <c r="B2032" s="1585" t="str">
        <f ca="1">TEXT(TODAY(),"ddd")</f>
        <v>Sun</v>
      </c>
      <c r="C2032" s="1586">
        <v>23685</v>
      </c>
      <c r="D2032" s="1587">
        <f>C2032-C2017</f>
        <v>-646</v>
      </c>
      <c r="E2032" s="1637">
        <f t="shared" ref="E2032:E2041" si="414">(C2032-C2017)/C2017</f>
        <v>-2.6550491142986313E-2</v>
      </c>
      <c r="F2032" s="3097"/>
      <c r="G2032" s="3085"/>
      <c r="H2032" s="3086"/>
      <c r="I2032" s="1602"/>
      <c r="J2032" s="1188" t="s">
        <v>234</v>
      </c>
      <c r="K2032" s="1220" t="s">
        <v>34</v>
      </c>
      <c r="L2032" s="111" t="s">
        <v>35</v>
      </c>
    </row>
    <row r="2033" spans="1:20" hidden="1" outlineLevel="1" x14ac:dyDescent="0.35">
      <c r="A2033" s="709" t="s">
        <v>36</v>
      </c>
      <c r="B2033" s="263"/>
      <c r="C2033" s="419">
        <v>9014</v>
      </c>
      <c r="D2033" s="1516">
        <f>C2033-C2018</f>
        <v>-107</v>
      </c>
      <c r="E2033" s="32">
        <f t="shared" si="414"/>
        <v>-1.1731169827869752E-2</v>
      </c>
      <c r="F2033" s="1517" t="s">
        <v>37</v>
      </c>
      <c r="G2033" s="1603" t="s">
        <v>38</v>
      </c>
      <c r="H2033" s="1604" t="s">
        <v>144</v>
      </c>
      <c r="I2033" s="1591" t="s">
        <v>400</v>
      </c>
      <c r="J2033" s="3033" t="s">
        <v>42</v>
      </c>
      <c r="K2033" s="3034"/>
      <c r="L2033" s="3034"/>
      <c r="M2033" s="1199" t="s">
        <v>244</v>
      </c>
      <c r="P2033" s="1200" t="s">
        <v>44</v>
      </c>
      <c r="Q2033" s="1479" t="s">
        <v>45</v>
      </c>
      <c r="R2033" s="1479" t="s">
        <v>46</v>
      </c>
      <c r="S2033" s="1479" t="s">
        <v>47</v>
      </c>
      <c r="T2033" s="1485" t="s">
        <v>48</v>
      </c>
    </row>
    <row r="2034" spans="1:20" hidden="1" outlineLevel="1" x14ac:dyDescent="0.35">
      <c r="A2034" s="1346" t="s">
        <v>389</v>
      </c>
      <c r="B2034" s="1347">
        <v>610</v>
      </c>
      <c r="C2034" s="1348">
        <v>6.86</v>
      </c>
      <c r="D2034" s="1348">
        <f t="shared" ref="D2034:D2041" si="415">C2034*B2034</f>
        <v>4184.6000000000004</v>
      </c>
      <c r="E2034" s="1544">
        <f t="shared" si="414"/>
        <v>-0.14463840399002484</v>
      </c>
      <c r="F2034" s="1486">
        <f t="shared" ref="F2034:F2041" si="416">D2034/D$1896</f>
        <v>2.2435277954629226E-2</v>
      </c>
      <c r="G2034" s="1494" t="s">
        <v>228</v>
      </c>
      <c r="H2034" s="1593"/>
      <c r="I2034" s="1591">
        <v>21.1</v>
      </c>
      <c r="J2034" s="3054" t="s">
        <v>416</v>
      </c>
      <c r="K2034" s="3054"/>
      <c r="L2034" s="3054"/>
      <c r="M2034" s="1489" t="str">
        <f t="shared" ref="M2034:M2041" si="417">A2034</f>
        <v>SDC</v>
      </c>
      <c r="P2034" s="1200"/>
      <c r="Q2034" s="1529">
        <f>B2034*RIGHT(J2034,4)</f>
        <v>3653.9</v>
      </c>
      <c r="R2034" s="1495">
        <f t="shared" ref="R2034:R2041" si="418">D2034</f>
        <v>4184.6000000000004</v>
      </c>
      <c r="S2034" s="1510">
        <f t="shared" ref="S2034:S2041" si="419">R2034-Q2034</f>
        <v>530.70000000000027</v>
      </c>
      <c r="T2034" s="1530">
        <f t="shared" ref="T2034:T2041" si="420">(R2034-Q2034)/Q2034</f>
        <v>0.14524207011686149</v>
      </c>
    </row>
    <row r="2035" spans="1:20" hidden="1" outlineLevel="1" x14ac:dyDescent="0.35">
      <c r="A2035" s="7" t="s">
        <v>402</v>
      </c>
      <c r="B2035" s="1142">
        <v>250</v>
      </c>
      <c r="C2035" s="1143">
        <v>17.86</v>
      </c>
      <c r="D2035" s="1143">
        <f t="shared" si="415"/>
        <v>4465</v>
      </c>
      <c r="E2035" s="1544">
        <f t="shared" si="414"/>
        <v>3.3564814814814714E-2</v>
      </c>
      <c r="F2035" s="1486">
        <f t="shared" si="416"/>
        <v>2.3938612069832117E-2</v>
      </c>
      <c r="G2035" s="1494" t="s">
        <v>228</v>
      </c>
      <c r="H2035" s="1593" t="s">
        <v>350</v>
      </c>
      <c r="I2035" s="1591">
        <v>19.59</v>
      </c>
      <c r="J2035" s="3054" t="s">
        <v>390</v>
      </c>
      <c r="K2035" s="3054"/>
      <c r="L2035" s="3054"/>
      <c r="M2035" s="1489" t="str">
        <f t="shared" si="417"/>
        <v>AVTR</v>
      </c>
      <c r="P2035" s="1200"/>
      <c r="Q2035" s="1529">
        <f t="shared" ref="Q2035:Q2041" si="421">B2035*RIGHT(J2035,6)</f>
        <v>3030</v>
      </c>
      <c r="R2035" s="1495">
        <f t="shared" si="418"/>
        <v>4465</v>
      </c>
      <c r="S2035" s="1510">
        <f t="shared" si="419"/>
        <v>1435</v>
      </c>
      <c r="T2035" s="1530">
        <f t="shared" si="420"/>
        <v>0.47359735973597361</v>
      </c>
    </row>
    <row r="2036" spans="1:20" hidden="1" outlineLevel="1" x14ac:dyDescent="0.35">
      <c r="A2036" s="1346" t="s">
        <v>403</v>
      </c>
      <c r="B2036" s="1347">
        <v>200</v>
      </c>
      <c r="C2036" s="1348">
        <v>139.28</v>
      </c>
      <c r="D2036" s="1348">
        <f t="shared" si="415"/>
        <v>27856</v>
      </c>
      <c r="E2036" s="1544">
        <f t="shared" si="414"/>
        <v>2.3139645926687769E-2</v>
      </c>
      <c r="F2036" s="1486">
        <f t="shared" si="416"/>
        <v>0.1493469155245786</v>
      </c>
      <c r="G2036" s="1494" t="s">
        <v>228</v>
      </c>
      <c r="H2036" s="1593" t="s">
        <v>216</v>
      </c>
      <c r="I2036" s="1591">
        <v>134.51</v>
      </c>
      <c r="J2036" s="3054" t="s">
        <v>404</v>
      </c>
      <c r="K2036" s="3054"/>
      <c r="L2036" s="3054"/>
      <c r="M2036" s="1489" t="str">
        <f t="shared" si="417"/>
        <v>ALNY</v>
      </c>
      <c r="P2036" s="1200"/>
      <c r="Q2036" s="1529">
        <f t="shared" si="421"/>
        <v>19448</v>
      </c>
      <c r="R2036" s="1495">
        <f t="shared" si="418"/>
        <v>27856</v>
      </c>
      <c r="S2036" s="1510">
        <f t="shared" si="419"/>
        <v>8408</v>
      </c>
      <c r="T2036" s="1530">
        <f t="shared" si="420"/>
        <v>0.43233237350884407</v>
      </c>
    </row>
    <row r="2037" spans="1:20" hidden="1" outlineLevel="1" x14ac:dyDescent="0.35">
      <c r="A2037" s="7" t="s">
        <v>417</v>
      </c>
      <c r="B2037" s="1142">
        <v>110</v>
      </c>
      <c r="C2037" s="1143">
        <v>200.43</v>
      </c>
      <c r="D2037" s="1143">
        <f t="shared" si="415"/>
        <v>22047.3</v>
      </c>
      <c r="E2037" s="1544">
        <f t="shared" si="414"/>
        <v>4.2060933763127813E-2</v>
      </c>
      <c r="F2037" s="1486">
        <f t="shared" si="416"/>
        <v>0.11820420199041649</v>
      </c>
      <c r="G2037" s="1494">
        <v>68</v>
      </c>
      <c r="H2037" s="1593" t="s">
        <v>145</v>
      </c>
      <c r="I2037" s="1591">
        <v>176.9</v>
      </c>
      <c r="J2037" s="3054" t="s">
        <v>418</v>
      </c>
      <c r="K2037" s="3054"/>
      <c r="L2037" s="3054"/>
      <c r="M2037" s="1489" t="str">
        <f t="shared" si="417"/>
        <v xml:space="preserve">VEEV </v>
      </c>
      <c r="P2037" s="1200"/>
      <c r="Q2037" s="1529">
        <f t="shared" si="421"/>
        <v>14361.6</v>
      </c>
      <c r="R2037" s="1495">
        <f t="shared" si="418"/>
        <v>22047.3</v>
      </c>
      <c r="S2037" s="1510">
        <f t="shared" si="419"/>
        <v>7685.6999999999989</v>
      </c>
      <c r="T2037" s="1530">
        <f t="shared" si="420"/>
        <v>0.53515624999999989</v>
      </c>
    </row>
    <row r="2038" spans="1:20" hidden="1" outlineLevel="1" x14ac:dyDescent="0.35">
      <c r="A2038" s="1346" t="s">
        <v>96</v>
      </c>
      <c r="B2038" s="1347">
        <v>100</v>
      </c>
      <c r="C2038" s="1348">
        <v>520.41</v>
      </c>
      <c r="D2038" s="1348">
        <f t="shared" si="415"/>
        <v>52041</v>
      </c>
      <c r="E2038" s="1540">
        <f t="shared" si="414"/>
        <v>-3.2281458616137036E-2</v>
      </c>
      <c r="F2038" s="1486">
        <f t="shared" si="416"/>
        <v>0.2790121636564688</v>
      </c>
      <c r="G2038" s="1494">
        <v>40</v>
      </c>
      <c r="H2038" s="1593" t="s">
        <v>350</v>
      </c>
      <c r="I2038" s="1591">
        <v>619</v>
      </c>
      <c r="J2038" s="3054" t="s">
        <v>407</v>
      </c>
      <c r="K2038" s="3054"/>
      <c r="L2038" s="3054"/>
      <c r="M2038" s="1489" t="str">
        <f t="shared" si="417"/>
        <v>ISRG</v>
      </c>
      <c r="P2038" s="1200"/>
      <c r="Q2038" s="1529">
        <f t="shared" si="421"/>
        <v>56436</v>
      </c>
      <c r="R2038" s="1495">
        <f t="shared" si="418"/>
        <v>52041</v>
      </c>
      <c r="S2038" s="1492">
        <f t="shared" si="419"/>
        <v>-4395</v>
      </c>
      <c r="T2038" s="1493">
        <f t="shared" si="420"/>
        <v>-7.7875823942164579E-2</v>
      </c>
    </row>
    <row r="2039" spans="1:20" hidden="1" outlineLevel="1" x14ac:dyDescent="0.35">
      <c r="A2039" s="7" t="s">
        <v>391</v>
      </c>
      <c r="B2039" s="1142">
        <v>100.498</v>
      </c>
      <c r="C2039" s="1143">
        <v>307.70999999999998</v>
      </c>
      <c r="D2039" s="1143">
        <f t="shared" si="415"/>
        <v>30924.239579999998</v>
      </c>
      <c r="E2039" s="1544">
        <f t="shared" si="414"/>
        <v>-7.8031793119015119E-3</v>
      </c>
      <c r="F2039" s="1486">
        <f t="shared" si="416"/>
        <v>0.16579694845692453</v>
      </c>
      <c r="G2039" s="1494">
        <v>22</v>
      </c>
      <c r="H2039" s="1593" t="s">
        <v>145</v>
      </c>
      <c r="I2039" s="1591">
        <v>327.85</v>
      </c>
      <c r="J2039" s="3054" t="s">
        <v>408</v>
      </c>
      <c r="K2039" s="3054"/>
      <c r="L2039" s="3054"/>
      <c r="M2039" s="1489" t="str">
        <f t="shared" si="417"/>
        <v>APPL</v>
      </c>
      <c r="P2039" s="1200"/>
      <c r="Q2039" s="1508">
        <f t="shared" si="421"/>
        <v>31307.13696</v>
      </c>
      <c r="R2039" s="1491">
        <f t="shared" si="418"/>
        <v>30924.239579999998</v>
      </c>
      <c r="S2039" s="1492">
        <f t="shared" si="419"/>
        <v>-382.89738000000216</v>
      </c>
      <c r="T2039" s="1493">
        <f t="shared" si="420"/>
        <v>-1.223035439137141E-2</v>
      </c>
    </row>
    <row r="2040" spans="1:20" hidden="1" outlineLevel="1" x14ac:dyDescent="0.35">
      <c r="A2040" s="1346" t="s">
        <v>394</v>
      </c>
      <c r="B2040" s="1347">
        <v>95</v>
      </c>
      <c r="C2040" s="1348">
        <v>649.16999999999996</v>
      </c>
      <c r="D2040" s="1348">
        <f t="shared" si="415"/>
        <v>61671.149999999994</v>
      </c>
      <c r="E2040" s="1544">
        <f t="shared" si="414"/>
        <v>-1.2549055398375468E-2</v>
      </c>
      <c r="F2040" s="1486">
        <f t="shared" si="416"/>
        <v>0.33064316590155135</v>
      </c>
      <c r="G2040" s="1494">
        <v>77</v>
      </c>
      <c r="H2040" s="1593" t="s">
        <v>216</v>
      </c>
      <c r="I2040" s="1591">
        <v>746.7</v>
      </c>
      <c r="J2040" s="3054" t="s">
        <v>409</v>
      </c>
      <c r="K2040" s="3054"/>
      <c r="L2040" s="3054"/>
      <c r="M2040" s="1489" t="str">
        <f t="shared" si="417"/>
        <v>CSGP</v>
      </c>
      <c r="P2040" s="1200"/>
      <c r="Q2040" s="1529">
        <f t="shared" si="421"/>
        <v>61923.850000000006</v>
      </c>
      <c r="R2040" s="1495">
        <f t="shared" si="418"/>
        <v>61671.149999999994</v>
      </c>
      <c r="S2040" s="1492">
        <f t="shared" si="419"/>
        <v>-252.70000000001164</v>
      </c>
      <c r="T2040" s="1493">
        <f t="shared" si="420"/>
        <v>-4.0808186183515982E-3</v>
      </c>
    </row>
    <row r="2041" spans="1:20" hidden="1" outlineLevel="1" x14ac:dyDescent="0.35">
      <c r="A2041" s="7" t="s">
        <v>137</v>
      </c>
      <c r="B2041" s="1142">
        <v>90</v>
      </c>
      <c r="C2041" s="1143">
        <v>184.92</v>
      </c>
      <c r="D2041" s="1143">
        <f t="shared" si="415"/>
        <v>16642.8</v>
      </c>
      <c r="E2041" s="1544">
        <f t="shared" si="414"/>
        <v>-1.149302400171062E-2</v>
      </c>
      <c r="F2041" s="1486">
        <f t="shared" si="416"/>
        <v>8.9228562812049703E-2</v>
      </c>
      <c r="G2041" s="1494">
        <v>23</v>
      </c>
      <c r="H2041" s="1593" t="s">
        <v>145</v>
      </c>
      <c r="I2041" s="1631">
        <v>322.14</v>
      </c>
      <c r="J2041" s="3054" t="s">
        <v>419</v>
      </c>
      <c r="K2041" s="3054"/>
      <c r="L2041" s="3054"/>
      <c r="M2041" s="1489" t="str">
        <f t="shared" si="417"/>
        <v>ABMD</v>
      </c>
      <c r="P2041" s="1632"/>
      <c r="Q2041" s="1529">
        <f t="shared" si="421"/>
        <v>12378.599999999999</v>
      </c>
      <c r="R2041" s="1495">
        <f t="shared" si="418"/>
        <v>16642.8</v>
      </c>
      <c r="S2041" s="1510">
        <f t="shared" si="419"/>
        <v>4264.2000000000007</v>
      </c>
      <c r="T2041" s="1530">
        <f t="shared" si="420"/>
        <v>0.34448160535117067</v>
      </c>
    </row>
    <row r="2042" spans="1:20" ht="16" hidden="1" outlineLevel="1" thickBot="1" x14ac:dyDescent="0.4">
      <c r="A2042" s="1346" t="s">
        <v>7</v>
      </c>
      <c r="B2042" s="1347"/>
      <c r="C2042" s="1348"/>
      <c r="D2042" s="1348">
        <v>1794.7</v>
      </c>
      <c r="E2042" s="32"/>
      <c r="F2042" s="1499">
        <f>D2042/D$1601</f>
        <v>6.2405617458328759E-3</v>
      </c>
      <c r="G2042" s="1418"/>
      <c r="H2042" s="1500"/>
      <c r="I2042" s="1501"/>
      <c r="J2042" s="1633"/>
      <c r="K2042" s="1634"/>
      <c r="L2042" s="1634"/>
      <c r="R2042" s="1532">
        <f>SUM(R2034:R2040)</f>
        <v>203189.28957999998</v>
      </c>
      <c r="S2042" s="1532">
        <f>SUM(S2034:S2040)</f>
        <v>13028.802619999988</v>
      </c>
      <c r="T2042" s="1617">
        <f>AVERAGE(T2034:T2041)</f>
        <v>0.22957783272012028</v>
      </c>
    </row>
    <row r="2043" spans="1:20" ht="16" hidden="1" outlineLevel="1" thickBot="1" x14ac:dyDescent="0.4">
      <c r="A2043" s="7" t="s">
        <v>60</v>
      </c>
      <c r="B2043" s="1142"/>
      <c r="C2043" s="1143"/>
      <c r="D2043" s="1143">
        <f>8.57+9.95+119.43</f>
        <v>137.95000000000002</v>
      </c>
      <c r="E2043" s="32"/>
      <c r="F2043" s="1503">
        <f>D2043/D$1554</f>
        <v>4.5476547238561537E-4</v>
      </c>
      <c r="G2043" s="1504"/>
      <c r="H2043" s="1505"/>
      <c r="I2043" s="1290">
        <f>SUM(I2042:I2042)</f>
        <v>0</v>
      </c>
      <c r="J2043" s="1468"/>
      <c r="K2043" s="1151"/>
      <c r="L2043" s="1151"/>
      <c r="R2043" s="1470" t="str">
        <f>IF(SUM(D2034:D2040)&lt;&gt;R2042,"Out of Balance","Balances")</f>
        <v>Balances</v>
      </c>
    </row>
    <row r="2044" spans="1:20" ht="19" hidden="1" outlineLevel="1" thickBot="1" x14ac:dyDescent="0.5">
      <c r="A2044" s="1650" t="s">
        <v>62</v>
      </c>
      <c r="B2044" s="583"/>
      <c r="C2044" s="584"/>
      <c r="D2044" s="1541">
        <f>SUM(D2034:D2043)</f>
        <v>221764.73957999999</v>
      </c>
      <c r="E2044" s="73">
        <f>D2044-D2029</f>
        <v>-1946.4014899999893</v>
      </c>
      <c r="F2044" s="1537">
        <f>(D2044-D2029)/D2029</f>
        <v>-8.7005121009639547E-3</v>
      </c>
    </row>
    <row r="2045" spans="1:20" hidden="1" outlineLevel="1" x14ac:dyDescent="0.35"/>
    <row r="2046" spans="1:20" ht="16" hidden="1" outlineLevel="1" thickBot="1" x14ac:dyDescent="0.4">
      <c r="A2046" s="1619" t="s">
        <v>25</v>
      </c>
      <c r="B2046" s="1620" t="s">
        <v>26</v>
      </c>
      <c r="C2046" s="1621" t="s">
        <v>27</v>
      </c>
      <c r="D2046" s="1622">
        <f>D2031+7</f>
        <v>43973</v>
      </c>
      <c r="E2046" s="1623" t="s">
        <v>28</v>
      </c>
      <c r="F2046" s="3082" t="s">
        <v>410</v>
      </c>
      <c r="G2046" s="3083"/>
      <c r="H2046" s="3096"/>
      <c r="I2046" s="1600"/>
      <c r="J2046" s="1577" t="s">
        <v>233</v>
      </c>
    </row>
    <row r="2047" spans="1:20" ht="16" hidden="1" outlineLevel="1" thickBot="1" x14ac:dyDescent="0.4">
      <c r="A2047" s="1584" t="s">
        <v>32</v>
      </c>
      <c r="B2047" s="1585" t="str">
        <f ca="1">TEXT(TODAY(),"ddd")</f>
        <v>Sun</v>
      </c>
      <c r="C2047" s="1586">
        <v>24465</v>
      </c>
      <c r="D2047" s="1647">
        <f>C2047-C2032</f>
        <v>780</v>
      </c>
      <c r="E2047" s="1641">
        <f t="shared" ref="E2047:E2056" si="422">(C2047-C2032)/C2032</f>
        <v>3.2932235592146926E-2</v>
      </c>
      <c r="F2047" s="3097"/>
      <c r="G2047" s="3085"/>
      <c r="H2047" s="3086"/>
      <c r="I2047" s="1602"/>
      <c r="J2047" s="1188" t="s">
        <v>234</v>
      </c>
      <c r="K2047" s="1220" t="s">
        <v>34</v>
      </c>
      <c r="L2047" s="111" t="s">
        <v>35</v>
      </c>
    </row>
    <row r="2048" spans="1:20" hidden="1" outlineLevel="1" x14ac:dyDescent="0.35">
      <c r="A2048" s="709" t="s">
        <v>36</v>
      </c>
      <c r="B2048" s="263"/>
      <c r="C2048" s="419">
        <v>9324</v>
      </c>
      <c r="D2048" s="1647">
        <f>C2048-C2033</f>
        <v>310</v>
      </c>
      <c r="E2048" s="1641">
        <f t="shared" si="422"/>
        <v>3.4390947415132017E-2</v>
      </c>
      <c r="F2048" s="1517" t="s">
        <v>37</v>
      </c>
      <c r="G2048" s="1603" t="s">
        <v>38</v>
      </c>
      <c r="H2048" s="1604" t="s">
        <v>144</v>
      </c>
      <c r="I2048" s="1591" t="s">
        <v>400</v>
      </c>
      <c r="J2048" s="3033" t="s">
        <v>42</v>
      </c>
      <c r="K2048" s="3034"/>
      <c r="L2048" s="3034"/>
      <c r="M2048" s="1199" t="s">
        <v>244</v>
      </c>
      <c r="P2048" s="1200" t="s">
        <v>44</v>
      </c>
      <c r="Q2048" s="1479" t="s">
        <v>45</v>
      </c>
      <c r="R2048" s="1479" t="s">
        <v>46</v>
      </c>
      <c r="S2048" s="1479" t="s">
        <v>47</v>
      </c>
      <c r="T2048" s="1485" t="s">
        <v>48</v>
      </c>
    </row>
    <row r="2049" spans="1:20" hidden="1" outlineLevel="1" x14ac:dyDescent="0.35">
      <c r="A2049" s="1346" t="s">
        <v>389</v>
      </c>
      <c r="B2049" s="1347">
        <v>610</v>
      </c>
      <c r="C2049" s="1348">
        <v>7.6</v>
      </c>
      <c r="D2049" s="1348">
        <f t="shared" ref="D2049:D2056" si="423">C2049*B2049</f>
        <v>4636</v>
      </c>
      <c r="E2049" s="1641">
        <f t="shared" si="422"/>
        <v>0.10787172011661797</v>
      </c>
      <c r="F2049" s="1486">
        <f t="shared" ref="F2049:F2056" si="424">D2049/D$1896</f>
        <v>2.4855409978889517E-2</v>
      </c>
      <c r="G2049" s="1494" t="s">
        <v>228</v>
      </c>
      <c r="H2049" s="1593"/>
      <c r="I2049" s="1591">
        <v>21.1</v>
      </c>
      <c r="J2049" s="3054" t="s">
        <v>416</v>
      </c>
      <c r="K2049" s="3054"/>
      <c r="L2049" s="3054"/>
      <c r="M2049" s="1489" t="str">
        <f t="shared" ref="M2049:M2056" si="425">A2049</f>
        <v>SDC</v>
      </c>
      <c r="P2049" s="1200"/>
      <c r="Q2049" s="1529">
        <f>B2049*RIGHT(J2049,4)</f>
        <v>3653.9</v>
      </c>
      <c r="R2049" s="1495">
        <f t="shared" ref="R2049:R2056" si="426">D2049</f>
        <v>4636</v>
      </c>
      <c r="S2049" s="1510">
        <f t="shared" ref="S2049:S2056" si="427">R2049-Q2049</f>
        <v>982.09999999999991</v>
      </c>
      <c r="T2049" s="1530">
        <f t="shared" ref="T2049:T2056" si="428">(R2049-Q2049)/Q2049</f>
        <v>0.26878130217028379</v>
      </c>
    </row>
    <row r="2050" spans="1:20" hidden="1" outlineLevel="1" x14ac:dyDescent="0.35">
      <c r="A2050" s="7" t="s">
        <v>402</v>
      </c>
      <c r="B2050" s="1142">
        <v>250</v>
      </c>
      <c r="C2050" s="1143">
        <v>17.829999999999998</v>
      </c>
      <c r="D2050" s="1143">
        <f t="shared" si="423"/>
        <v>4457.5</v>
      </c>
      <c r="E2050" s="1641">
        <f t="shared" si="422"/>
        <v>-1.6797312430011835E-3</v>
      </c>
      <c r="F2050" s="1486">
        <f t="shared" si="424"/>
        <v>2.3898401635224338E-2</v>
      </c>
      <c r="G2050" s="1494" t="s">
        <v>228</v>
      </c>
      <c r="H2050" s="1593" t="s">
        <v>350</v>
      </c>
      <c r="I2050" s="1591">
        <v>19.59</v>
      </c>
      <c r="J2050" s="3054" t="s">
        <v>390</v>
      </c>
      <c r="K2050" s="3054"/>
      <c r="L2050" s="3054"/>
      <c r="M2050" s="1489" t="str">
        <f t="shared" si="425"/>
        <v>AVTR</v>
      </c>
      <c r="P2050" s="1200"/>
      <c r="Q2050" s="1529">
        <f t="shared" ref="Q2050:Q2056" si="429">B2050*RIGHT(J2050,6)</f>
        <v>3030</v>
      </c>
      <c r="R2050" s="1495">
        <f t="shared" si="426"/>
        <v>4457.5</v>
      </c>
      <c r="S2050" s="1510">
        <f t="shared" si="427"/>
        <v>1427.5</v>
      </c>
      <c r="T2050" s="1530">
        <f t="shared" si="428"/>
        <v>0.47112211221122113</v>
      </c>
    </row>
    <row r="2051" spans="1:20" hidden="1" outlineLevel="1" x14ac:dyDescent="0.35">
      <c r="A2051" s="1346" t="s">
        <v>403</v>
      </c>
      <c r="B2051" s="1347">
        <v>200</v>
      </c>
      <c r="C2051" s="1348">
        <v>140.52000000000001</v>
      </c>
      <c r="D2051" s="1348">
        <f t="shared" si="423"/>
        <v>28104.000000000004</v>
      </c>
      <c r="E2051" s="1641">
        <f t="shared" si="422"/>
        <v>8.9029293509477973E-3</v>
      </c>
      <c r="F2051" s="1486">
        <f t="shared" si="424"/>
        <v>0.15067654056227592</v>
      </c>
      <c r="G2051" s="1494" t="s">
        <v>228</v>
      </c>
      <c r="H2051" s="1593" t="s">
        <v>216</v>
      </c>
      <c r="I2051" s="1591">
        <v>134.51</v>
      </c>
      <c r="J2051" s="3054" t="s">
        <v>404</v>
      </c>
      <c r="K2051" s="3054"/>
      <c r="L2051" s="3054"/>
      <c r="M2051" s="1489" t="str">
        <f t="shared" si="425"/>
        <v>ALNY</v>
      </c>
      <c r="P2051" s="1200"/>
      <c r="Q2051" s="1529">
        <f t="shared" si="429"/>
        <v>19448</v>
      </c>
      <c r="R2051" s="1495">
        <f t="shared" si="426"/>
        <v>28104.000000000004</v>
      </c>
      <c r="S2051" s="1510">
        <f t="shared" si="427"/>
        <v>8656.0000000000036</v>
      </c>
      <c r="T2051" s="1530">
        <f t="shared" si="428"/>
        <v>0.44508432743726878</v>
      </c>
    </row>
    <row r="2052" spans="1:20" hidden="1" outlineLevel="1" x14ac:dyDescent="0.35">
      <c r="A2052" s="7" t="s">
        <v>417</v>
      </c>
      <c r="B2052" s="1142">
        <v>110</v>
      </c>
      <c r="C2052" s="1143">
        <v>202.96</v>
      </c>
      <c r="D2052" s="1143">
        <f t="shared" si="423"/>
        <v>22325.600000000002</v>
      </c>
      <c r="E2052" s="1641">
        <f t="shared" si="422"/>
        <v>1.2622860849174281E-2</v>
      </c>
      <c r="F2052" s="1486">
        <f t="shared" si="424"/>
        <v>0.11969627718392922</v>
      </c>
      <c r="G2052" s="1494">
        <v>68</v>
      </c>
      <c r="H2052" s="1593" t="s">
        <v>145</v>
      </c>
      <c r="I2052" s="1591">
        <v>176.9</v>
      </c>
      <c r="J2052" s="3054" t="s">
        <v>418</v>
      </c>
      <c r="K2052" s="3054"/>
      <c r="L2052" s="3054"/>
      <c r="M2052" s="1489" t="str">
        <f t="shared" si="425"/>
        <v xml:space="preserve">VEEV </v>
      </c>
      <c r="P2052" s="1200"/>
      <c r="Q2052" s="1529">
        <f t="shared" si="429"/>
        <v>14361.6</v>
      </c>
      <c r="R2052" s="1495">
        <f t="shared" si="426"/>
        <v>22325.600000000002</v>
      </c>
      <c r="S2052" s="1510">
        <f t="shared" si="427"/>
        <v>7964.0000000000018</v>
      </c>
      <c r="T2052" s="1530">
        <f t="shared" si="428"/>
        <v>0.55453431372549034</v>
      </c>
    </row>
    <row r="2053" spans="1:20" hidden="1" outlineLevel="1" x14ac:dyDescent="0.35">
      <c r="A2053" s="1346" t="s">
        <v>96</v>
      </c>
      <c r="B2053" s="1347">
        <v>100</v>
      </c>
      <c r="C2053" s="1348">
        <v>562.79999999999995</v>
      </c>
      <c r="D2053" s="1348">
        <f t="shared" si="423"/>
        <v>56279.999999999993</v>
      </c>
      <c r="E2053" s="1641">
        <f t="shared" si="422"/>
        <v>8.1455006629388343E-2</v>
      </c>
      <c r="F2053" s="1486">
        <f t="shared" si="424"/>
        <v>0.30173910129678644</v>
      </c>
      <c r="G2053" s="1494">
        <v>40</v>
      </c>
      <c r="H2053" s="1593" t="s">
        <v>350</v>
      </c>
      <c r="I2053" s="1591">
        <v>619</v>
      </c>
      <c r="J2053" s="3054" t="s">
        <v>407</v>
      </c>
      <c r="K2053" s="3054"/>
      <c r="L2053" s="3054"/>
      <c r="M2053" s="1489" t="str">
        <f t="shared" si="425"/>
        <v>ISRG</v>
      </c>
      <c r="P2053" s="1200"/>
      <c r="Q2053" s="1529">
        <f t="shared" si="429"/>
        <v>56436</v>
      </c>
      <c r="R2053" s="1495">
        <f t="shared" si="426"/>
        <v>56279.999999999993</v>
      </c>
      <c r="S2053" s="1492">
        <f t="shared" si="427"/>
        <v>-156.00000000000728</v>
      </c>
      <c r="T2053" s="1493">
        <f t="shared" si="428"/>
        <v>-2.7641930682544345E-3</v>
      </c>
    </row>
    <row r="2054" spans="1:20" hidden="1" outlineLevel="1" x14ac:dyDescent="0.35">
      <c r="A2054" s="7" t="s">
        <v>391</v>
      </c>
      <c r="B2054" s="1142">
        <v>100.498</v>
      </c>
      <c r="C2054" s="1143">
        <v>318.89</v>
      </c>
      <c r="D2054" s="1143">
        <f t="shared" si="423"/>
        <v>32047.807219999999</v>
      </c>
      <c r="E2054" s="1641">
        <f t="shared" si="422"/>
        <v>3.633291085762571E-2</v>
      </c>
      <c r="F2054" s="1486">
        <f t="shared" si="424"/>
        <v>0.17182083420567634</v>
      </c>
      <c r="G2054" s="1494">
        <v>22</v>
      </c>
      <c r="H2054" s="1593" t="s">
        <v>145</v>
      </c>
      <c r="I2054" s="1591">
        <v>327.85</v>
      </c>
      <c r="J2054" s="3054" t="s">
        <v>408</v>
      </c>
      <c r="K2054" s="3054"/>
      <c r="L2054" s="3054"/>
      <c r="M2054" s="1489" t="str">
        <f t="shared" si="425"/>
        <v>APPL</v>
      </c>
      <c r="P2054" s="1200"/>
      <c r="Q2054" s="1508">
        <f t="shared" si="429"/>
        <v>31307.13696</v>
      </c>
      <c r="R2054" s="1491">
        <f t="shared" si="426"/>
        <v>32047.807219999999</v>
      </c>
      <c r="S2054" s="1510">
        <f t="shared" si="427"/>
        <v>740.67025999999896</v>
      </c>
      <c r="T2054" s="1530">
        <f t="shared" si="428"/>
        <v>2.3658192090395446E-2</v>
      </c>
    </row>
    <row r="2055" spans="1:20" hidden="1" outlineLevel="1" x14ac:dyDescent="0.35">
      <c r="A2055" s="1346" t="s">
        <v>394</v>
      </c>
      <c r="B2055" s="1347">
        <v>95</v>
      </c>
      <c r="C2055" s="1348">
        <v>659.1</v>
      </c>
      <c r="D2055" s="1348">
        <f t="shared" si="423"/>
        <v>62614.5</v>
      </c>
      <c r="E2055" s="1641">
        <f t="shared" si="422"/>
        <v>1.5296455473912942E-2</v>
      </c>
      <c r="F2055" s="1486">
        <f t="shared" si="424"/>
        <v>0.33570083436651804</v>
      </c>
      <c r="G2055" s="1494">
        <v>77</v>
      </c>
      <c r="H2055" s="1593" t="s">
        <v>216</v>
      </c>
      <c r="I2055" s="1591">
        <v>746.7</v>
      </c>
      <c r="J2055" s="3054" t="s">
        <v>409</v>
      </c>
      <c r="K2055" s="3054"/>
      <c r="L2055" s="3054"/>
      <c r="M2055" s="1489" t="str">
        <f t="shared" si="425"/>
        <v>CSGP</v>
      </c>
      <c r="P2055" s="1200"/>
      <c r="Q2055" s="1529">
        <f t="shared" si="429"/>
        <v>61923.850000000006</v>
      </c>
      <c r="R2055" s="1495">
        <f t="shared" si="426"/>
        <v>62614.5</v>
      </c>
      <c r="S2055" s="1510">
        <f t="shared" si="427"/>
        <v>690.64999999999418</v>
      </c>
      <c r="T2055" s="1530">
        <f t="shared" si="428"/>
        <v>1.1153214795268609E-2</v>
      </c>
    </row>
    <row r="2056" spans="1:20" hidden="1" outlineLevel="1" x14ac:dyDescent="0.35">
      <c r="A2056" s="7" t="s">
        <v>137</v>
      </c>
      <c r="B2056" s="1142">
        <v>90</v>
      </c>
      <c r="C2056" s="1143">
        <v>206.16</v>
      </c>
      <c r="D2056" s="1143">
        <f t="shared" si="423"/>
        <v>18554.400000000001</v>
      </c>
      <c r="E2056" s="1641">
        <f t="shared" si="422"/>
        <v>0.11486048020765742</v>
      </c>
      <c r="F2056" s="1486">
        <f t="shared" si="424"/>
        <v>9.9477398384880872E-2</v>
      </c>
      <c r="G2056" s="1494">
        <v>23</v>
      </c>
      <c r="H2056" s="1593" t="s">
        <v>145</v>
      </c>
      <c r="I2056" s="1631">
        <v>322.14</v>
      </c>
      <c r="J2056" s="3054" t="s">
        <v>419</v>
      </c>
      <c r="K2056" s="3054"/>
      <c r="L2056" s="3054"/>
      <c r="M2056" s="1489" t="str">
        <f t="shared" si="425"/>
        <v>ABMD</v>
      </c>
      <c r="P2056" s="1632"/>
      <c r="Q2056" s="1529">
        <f t="shared" si="429"/>
        <v>12378.599999999999</v>
      </c>
      <c r="R2056" s="1495">
        <f t="shared" si="426"/>
        <v>18554.400000000001</v>
      </c>
      <c r="S2056" s="1510">
        <f t="shared" si="427"/>
        <v>6175.8000000000029</v>
      </c>
      <c r="T2056" s="1530">
        <f t="shared" si="428"/>
        <v>0.49890940817216839</v>
      </c>
    </row>
    <row r="2057" spans="1:20" ht="16" hidden="1" outlineLevel="1" thickBot="1" x14ac:dyDescent="0.4">
      <c r="A2057" s="1346" t="s">
        <v>7</v>
      </c>
      <c r="B2057" s="1347"/>
      <c r="C2057" s="1348"/>
      <c r="D2057" s="1348">
        <v>1834.3</v>
      </c>
      <c r="E2057" s="32"/>
      <c r="F2057" s="1499">
        <f>D2057/D$1601</f>
        <v>6.3782595477691224E-3</v>
      </c>
      <c r="G2057" s="1418"/>
      <c r="H2057" s="1500"/>
      <c r="I2057" s="1501"/>
      <c r="J2057" s="1633"/>
      <c r="K2057" s="1634"/>
      <c r="L2057" s="1634"/>
      <c r="R2057" s="1532">
        <f>SUM(R2049:R2055)</f>
        <v>210465.40721999999</v>
      </c>
      <c r="S2057" s="1532">
        <f>SUM(S2049:S2055)</f>
        <v>20304.920259999992</v>
      </c>
      <c r="T2057" s="1617">
        <f>AVERAGE(T2049:T2056)</f>
        <v>0.28380983469173027</v>
      </c>
    </row>
    <row r="2058" spans="1:20" ht="16" hidden="1" outlineLevel="1" thickBot="1" x14ac:dyDescent="0.4">
      <c r="A2058" s="7" t="s">
        <v>60</v>
      </c>
      <c r="B2058" s="1142"/>
      <c r="C2058" s="1143"/>
      <c r="D2058" s="1143">
        <f>8.57+9.95+119.43</f>
        <v>137.95000000000002</v>
      </c>
      <c r="E2058" s="32"/>
      <c r="F2058" s="1503">
        <f>D2058/D$1554</f>
        <v>4.5476547238561537E-4</v>
      </c>
      <c r="G2058" s="1504"/>
      <c r="H2058" s="1505"/>
      <c r="I2058" s="1290">
        <f>SUM(I2057:I2057)</f>
        <v>0</v>
      </c>
      <c r="J2058" s="1468"/>
      <c r="K2058" s="1151"/>
      <c r="L2058" s="1151"/>
      <c r="R2058" s="1470" t="str">
        <f>IF(SUM(D2049:D2055)&lt;&gt;R2057,"Out of Balance","Balances")</f>
        <v>Balances</v>
      </c>
    </row>
    <row r="2059" spans="1:20" ht="19" hidden="1" outlineLevel="1" thickBot="1" x14ac:dyDescent="0.5">
      <c r="A2059" s="726" t="s">
        <v>62</v>
      </c>
      <c r="B2059" s="583"/>
      <c r="C2059" s="584"/>
      <c r="D2059" s="1649">
        <f>SUM(D2049:D2058)</f>
        <v>230992.05721999999</v>
      </c>
      <c r="E2059" s="1538">
        <f>D2059-D2044</f>
        <v>9227.3176399999938</v>
      </c>
      <c r="F2059" s="1545">
        <f>(D2059-D2044)/D2044</f>
        <v>4.1608587810107241E-2</v>
      </c>
    </row>
    <row r="2060" spans="1:20" hidden="1" outlineLevel="1" x14ac:dyDescent="0.35"/>
    <row r="2061" spans="1:20" ht="16" hidden="1" outlineLevel="1" thickBot="1" x14ac:dyDescent="0.4">
      <c r="A2061" s="1619" t="s">
        <v>25</v>
      </c>
      <c r="B2061" s="1620" t="s">
        <v>26</v>
      </c>
      <c r="C2061" s="1621" t="s">
        <v>27</v>
      </c>
      <c r="D2061" s="1622">
        <f>D2046+7</f>
        <v>43980</v>
      </c>
      <c r="E2061" s="1623" t="s">
        <v>28</v>
      </c>
      <c r="F2061" s="3082" t="s">
        <v>410</v>
      </c>
      <c r="G2061" s="3083"/>
      <c r="H2061" s="3096"/>
      <c r="I2061" s="1600"/>
      <c r="J2061" s="1577" t="s">
        <v>233</v>
      </c>
    </row>
    <row r="2062" spans="1:20" ht="16" hidden="1" outlineLevel="1" thickBot="1" x14ac:dyDescent="0.4">
      <c r="A2062" s="1584" t="s">
        <v>32</v>
      </c>
      <c r="B2062" s="1585" t="str">
        <f ca="1">TEXT(TODAY(),"ddd")</f>
        <v>Sun</v>
      </c>
      <c r="C2062" s="1586">
        <v>25383</v>
      </c>
      <c r="D2062" s="1647">
        <f>C2062-C2047</f>
        <v>918</v>
      </c>
      <c r="E2062" s="1641">
        <f t="shared" ref="E2062:E2071" si="430">(C2062-C2047)/C2047</f>
        <v>3.7522992029429797E-2</v>
      </c>
      <c r="F2062" s="3097"/>
      <c r="G2062" s="3085"/>
      <c r="H2062" s="3086"/>
      <c r="I2062" s="1602"/>
      <c r="J2062" s="1188" t="s">
        <v>234</v>
      </c>
      <c r="K2062" s="1220" t="s">
        <v>34</v>
      </c>
      <c r="L2062" s="111" t="s">
        <v>35</v>
      </c>
    </row>
    <row r="2063" spans="1:20" hidden="1" outlineLevel="1" x14ac:dyDescent="0.35">
      <c r="A2063" s="709" t="s">
        <v>36</v>
      </c>
      <c r="B2063" s="263"/>
      <c r="C2063" s="419">
        <v>9489</v>
      </c>
      <c r="D2063" s="1647">
        <f>C2063-C2048</f>
        <v>165</v>
      </c>
      <c r="E2063" s="1641">
        <f t="shared" si="430"/>
        <v>1.7696267696267698E-2</v>
      </c>
      <c r="F2063" s="1517" t="s">
        <v>37</v>
      </c>
      <c r="G2063" s="1603" t="s">
        <v>38</v>
      </c>
      <c r="H2063" s="1604" t="s">
        <v>144</v>
      </c>
      <c r="I2063" s="1591" t="s">
        <v>400</v>
      </c>
      <c r="J2063" s="3033" t="s">
        <v>42</v>
      </c>
      <c r="K2063" s="3034"/>
      <c r="L2063" s="3034"/>
      <c r="M2063" s="1199" t="s">
        <v>244</v>
      </c>
      <c r="P2063" s="1200" t="s">
        <v>44</v>
      </c>
      <c r="Q2063" s="1479" t="s">
        <v>45</v>
      </c>
      <c r="R2063" s="1479" t="s">
        <v>46</v>
      </c>
      <c r="S2063" s="1651" t="s">
        <v>47</v>
      </c>
      <c r="T2063" s="1652" t="s">
        <v>48</v>
      </c>
    </row>
    <row r="2064" spans="1:20" hidden="1" outlineLevel="1" x14ac:dyDescent="0.35">
      <c r="A2064" s="1346" t="s">
        <v>389</v>
      </c>
      <c r="B2064" s="1347">
        <v>610</v>
      </c>
      <c r="C2064" s="1348">
        <v>7.81</v>
      </c>
      <c r="D2064" s="1348">
        <f t="shared" ref="D2064:D2071" si="431">C2064*B2064</f>
        <v>4764.0999999999995</v>
      </c>
      <c r="E2064" s="1641">
        <f t="shared" si="430"/>
        <v>2.7631578947368417E-2</v>
      </c>
      <c r="F2064" s="1486">
        <f t="shared" ref="F2064:F2071" si="432">D2064/D$1896</f>
        <v>2.5542204201990409E-2</v>
      </c>
      <c r="G2064" s="1494" t="s">
        <v>228</v>
      </c>
      <c r="H2064" s="1593"/>
      <c r="I2064" s="1591">
        <v>21.1</v>
      </c>
      <c r="J2064" s="3054" t="s">
        <v>416</v>
      </c>
      <c r="K2064" s="3054"/>
      <c r="L2064" s="3054"/>
      <c r="M2064" s="1489" t="str">
        <f t="shared" ref="M2064:M2071" si="433">A2064</f>
        <v>SDC</v>
      </c>
      <c r="P2064" s="1200"/>
      <c r="Q2064" s="1529">
        <f>B2064*RIGHT(J2064,4)</f>
        <v>3653.9</v>
      </c>
      <c r="R2064" s="1495">
        <f t="shared" ref="R2064:R2071" si="434">D2064</f>
        <v>4764.0999999999995</v>
      </c>
      <c r="S2064" s="1510">
        <f t="shared" ref="S2064:S2071" si="435">R2064-Q2064</f>
        <v>1110.1999999999994</v>
      </c>
      <c r="T2064" s="1530">
        <f t="shared" ref="T2064:T2071" si="436">(R2064-Q2064)/Q2064</f>
        <v>0.30383973288814675</v>
      </c>
    </row>
    <row r="2065" spans="1:20" hidden="1" outlineLevel="1" x14ac:dyDescent="0.35">
      <c r="A2065" s="7" t="s">
        <v>402</v>
      </c>
      <c r="B2065" s="1142">
        <v>250</v>
      </c>
      <c r="C2065" s="1143">
        <v>18.97</v>
      </c>
      <c r="D2065" s="1143">
        <f t="shared" si="431"/>
        <v>4742.5</v>
      </c>
      <c r="E2065" s="1641">
        <f t="shared" si="430"/>
        <v>6.393718452047116E-2</v>
      </c>
      <c r="F2065" s="1486">
        <f t="shared" si="432"/>
        <v>2.5426398150320006E-2</v>
      </c>
      <c r="G2065" s="1494" t="s">
        <v>228</v>
      </c>
      <c r="H2065" s="1593" t="s">
        <v>350</v>
      </c>
      <c r="I2065" s="1591">
        <v>19.59</v>
      </c>
      <c r="J2065" s="3054" t="s">
        <v>390</v>
      </c>
      <c r="K2065" s="3054"/>
      <c r="L2065" s="3054"/>
      <c r="M2065" s="1489" t="str">
        <f t="shared" si="433"/>
        <v>AVTR</v>
      </c>
      <c r="P2065" s="1200"/>
      <c r="Q2065" s="1529">
        <f t="shared" ref="Q2065:Q2071" si="437">B2065*RIGHT(J2065,6)</f>
        <v>3030</v>
      </c>
      <c r="R2065" s="1495">
        <f t="shared" si="434"/>
        <v>4742.5</v>
      </c>
      <c r="S2065" s="1510">
        <f t="shared" si="435"/>
        <v>1712.5</v>
      </c>
      <c r="T2065" s="1530">
        <f t="shared" si="436"/>
        <v>0.56518151815181517</v>
      </c>
    </row>
    <row r="2066" spans="1:20" hidden="1" outlineLevel="1" x14ac:dyDescent="0.35">
      <c r="A2066" s="1346" t="s">
        <v>403</v>
      </c>
      <c r="B2066" s="1347">
        <v>200</v>
      </c>
      <c r="C2066" s="1348">
        <v>135.27000000000001</v>
      </c>
      <c r="D2066" s="1348">
        <f t="shared" si="431"/>
        <v>27054.000000000004</v>
      </c>
      <c r="E2066" s="1641">
        <f t="shared" si="430"/>
        <v>-3.736122971818958E-2</v>
      </c>
      <c r="F2066" s="1486">
        <f t="shared" si="432"/>
        <v>0.14504707971718661</v>
      </c>
      <c r="G2066" s="1494" t="s">
        <v>228</v>
      </c>
      <c r="H2066" s="1593" t="s">
        <v>216</v>
      </c>
      <c r="I2066" s="1591">
        <v>134.51</v>
      </c>
      <c r="J2066" s="3054" t="s">
        <v>404</v>
      </c>
      <c r="K2066" s="3054"/>
      <c r="L2066" s="3054"/>
      <c r="M2066" s="1489" t="str">
        <f t="shared" si="433"/>
        <v>ALNY</v>
      </c>
      <c r="P2066" s="1200"/>
      <c r="Q2066" s="1529">
        <f t="shared" si="437"/>
        <v>19448</v>
      </c>
      <c r="R2066" s="1495">
        <f t="shared" si="434"/>
        <v>27054.000000000004</v>
      </c>
      <c r="S2066" s="1510">
        <f t="shared" si="435"/>
        <v>7606.0000000000036</v>
      </c>
      <c r="T2066" s="1530">
        <f t="shared" si="436"/>
        <v>0.39109419991772953</v>
      </c>
    </row>
    <row r="2067" spans="1:20" hidden="1" outlineLevel="1" x14ac:dyDescent="0.35">
      <c r="A2067" s="7" t="s">
        <v>417</v>
      </c>
      <c r="B2067" s="1142">
        <v>110</v>
      </c>
      <c r="C2067" s="1143">
        <v>218.87</v>
      </c>
      <c r="D2067" s="1143">
        <f t="shared" si="431"/>
        <v>24075.7</v>
      </c>
      <c r="E2067" s="1641">
        <f t="shared" si="430"/>
        <v>7.8389830508474562E-2</v>
      </c>
      <c r="F2067" s="1486">
        <f t="shared" si="432"/>
        <v>0.12907924806487281</v>
      </c>
      <c r="G2067" s="1494">
        <v>68</v>
      </c>
      <c r="H2067" s="1593" t="s">
        <v>145</v>
      </c>
      <c r="I2067" s="1591">
        <v>176.9</v>
      </c>
      <c r="J2067" s="3054" t="s">
        <v>418</v>
      </c>
      <c r="K2067" s="3054"/>
      <c r="L2067" s="3054"/>
      <c r="M2067" s="1489" t="str">
        <f t="shared" si="433"/>
        <v xml:space="preserve">VEEV </v>
      </c>
      <c r="P2067" s="1200"/>
      <c r="Q2067" s="1529">
        <f t="shared" si="437"/>
        <v>14361.6</v>
      </c>
      <c r="R2067" s="1495">
        <f t="shared" si="434"/>
        <v>24075.7</v>
      </c>
      <c r="S2067" s="1510">
        <f t="shared" si="435"/>
        <v>9714.1</v>
      </c>
      <c r="T2067" s="1530">
        <f t="shared" si="436"/>
        <v>0.67639399509803921</v>
      </c>
    </row>
    <row r="2068" spans="1:20" hidden="1" outlineLevel="1" x14ac:dyDescent="0.35">
      <c r="A2068" s="1346" t="s">
        <v>96</v>
      </c>
      <c r="B2068" s="1347">
        <v>100</v>
      </c>
      <c r="C2068" s="1348">
        <v>580.03</v>
      </c>
      <c r="D2068" s="1348">
        <f t="shared" si="431"/>
        <v>58003</v>
      </c>
      <c r="E2068" s="1641">
        <f t="shared" si="430"/>
        <v>3.061478322672356E-2</v>
      </c>
      <c r="F2068" s="1486">
        <f t="shared" si="432"/>
        <v>0.31097677847401395</v>
      </c>
      <c r="G2068" s="1494">
        <v>40</v>
      </c>
      <c r="H2068" s="1593" t="s">
        <v>350</v>
      </c>
      <c r="I2068" s="1591">
        <v>619</v>
      </c>
      <c r="J2068" s="3054" t="s">
        <v>407</v>
      </c>
      <c r="K2068" s="3054"/>
      <c r="L2068" s="3054"/>
      <c r="M2068" s="1489" t="str">
        <f t="shared" si="433"/>
        <v>ISRG</v>
      </c>
      <c r="P2068" s="1200"/>
      <c r="Q2068" s="1529">
        <f t="shared" si="437"/>
        <v>56436</v>
      </c>
      <c r="R2068" s="1495">
        <f t="shared" si="434"/>
        <v>58003</v>
      </c>
      <c r="S2068" s="1510">
        <f t="shared" si="435"/>
        <v>1567</v>
      </c>
      <c r="T2068" s="1530">
        <f t="shared" si="436"/>
        <v>2.7765964986887801E-2</v>
      </c>
    </row>
    <row r="2069" spans="1:20" hidden="1" outlineLevel="1" x14ac:dyDescent="0.35">
      <c r="A2069" s="7" t="s">
        <v>391</v>
      </c>
      <c r="B2069" s="1142">
        <v>100.498</v>
      </c>
      <c r="C2069" s="1143">
        <v>317.94</v>
      </c>
      <c r="D2069" s="1143">
        <f t="shared" si="431"/>
        <v>31952.33412</v>
      </c>
      <c r="E2069" s="1641">
        <f t="shared" si="430"/>
        <v>-2.9790836965724503E-3</v>
      </c>
      <c r="F2069" s="1486">
        <f t="shared" si="432"/>
        <v>0.17130896555976272</v>
      </c>
      <c r="G2069" s="1494">
        <v>22</v>
      </c>
      <c r="H2069" s="1593" t="s">
        <v>145</v>
      </c>
      <c r="I2069" s="1591">
        <v>327.85</v>
      </c>
      <c r="J2069" s="3054" t="s">
        <v>408</v>
      </c>
      <c r="K2069" s="3054"/>
      <c r="L2069" s="3054"/>
      <c r="M2069" s="1489" t="str">
        <f t="shared" si="433"/>
        <v>APPL</v>
      </c>
      <c r="P2069" s="1200"/>
      <c r="Q2069" s="1508">
        <f t="shared" si="437"/>
        <v>31307.13696</v>
      </c>
      <c r="R2069" s="1491">
        <f t="shared" si="434"/>
        <v>31952.33412</v>
      </c>
      <c r="S2069" s="1510">
        <f t="shared" si="435"/>
        <v>645.19715999999971</v>
      </c>
      <c r="T2069" s="1530">
        <f t="shared" si="436"/>
        <v>2.060862865947611E-2</v>
      </c>
    </row>
    <row r="2070" spans="1:20" hidden="1" outlineLevel="1" x14ac:dyDescent="0.35">
      <c r="A2070" s="1346" t="s">
        <v>394</v>
      </c>
      <c r="B2070" s="1347">
        <v>95</v>
      </c>
      <c r="C2070" s="1348">
        <v>656.8</v>
      </c>
      <c r="D2070" s="1348">
        <f t="shared" si="431"/>
        <v>62395.999999999993</v>
      </c>
      <c r="E2070" s="1641">
        <f t="shared" si="430"/>
        <v>-3.4896070399030011E-3</v>
      </c>
      <c r="F2070" s="1486">
        <f t="shared" si="432"/>
        <v>0.33452937037161135</v>
      </c>
      <c r="G2070" s="1494">
        <v>77</v>
      </c>
      <c r="H2070" s="1593" t="s">
        <v>216</v>
      </c>
      <c r="I2070" s="1591">
        <v>746.7</v>
      </c>
      <c r="J2070" s="3054" t="s">
        <v>409</v>
      </c>
      <c r="K2070" s="3054"/>
      <c r="L2070" s="3054"/>
      <c r="M2070" s="1489" t="str">
        <f t="shared" si="433"/>
        <v>CSGP</v>
      </c>
      <c r="P2070" s="1200"/>
      <c r="Q2070" s="1529">
        <f t="shared" si="437"/>
        <v>61923.850000000006</v>
      </c>
      <c r="R2070" s="1495">
        <f t="shared" si="434"/>
        <v>62395.999999999993</v>
      </c>
      <c r="S2070" s="1510">
        <f t="shared" si="435"/>
        <v>472.1499999999869</v>
      </c>
      <c r="T2070" s="1530">
        <f t="shared" si="436"/>
        <v>7.6246874184984761E-3</v>
      </c>
    </row>
    <row r="2071" spans="1:20" hidden="1" outlineLevel="1" x14ac:dyDescent="0.35">
      <c r="A2071" s="7" t="s">
        <v>137</v>
      </c>
      <c r="B2071" s="1142">
        <v>90</v>
      </c>
      <c r="C2071" s="1143">
        <v>223.9</v>
      </c>
      <c r="D2071" s="1143">
        <f t="shared" si="431"/>
        <v>20151</v>
      </c>
      <c r="E2071" s="1641">
        <f t="shared" si="430"/>
        <v>8.604967015909977E-2</v>
      </c>
      <c r="F2071" s="1486">
        <f t="shared" si="432"/>
        <v>0.10803739570418522</v>
      </c>
      <c r="G2071" s="1494">
        <v>23</v>
      </c>
      <c r="H2071" s="1593" t="s">
        <v>145</v>
      </c>
      <c r="I2071" s="1631">
        <v>322.14</v>
      </c>
      <c r="J2071" s="3054" t="s">
        <v>419</v>
      </c>
      <c r="K2071" s="3054"/>
      <c r="L2071" s="3054"/>
      <c r="M2071" s="1489" t="str">
        <f t="shared" si="433"/>
        <v>ABMD</v>
      </c>
      <c r="P2071" s="1632"/>
      <c r="Q2071" s="1529">
        <f t="shared" si="437"/>
        <v>12378.599999999999</v>
      </c>
      <c r="R2071" s="1495">
        <f t="shared" si="434"/>
        <v>20151</v>
      </c>
      <c r="S2071" s="1510">
        <f t="shared" si="435"/>
        <v>7772.4000000000015</v>
      </c>
      <c r="T2071" s="1530">
        <f t="shared" si="436"/>
        <v>0.62789006834375471</v>
      </c>
    </row>
    <row r="2072" spans="1:20" ht="16" hidden="1" outlineLevel="1" thickBot="1" x14ac:dyDescent="0.4">
      <c r="A2072" s="1346" t="s">
        <v>7</v>
      </c>
      <c r="B2072" s="1347"/>
      <c r="C2072" s="1348"/>
      <c r="D2072" s="1348">
        <v>1866.26</v>
      </c>
      <c r="E2072" s="32"/>
      <c r="F2072" s="1499">
        <f>D2072/D$1601</f>
        <v>6.4893914101398914E-3</v>
      </c>
      <c r="G2072" s="1418"/>
      <c r="H2072" s="1500"/>
      <c r="I2072" s="1501"/>
      <c r="J2072" s="1633"/>
      <c r="K2072" s="1634"/>
      <c r="L2072" s="1634"/>
      <c r="R2072" s="1532">
        <f>SUM(R2064:R2070)</f>
        <v>212987.63412</v>
      </c>
      <c r="S2072" s="1532">
        <f>SUM(S2064:S2070)</f>
        <v>22827.14715999999</v>
      </c>
      <c r="T2072" s="1617">
        <f>AVERAGE(T2064:T2071)</f>
        <v>0.32754984943304344</v>
      </c>
    </row>
    <row r="2073" spans="1:20" ht="16" hidden="1" outlineLevel="1" thickBot="1" x14ac:dyDescent="0.4">
      <c r="A2073" s="7" t="s">
        <v>60</v>
      </c>
      <c r="B2073" s="1142"/>
      <c r="C2073" s="1143"/>
      <c r="D2073" s="1143">
        <f>8.57+9.95+119.43</f>
        <v>137.95000000000002</v>
      </c>
      <c r="E2073" s="32"/>
      <c r="F2073" s="1503">
        <f>D2073/D$1554</f>
        <v>4.5476547238561537E-4</v>
      </c>
      <c r="G2073" s="1504"/>
      <c r="H2073" s="1505"/>
      <c r="I2073" s="1290">
        <f>SUM(I2072:I2072)</f>
        <v>0</v>
      </c>
      <c r="J2073" s="1468"/>
      <c r="K2073" s="1151"/>
      <c r="L2073" s="1151"/>
      <c r="R2073" s="1470" t="str">
        <f>IF(SUM(D2064:D2070)&lt;&gt;R2072,"Out of Balance","Balances")</f>
        <v>Balances</v>
      </c>
    </row>
    <row r="2074" spans="1:20" ht="19" hidden="1" outlineLevel="1" thickBot="1" x14ac:dyDescent="0.5">
      <c r="A2074" s="726" t="s">
        <v>62</v>
      </c>
      <c r="B2074" s="583"/>
      <c r="C2074" s="584"/>
      <c r="D2074" s="1649">
        <f>SUM(D2064:D2073)</f>
        <v>235142.84412000002</v>
      </c>
      <c r="E2074" s="1538">
        <f>D2074-D2059</f>
        <v>4150.7869000000355</v>
      </c>
      <c r="F2074" s="1545">
        <f>(D2074-D2059)/D2059</f>
        <v>1.7969392324372304E-2</v>
      </c>
      <c r="H2074" s="1645">
        <f>SUM(E2074,E2059,E2044,E2036,E2029,E2014)</f>
        <v>25313.967429645912</v>
      </c>
      <c r="I2074" s="1646" t="str">
        <f>TEXT(D2061,"mmmm")</f>
        <v>May</v>
      </c>
    </row>
    <row r="2075" spans="1:20" hidden="1" outlineLevel="1" x14ac:dyDescent="0.35"/>
    <row r="2076" spans="1:20" ht="16" hidden="1" outlineLevel="1" thickBot="1" x14ac:dyDescent="0.4">
      <c r="A2076" s="1619" t="s">
        <v>25</v>
      </c>
      <c r="B2076" s="1620" t="s">
        <v>26</v>
      </c>
      <c r="C2076" s="1621" t="s">
        <v>27</v>
      </c>
      <c r="D2076" s="1622">
        <f>D2061+7</f>
        <v>43987</v>
      </c>
      <c r="E2076" s="1623" t="s">
        <v>28</v>
      </c>
      <c r="F2076" s="3082" t="s">
        <v>410</v>
      </c>
      <c r="G2076" s="3083"/>
      <c r="H2076" s="3096"/>
      <c r="I2076" s="1600"/>
      <c r="J2076" s="1577" t="s">
        <v>233</v>
      </c>
    </row>
    <row r="2077" spans="1:20" ht="16" hidden="1" outlineLevel="1" thickBot="1" x14ac:dyDescent="0.4">
      <c r="A2077" s="1584" t="s">
        <v>32</v>
      </c>
      <c r="B2077" s="1585" t="str">
        <f ca="1">TEXT(TODAY(),"ddd")</f>
        <v>Sun</v>
      </c>
      <c r="C2077" s="1586">
        <v>27110</v>
      </c>
      <c r="D2077" s="1647">
        <f>C2077-C2062</f>
        <v>1727</v>
      </c>
      <c r="E2077" s="1641">
        <f t="shared" ref="E2077:E2086" si="438">(C2077-C2062)/C2062</f>
        <v>6.803766300279715E-2</v>
      </c>
      <c r="F2077" s="3097"/>
      <c r="G2077" s="3085"/>
      <c r="H2077" s="3086"/>
      <c r="I2077" s="1602"/>
      <c r="J2077" s="1188" t="s">
        <v>234</v>
      </c>
      <c r="K2077" s="1220" t="s">
        <v>34</v>
      </c>
      <c r="L2077" s="111" t="s">
        <v>35</v>
      </c>
    </row>
    <row r="2078" spans="1:20" hidden="1" outlineLevel="1" x14ac:dyDescent="0.35">
      <c r="A2078" s="709" t="s">
        <v>36</v>
      </c>
      <c r="B2078" s="263"/>
      <c r="C2078" s="419">
        <v>9814</v>
      </c>
      <c r="D2078" s="1647">
        <f>C2078-C2063</f>
        <v>325</v>
      </c>
      <c r="E2078" s="1641">
        <f t="shared" si="438"/>
        <v>3.4250184424069977E-2</v>
      </c>
      <c r="F2078" s="1517" t="s">
        <v>37</v>
      </c>
      <c r="G2078" s="1603" t="s">
        <v>38</v>
      </c>
      <c r="H2078" s="1604" t="s">
        <v>144</v>
      </c>
      <c r="I2078" s="1591" t="s">
        <v>400</v>
      </c>
      <c r="J2078" s="3033" t="s">
        <v>42</v>
      </c>
      <c r="K2078" s="3034"/>
      <c r="L2078" s="3034"/>
      <c r="M2078" s="1199" t="s">
        <v>244</v>
      </c>
      <c r="P2078" s="1200" t="s">
        <v>44</v>
      </c>
      <c r="Q2078" s="1479" t="s">
        <v>45</v>
      </c>
      <c r="R2078" s="1479" t="s">
        <v>46</v>
      </c>
      <c r="S2078" s="1479" t="s">
        <v>47</v>
      </c>
      <c r="T2078" s="1485" t="s">
        <v>48</v>
      </c>
    </row>
    <row r="2079" spans="1:20" hidden="1" outlineLevel="1" x14ac:dyDescent="0.35">
      <c r="A2079" s="1346" t="s">
        <v>389</v>
      </c>
      <c r="B2079" s="1347">
        <v>610</v>
      </c>
      <c r="C2079" s="1348">
        <v>8.81</v>
      </c>
      <c r="D2079" s="1348">
        <f t="shared" ref="D2079:D2086" si="439">C2079*B2079</f>
        <v>5374.1</v>
      </c>
      <c r="E2079" s="1641">
        <f t="shared" si="438"/>
        <v>0.12804097311139576</v>
      </c>
      <c r="F2079" s="1486">
        <f t="shared" ref="F2079:F2086" si="440">D2079/D$1896</f>
        <v>2.8812652883423245E-2</v>
      </c>
      <c r="G2079" s="1494" t="s">
        <v>228</v>
      </c>
      <c r="H2079" s="1593"/>
      <c r="I2079" s="1591">
        <v>21.1</v>
      </c>
      <c r="J2079" s="3054" t="s">
        <v>416</v>
      </c>
      <c r="K2079" s="3054"/>
      <c r="L2079" s="3054"/>
      <c r="M2079" s="1489" t="str">
        <f t="shared" ref="M2079:M2086" si="441">A2079</f>
        <v>SDC</v>
      </c>
      <c r="P2079" s="1200"/>
      <c r="Q2079" s="1529">
        <f>B2079*RIGHT(J2079,4)</f>
        <v>3653.9</v>
      </c>
      <c r="R2079" s="1495">
        <f t="shared" ref="R2079:R2086" si="442">D2079</f>
        <v>5374.1</v>
      </c>
      <c r="S2079" s="1510">
        <f t="shared" ref="S2079:S2086" si="443">R2079-Q2079</f>
        <v>1720.2000000000003</v>
      </c>
      <c r="T2079" s="1530">
        <f t="shared" ref="T2079:T2086" si="444">(R2079-Q2079)/Q2079</f>
        <v>0.47078464106844747</v>
      </c>
    </row>
    <row r="2080" spans="1:20" hidden="1" outlineLevel="1" x14ac:dyDescent="0.35">
      <c r="A2080" s="7" t="s">
        <v>402</v>
      </c>
      <c r="B2080" s="1142">
        <v>250</v>
      </c>
      <c r="C2080" s="1143">
        <v>18.170000000000002</v>
      </c>
      <c r="D2080" s="1143">
        <f t="shared" si="439"/>
        <v>4542.5</v>
      </c>
      <c r="E2080" s="1641">
        <f t="shared" si="438"/>
        <v>-4.2171850289931326E-2</v>
      </c>
      <c r="F2080" s="1486">
        <f t="shared" si="440"/>
        <v>2.4354119894112517E-2</v>
      </c>
      <c r="G2080" s="1494" t="s">
        <v>228</v>
      </c>
      <c r="H2080" s="1593" t="s">
        <v>350</v>
      </c>
      <c r="I2080" s="1591">
        <v>19.59</v>
      </c>
      <c r="J2080" s="3054" t="s">
        <v>390</v>
      </c>
      <c r="K2080" s="3054"/>
      <c r="L2080" s="3054"/>
      <c r="M2080" s="1489" t="str">
        <f t="shared" si="441"/>
        <v>AVTR</v>
      </c>
      <c r="P2080" s="1200"/>
      <c r="Q2080" s="1529">
        <f t="shared" ref="Q2080:Q2086" si="445">B2080*RIGHT(J2080,6)</f>
        <v>3030</v>
      </c>
      <c r="R2080" s="1495">
        <f t="shared" si="442"/>
        <v>4542.5</v>
      </c>
      <c r="S2080" s="1510">
        <f t="shared" si="443"/>
        <v>1512.5</v>
      </c>
      <c r="T2080" s="1530">
        <f t="shared" si="444"/>
        <v>0.49917491749174919</v>
      </c>
    </row>
    <row r="2081" spans="1:25" hidden="1" outlineLevel="1" x14ac:dyDescent="0.35">
      <c r="A2081" s="1346" t="s">
        <v>403</v>
      </c>
      <c r="B2081" s="1347">
        <v>200</v>
      </c>
      <c r="C2081" s="1348">
        <v>127.59</v>
      </c>
      <c r="D2081" s="1348">
        <f t="shared" si="439"/>
        <v>25518</v>
      </c>
      <c r="E2081" s="1641">
        <f t="shared" si="438"/>
        <v>-5.6775338212464006E-2</v>
      </c>
      <c r="F2081" s="1486">
        <f t="shared" si="440"/>
        <v>0.13681198270951309</v>
      </c>
      <c r="G2081" s="1494" t="s">
        <v>228</v>
      </c>
      <c r="H2081" s="1593" t="s">
        <v>216</v>
      </c>
      <c r="I2081" s="1591">
        <v>134.51</v>
      </c>
      <c r="J2081" s="3054" t="s">
        <v>404</v>
      </c>
      <c r="K2081" s="3054"/>
      <c r="L2081" s="3054"/>
      <c r="M2081" s="1489" t="str">
        <f t="shared" si="441"/>
        <v>ALNY</v>
      </c>
      <c r="P2081" s="1200"/>
      <c r="Q2081" s="1529">
        <f t="shared" si="445"/>
        <v>19448</v>
      </c>
      <c r="R2081" s="1495">
        <f t="shared" si="442"/>
        <v>25518</v>
      </c>
      <c r="S2081" s="1510">
        <f t="shared" si="443"/>
        <v>6070</v>
      </c>
      <c r="T2081" s="1530">
        <f t="shared" si="444"/>
        <v>0.31211435623200329</v>
      </c>
    </row>
    <row r="2082" spans="1:25" hidden="1" outlineLevel="1" x14ac:dyDescent="0.35">
      <c r="A2082" s="7" t="s">
        <v>417</v>
      </c>
      <c r="B2082" s="1142">
        <v>110</v>
      </c>
      <c r="C2082" s="1143">
        <v>202.8</v>
      </c>
      <c r="D2082" s="1143">
        <f t="shared" si="439"/>
        <v>22308</v>
      </c>
      <c r="E2082" s="1641">
        <f t="shared" si="438"/>
        <v>-7.3422579613469152E-2</v>
      </c>
      <c r="F2082" s="1486">
        <f t="shared" si="440"/>
        <v>0.11960191669738295</v>
      </c>
      <c r="G2082" s="1494">
        <v>68</v>
      </c>
      <c r="H2082" s="1593" t="s">
        <v>145</v>
      </c>
      <c r="I2082" s="1591">
        <v>176.9</v>
      </c>
      <c r="J2082" s="3054" t="s">
        <v>418</v>
      </c>
      <c r="K2082" s="3054"/>
      <c r="L2082" s="3054"/>
      <c r="M2082" s="1489" t="str">
        <f t="shared" si="441"/>
        <v xml:space="preserve">VEEV </v>
      </c>
      <c r="P2082" s="1200"/>
      <c r="Q2082" s="1529">
        <f t="shared" si="445"/>
        <v>14361.6</v>
      </c>
      <c r="R2082" s="1495">
        <f t="shared" si="442"/>
        <v>22308</v>
      </c>
      <c r="S2082" s="1510">
        <f t="shared" si="443"/>
        <v>7946.4</v>
      </c>
      <c r="T2082" s="1530">
        <f t="shared" si="444"/>
        <v>0.55330882352941169</v>
      </c>
    </row>
    <row r="2083" spans="1:25" hidden="1" outlineLevel="1" x14ac:dyDescent="0.35">
      <c r="A2083" s="1346" t="s">
        <v>96</v>
      </c>
      <c r="B2083" s="1347">
        <v>100</v>
      </c>
      <c r="C2083" s="1348">
        <v>592.76</v>
      </c>
      <c r="D2083" s="1348">
        <f t="shared" si="439"/>
        <v>59276</v>
      </c>
      <c r="E2083" s="1641">
        <f t="shared" si="438"/>
        <v>2.1947140665138042E-2</v>
      </c>
      <c r="F2083" s="1486">
        <f t="shared" si="440"/>
        <v>0.3178018295747746</v>
      </c>
      <c r="G2083" s="1494">
        <v>40</v>
      </c>
      <c r="H2083" s="1593" t="s">
        <v>350</v>
      </c>
      <c r="I2083" s="1591">
        <v>619</v>
      </c>
      <c r="J2083" s="3054" t="s">
        <v>407</v>
      </c>
      <c r="K2083" s="3054"/>
      <c r="L2083" s="3054"/>
      <c r="M2083" s="1489" t="str">
        <f t="shared" si="441"/>
        <v>ISRG</v>
      </c>
      <c r="P2083" s="1200"/>
      <c r="Q2083" s="1529">
        <f t="shared" si="445"/>
        <v>56436</v>
      </c>
      <c r="R2083" s="1495">
        <f t="shared" si="442"/>
        <v>59276</v>
      </c>
      <c r="S2083" s="1510">
        <f t="shared" si="443"/>
        <v>2840</v>
      </c>
      <c r="T2083" s="1530">
        <f t="shared" si="444"/>
        <v>5.0322489191296338E-2</v>
      </c>
    </row>
    <row r="2084" spans="1:25" hidden="1" outlineLevel="1" x14ac:dyDescent="0.35">
      <c r="A2084" s="7" t="s">
        <v>391</v>
      </c>
      <c r="B2084" s="1142">
        <v>100.498</v>
      </c>
      <c r="C2084" s="1143">
        <v>331.5</v>
      </c>
      <c r="D2084" s="1143">
        <f t="shared" si="439"/>
        <v>33315.087</v>
      </c>
      <c r="E2084" s="1641">
        <f t="shared" si="438"/>
        <v>4.2649556520098136E-2</v>
      </c>
      <c r="F2084" s="1486">
        <f t="shared" si="440"/>
        <v>0.17861521696880336</v>
      </c>
      <c r="G2084" s="1494">
        <v>22</v>
      </c>
      <c r="H2084" s="1593" t="s">
        <v>145</v>
      </c>
      <c r="I2084" s="1591">
        <v>327.85</v>
      </c>
      <c r="J2084" s="3054" t="s">
        <v>408</v>
      </c>
      <c r="K2084" s="3054"/>
      <c r="L2084" s="3054"/>
      <c r="M2084" s="1489" t="str">
        <f t="shared" si="441"/>
        <v>APPL</v>
      </c>
      <c r="P2084" s="1200"/>
      <c r="Q2084" s="1508">
        <f t="shared" si="445"/>
        <v>31307.13696</v>
      </c>
      <c r="R2084" s="1491">
        <f t="shared" si="442"/>
        <v>33315.087</v>
      </c>
      <c r="S2084" s="1510">
        <f t="shared" si="443"/>
        <v>2007.9500399999997</v>
      </c>
      <c r="T2084" s="1530">
        <f t="shared" si="444"/>
        <v>6.4137134052388287E-2</v>
      </c>
    </row>
    <row r="2085" spans="1:25" hidden="1" outlineLevel="1" x14ac:dyDescent="0.35">
      <c r="A2085" s="1346" t="s">
        <v>394</v>
      </c>
      <c r="B2085" s="1347">
        <v>95</v>
      </c>
      <c r="C2085" s="1348">
        <v>667</v>
      </c>
      <c r="D2085" s="1348">
        <f t="shared" si="439"/>
        <v>63365</v>
      </c>
      <c r="E2085" s="1641">
        <f t="shared" si="438"/>
        <v>1.5529841656516514E-2</v>
      </c>
      <c r="F2085" s="1486">
        <f t="shared" si="440"/>
        <v>0.33972455852293665</v>
      </c>
      <c r="G2085" s="1494">
        <v>77</v>
      </c>
      <c r="H2085" s="1593" t="s">
        <v>216</v>
      </c>
      <c r="I2085" s="1591">
        <v>746.7</v>
      </c>
      <c r="J2085" s="3054" t="s">
        <v>409</v>
      </c>
      <c r="K2085" s="3054"/>
      <c r="L2085" s="3054"/>
      <c r="M2085" s="1489" t="str">
        <f t="shared" si="441"/>
        <v>CSGP</v>
      </c>
      <c r="P2085" s="1200"/>
      <c r="Q2085" s="1529">
        <f t="shared" si="445"/>
        <v>61923.850000000006</v>
      </c>
      <c r="R2085" s="1495">
        <f t="shared" si="442"/>
        <v>63365</v>
      </c>
      <c r="S2085" s="1510">
        <f t="shared" si="443"/>
        <v>1441.1499999999942</v>
      </c>
      <c r="T2085" s="1530">
        <f t="shared" si="444"/>
        <v>2.3272939263304752E-2</v>
      </c>
    </row>
    <row r="2086" spans="1:25" hidden="1" outlineLevel="1" x14ac:dyDescent="0.35">
      <c r="A2086" s="7" t="s">
        <v>137</v>
      </c>
      <c r="B2086" s="1142">
        <v>90</v>
      </c>
      <c r="C2086" s="1143">
        <v>249.81</v>
      </c>
      <c r="D2086" s="1143">
        <f t="shared" si="439"/>
        <v>22482.9</v>
      </c>
      <c r="E2086" s="1641">
        <f t="shared" si="438"/>
        <v>0.11572130415364</v>
      </c>
      <c r="F2086" s="1486">
        <f t="shared" si="440"/>
        <v>0.12053962403243641</v>
      </c>
      <c r="G2086" s="1494">
        <v>23</v>
      </c>
      <c r="H2086" s="1593" t="s">
        <v>145</v>
      </c>
      <c r="I2086" s="1631">
        <v>322.14</v>
      </c>
      <c r="J2086" s="3054" t="s">
        <v>419</v>
      </c>
      <c r="K2086" s="3054"/>
      <c r="L2086" s="3054"/>
      <c r="M2086" s="1489" t="str">
        <f t="shared" si="441"/>
        <v>ABMD</v>
      </c>
      <c r="P2086" s="1632"/>
      <c r="Q2086" s="1529">
        <f t="shared" si="445"/>
        <v>12378.599999999999</v>
      </c>
      <c r="R2086" s="1495">
        <f t="shared" si="442"/>
        <v>22482.9</v>
      </c>
      <c r="S2086" s="1510">
        <f t="shared" si="443"/>
        <v>10104.300000000003</v>
      </c>
      <c r="T2086" s="1530">
        <f t="shared" si="444"/>
        <v>0.81627163007125236</v>
      </c>
    </row>
    <row r="2087" spans="1:25" ht="16" hidden="1" outlineLevel="1" thickBot="1" x14ac:dyDescent="0.4">
      <c r="A2087" s="1346" t="s">
        <v>7</v>
      </c>
      <c r="B2087" s="1347"/>
      <c r="C2087" s="1348"/>
      <c r="D2087" s="1348">
        <v>1903.6</v>
      </c>
      <c r="E2087" s="32"/>
      <c r="F2087" s="1499">
        <f>D2087/D$1601</f>
        <v>6.6192307011575541E-3</v>
      </c>
      <c r="G2087" s="1418"/>
      <c r="H2087" s="1500"/>
      <c r="I2087" s="1501"/>
      <c r="J2087" s="1633"/>
      <c r="K2087" s="1634"/>
      <c r="L2087" s="1634"/>
      <c r="R2087" s="1532">
        <f>SUM(R2079:R2085)</f>
        <v>213698.68700000001</v>
      </c>
      <c r="S2087" s="1532">
        <f>SUM(S2079:S2085)</f>
        <v>23538.200039999992</v>
      </c>
      <c r="T2087" s="1617">
        <f>AVERAGE(T2079:T2086)</f>
        <v>0.34867336636248164</v>
      </c>
    </row>
    <row r="2088" spans="1:25" ht="16" hidden="1" outlineLevel="1" thickBot="1" x14ac:dyDescent="0.4">
      <c r="A2088" s="7" t="s">
        <v>60</v>
      </c>
      <c r="B2088" s="1142"/>
      <c r="C2088" s="1143"/>
      <c r="D2088" s="1143">
        <v>137.95000000000002</v>
      </c>
      <c r="E2088" s="32"/>
      <c r="F2088" s="1503">
        <f>D2088/D$1554</f>
        <v>4.5476547238561537E-4</v>
      </c>
      <c r="G2088" s="1504"/>
      <c r="H2088" s="1505"/>
      <c r="I2088" s="1290">
        <f>SUM(I2087:I2087)</f>
        <v>0</v>
      </c>
      <c r="J2088" s="1468"/>
      <c r="K2088" s="1151"/>
      <c r="L2088" s="1151"/>
      <c r="R2088" s="1470" t="str">
        <f>IF(SUM(D2079:D2085)&lt;&gt;R2087,"Out of Balance","Balances")</f>
        <v>Balances</v>
      </c>
    </row>
    <row r="2089" spans="1:25" ht="19" hidden="1" outlineLevel="1" thickBot="1" x14ac:dyDescent="0.5">
      <c r="A2089" s="726" t="s">
        <v>62</v>
      </c>
      <c r="B2089" s="583"/>
      <c r="C2089" s="584"/>
      <c r="D2089" s="1649">
        <f>SUM(D2079:D2088)</f>
        <v>238223.13700000002</v>
      </c>
      <c r="E2089" s="1538">
        <f>D2089-D2074</f>
        <v>3080.2928799999936</v>
      </c>
      <c r="F2089" s="1545">
        <f>(D2089-D2074)/D2074</f>
        <v>1.3099666679322945E-2</v>
      </c>
    </row>
    <row r="2090" spans="1:25" hidden="1" outlineLevel="1" x14ac:dyDescent="0.35"/>
    <row r="2091" spans="1:25" ht="16" hidden="1" outlineLevel="1" thickBot="1" x14ac:dyDescent="0.4">
      <c r="A2091" s="1619" t="s">
        <v>25</v>
      </c>
      <c r="B2091" s="1620" t="s">
        <v>26</v>
      </c>
      <c r="C2091" s="1621" t="s">
        <v>27</v>
      </c>
      <c r="D2091" s="1622">
        <f>D2076+7</f>
        <v>43994</v>
      </c>
      <c r="E2091" s="1623" t="s">
        <v>28</v>
      </c>
      <c r="F2091" s="3082" t="s">
        <v>410</v>
      </c>
      <c r="G2091" s="3083"/>
      <c r="H2091" s="3096"/>
      <c r="I2091" s="1600"/>
      <c r="J2091" s="1577" t="s">
        <v>233</v>
      </c>
    </row>
    <row r="2092" spans="1:25" ht="16" hidden="1" outlineLevel="1" thickBot="1" x14ac:dyDescent="0.4">
      <c r="A2092" s="1584" t="s">
        <v>32</v>
      </c>
      <c r="B2092" s="1585" t="str">
        <f ca="1">TEXT(TODAY(),"ddd")</f>
        <v>Sun</v>
      </c>
      <c r="C2092" s="1586">
        <v>25605</v>
      </c>
      <c r="D2092" s="1587">
        <f>C2092-C2077</f>
        <v>-1505</v>
      </c>
      <c r="E2092" s="1641">
        <f>(C2092-C2077)/C2077</f>
        <v>-5.5514570269273332E-2</v>
      </c>
      <c r="F2092" s="3097"/>
      <c r="G2092" s="3085"/>
      <c r="H2092" s="3086"/>
      <c r="I2092" s="1602"/>
      <c r="J2092" s="1188" t="s">
        <v>234</v>
      </c>
      <c r="K2092" s="1220" t="s">
        <v>34</v>
      </c>
      <c r="L2092" s="111" t="s">
        <v>35</v>
      </c>
    </row>
    <row r="2093" spans="1:25" hidden="1" outlineLevel="1" x14ac:dyDescent="0.35">
      <c r="A2093" s="709" t="s">
        <v>36</v>
      </c>
      <c r="B2093" s="263"/>
      <c r="C2093" s="419">
        <v>9588</v>
      </c>
      <c r="D2093" s="1587">
        <f>C2093-C2078</f>
        <v>-226</v>
      </c>
      <c r="E2093" s="1641">
        <f>(C2093-C2078)/C2078</f>
        <v>-2.3028326879967392E-2</v>
      </c>
      <c r="F2093" s="1517" t="s">
        <v>37</v>
      </c>
      <c r="G2093" s="1603" t="s">
        <v>38</v>
      </c>
      <c r="H2093" s="1604" t="s">
        <v>144</v>
      </c>
      <c r="I2093" s="1591" t="s">
        <v>400</v>
      </c>
      <c r="J2093" s="3033" t="s">
        <v>42</v>
      </c>
      <c r="K2093" s="3034"/>
      <c r="L2093" s="3034"/>
      <c r="M2093" s="1199" t="s">
        <v>244</v>
      </c>
      <c r="P2093" s="1200" t="s">
        <v>44</v>
      </c>
      <c r="Q2093" s="1479" t="s">
        <v>45</v>
      </c>
      <c r="R2093" s="1479" t="s">
        <v>46</v>
      </c>
      <c r="S2093" s="1479" t="s">
        <v>47</v>
      </c>
      <c r="T2093" s="1485" t="s">
        <v>48</v>
      </c>
      <c r="Y2093" s="106"/>
    </row>
    <row r="2094" spans="1:25" hidden="1" outlineLevel="1" x14ac:dyDescent="0.35">
      <c r="A2094" s="1346" t="s">
        <v>389</v>
      </c>
      <c r="B2094" s="1347">
        <v>610</v>
      </c>
      <c r="C2094" s="1348">
        <v>7.36</v>
      </c>
      <c r="D2094" s="1348">
        <f t="shared" ref="D2094:D2102" si="446">C2094*B2094</f>
        <v>4489.6000000000004</v>
      </c>
      <c r="E2094" s="1641">
        <f>(C2094-C2079)/C2079</f>
        <v>-0.1645856980703746</v>
      </c>
      <c r="F2094" s="1486">
        <f t="shared" ref="F2094:F2102" si="447">D2094/D$1896</f>
        <v>2.4070502295345641E-2</v>
      </c>
      <c r="G2094" s="1494" t="s">
        <v>228</v>
      </c>
      <c r="H2094" s="1593"/>
      <c r="I2094" s="1591">
        <v>21.1</v>
      </c>
      <c r="J2094" s="3054" t="s">
        <v>416</v>
      </c>
      <c r="K2094" s="3054"/>
      <c r="L2094" s="3054"/>
      <c r="M2094" s="1489" t="str">
        <f t="shared" ref="M2094:M2102" si="448">A2094</f>
        <v>SDC</v>
      </c>
      <c r="P2094" s="1200"/>
      <c r="Q2094" s="1529">
        <f>B2094*RIGHT(J2094,4)</f>
        <v>3653.9</v>
      </c>
      <c r="R2094" s="1495">
        <f t="shared" ref="R2094:R2102" si="449">D2094</f>
        <v>4489.6000000000004</v>
      </c>
      <c r="S2094" s="1510">
        <f t="shared" ref="S2094:S2102" si="450">R2094-Q2094</f>
        <v>835.70000000000027</v>
      </c>
      <c r="T2094" s="1530">
        <f t="shared" ref="T2094:T2102" si="451">(R2094-Q2094)/Q2094</f>
        <v>0.22871452420701174</v>
      </c>
      <c r="V2094" s="1653" t="s">
        <v>27</v>
      </c>
      <c r="W2094" s="1653" t="s">
        <v>423</v>
      </c>
      <c r="X2094" s="1653" t="s">
        <v>45</v>
      </c>
      <c r="Y2094" s="1653"/>
    </row>
    <row r="2095" spans="1:25" hidden="1" outlineLevel="1" x14ac:dyDescent="0.35">
      <c r="A2095" s="1654" t="s">
        <v>424</v>
      </c>
      <c r="B2095" s="1655">
        <v>280</v>
      </c>
      <c r="C2095" s="1656">
        <v>43.03</v>
      </c>
      <c r="D2095" s="1656">
        <f>C2095*B2095</f>
        <v>12048.4</v>
      </c>
      <c r="E2095" s="1657"/>
      <c r="F2095" s="1658"/>
      <c r="G2095" s="1659"/>
      <c r="H2095" s="1660"/>
      <c r="I2095" s="1661"/>
      <c r="J2095" s="3055" t="s">
        <v>425</v>
      </c>
      <c r="K2095" s="3055"/>
      <c r="L2095" s="3055"/>
      <c r="M2095" s="1662" t="str">
        <f>A2095</f>
        <v>VRM</v>
      </c>
      <c r="N2095" s="1663"/>
      <c r="O2095" s="1663"/>
      <c r="P2095" s="1664"/>
      <c r="Q2095" s="1665">
        <f>B2095*RIGHT(J2095,5)</f>
        <v>15618.4</v>
      </c>
      <c r="R2095" s="1666">
        <f>D2095</f>
        <v>12048.4</v>
      </c>
      <c r="S2095" s="1342">
        <f>R2095-Q2095</f>
        <v>-3570</v>
      </c>
      <c r="T2095" s="1667">
        <f>(R2095-Q2095)/Q2095</f>
        <v>-0.22857655073503047</v>
      </c>
      <c r="U2095" t="s">
        <v>424</v>
      </c>
      <c r="V2095">
        <v>59</v>
      </c>
      <c r="W2095" s="106">
        <v>280</v>
      </c>
      <c r="X2095" s="106">
        <f>V2095*W2095</f>
        <v>16520</v>
      </c>
      <c r="Y2095" s="106"/>
    </row>
    <row r="2096" spans="1:25" hidden="1" outlineLevel="1" x14ac:dyDescent="0.35">
      <c r="A2096" s="7" t="s">
        <v>402</v>
      </c>
      <c r="B2096" s="1142">
        <v>250</v>
      </c>
      <c r="C2096" s="1143">
        <v>16.98</v>
      </c>
      <c r="D2096" s="1143">
        <f>C2096*B2096</f>
        <v>4245</v>
      </c>
      <c r="E2096" s="1641">
        <f>(C2096-C2080)/C2080</f>
        <v>-6.5492570170610956E-2</v>
      </c>
      <c r="F2096" s="1486">
        <f>D2096/D$1896</f>
        <v>2.2759105988003882E-2</v>
      </c>
      <c r="G2096" s="1494" t="s">
        <v>228</v>
      </c>
      <c r="H2096" s="1593" t="s">
        <v>350</v>
      </c>
      <c r="I2096" s="1591">
        <v>19.59</v>
      </c>
      <c r="J2096" s="3054" t="s">
        <v>390</v>
      </c>
      <c r="K2096" s="3054"/>
      <c r="L2096" s="3054"/>
      <c r="M2096" s="1489" t="str">
        <f>A2096</f>
        <v>AVTR</v>
      </c>
      <c r="P2096" s="1200"/>
      <c r="Q2096" s="1665">
        <f>B2096*RIGHT(J2096,5)</f>
        <v>3030</v>
      </c>
      <c r="R2096" s="1495">
        <f>D2096</f>
        <v>4245</v>
      </c>
      <c r="S2096" s="1510">
        <f>R2096-Q2096</f>
        <v>1215</v>
      </c>
      <c r="T2096" s="1530">
        <f>(R2096-Q2096)/Q2096</f>
        <v>0.40099009900990101</v>
      </c>
      <c r="U2096" t="s">
        <v>426</v>
      </c>
      <c r="V2096">
        <v>113.55</v>
      </c>
      <c r="W2096" s="106"/>
      <c r="X2096" s="106">
        <f>V2096*W2096</f>
        <v>0</v>
      </c>
      <c r="Y2096" s="106"/>
    </row>
    <row r="2097" spans="1:25" hidden="1" outlineLevel="1" x14ac:dyDescent="0.35">
      <c r="A2097" s="1654" t="s">
        <v>427</v>
      </c>
      <c r="B2097" s="1655">
        <v>123</v>
      </c>
      <c r="C2097" s="1656">
        <v>64</v>
      </c>
      <c r="D2097" s="1656">
        <f>C2097*B2097</f>
        <v>7872</v>
      </c>
      <c r="E2097" s="1657"/>
      <c r="F2097" s="1658"/>
      <c r="G2097" s="1659"/>
      <c r="H2097" s="1660"/>
      <c r="I2097" s="1661"/>
      <c r="J2097" s="3055" t="s">
        <v>428</v>
      </c>
      <c r="K2097" s="3055"/>
      <c r="L2097" s="3055"/>
      <c r="M2097" s="1662" t="str">
        <f>A2097</f>
        <v>NKLA</v>
      </c>
      <c r="N2097" s="1663"/>
      <c r="O2097" s="1663"/>
      <c r="P2097" s="1664"/>
      <c r="Q2097" s="1665">
        <f>B2097*RIGHT(J2097,5)</f>
        <v>9180.7199999999993</v>
      </c>
      <c r="R2097" s="1666">
        <f>D2097</f>
        <v>7872</v>
      </c>
      <c r="S2097" s="1342">
        <f>R2097-Q2097</f>
        <v>-1308.7199999999993</v>
      </c>
      <c r="T2097" s="1667">
        <f>(R2097-Q2097)/Q2097</f>
        <v>-0.14255091103965695</v>
      </c>
      <c r="W2097" s="106"/>
      <c r="X2097" s="106"/>
      <c r="Y2097" s="106"/>
    </row>
    <row r="2098" spans="1:25" hidden="1" outlineLevel="1" x14ac:dyDescent="0.35">
      <c r="A2098" s="1346" t="s">
        <v>417</v>
      </c>
      <c r="B2098" s="1347">
        <v>110</v>
      </c>
      <c r="C2098" s="1348">
        <v>216.68</v>
      </c>
      <c r="D2098" s="1348">
        <f t="shared" si="446"/>
        <v>23834.799999999999</v>
      </c>
      <c r="E2098" s="1641">
        <f>(C2098-C2082)/C2082</f>
        <v>6.8441814595660719E-2</v>
      </c>
      <c r="F2098" s="1486">
        <f t="shared" si="447"/>
        <v>0.1277876889052709</v>
      </c>
      <c r="G2098" s="1494">
        <v>68</v>
      </c>
      <c r="H2098" s="1593" t="s">
        <v>145</v>
      </c>
      <c r="I2098" s="1591">
        <v>176.9</v>
      </c>
      <c r="J2098" s="3054" t="s">
        <v>418</v>
      </c>
      <c r="K2098" s="3054"/>
      <c r="L2098" s="3054"/>
      <c r="M2098" s="1489" t="str">
        <f t="shared" si="448"/>
        <v xml:space="preserve">VEEV </v>
      </c>
      <c r="P2098" s="1200"/>
      <c r="Q2098" s="1529">
        <f t="shared" ref="Q2098:Q2102" si="452">B2098*RIGHT(J2098,6)</f>
        <v>14361.6</v>
      </c>
      <c r="R2098" s="1495">
        <f t="shared" si="449"/>
        <v>23834.799999999999</v>
      </c>
      <c r="S2098" s="1510">
        <f t="shared" si="450"/>
        <v>9473.1999999999989</v>
      </c>
      <c r="T2098" s="1530">
        <f t="shared" si="451"/>
        <v>0.65962009803921562</v>
      </c>
      <c r="U2098" t="s">
        <v>427</v>
      </c>
      <c r="V2098">
        <v>70.150000000000006</v>
      </c>
      <c r="W2098" s="106">
        <v>120</v>
      </c>
      <c r="X2098" s="106">
        <f>V2098*W2098</f>
        <v>8418</v>
      </c>
      <c r="Y2098" s="106"/>
    </row>
    <row r="2099" spans="1:25" hidden="1" outlineLevel="1" x14ac:dyDescent="0.35">
      <c r="A2099" s="7" t="s">
        <v>96</v>
      </c>
      <c r="B2099" s="1142">
        <v>100</v>
      </c>
      <c r="C2099" s="1143">
        <v>558.41</v>
      </c>
      <c r="D2099" s="1143">
        <f t="shared" si="446"/>
        <v>55841</v>
      </c>
      <c r="E2099" s="1641">
        <f>(C2099-C2083)/C2083</f>
        <v>-5.7949254335650215E-2</v>
      </c>
      <c r="F2099" s="1486">
        <f t="shared" si="447"/>
        <v>0.29938545052441101</v>
      </c>
      <c r="G2099" s="1494">
        <v>40</v>
      </c>
      <c r="H2099" s="1593" t="s">
        <v>350</v>
      </c>
      <c r="I2099" s="1591">
        <v>619</v>
      </c>
      <c r="J2099" s="3054" t="s">
        <v>407</v>
      </c>
      <c r="K2099" s="3054"/>
      <c r="L2099" s="3054"/>
      <c r="M2099" s="1489" t="str">
        <f t="shared" si="448"/>
        <v>ISRG</v>
      </c>
      <c r="P2099" s="1200"/>
      <c r="Q2099" s="1529">
        <f t="shared" si="452"/>
        <v>56436</v>
      </c>
      <c r="R2099" s="1495">
        <f t="shared" si="449"/>
        <v>55841</v>
      </c>
      <c r="S2099" s="1492">
        <f t="shared" si="450"/>
        <v>-595</v>
      </c>
      <c r="T2099" s="1493">
        <f t="shared" si="451"/>
        <v>-1.0542915869303282E-2</v>
      </c>
      <c r="X2099" s="193">
        <f>SUM(X2095:X2098)</f>
        <v>24938</v>
      </c>
    </row>
    <row r="2100" spans="1:25" hidden="1" outlineLevel="1" x14ac:dyDescent="0.35">
      <c r="A2100" s="1346" t="s">
        <v>391</v>
      </c>
      <c r="B2100" s="1347">
        <v>100.498</v>
      </c>
      <c r="C2100" s="1348">
        <v>338.8</v>
      </c>
      <c r="D2100" s="1348">
        <f t="shared" si="446"/>
        <v>34048.722400000006</v>
      </c>
      <c r="E2100" s="1641">
        <f>(C2100-C2084)/C2084</f>
        <v>2.202111613876323E-2</v>
      </c>
      <c r="F2100" s="1486">
        <f t="shared" si="447"/>
        <v>0.18254852340582381</v>
      </c>
      <c r="G2100" s="1494">
        <v>22</v>
      </c>
      <c r="H2100" s="1593" t="s">
        <v>145</v>
      </c>
      <c r="I2100" s="1591">
        <v>327.85</v>
      </c>
      <c r="J2100" s="3054" t="s">
        <v>408</v>
      </c>
      <c r="K2100" s="3054"/>
      <c r="L2100" s="3054"/>
      <c r="M2100" s="1489" t="str">
        <f t="shared" si="448"/>
        <v>APPL</v>
      </c>
      <c r="P2100" s="1200"/>
      <c r="Q2100" s="1508">
        <f t="shared" si="452"/>
        <v>31307.13696</v>
      </c>
      <c r="R2100" s="1491">
        <f t="shared" si="449"/>
        <v>34048.722400000006</v>
      </c>
      <c r="S2100" s="1510">
        <f t="shared" si="450"/>
        <v>2741.5854400000062</v>
      </c>
      <c r="T2100" s="1530">
        <f t="shared" si="451"/>
        <v>8.7570621468926746E-2</v>
      </c>
    </row>
    <row r="2101" spans="1:25" hidden="1" outlineLevel="1" x14ac:dyDescent="0.35">
      <c r="A2101" s="7" t="s">
        <v>394</v>
      </c>
      <c r="B2101" s="1142">
        <v>95</v>
      </c>
      <c r="C2101" s="1143">
        <v>668.09</v>
      </c>
      <c r="D2101" s="1143">
        <f t="shared" si="446"/>
        <v>63468.55</v>
      </c>
      <c r="E2101" s="1641">
        <f>(C2101-C2085)/C2085</f>
        <v>1.6341829085457749E-3</v>
      </c>
      <c r="F2101" s="1486">
        <f t="shared" si="447"/>
        <v>0.34027973059008809</v>
      </c>
      <c r="G2101" s="1494">
        <v>77</v>
      </c>
      <c r="H2101" s="1593" t="s">
        <v>216</v>
      </c>
      <c r="I2101" s="1591">
        <v>746.7</v>
      </c>
      <c r="J2101" s="3054" t="s">
        <v>409</v>
      </c>
      <c r="K2101" s="3054"/>
      <c r="L2101" s="3054"/>
      <c r="M2101" s="1489" t="str">
        <f t="shared" si="448"/>
        <v>CSGP</v>
      </c>
      <c r="P2101" s="1200"/>
      <c r="Q2101" s="1529">
        <f t="shared" si="452"/>
        <v>61923.850000000006</v>
      </c>
      <c r="R2101" s="1495">
        <f t="shared" si="449"/>
        <v>63468.55</v>
      </c>
      <c r="S2101" s="1510">
        <f t="shared" si="450"/>
        <v>1544.6999999999971</v>
      </c>
      <c r="T2101" s="1530">
        <f t="shared" si="451"/>
        <v>2.4945154411426244E-2</v>
      </c>
    </row>
    <row r="2102" spans="1:25" hidden="1" outlineLevel="1" x14ac:dyDescent="0.35">
      <c r="A2102" s="1346" t="s">
        <v>137</v>
      </c>
      <c r="B2102" s="1347">
        <v>90</v>
      </c>
      <c r="C2102" s="1348">
        <v>241.68</v>
      </c>
      <c r="D2102" s="1348">
        <f t="shared" si="446"/>
        <v>21751.200000000001</v>
      </c>
      <c r="E2102" s="1641">
        <f>(C2102-C2086)/C2086</f>
        <v>-3.2544733997838339E-2</v>
      </c>
      <c r="F2102" s="1486">
        <f t="shared" si="447"/>
        <v>0.11661669403210131</v>
      </c>
      <c r="G2102" s="1494">
        <v>23</v>
      </c>
      <c r="H2102" s="1488" t="s">
        <v>145</v>
      </c>
      <c r="I2102" s="1631">
        <v>322.14</v>
      </c>
      <c r="J2102" s="3054" t="s">
        <v>419</v>
      </c>
      <c r="K2102" s="3054"/>
      <c r="L2102" s="3054"/>
      <c r="M2102" s="1489" t="str">
        <f t="shared" si="448"/>
        <v>ABMD</v>
      </c>
      <c r="P2102" s="1632"/>
      <c r="Q2102" s="1529">
        <f t="shared" si="452"/>
        <v>12378.599999999999</v>
      </c>
      <c r="R2102" s="1495">
        <f t="shared" si="449"/>
        <v>21751.200000000001</v>
      </c>
      <c r="S2102" s="1510">
        <f t="shared" si="450"/>
        <v>9372.6000000000022</v>
      </c>
      <c r="T2102" s="1530">
        <f t="shared" si="451"/>
        <v>0.75716155300276311</v>
      </c>
    </row>
    <row r="2103" spans="1:25" ht="16" hidden="1" outlineLevel="1" thickBot="1" x14ac:dyDescent="0.4">
      <c r="A2103" s="7" t="s">
        <v>7</v>
      </c>
      <c r="B2103" s="1142"/>
      <c r="C2103" s="1143"/>
      <c r="D2103" s="1143">
        <v>1874.14</v>
      </c>
      <c r="E2103" s="32"/>
      <c r="F2103" s="1499">
        <f>D2103/D$1601</f>
        <v>6.5167918818383169E-3</v>
      </c>
      <c r="G2103" s="1418"/>
      <c r="H2103" s="1500"/>
      <c r="I2103" s="1501"/>
      <c r="J2103" s="1633"/>
      <c r="K2103" s="1634"/>
      <c r="L2103" s="1634"/>
      <c r="R2103" s="1532">
        <f>SUM(R2094:R2101)</f>
        <v>205848.0724</v>
      </c>
      <c r="S2103" s="1532">
        <f>SUM(S2094:S2101)</f>
        <v>10336.465440000004</v>
      </c>
      <c r="T2103" s="1668">
        <f>AVERAGE(T2094:T2102)</f>
        <v>0.19748129694391708</v>
      </c>
    </row>
    <row r="2104" spans="1:25" ht="16" hidden="1" outlineLevel="1" thickBot="1" x14ac:dyDescent="0.4">
      <c r="A2104" s="1346" t="s">
        <v>60</v>
      </c>
      <c r="B2104" s="1347"/>
      <c r="C2104" s="1348"/>
      <c r="D2104" s="1348">
        <v>313.45999999999998</v>
      </c>
      <c r="E2104" s="32"/>
      <c r="F2104" s="1503">
        <f>D2104/D$1554</f>
        <v>1.0333511052844869E-3</v>
      </c>
      <c r="G2104" s="1504"/>
      <c r="H2104" s="1505"/>
      <c r="I2104" s="1290">
        <f>SUM(I2103:I2103)</f>
        <v>0</v>
      </c>
      <c r="J2104" s="1468"/>
      <c r="K2104" s="1151"/>
      <c r="L2104" s="1151"/>
      <c r="R2104" s="1470" t="str">
        <f>IF(SUM(D2094:D2101)&lt;&gt;R2103,"Out of Balance","Balances")</f>
        <v>Balances</v>
      </c>
    </row>
    <row r="2105" spans="1:25" ht="19" hidden="1" outlineLevel="1" thickBot="1" x14ac:dyDescent="0.5">
      <c r="A2105" s="726" t="s">
        <v>62</v>
      </c>
      <c r="B2105" s="583"/>
      <c r="C2105" s="584"/>
      <c r="D2105" s="1541">
        <f>SUM(D2094:D2104)</f>
        <v>229786.87240000002</v>
      </c>
      <c r="E2105" s="73">
        <f>D2105-D2089</f>
        <v>-8436.264599999995</v>
      </c>
      <c r="F2105" s="1537">
        <f>(D2105-D2089)/D2089</f>
        <v>-3.541328817276046E-2</v>
      </c>
    </row>
    <row r="2106" spans="1:25" hidden="1" outlineLevel="1" x14ac:dyDescent="0.35"/>
    <row r="2107" spans="1:25" ht="16" hidden="1" outlineLevel="1" thickBot="1" x14ac:dyDescent="0.4">
      <c r="A2107" s="1619" t="s">
        <v>25</v>
      </c>
      <c r="B2107" s="1620" t="s">
        <v>26</v>
      </c>
      <c r="C2107" s="1621" t="s">
        <v>27</v>
      </c>
      <c r="D2107" s="1669">
        <f>D2091+7</f>
        <v>44001</v>
      </c>
      <c r="E2107" s="1623" t="s">
        <v>28</v>
      </c>
      <c r="F2107" s="3082" t="s">
        <v>410</v>
      </c>
      <c r="G2107" s="3083"/>
      <c r="H2107" s="3096"/>
      <c r="I2107" s="1600"/>
      <c r="J2107" s="1577" t="s">
        <v>233</v>
      </c>
    </row>
    <row r="2108" spans="1:25" ht="16" hidden="1" outlineLevel="1" thickBot="1" x14ac:dyDescent="0.4">
      <c r="A2108" s="1584" t="s">
        <v>32</v>
      </c>
      <c r="B2108" s="1585" t="str">
        <f ca="1">TEXT(TODAY(),"ddd")</f>
        <v>Sun</v>
      </c>
      <c r="C2108" s="1586">
        <v>25875</v>
      </c>
      <c r="D2108" s="1647">
        <f>C2108-C2092</f>
        <v>270</v>
      </c>
      <c r="E2108" s="1641">
        <f>(C2108-C2092)/C2092</f>
        <v>1.054481546572935E-2</v>
      </c>
      <c r="F2108" s="3097"/>
      <c r="G2108" s="3085"/>
      <c r="H2108" s="3086"/>
      <c r="I2108" s="1602"/>
      <c r="J2108" s="1188" t="s">
        <v>234</v>
      </c>
      <c r="K2108" s="1220" t="s">
        <v>34</v>
      </c>
      <c r="L2108" s="111" t="s">
        <v>35</v>
      </c>
    </row>
    <row r="2109" spans="1:25" hidden="1" outlineLevel="1" x14ac:dyDescent="0.35">
      <c r="A2109" s="709" t="s">
        <v>36</v>
      </c>
      <c r="B2109" s="263"/>
      <c r="C2109" s="419">
        <v>9946</v>
      </c>
      <c r="D2109" s="1647">
        <f>C2109-C2093</f>
        <v>358</v>
      </c>
      <c r="E2109" s="1641">
        <f>(C2109-C2093)/C2093</f>
        <v>3.7338339591155609E-2</v>
      </c>
      <c r="F2109" s="1517" t="s">
        <v>37</v>
      </c>
      <c r="G2109" s="1603" t="s">
        <v>38</v>
      </c>
      <c r="H2109" s="1604" t="s">
        <v>144</v>
      </c>
      <c r="I2109" s="1591" t="s">
        <v>400</v>
      </c>
      <c r="J2109" s="3033" t="s">
        <v>42</v>
      </c>
      <c r="K2109" s="3034"/>
      <c r="L2109" s="3034"/>
      <c r="M2109" s="1199" t="s">
        <v>244</v>
      </c>
      <c r="P2109" s="1200" t="s">
        <v>44</v>
      </c>
      <c r="Q2109" s="1479" t="s">
        <v>45</v>
      </c>
      <c r="R2109" s="1479" t="s">
        <v>46</v>
      </c>
      <c r="S2109" s="1479" t="s">
        <v>47</v>
      </c>
      <c r="T2109" s="1485" t="s">
        <v>48</v>
      </c>
    </row>
    <row r="2110" spans="1:25" hidden="1" outlineLevel="1" x14ac:dyDescent="0.35">
      <c r="A2110" s="1346" t="s">
        <v>389</v>
      </c>
      <c r="B2110" s="1347">
        <v>610</v>
      </c>
      <c r="C2110" s="1348">
        <v>7.98</v>
      </c>
      <c r="D2110" s="1348">
        <f t="shared" ref="D2110" si="453">C2110*B2110</f>
        <v>4867.8</v>
      </c>
      <c r="E2110" s="1641">
        <f>(C2110-C2094)/C2094</f>
        <v>8.4239130434782622E-2</v>
      </c>
      <c r="F2110" s="1486">
        <f t="shared" ref="F2110" si="454">D2110/D$1896</f>
        <v>2.6098180477833993E-2</v>
      </c>
      <c r="G2110" s="1494" t="s">
        <v>228</v>
      </c>
      <c r="H2110" s="1593"/>
      <c r="I2110" s="1591">
        <v>21.1</v>
      </c>
      <c r="J2110" s="3054" t="s">
        <v>416</v>
      </c>
      <c r="K2110" s="3054"/>
      <c r="L2110" s="3054"/>
      <c r="M2110" s="1489" t="str">
        <f t="shared" ref="M2110" si="455">A2110</f>
        <v>SDC</v>
      </c>
      <c r="P2110" s="1200"/>
      <c r="Q2110" s="1529">
        <f>B2110*RIGHT(J2110,4)</f>
        <v>3653.9</v>
      </c>
      <c r="R2110" s="1495">
        <f t="shared" ref="R2110" si="456">D2110</f>
        <v>4867.8</v>
      </c>
      <c r="S2110" s="1510">
        <f t="shared" ref="S2110" si="457">R2110-Q2110</f>
        <v>1213.9000000000001</v>
      </c>
      <c r="T2110" s="1530">
        <f t="shared" ref="T2110" si="458">(R2110-Q2110)/Q2110</f>
        <v>0.332220367278798</v>
      </c>
    </row>
    <row r="2111" spans="1:25" hidden="1" outlineLevel="1" x14ac:dyDescent="0.35">
      <c r="A2111" s="1654" t="s">
        <v>424</v>
      </c>
      <c r="B2111" s="1655">
        <v>280</v>
      </c>
      <c r="C2111" s="1656">
        <v>47.51</v>
      </c>
      <c r="D2111" s="1656">
        <f>C2111*B2111</f>
        <v>13302.8</v>
      </c>
      <c r="E2111" s="1657">
        <f t="shared" ref="E2111:E2118" si="459">(C2111-C2095)/C2095</f>
        <v>0.10411340924936084</v>
      </c>
      <c r="F2111" s="1658"/>
      <c r="G2111" s="1659"/>
      <c r="H2111" s="1660"/>
      <c r="I2111" s="1661"/>
      <c r="J2111" s="3055" t="s">
        <v>425</v>
      </c>
      <c r="K2111" s="3055"/>
      <c r="L2111" s="3055"/>
      <c r="M2111" s="1662" t="str">
        <f>A2111</f>
        <v>VRM</v>
      </c>
      <c r="N2111" s="1663"/>
      <c r="O2111" s="1663"/>
      <c r="P2111" s="1664"/>
      <c r="Q2111" s="1665">
        <f>B2111*RIGHT(J2111,5)</f>
        <v>15618.4</v>
      </c>
      <c r="R2111" s="1666">
        <f>D2111</f>
        <v>13302.8</v>
      </c>
      <c r="S2111" s="1342">
        <f>R2111-Q2111</f>
        <v>-2315.6000000000004</v>
      </c>
      <c r="T2111" s="1667">
        <f>(R2111-Q2111)/Q2111</f>
        <v>-0.14826102545715314</v>
      </c>
    </row>
    <row r="2112" spans="1:25" hidden="1" outlineLevel="1" x14ac:dyDescent="0.35">
      <c r="A2112" s="7" t="s">
        <v>402</v>
      </c>
      <c r="B2112" s="1142">
        <v>250</v>
      </c>
      <c r="C2112" s="1143">
        <v>17.63</v>
      </c>
      <c r="D2112" s="1143">
        <f>C2112*B2112</f>
        <v>4407.5</v>
      </c>
      <c r="E2112" s="1641">
        <f t="shared" si="459"/>
        <v>3.8280329799764347E-2</v>
      </c>
      <c r="F2112" s="1486">
        <f>D2112/D$1896</f>
        <v>2.3630332071172464E-2</v>
      </c>
      <c r="G2112" s="1494" t="s">
        <v>228</v>
      </c>
      <c r="H2112" s="1593" t="s">
        <v>350</v>
      </c>
      <c r="I2112" s="1591">
        <v>19.59</v>
      </c>
      <c r="J2112" s="3054" t="s">
        <v>390</v>
      </c>
      <c r="K2112" s="3054"/>
      <c r="L2112" s="3054"/>
      <c r="M2112" s="1489" t="str">
        <f>A2112</f>
        <v>AVTR</v>
      </c>
      <c r="P2112" s="1200"/>
      <c r="Q2112" s="1665">
        <f>B2112*RIGHT(J2112,5)</f>
        <v>3030</v>
      </c>
      <c r="R2112" s="1495">
        <f>D2112</f>
        <v>4407.5</v>
      </c>
      <c r="S2112" s="1510">
        <f>R2112-Q2112</f>
        <v>1377.5</v>
      </c>
      <c r="T2112" s="1530">
        <f>(R2112-Q2112)/Q2112</f>
        <v>0.4546204620462046</v>
      </c>
    </row>
    <row r="2113" spans="1:20" hidden="1" outlineLevel="1" x14ac:dyDescent="0.35">
      <c r="A2113" s="1654" t="s">
        <v>427</v>
      </c>
      <c r="B2113" s="1655">
        <v>123</v>
      </c>
      <c r="C2113" s="1656">
        <v>65.900000000000006</v>
      </c>
      <c r="D2113" s="1656">
        <f>C2113*B2113</f>
        <v>8105.7000000000007</v>
      </c>
      <c r="E2113" s="1657">
        <f t="shared" si="459"/>
        <v>2.9687500000000089E-2</v>
      </c>
      <c r="F2113" s="1658"/>
      <c r="G2113" s="1659"/>
      <c r="H2113" s="1660"/>
      <c r="I2113" s="1661"/>
      <c r="J2113" s="3055" t="s">
        <v>428</v>
      </c>
      <c r="K2113" s="3055"/>
      <c r="L2113" s="3055"/>
      <c r="M2113" s="1662" t="str">
        <f>A2113</f>
        <v>NKLA</v>
      </c>
      <c r="N2113" s="1663"/>
      <c r="O2113" s="1663"/>
      <c r="P2113" s="1664"/>
      <c r="Q2113" s="1665">
        <f>B2113*RIGHT(J2113,5)</f>
        <v>9180.7199999999993</v>
      </c>
      <c r="R2113" s="1666">
        <f>D2113</f>
        <v>8105.7000000000007</v>
      </c>
      <c r="S2113" s="1342">
        <f>R2113-Q2113</f>
        <v>-1075.0199999999986</v>
      </c>
      <c r="T2113" s="1667">
        <f>(R2113-Q2113)/Q2113</f>
        <v>-0.11709539121114669</v>
      </c>
    </row>
    <row r="2114" spans="1:20" hidden="1" outlineLevel="1" x14ac:dyDescent="0.35">
      <c r="A2114" s="1346" t="s">
        <v>417</v>
      </c>
      <c r="B2114" s="1347">
        <v>110</v>
      </c>
      <c r="C2114" s="1348">
        <v>227.9</v>
      </c>
      <c r="D2114" s="1348">
        <f t="shared" ref="D2114:D2118" si="460">C2114*B2114</f>
        <v>25069</v>
      </c>
      <c r="E2114" s="1641">
        <f t="shared" si="459"/>
        <v>5.17814288351486E-2</v>
      </c>
      <c r="F2114" s="1486">
        <f t="shared" ref="F2114:F2118" si="461">D2114/D$1896</f>
        <v>0.1344047180243273</v>
      </c>
      <c r="G2114" s="1494">
        <v>68</v>
      </c>
      <c r="H2114" s="1593" t="s">
        <v>145</v>
      </c>
      <c r="I2114" s="1591">
        <v>176.9</v>
      </c>
      <c r="J2114" s="3054" t="s">
        <v>418</v>
      </c>
      <c r="K2114" s="3054"/>
      <c r="L2114" s="3054"/>
      <c r="M2114" s="1489" t="str">
        <f t="shared" ref="M2114:M2118" si="462">A2114</f>
        <v xml:space="preserve">VEEV </v>
      </c>
      <c r="P2114" s="1200"/>
      <c r="Q2114" s="1529">
        <f t="shared" ref="Q2114:Q2118" si="463">B2114*RIGHT(J2114,6)</f>
        <v>14361.6</v>
      </c>
      <c r="R2114" s="1495">
        <f t="shared" ref="R2114:R2118" si="464">D2114</f>
        <v>25069</v>
      </c>
      <c r="S2114" s="1510">
        <f t="shared" ref="S2114:S2118" si="465">R2114-Q2114</f>
        <v>10707.4</v>
      </c>
      <c r="T2114" s="1530">
        <f t="shared" ref="T2114:T2118" si="466">(R2114-Q2114)/Q2114</f>
        <v>0.74555759803921562</v>
      </c>
    </row>
    <row r="2115" spans="1:20" hidden="1" outlineLevel="1" x14ac:dyDescent="0.35">
      <c r="A2115" s="7" t="s">
        <v>96</v>
      </c>
      <c r="B2115" s="1142">
        <v>100</v>
      </c>
      <c r="C2115" s="1143">
        <v>587.53</v>
      </c>
      <c r="D2115" s="1143">
        <f t="shared" si="460"/>
        <v>58753</v>
      </c>
      <c r="E2115" s="1641">
        <f t="shared" si="459"/>
        <v>5.2148063251016293E-2</v>
      </c>
      <c r="F2115" s="1486">
        <f t="shared" si="461"/>
        <v>0.31499782193479203</v>
      </c>
      <c r="G2115" s="1494">
        <v>40</v>
      </c>
      <c r="H2115" s="1593" t="s">
        <v>350</v>
      </c>
      <c r="I2115" s="1591">
        <v>619</v>
      </c>
      <c r="J2115" s="3054" t="s">
        <v>407</v>
      </c>
      <c r="K2115" s="3054"/>
      <c r="L2115" s="3054"/>
      <c r="M2115" s="1489" t="str">
        <f t="shared" si="462"/>
        <v>ISRG</v>
      </c>
      <c r="P2115" s="1200"/>
      <c r="Q2115" s="1529">
        <f t="shared" si="463"/>
        <v>56436</v>
      </c>
      <c r="R2115" s="1495">
        <f t="shared" si="464"/>
        <v>58753</v>
      </c>
      <c r="S2115" s="1510">
        <f t="shared" si="465"/>
        <v>2317</v>
      </c>
      <c r="T2115" s="1530">
        <f t="shared" si="466"/>
        <v>4.1055354738110429E-2</v>
      </c>
    </row>
    <row r="2116" spans="1:20" hidden="1" outlineLevel="1" x14ac:dyDescent="0.35">
      <c r="A2116" s="1346" t="s">
        <v>391</v>
      </c>
      <c r="B2116" s="1347">
        <v>100.498</v>
      </c>
      <c r="C2116" s="1348">
        <v>349.72</v>
      </c>
      <c r="D2116" s="1348">
        <f t="shared" si="460"/>
        <v>35146.160560000004</v>
      </c>
      <c r="E2116" s="1641">
        <f t="shared" si="459"/>
        <v>3.2231404958677733E-2</v>
      </c>
      <c r="F2116" s="1486">
        <f t="shared" si="461"/>
        <v>0.18843231878832556</v>
      </c>
      <c r="G2116" s="1494">
        <v>22</v>
      </c>
      <c r="H2116" s="1593" t="s">
        <v>145</v>
      </c>
      <c r="I2116" s="1591">
        <v>327.85</v>
      </c>
      <c r="J2116" s="3054" t="s">
        <v>408</v>
      </c>
      <c r="K2116" s="3054"/>
      <c r="L2116" s="3054"/>
      <c r="M2116" s="1489" t="str">
        <f t="shared" si="462"/>
        <v>APPL</v>
      </c>
      <c r="P2116" s="1200"/>
      <c r="Q2116" s="1508">
        <f t="shared" si="463"/>
        <v>31307.13696</v>
      </c>
      <c r="R2116" s="1491">
        <f t="shared" si="464"/>
        <v>35146.160560000004</v>
      </c>
      <c r="S2116" s="1510">
        <f t="shared" si="465"/>
        <v>3839.0236000000041</v>
      </c>
      <c r="T2116" s="1530">
        <f t="shared" si="466"/>
        <v>0.12262455059065241</v>
      </c>
    </row>
    <row r="2117" spans="1:20" hidden="1" outlineLevel="1" x14ac:dyDescent="0.35">
      <c r="A2117" s="7" t="s">
        <v>394</v>
      </c>
      <c r="B2117" s="1142">
        <v>95</v>
      </c>
      <c r="C2117" s="1143">
        <v>710.68</v>
      </c>
      <c r="D2117" s="1143">
        <f t="shared" si="460"/>
        <v>67514.599999999991</v>
      </c>
      <c r="E2117" s="1641">
        <f t="shared" si="459"/>
        <v>6.3748896106811836E-2</v>
      </c>
      <c r="F2117" s="1486">
        <f t="shared" si="461"/>
        <v>0.36197218778272949</v>
      </c>
      <c r="G2117" s="1494">
        <v>77</v>
      </c>
      <c r="H2117" s="1593" t="s">
        <v>216</v>
      </c>
      <c r="I2117" s="1591">
        <v>746.7</v>
      </c>
      <c r="J2117" s="3054" t="s">
        <v>409</v>
      </c>
      <c r="K2117" s="3054"/>
      <c r="L2117" s="3054"/>
      <c r="M2117" s="1489" t="str">
        <f t="shared" si="462"/>
        <v>CSGP</v>
      </c>
      <c r="P2117" s="1200"/>
      <c r="Q2117" s="1529">
        <f t="shared" si="463"/>
        <v>61923.850000000006</v>
      </c>
      <c r="R2117" s="1495">
        <f t="shared" si="464"/>
        <v>67514.599999999991</v>
      </c>
      <c r="S2117" s="1510">
        <f t="shared" si="465"/>
        <v>5590.7499999999854</v>
      </c>
      <c r="T2117" s="1530">
        <f t="shared" si="466"/>
        <v>9.02842765751804E-2</v>
      </c>
    </row>
    <row r="2118" spans="1:20" hidden="1" outlineLevel="1" x14ac:dyDescent="0.35">
      <c r="A2118" s="1346" t="s">
        <v>137</v>
      </c>
      <c r="B2118" s="1347">
        <v>90</v>
      </c>
      <c r="C2118" s="1348">
        <v>257.08999999999997</v>
      </c>
      <c r="D2118" s="1348">
        <f t="shared" si="460"/>
        <v>23138.1</v>
      </c>
      <c r="E2118" s="1641">
        <f t="shared" si="459"/>
        <v>6.3761999337967432E-2</v>
      </c>
      <c r="F2118" s="1486">
        <f t="shared" si="461"/>
        <v>0.12405240759977211</v>
      </c>
      <c r="G2118" s="1494">
        <v>23</v>
      </c>
      <c r="H2118" s="1488" t="s">
        <v>145</v>
      </c>
      <c r="I2118" s="1631">
        <v>322.14</v>
      </c>
      <c r="J2118" s="3054" t="s">
        <v>419</v>
      </c>
      <c r="K2118" s="3054"/>
      <c r="L2118" s="3054"/>
      <c r="M2118" s="1489" t="str">
        <f t="shared" si="462"/>
        <v>ABMD</v>
      </c>
      <c r="P2118" s="1632"/>
      <c r="Q2118" s="1529">
        <f t="shared" si="463"/>
        <v>12378.599999999999</v>
      </c>
      <c r="R2118" s="1495">
        <f t="shared" si="464"/>
        <v>23138.1</v>
      </c>
      <c r="S2118" s="1510">
        <f t="shared" si="465"/>
        <v>10759.5</v>
      </c>
      <c r="T2118" s="1530">
        <f t="shared" si="466"/>
        <v>0.86920168678202714</v>
      </c>
    </row>
    <row r="2119" spans="1:20" ht="16" hidden="1" outlineLevel="1" thickBot="1" x14ac:dyDescent="0.4">
      <c r="A2119" s="7" t="s">
        <v>7</v>
      </c>
      <c r="B2119" s="1142"/>
      <c r="C2119" s="1143"/>
      <c r="D2119" s="1143">
        <v>1910.02</v>
      </c>
      <c r="E2119" s="32"/>
      <c r="F2119" s="1499">
        <f>D2119/D$1601</f>
        <v>6.6415544357138851E-3</v>
      </c>
      <c r="G2119" s="1418"/>
      <c r="H2119" s="1500"/>
      <c r="I2119" s="1501"/>
      <c r="J2119" s="1633"/>
      <c r="K2119" s="1634"/>
      <c r="L2119" s="1634"/>
      <c r="R2119" s="1532">
        <f>SUM(R2110:R2117)</f>
        <v>217166.56056000001</v>
      </c>
      <c r="S2119" s="1532">
        <f>SUM(S2110:S2117)</f>
        <v>21654.95359999999</v>
      </c>
      <c r="T2119" s="1668">
        <f>AVERAGE(T2110:T2118)</f>
        <v>0.2655786532646543</v>
      </c>
    </row>
    <row r="2120" spans="1:20" ht="16" hidden="1" outlineLevel="1" thickBot="1" x14ac:dyDescent="0.4">
      <c r="A2120" s="1346" t="s">
        <v>60</v>
      </c>
      <c r="B2120" s="1347"/>
      <c r="C2120" s="1348"/>
      <c r="D2120" s="1348">
        <v>313.45999999999998</v>
      </c>
      <c r="E2120" s="32"/>
      <c r="F2120" s="1503">
        <f>D2120/D$1554</f>
        <v>1.0333511052844869E-3</v>
      </c>
      <c r="G2120" s="1504"/>
      <c r="H2120" s="1505"/>
      <c r="I2120" s="1290">
        <f>SUM(I2119:I2119)</f>
        <v>0</v>
      </c>
      <c r="J2120" s="1468"/>
      <c r="K2120" s="1151"/>
      <c r="L2120" s="1151"/>
      <c r="R2120" s="1470" t="str">
        <f>IF(SUM(D2110:D2117)&lt;&gt;R2119,"Out of Balance","Balances")</f>
        <v>Balances</v>
      </c>
    </row>
    <row r="2121" spans="1:20" ht="19" hidden="1" outlineLevel="1" thickBot="1" x14ac:dyDescent="0.5">
      <c r="A2121" s="726" t="s">
        <v>62</v>
      </c>
      <c r="B2121" s="583"/>
      <c r="C2121" s="584"/>
      <c r="D2121" s="1649">
        <f>SUM(D2110:D2120)</f>
        <v>242528.14056</v>
      </c>
      <c r="E2121" s="1538">
        <f>D2121-D2105</f>
        <v>12741.268159999978</v>
      </c>
      <c r="F2121" s="1545">
        <f>(D2121-D2105)/D2105</f>
        <v>5.5448198702233505E-2</v>
      </c>
    </row>
    <row r="2122" spans="1:20" hidden="1" outlineLevel="1" x14ac:dyDescent="0.35"/>
    <row r="2123" spans="1:20" ht="16" hidden="1" outlineLevel="1" thickBot="1" x14ac:dyDescent="0.4">
      <c r="A2123" s="1619" t="s">
        <v>25</v>
      </c>
      <c r="B2123" s="1620" t="s">
        <v>26</v>
      </c>
      <c r="C2123" s="1621" t="s">
        <v>27</v>
      </c>
      <c r="D2123" s="1622">
        <f>D2107+7</f>
        <v>44008</v>
      </c>
      <c r="E2123" s="1623" t="s">
        <v>28</v>
      </c>
      <c r="F2123" s="3082" t="s">
        <v>410</v>
      </c>
      <c r="G2123" s="3083"/>
      <c r="H2123" s="3083"/>
      <c r="I2123" s="1182"/>
      <c r="J2123" s="1183" t="s">
        <v>233</v>
      </c>
    </row>
    <row r="2124" spans="1:20" ht="16" hidden="1" outlineLevel="1" thickBot="1" x14ac:dyDescent="0.4">
      <c r="A2124" s="1584" t="s">
        <v>32</v>
      </c>
      <c r="B2124" s="1585" t="str">
        <f ca="1">TEXT(TODAY(),"ddd")</f>
        <v>Sun</v>
      </c>
      <c r="C2124" s="1586">
        <v>25015</v>
      </c>
      <c r="D2124" s="1587">
        <f>C2124-C2108</f>
        <v>-860</v>
      </c>
      <c r="E2124" s="1641">
        <f>(C2124-C2108)/C2108</f>
        <v>-3.3236714975845412E-2</v>
      </c>
      <c r="F2124" s="3097"/>
      <c r="G2124" s="3085"/>
      <c r="H2124" s="3086"/>
      <c r="I2124" s="1602"/>
      <c r="J2124" s="1188" t="s">
        <v>234</v>
      </c>
      <c r="K2124" s="1220" t="s">
        <v>34</v>
      </c>
      <c r="L2124" s="111" t="s">
        <v>35</v>
      </c>
    </row>
    <row r="2125" spans="1:20" hidden="1" outlineLevel="1" x14ac:dyDescent="0.35">
      <c r="A2125" s="709" t="s">
        <v>36</v>
      </c>
      <c r="B2125" s="263"/>
      <c r="C2125" s="419">
        <v>9757</v>
      </c>
      <c r="D2125" s="1587">
        <f>C2125-C2109</f>
        <v>-189</v>
      </c>
      <c r="E2125" s="1641">
        <f t="shared" ref="E2125:E2126" si="467">(C2125-C2109)/C2109</f>
        <v>-1.9002614116227629E-2</v>
      </c>
      <c r="F2125" s="1517" t="s">
        <v>37</v>
      </c>
      <c r="G2125" s="1603" t="s">
        <v>38</v>
      </c>
      <c r="H2125" s="1604" t="s">
        <v>144</v>
      </c>
      <c r="I2125" s="1591" t="s">
        <v>400</v>
      </c>
      <c r="J2125" s="3033" t="s">
        <v>42</v>
      </c>
      <c r="K2125" s="3034"/>
      <c r="L2125" s="3034"/>
      <c r="M2125" s="1199" t="s">
        <v>244</v>
      </c>
      <c r="P2125" s="1200" t="s">
        <v>44</v>
      </c>
      <c r="Q2125" s="1479" t="s">
        <v>45</v>
      </c>
      <c r="R2125" s="1479" t="s">
        <v>46</v>
      </c>
      <c r="S2125" s="1479" t="s">
        <v>47</v>
      </c>
      <c r="T2125" s="1485" t="s">
        <v>48</v>
      </c>
    </row>
    <row r="2126" spans="1:20" hidden="1" outlineLevel="1" x14ac:dyDescent="0.35">
      <c r="A2126" s="1346" t="s">
        <v>389</v>
      </c>
      <c r="B2126" s="1347">
        <v>610</v>
      </c>
      <c r="C2126" s="1348">
        <v>7.5</v>
      </c>
      <c r="D2126" s="1348">
        <f t="shared" ref="D2126" si="468">C2126*B2126</f>
        <v>4575</v>
      </c>
      <c r="E2126" s="1641">
        <f t="shared" si="467"/>
        <v>-6.0150375939849676E-2</v>
      </c>
      <c r="F2126" s="1486">
        <f t="shared" ref="F2126" si="469">D2126/D$1896</f>
        <v>2.4528365110746235E-2</v>
      </c>
      <c r="G2126" s="1494" t="s">
        <v>228</v>
      </c>
      <c r="H2126" s="1593"/>
      <c r="I2126" s="1591">
        <v>21.1</v>
      </c>
      <c r="J2126" s="3054" t="s">
        <v>416</v>
      </c>
      <c r="K2126" s="3054"/>
      <c r="L2126" s="3054"/>
      <c r="M2126" s="1489" t="str">
        <f t="shared" ref="M2126" si="470">A2126</f>
        <v>SDC</v>
      </c>
      <c r="P2126" s="1200"/>
      <c r="Q2126" s="1529">
        <f>B2126*RIGHT(J2126,4)</f>
        <v>3653.9</v>
      </c>
      <c r="R2126" s="1495">
        <f t="shared" ref="R2126" si="471">D2126</f>
        <v>4575</v>
      </c>
      <c r="S2126" s="1510">
        <f t="shared" ref="S2126" si="472">R2126-Q2126</f>
        <v>921.09999999999991</v>
      </c>
      <c r="T2126" s="1530">
        <f t="shared" ref="T2126" si="473">(R2126-Q2126)/Q2126</f>
        <v>0.25208681135225375</v>
      </c>
    </row>
    <row r="2127" spans="1:20" hidden="1" outlineLevel="1" x14ac:dyDescent="0.35">
      <c r="A2127" s="7" t="s">
        <v>402</v>
      </c>
      <c r="B2127" s="1142">
        <v>250</v>
      </c>
      <c r="C2127" s="1143">
        <v>16.760000000000002</v>
      </c>
      <c r="D2127" s="1143">
        <f>C2127*B2127</f>
        <v>4190</v>
      </c>
      <c r="E2127" s="1641">
        <f>(C2127-C2112)/C2112</f>
        <v>-4.9347702779353235E-2</v>
      </c>
      <c r="F2127" s="1486">
        <f>D2127/D$1896</f>
        <v>2.2464229467546826E-2</v>
      </c>
      <c r="G2127" s="1494" t="s">
        <v>228</v>
      </c>
      <c r="H2127" s="1593" t="s">
        <v>350</v>
      </c>
      <c r="I2127" s="1591">
        <v>19.59</v>
      </c>
      <c r="J2127" s="3054" t="s">
        <v>390</v>
      </c>
      <c r="K2127" s="3054"/>
      <c r="L2127" s="3054"/>
      <c r="M2127" s="1489" t="str">
        <f>A2127</f>
        <v>AVTR</v>
      </c>
      <c r="P2127" s="1200"/>
      <c r="Q2127" s="1529">
        <f>B2127*RIGHT(J2127,6)</f>
        <v>3030</v>
      </c>
      <c r="R2127" s="1495">
        <f>D2127</f>
        <v>4190</v>
      </c>
      <c r="S2127" s="1510">
        <f>R2127-Q2127</f>
        <v>1160</v>
      </c>
      <c r="T2127" s="1530">
        <f>(R2127-Q2127)/Q2127</f>
        <v>0.38283828382838286</v>
      </c>
    </row>
    <row r="2128" spans="1:20" hidden="1" outlineLevel="1" x14ac:dyDescent="0.35">
      <c r="A2128" s="1346" t="s">
        <v>417</v>
      </c>
      <c r="B2128" s="1347">
        <v>110</v>
      </c>
      <c r="C2128" s="1348">
        <v>234.93</v>
      </c>
      <c r="D2128" s="1348">
        <f t="shared" ref="D2128:D2132" si="474">C2128*B2128</f>
        <v>25842.3</v>
      </c>
      <c r="E2128" s="1641">
        <f>(C2128-C2114)/C2114</f>
        <v>3.0846862659060996E-2</v>
      </c>
      <c r="F2128" s="1486">
        <f t="shared" ref="F2128:F2132" si="475">D2128/D$1896</f>
        <v>0.13855068190195352</v>
      </c>
      <c r="G2128" s="1494">
        <v>68</v>
      </c>
      <c r="H2128" s="1593" t="s">
        <v>145</v>
      </c>
      <c r="I2128" s="1591">
        <v>176.9</v>
      </c>
      <c r="J2128" s="3054" t="s">
        <v>418</v>
      </c>
      <c r="K2128" s="3054"/>
      <c r="L2128" s="3054"/>
      <c r="M2128" s="1489" t="str">
        <f t="shared" ref="M2128:M2132" si="476">A2128</f>
        <v xml:space="preserve">VEEV </v>
      </c>
      <c r="P2128" s="1200"/>
      <c r="Q2128" s="1529">
        <f t="shared" ref="Q2128:Q2132" si="477">B2128*RIGHT(J2128,6)</f>
        <v>14361.6</v>
      </c>
      <c r="R2128" s="1495">
        <f t="shared" ref="R2128:R2132" si="478">D2128</f>
        <v>25842.3</v>
      </c>
      <c r="S2128" s="1510">
        <f t="shared" ref="S2128:S2132" si="479">R2128-Q2128</f>
        <v>11480.699999999999</v>
      </c>
      <c r="T2128" s="1530">
        <f t="shared" ref="T2128:T2132" si="480">(R2128-Q2128)/Q2128</f>
        <v>0.79940257352941169</v>
      </c>
    </row>
    <row r="2129" spans="1:20" hidden="1" outlineLevel="1" x14ac:dyDescent="0.35">
      <c r="A2129" s="7" t="s">
        <v>96</v>
      </c>
      <c r="B2129" s="1142">
        <v>100</v>
      </c>
      <c r="C2129" s="1143">
        <v>549.85</v>
      </c>
      <c r="D2129" s="1143">
        <f t="shared" si="474"/>
        <v>54985</v>
      </c>
      <c r="E2129" s="1641">
        <f>(C2129-C2115)/C2115</f>
        <v>-6.4132895341514395E-2</v>
      </c>
      <c r="F2129" s="1486">
        <f t="shared" si="475"/>
        <v>0.29479609958784297</v>
      </c>
      <c r="G2129" s="1494">
        <v>40</v>
      </c>
      <c r="H2129" s="1593" t="s">
        <v>350</v>
      </c>
      <c r="I2129" s="1591">
        <v>619</v>
      </c>
      <c r="J2129" s="3054" t="s">
        <v>407</v>
      </c>
      <c r="K2129" s="3054"/>
      <c r="L2129" s="3054"/>
      <c r="M2129" s="1489" t="str">
        <f t="shared" si="476"/>
        <v>ISRG</v>
      </c>
      <c r="P2129" s="1200"/>
      <c r="Q2129" s="1529">
        <f t="shared" si="477"/>
        <v>56436</v>
      </c>
      <c r="R2129" s="1495">
        <f t="shared" si="478"/>
        <v>54985</v>
      </c>
      <c r="S2129" s="1492">
        <f t="shared" si="479"/>
        <v>-1451</v>
      </c>
      <c r="T2129" s="1493">
        <f t="shared" si="480"/>
        <v>-2.5710539372032035E-2</v>
      </c>
    </row>
    <row r="2130" spans="1:20" hidden="1" outlineLevel="1" x14ac:dyDescent="0.35">
      <c r="A2130" s="1346" t="s">
        <v>391</v>
      </c>
      <c r="B2130" s="1347">
        <v>100.498</v>
      </c>
      <c r="C2130" s="1348">
        <v>353.63</v>
      </c>
      <c r="D2130" s="1348">
        <f t="shared" si="474"/>
        <v>35539.107739999999</v>
      </c>
      <c r="E2130" s="1641">
        <f>(C2130-C2116)/C2116</f>
        <v>1.1180372869724259E-2</v>
      </c>
      <c r="F2130" s="1486">
        <f t="shared" si="475"/>
        <v>0.19053906237308579</v>
      </c>
      <c r="G2130" s="1494">
        <v>22</v>
      </c>
      <c r="H2130" s="1593" t="s">
        <v>145</v>
      </c>
      <c r="I2130" s="1591">
        <v>327.85</v>
      </c>
      <c r="J2130" s="3054" t="s">
        <v>408</v>
      </c>
      <c r="K2130" s="3054"/>
      <c r="L2130" s="3054"/>
      <c r="M2130" s="1489" t="str">
        <f t="shared" si="476"/>
        <v>APPL</v>
      </c>
      <c r="P2130" s="1200"/>
      <c r="Q2130" s="1508">
        <f t="shared" si="477"/>
        <v>31307.13696</v>
      </c>
      <c r="R2130" s="1491">
        <f t="shared" si="478"/>
        <v>35539.107739999999</v>
      </c>
      <c r="S2130" s="1510">
        <f t="shared" si="479"/>
        <v>4231.9707799999996</v>
      </c>
      <c r="T2130" s="1530">
        <f t="shared" si="480"/>
        <v>0.13517591165896251</v>
      </c>
    </row>
    <row r="2131" spans="1:20" hidden="1" outlineLevel="1" x14ac:dyDescent="0.35">
      <c r="A2131" s="7" t="s">
        <v>394</v>
      </c>
      <c r="B2131" s="1142">
        <v>95</v>
      </c>
      <c r="C2131" s="1143">
        <v>691.07</v>
      </c>
      <c r="D2131" s="1143">
        <f t="shared" si="474"/>
        <v>65651.650000000009</v>
      </c>
      <c r="E2131" s="1641">
        <f>(C2131-C2117)/C2117</f>
        <v>-2.7593290932627766E-2</v>
      </c>
      <c r="F2131" s="1486">
        <f t="shared" si="475"/>
        <v>0.35198418389572095</v>
      </c>
      <c r="G2131" s="1494">
        <v>77</v>
      </c>
      <c r="H2131" s="1593" t="s">
        <v>216</v>
      </c>
      <c r="I2131" s="1591">
        <v>746.7</v>
      </c>
      <c r="J2131" s="3054" t="s">
        <v>409</v>
      </c>
      <c r="K2131" s="3054"/>
      <c r="L2131" s="3054"/>
      <c r="M2131" s="1489" t="str">
        <f t="shared" si="476"/>
        <v>CSGP</v>
      </c>
      <c r="P2131" s="1200"/>
      <c r="Q2131" s="1529">
        <f t="shared" si="477"/>
        <v>61923.850000000006</v>
      </c>
      <c r="R2131" s="1495">
        <f t="shared" si="478"/>
        <v>65651.650000000009</v>
      </c>
      <c r="S2131" s="1510">
        <f t="shared" si="479"/>
        <v>3727.8000000000029</v>
      </c>
      <c r="T2131" s="1530">
        <f t="shared" si="480"/>
        <v>6.0199745332371976E-2</v>
      </c>
    </row>
    <row r="2132" spans="1:20" hidden="1" outlineLevel="1" x14ac:dyDescent="0.35">
      <c r="A2132" s="1346" t="s">
        <v>137</v>
      </c>
      <c r="B2132" s="1347">
        <v>90</v>
      </c>
      <c r="C2132" s="1348">
        <v>239.27</v>
      </c>
      <c r="D2132" s="1348">
        <f t="shared" si="474"/>
        <v>21534.3</v>
      </c>
      <c r="E2132" s="1641">
        <f>(C2132-C2118)/C2118</f>
        <v>-6.9314247928740774E-2</v>
      </c>
      <c r="F2132" s="1486">
        <f t="shared" si="475"/>
        <v>0.11545380826324429</v>
      </c>
      <c r="G2132" s="1494">
        <v>23</v>
      </c>
      <c r="H2132" s="1488" t="s">
        <v>145</v>
      </c>
      <c r="I2132" s="1631">
        <v>322.14</v>
      </c>
      <c r="J2132" s="3054" t="s">
        <v>419</v>
      </c>
      <c r="K2132" s="3054"/>
      <c r="L2132" s="3054"/>
      <c r="M2132" s="1489" t="str">
        <f t="shared" si="476"/>
        <v>ABMD</v>
      </c>
      <c r="P2132" s="1632"/>
      <c r="Q2132" s="1529">
        <f t="shared" si="477"/>
        <v>12378.599999999999</v>
      </c>
      <c r="R2132" s="1495">
        <f t="shared" si="478"/>
        <v>21534.3</v>
      </c>
      <c r="S2132" s="1510">
        <f t="shared" si="479"/>
        <v>9155.7000000000007</v>
      </c>
      <c r="T2132" s="1530">
        <f t="shared" si="480"/>
        <v>0.73963937763559706</v>
      </c>
    </row>
    <row r="2133" spans="1:20" ht="16" hidden="1" outlineLevel="1" thickBot="1" x14ac:dyDescent="0.4">
      <c r="A2133" s="7" t="s">
        <v>7</v>
      </c>
      <c r="B2133" s="1142"/>
      <c r="C2133" s="1143"/>
      <c r="D2133" s="1143">
        <v>1901.12</v>
      </c>
      <c r="E2133" s="32"/>
      <c r="F2133" s="1499">
        <f>D2133/D$1601</f>
        <v>6.6106072024504359E-3</v>
      </c>
      <c r="G2133" s="1418"/>
      <c r="H2133" s="1500"/>
      <c r="I2133" s="1501"/>
      <c r="J2133" s="1633"/>
      <c r="K2133" s="1634"/>
      <c r="L2133" s="1634"/>
      <c r="R2133" s="1532">
        <f>SUM(R2126:R2131)</f>
        <v>190783.05774000002</v>
      </c>
      <c r="S2133" s="1532">
        <f>SUM(S2126:S2131)</f>
        <v>20070.570780000002</v>
      </c>
      <c r="T2133" s="1668">
        <f>AVERAGE(T2126:T2132)</f>
        <v>0.33480459485213537</v>
      </c>
    </row>
    <row r="2134" spans="1:20" ht="16" hidden="1" outlineLevel="1" thickBot="1" x14ac:dyDescent="0.4">
      <c r="A2134" s="1346" t="s">
        <v>60</v>
      </c>
      <c r="B2134" s="1347"/>
      <c r="C2134" s="1348"/>
      <c r="D2134" s="1348">
        <v>22483.69</v>
      </c>
      <c r="E2134" s="32"/>
      <c r="F2134" s="1503">
        <f>D2134/D$1554</f>
        <v>7.4119651350646854E-2</v>
      </c>
      <c r="G2134" s="1504"/>
      <c r="H2134" s="1505"/>
      <c r="I2134" s="1290">
        <f>SUM(I2133:I2133)</f>
        <v>0</v>
      </c>
      <c r="J2134" s="1468"/>
      <c r="K2134" s="1151"/>
      <c r="L2134" s="1151"/>
      <c r="R2134" s="1470" t="str">
        <f>IF(SUM(D2126:D2131)&lt;&gt;R2133,"Out of Balance","Balances")</f>
        <v>Balances</v>
      </c>
    </row>
    <row r="2135" spans="1:20" ht="19" hidden="1" outlineLevel="1" thickBot="1" x14ac:dyDescent="0.5">
      <c r="A2135" s="726" t="s">
        <v>62</v>
      </c>
      <c r="B2135" s="583"/>
      <c r="C2135" s="584"/>
      <c r="D2135" s="1670">
        <f>SUM(D2126:D2134)</f>
        <v>236702.16774</v>
      </c>
      <c r="E2135" s="73">
        <f>D2135-D2121</f>
        <v>-5825.9728199999954</v>
      </c>
      <c r="F2135" s="1537">
        <f>(D2135-D2121)/D2121</f>
        <v>-2.4021842605760155E-2</v>
      </c>
      <c r="H2135" s="1645">
        <f>SUM(E2135,E2121,E2105,E2097,E2089)</f>
        <v>1559.323619999981</v>
      </c>
      <c r="I2135" s="1646" t="str">
        <f>TEXT(D2123,"mmmm")</f>
        <v>June</v>
      </c>
    </row>
    <row r="2136" spans="1:20" hidden="1" outlineLevel="1" x14ac:dyDescent="0.35"/>
    <row r="2137" spans="1:20" ht="16" hidden="1" outlineLevel="1" thickBot="1" x14ac:dyDescent="0.4">
      <c r="A2137" s="1619" t="s">
        <v>25</v>
      </c>
      <c r="B2137" s="1620" t="s">
        <v>26</v>
      </c>
      <c r="C2137" s="1621" t="s">
        <v>27</v>
      </c>
      <c r="D2137" s="1622">
        <f>D2123+7</f>
        <v>44015</v>
      </c>
      <c r="E2137" s="1623" t="s">
        <v>28</v>
      </c>
      <c r="F2137" s="3082" t="s">
        <v>410</v>
      </c>
      <c r="G2137" s="3083"/>
      <c r="H2137" s="3083"/>
      <c r="I2137" s="1182"/>
      <c r="J2137" s="1183" t="s">
        <v>233</v>
      </c>
    </row>
    <row r="2138" spans="1:20" ht="16" hidden="1" outlineLevel="1" thickBot="1" x14ac:dyDescent="0.4">
      <c r="A2138" s="1584" t="s">
        <v>32</v>
      </c>
      <c r="B2138" s="1585" t="str">
        <f ca="1">TEXT(TODAY(),"ddd")</f>
        <v>Sun</v>
      </c>
      <c r="C2138" s="1586">
        <v>25827</v>
      </c>
      <c r="D2138" s="1587">
        <f>C2138-C2124</f>
        <v>812</v>
      </c>
      <c r="E2138" s="1641">
        <f>(C2138-C2124)/C2124</f>
        <v>3.2460523685788528E-2</v>
      </c>
      <c r="F2138" s="3097"/>
      <c r="G2138" s="3085"/>
      <c r="H2138" s="3086"/>
      <c r="I2138" s="1602"/>
      <c r="J2138" s="1188" t="s">
        <v>234</v>
      </c>
      <c r="K2138" s="1220" t="s">
        <v>34</v>
      </c>
      <c r="L2138" s="111" t="s">
        <v>35</v>
      </c>
    </row>
    <row r="2139" spans="1:20" hidden="1" outlineLevel="1" x14ac:dyDescent="0.35">
      <c r="A2139" s="709" t="s">
        <v>36</v>
      </c>
      <c r="B2139" s="263"/>
      <c r="C2139" s="419">
        <v>10207</v>
      </c>
      <c r="D2139" s="1587">
        <f>C2139-C2125</f>
        <v>450</v>
      </c>
      <c r="E2139" s="1641">
        <f t="shared" ref="E2139:E2146" si="481">(C2139-C2125)/C2125</f>
        <v>4.6120733832120529E-2</v>
      </c>
      <c r="F2139" s="1517" t="s">
        <v>37</v>
      </c>
      <c r="G2139" s="1603" t="s">
        <v>38</v>
      </c>
      <c r="H2139" s="1604" t="s">
        <v>144</v>
      </c>
      <c r="I2139" s="1591" t="s">
        <v>400</v>
      </c>
      <c r="J2139" s="3033" t="s">
        <v>42</v>
      </c>
      <c r="K2139" s="3034"/>
      <c r="L2139" s="3034"/>
      <c r="M2139" s="1199" t="s">
        <v>244</v>
      </c>
      <c r="P2139" s="1200" t="s">
        <v>44</v>
      </c>
      <c r="Q2139" s="1479" t="s">
        <v>45</v>
      </c>
      <c r="R2139" s="1479" t="s">
        <v>46</v>
      </c>
      <c r="S2139" s="1479" t="s">
        <v>47</v>
      </c>
      <c r="T2139" s="1485" t="s">
        <v>48</v>
      </c>
    </row>
    <row r="2140" spans="1:20" hidden="1" outlineLevel="1" x14ac:dyDescent="0.35">
      <c r="A2140" s="1346" t="s">
        <v>389</v>
      </c>
      <c r="B2140" s="1347">
        <v>610</v>
      </c>
      <c r="C2140" s="1348">
        <v>8.1</v>
      </c>
      <c r="D2140" s="1348">
        <f t="shared" ref="D2140" si="482">C2140*B2140</f>
        <v>4941</v>
      </c>
      <c r="E2140" s="1641">
        <f t="shared" si="481"/>
        <v>7.9999999999999946E-2</v>
      </c>
      <c r="F2140" s="1486">
        <f t="shared" ref="F2140" si="483">D2140/D$1896</f>
        <v>2.6490634319605934E-2</v>
      </c>
      <c r="G2140" s="1494" t="s">
        <v>228</v>
      </c>
      <c r="H2140" s="1593"/>
      <c r="I2140" s="1591">
        <v>21.1</v>
      </c>
      <c r="J2140" s="3054" t="s">
        <v>416</v>
      </c>
      <c r="K2140" s="3054"/>
      <c r="L2140" s="3054"/>
      <c r="M2140" s="1489" t="str">
        <f t="shared" ref="M2140" si="484">A2140</f>
        <v>SDC</v>
      </c>
      <c r="P2140" s="1200"/>
      <c r="Q2140" s="1529">
        <f>B2140*RIGHT(J2140,4)</f>
        <v>3653.9</v>
      </c>
      <c r="R2140" s="1495">
        <f t="shared" ref="R2140" si="485">D2140</f>
        <v>4941</v>
      </c>
      <c r="S2140" s="1510">
        <f t="shared" ref="S2140" si="486">R2140-Q2140</f>
        <v>1287.0999999999999</v>
      </c>
      <c r="T2140" s="1530">
        <f t="shared" ref="T2140" si="487">(R2140-Q2140)/Q2140</f>
        <v>0.35225375626043404</v>
      </c>
    </row>
    <row r="2141" spans="1:20" hidden="1" outlineLevel="1" x14ac:dyDescent="0.35">
      <c r="A2141" s="7" t="s">
        <v>402</v>
      </c>
      <c r="B2141" s="1142">
        <v>250</v>
      </c>
      <c r="C2141" s="1143">
        <v>17.5</v>
      </c>
      <c r="D2141" s="1143">
        <f>C2141*B2141</f>
        <v>4375</v>
      </c>
      <c r="E2141" s="1641">
        <f t="shared" si="481"/>
        <v>4.4152744630071503E-2</v>
      </c>
      <c r="F2141" s="1486">
        <f>D2141/D$1896</f>
        <v>2.345608685453875E-2</v>
      </c>
      <c r="G2141" s="1494" t="s">
        <v>228</v>
      </c>
      <c r="H2141" s="1593" t="s">
        <v>350</v>
      </c>
      <c r="I2141" s="1591">
        <v>19.59</v>
      </c>
      <c r="J2141" s="3054" t="s">
        <v>390</v>
      </c>
      <c r="K2141" s="3054"/>
      <c r="L2141" s="3054"/>
      <c r="M2141" s="1489" t="str">
        <f>A2141</f>
        <v>AVTR</v>
      </c>
      <c r="P2141" s="1200"/>
      <c r="Q2141" s="1529">
        <f>B2141*RIGHT(J2141,6)</f>
        <v>3030</v>
      </c>
      <c r="R2141" s="1495">
        <f>D2141</f>
        <v>4375</v>
      </c>
      <c r="S2141" s="1510">
        <f>R2141-Q2141</f>
        <v>1345</v>
      </c>
      <c r="T2141" s="1530">
        <f>(R2141-Q2141)/Q2141</f>
        <v>0.44389438943894388</v>
      </c>
    </row>
    <row r="2142" spans="1:20" hidden="1" outlineLevel="1" x14ac:dyDescent="0.35">
      <c r="A2142" s="1346" t="s">
        <v>417</v>
      </c>
      <c r="B2142" s="1347">
        <v>110</v>
      </c>
      <c r="C2142" s="1348">
        <v>242.03</v>
      </c>
      <c r="D2142" s="1348">
        <f t="shared" ref="D2142:D2146" si="488">C2142*B2142</f>
        <v>26623.3</v>
      </c>
      <c r="E2142" s="1641">
        <f t="shared" si="481"/>
        <v>3.0221768186268226E-2</v>
      </c>
      <c r="F2142" s="1486">
        <f t="shared" ref="F2142:F2146" si="489">D2142/D$1896</f>
        <v>0.14273792849244377</v>
      </c>
      <c r="G2142" s="1494">
        <v>68</v>
      </c>
      <c r="H2142" s="1593" t="s">
        <v>145</v>
      </c>
      <c r="I2142" s="1591">
        <v>176.9</v>
      </c>
      <c r="J2142" s="3054" t="s">
        <v>418</v>
      </c>
      <c r="K2142" s="3054"/>
      <c r="L2142" s="3054"/>
      <c r="M2142" s="1489" t="str">
        <f t="shared" ref="M2142:M2146" si="490">A2142</f>
        <v xml:space="preserve">VEEV </v>
      </c>
      <c r="P2142" s="1200"/>
      <c r="Q2142" s="1529">
        <f t="shared" ref="Q2142:Q2146" si="491">B2142*RIGHT(J2142,6)</f>
        <v>14361.6</v>
      </c>
      <c r="R2142" s="1495">
        <f t="shared" ref="R2142:R2146" si="492">D2142</f>
        <v>26623.3</v>
      </c>
      <c r="S2142" s="1510">
        <f t="shared" ref="S2142:S2146" si="493">R2142-Q2142</f>
        <v>12261.699999999999</v>
      </c>
      <c r="T2142" s="1530">
        <f t="shared" ref="T2142:T2146" si="494">(R2142-Q2142)/Q2142</f>
        <v>0.85378370098039202</v>
      </c>
    </row>
    <row r="2143" spans="1:20" hidden="1" outlineLevel="1" x14ac:dyDescent="0.35">
      <c r="A2143" s="7" t="s">
        <v>96</v>
      </c>
      <c r="B2143" s="1142">
        <v>100</v>
      </c>
      <c r="C2143" s="1143">
        <v>580.48</v>
      </c>
      <c r="D2143" s="1143">
        <f t="shared" si="488"/>
        <v>58048</v>
      </c>
      <c r="E2143" s="1641">
        <f t="shared" si="481"/>
        <v>5.5706101664090193E-2</v>
      </c>
      <c r="F2143" s="1486">
        <f t="shared" si="489"/>
        <v>0.31121804108166062</v>
      </c>
      <c r="G2143" s="1494">
        <v>40</v>
      </c>
      <c r="H2143" s="1593" t="s">
        <v>350</v>
      </c>
      <c r="I2143" s="1591">
        <v>619</v>
      </c>
      <c r="J2143" s="3054" t="s">
        <v>407</v>
      </c>
      <c r="K2143" s="3054"/>
      <c r="L2143" s="3054"/>
      <c r="M2143" s="1489" t="str">
        <f t="shared" si="490"/>
        <v>ISRG</v>
      </c>
      <c r="P2143" s="1200"/>
      <c r="Q2143" s="1529">
        <f t="shared" si="491"/>
        <v>56436</v>
      </c>
      <c r="R2143" s="1495">
        <f t="shared" si="492"/>
        <v>58048</v>
      </c>
      <c r="S2143" s="1510">
        <f t="shared" si="493"/>
        <v>1612</v>
      </c>
      <c r="T2143" s="1530">
        <f t="shared" si="494"/>
        <v>2.8563328371961159E-2</v>
      </c>
    </row>
    <row r="2144" spans="1:20" hidden="1" outlineLevel="1" x14ac:dyDescent="0.35">
      <c r="A2144" s="1346" t="s">
        <v>391</v>
      </c>
      <c r="B2144" s="1347">
        <v>100.498</v>
      </c>
      <c r="C2144" s="1348">
        <v>364.11</v>
      </c>
      <c r="D2144" s="1348">
        <f t="shared" si="488"/>
        <v>36592.326780000003</v>
      </c>
      <c r="E2144" s="1641">
        <f t="shared" si="481"/>
        <v>2.963549472612623E-2</v>
      </c>
      <c r="F2144" s="1486">
        <f t="shared" si="489"/>
        <v>0.19618578175116441</v>
      </c>
      <c r="G2144" s="1494">
        <v>22</v>
      </c>
      <c r="H2144" s="1593" t="s">
        <v>145</v>
      </c>
      <c r="I2144" s="1591">
        <v>327.85</v>
      </c>
      <c r="J2144" s="3054" t="s">
        <v>408</v>
      </c>
      <c r="K2144" s="3054"/>
      <c r="L2144" s="3054"/>
      <c r="M2144" s="1489" t="str">
        <f t="shared" si="490"/>
        <v>APPL</v>
      </c>
      <c r="P2144" s="1200"/>
      <c r="Q2144" s="1508">
        <f t="shared" si="491"/>
        <v>31307.13696</v>
      </c>
      <c r="R2144" s="1491">
        <f t="shared" si="492"/>
        <v>36592.326780000003</v>
      </c>
      <c r="S2144" s="1510">
        <f t="shared" si="493"/>
        <v>5285.1898200000032</v>
      </c>
      <c r="T2144" s="1530">
        <f t="shared" si="494"/>
        <v>0.16881741140215728</v>
      </c>
    </row>
    <row r="2145" spans="1:20" hidden="1" outlineLevel="1" x14ac:dyDescent="0.35">
      <c r="A2145" s="7" t="s">
        <v>394</v>
      </c>
      <c r="B2145" s="1142">
        <v>95</v>
      </c>
      <c r="C2145" s="1143">
        <v>718.11</v>
      </c>
      <c r="D2145" s="1143">
        <f t="shared" si="488"/>
        <v>68220.45</v>
      </c>
      <c r="E2145" s="1641">
        <f t="shared" si="481"/>
        <v>3.9127729463006584E-2</v>
      </c>
      <c r="F2145" s="1486">
        <f t="shared" si="489"/>
        <v>0.36575652581844981</v>
      </c>
      <c r="G2145" s="1494">
        <v>77</v>
      </c>
      <c r="H2145" s="1593" t="s">
        <v>216</v>
      </c>
      <c r="I2145" s="1591">
        <v>746.7</v>
      </c>
      <c r="J2145" s="3054" t="s">
        <v>409</v>
      </c>
      <c r="K2145" s="3054"/>
      <c r="L2145" s="3054"/>
      <c r="M2145" s="1489" t="str">
        <f t="shared" si="490"/>
        <v>CSGP</v>
      </c>
      <c r="P2145" s="1200"/>
      <c r="Q2145" s="1529">
        <f t="shared" si="491"/>
        <v>61923.850000000006</v>
      </c>
      <c r="R2145" s="1495">
        <f t="shared" si="492"/>
        <v>68220.45</v>
      </c>
      <c r="S2145" s="1510">
        <f t="shared" si="493"/>
        <v>6296.5999999999913</v>
      </c>
      <c r="T2145" s="1530">
        <f t="shared" si="494"/>
        <v>0.10168295414448537</v>
      </c>
    </row>
    <row r="2146" spans="1:20" hidden="1" outlineLevel="1" x14ac:dyDescent="0.35">
      <c r="A2146" s="1346" t="s">
        <v>137</v>
      </c>
      <c r="B2146" s="1347">
        <v>90</v>
      </c>
      <c r="C2146" s="1348">
        <v>263.83999999999997</v>
      </c>
      <c r="D2146" s="1348">
        <f t="shared" si="488"/>
        <v>23745.599999999999</v>
      </c>
      <c r="E2146" s="1641">
        <f t="shared" si="481"/>
        <v>0.1026873406611776</v>
      </c>
      <c r="F2146" s="1486">
        <f t="shared" si="489"/>
        <v>0.12730945280300235</v>
      </c>
      <c r="G2146" s="1494">
        <v>23</v>
      </c>
      <c r="H2146" s="1488" t="s">
        <v>145</v>
      </c>
      <c r="I2146" s="1631">
        <v>322.14</v>
      </c>
      <c r="J2146" s="3054" t="s">
        <v>419</v>
      </c>
      <c r="K2146" s="3054"/>
      <c r="L2146" s="3054"/>
      <c r="M2146" s="1489" t="str">
        <f t="shared" si="490"/>
        <v>ABMD</v>
      </c>
      <c r="P2146" s="1632"/>
      <c r="Q2146" s="1529">
        <f t="shared" si="491"/>
        <v>12378.599999999999</v>
      </c>
      <c r="R2146" s="1495">
        <f t="shared" si="492"/>
        <v>23745.599999999999</v>
      </c>
      <c r="S2146" s="1510">
        <f t="shared" si="493"/>
        <v>11367</v>
      </c>
      <c r="T2146" s="1530">
        <f t="shared" si="494"/>
        <v>0.91827831903446278</v>
      </c>
    </row>
    <row r="2147" spans="1:20" ht="16" hidden="1" outlineLevel="1" thickBot="1" x14ac:dyDescent="0.4">
      <c r="A2147" s="7" t="s">
        <v>7</v>
      </c>
      <c r="B2147" s="1142"/>
      <c r="C2147" s="1143"/>
      <c r="D2147" s="1143">
        <v>1901.12</v>
      </c>
      <c r="E2147" s="32"/>
      <c r="F2147" s="1499">
        <f>D2147/D$1601</f>
        <v>6.6106072024504359E-3</v>
      </c>
      <c r="G2147" s="1418"/>
      <c r="H2147" s="1500"/>
      <c r="I2147" s="1501"/>
      <c r="J2147" s="1633"/>
      <c r="K2147" s="1634"/>
      <c r="L2147" s="1634"/>
      <c r="R2147" s="1532">
        <f>SUM(R2140:R2145)</f>
        <v>198800.07678</v>
      </c>
      <c r="S2147" s="1532">
        <f>SUM(S2140:S2145)</f>
        <v>28087.589819999994</v>
      </c>
      <c r="T2147" s="1668">
        <f>AVERAGE(T2140:T2146)</f>
        <v>0.40961055137611951</v>
      </c>
    </row>
    <row r="2148" spans="1:20" ht="16" hidden="1" outlineLevel="1" thickBot="1" x14ac:dyDescent="0.4">
      <c r="A2148" s="1346" t="s">
        <v>60</v>
      </c>
      <c r="B2148" s="1347"/>
      <c r="C2148" s="1348"/>
      <c r="D2148" s="1348">
        <v>22483.69</v>
      </c>
      <c r="E2148" s="32"/>
      <c r="F2148" s="1503">
        <f>D2148/D$1554</f>
        <v>7.4119651350646854E-2</v>
      </c>
      <c r="G2148" s="1504"/>
      <c r="H2148" s="1505"/>
      <c r="I2148" s="1290">
        <f>SUM(I2147:I2147)</f>
        <v>0</v>
      </c>
      <c r="J2148" s="1468"/>
      <c r="K2148" s="1151"/>
      <c r="L2148" s="1151"/>
      <c r="R2148" s="1470" t="str">
        <f>IF(SUM(D2140:D2145)&lt;&gt;R2147,"Out of Balance","Balances")</f>
        <v>Balances</v>
      </c>
    </row>
    <row r="2149" spans="1:20" ht="19" hidden="1" outlineLevel="1" thickBot="1" x14ac:dyDescent="0.5">
      <c r="A2149" s="726" t="s">
        <v>62</v>
      </c>
      <c r="B2149" s="583"/>
      <c r="C2149" s="584"/>
      <c r="D2149" s="1671">
        <f>SUM(D2140:D2148)</f>
        <v>246930.48678000001</v>
      </c>
      <c r="E2149" s="1538">
        <f>D2149-D2135</f>
        <v>10228.319040000002</v>
      </c>
      <c r="F2149" s="1545">
        <f>(D2149-D2135)/D2135</f>
        <v>4.3211767503688693E-2</v>
      </c>
    </row>
    <row r="2150" spans="1:20" hidden="1" outlineLevel="1" x14ac:dyDescent="0.35"/>
    <row r="2151" spans="1:20" ht="16" hidden="1" outlineLevel="1" thickBot="1" x14ac:dyDescent="0.4">
      <c r="A2151" s="1619" t="s">
        <v>25</v>
      </c>
      <c r="B2151" s="1620" t="s">
        <v>26</v>
      </c>
      <c r="C2151" s="1621" t="s">
        <v>27</v>
      </c>
      <c r="D2151" s="1622">
        <f>D2137+7</f>
        <v>44022</v>
      </c>
      <c r="E2151" s="1623" t="s">
        <v>28</v>
      </c>
      <c r="F2151" s="3082" t="s">
        <v>410</v>
      </c>
      <c r="G2151" s="3083"/>
      <c r="H2151" s="3083"/>
      <c r="I2151" s="1182"/>
      <c r="J2151" s="1183" t="s">
        <v>233</v>
      </c>
    </row>
    <row r="2152" spans="1:20" ht="16" hidden="1" outlineLevel="1" thickBot="1" x14ac:dyDescent="0.4">
      <c r="A2152" s="1584" t="s">
        <v>32</v>
      </c>
      <c r="B2152" s="1585" t="str">
        <f ca="1">TEXT(TODAY(),"ddd")</f>
        <v>Sun</v>
      </c>
      <c r="C2152" s="1586">
        <v>26075</v>
      </c>
      <c r="D2152" s="1587">
        <f>C2152-C2138</f>
        <v>248</v>
      </c>
      <c r="E2152" s="1641">
        <f>(C2152-C2138)/C2138</f>
        <v>9.6023541255275489E-3</v>
      </c>
      <c r="F2152" s="3084"/>
      <c r="G2152" s="3085"/>
      <c r="H2152" s="3086"/>
      <c r="I2152" s="1602"/>
      <c r="J2152" s="1188" t="s">
        <v>234</v>
      </c>
      <c r="K2152" s="1220" t="s">
        <v>34</v>
      </c>
      <c r="L2152" s="111" t="s">
        <v>35</v>
      </c>
    </row>
    <row r="2153" spans="1:20" hidden="1" outlineLevel="1" x14ac:dyDescent="0.35">
      <c r="A2153" s="709" t="s">
        <v>36</v>
      </c>
      <c r="B2153" s="263"/>
      <c r="C2153" s="419">
        <v>10617</v>
      </c>
      <c r="D2153" s="1587">
        <f>C2153-C2139</f>
        <v>410</v>
      </c>
      <c r="E2153" s="1641">
        <f t="shared" ref="E2153:E2155" si="495">(C2153-C2139)/C2139</f>
        <v>4.0168511805623593E-2</v>
      </c>
      <c r="F2153" s="1486" t="s">
        <v>37</v>
      </c>
      <c r="G2153" s="1672" t="s">
        <v>38</v>
      </c>
      <c r="H2153" s="1604" t="s">
        <v>144</v>
      </c>
      <c r="I2153" s="1591" t="s">
        <v>400</v>
      </c>
      <c r="J2153" s="3033" t="s">
        <v>42</v>
      </c>
      <c r="K2153" s="3034"/>
      <c r="L2153" s="3034"/>
      <c r="M2153" s="1199" t="s">
        <v>244</v>
      </c>
      <c r="P2153" s="1200" t="s">
        <v>44</v>
      </c>
      <c r="Q2153" s="1479" t="s">
        <v>45</v>
      </c>
      <c r="R2153" s="1479" t="s">
        <v>46</v>
      </c>
      <c r="S2153" s="1479" t="s">
        <v>47</v>
      </c>
      <c r="T2153" s="1485" t="s">
        <v>48</v>
      </c>
    </row>
    <row r="2154" spans="1:20" hidden="1" outlineLevel="1" x14ac:dyDescent="0.35">
      <c r="A2154" s="1346" t="s">
        <v>389</v>
      </c>
      <c r="B2154" s="1347">
        <v>610</v>
      </c>
      <c r="C2154" s="1348">
        <v>8.26</v>
      </c>
      <c r="D2154" s="1348">
        <f t="shared" ref="D2154" si="496">C2154*B2154</f>
        <v>5038.5999999999995</v>
      </c>
      <c r="E2154" s="1641">
        <f t="shared" si="495"/>
        <v>1.9753086419753103E-2</v>
      </c>
      <c r="F2154" s="1486">
        <f t="shared" ref="F2154" si="497">D2154/D$1896</f>
        <v>2.7013906108635185E-2</v>
      </c>
      <c r="G2154" s="1494" t="s">
        <v>228</v>
      </c>
      <c r="H2154" s="1593"/>
      <c r="I2154" s="1591">
        <v>21.1</v>
      </c>
      <c r="J2154" s="3054" t="s">
        <v>416</v>
      </c>
      <c r="K2154" s="3054"/>
      <c r="L2154" s="3054"/>
      <c r="M2154" s="1489" t="str">
        <f t="shared" ref="M2154" si="498">A2154</f>
        <v>SDC</v>
      </c>
      <c r="P2154" s="1200"/>
      <c r="Q2154" s="1529">
        <f>B2154*RIGHT(J2154,4)</f>
        <v>3653.9</v>
      </c>
      <c r="R2154" s="1495">
        <f t="shared" ref="R2154" si="499">D2154</f>
        <v>5038.5999999999995</v>
      </c>
      <c r="S2154" s="1510">
        <f t="shared" ref="S2154" si="500">R2154-Q2154</f>
        <v>1384.6999999999994</v>
      </c>
      <c r="T2154" s="1530">
        <f t="shared" ref="T2154" si="501">(R2154-Q2154)/Q2154</f>
        <v>0.37896494156928195</v>
      </c>
    </row>
    <row r="2155" spans="1:20" hidden="1" outlineLevel="1" x14ac:dyDescent="0.35">
      <c r="A2155" s="7" t="s">
        <v>402</v>
      </c>
      <c r="B2155" s="1142">
        <v>250</v>
      </c>
      <c r="C2155" s="1143">
        <v>18.21</v>
      </c>
      <c r="D2155" s="1143">
        <f>C2155*B2155</f>
        <v>4552.5</v>
      </c>
      <c r="E2155" s="1641">
        <f t="shared" si="495"/>
        <v>4.0571428571428619E-2</v>
      </c>
      <c r="F2155" s="1486">
        <f>D2155/D$1896</f>
        <v>2.4407733806922894E-2</v>
      </c>
      <c r="G2155" s="1494" t="s">
        <v>228</v>
      </c>
      <c r="H2155" s="1593" t="s">
        <v>350</v>
      </c>
      <c r="I2155" s="1591">
        <v>19.59</v>
      </c>
      <c r="J2155" s="3054" t="s">
        <v>390</v>
      </c>
      <c r="K2155" s="3054"/>
      <c r="L2155" s="3054"/>
      <c r="M2155" s="1489" t="str">
        <f>A2155</f>
        <v>AVTR</v>
      </c>
      <c r="P2155" s="1200"/>
      <c r="Q2155" s="1529">
        <f>B2155*RIGHT(J2155,6)</f>
        <v>3030</v>
      </c>
      <c r="R2155" s="1495">
        <f>D2155</f>
        <v>4552.5</v>
      </c>
      <c r="S2155" s="1510">
        <f>R2155-Q2155</f>
        <v>1522.5</v>
      </c>
      <c r="T2155" s="1530">
        <f>(R2155-Q2155)/Q2155</f>
        <v>0.50247524752475248</v>
      </c>
    </row>
    <row r="2156" spans="1:20" hidden="1" outlineLevel="1" x14ac:dyDescent="0.35">
      <c r="A2156" s="1346" t="s">
        <v>391</v>
      </c>
      <c r="B2156" s="1347">
        <v>100.498</v>
      </c>
      <c r="C2156" s="1348">
        <v>383.68</v>
      </c>
      <c r="D2156" s="1348">
        <f t="shared" ref="D2156:D2157" si="502">C2156*B2156</f>
        <v>38559.072640000006</v>
      </c>
      <c r="E2156" s="1641">
        <f>(C2156-C2144)/C2144</f>
        <v>5.3747493889209283E-2</v>
      </c>
      <c r="F2156" s="1486">
        <f t="shared" ref="F2156:F2157" si="503">D2156/D$1896</f>
        <v>0.20673027585698489</v>
      </c>
      <c r="G2156" s="1494">
        <v>22</v>
      </c>
      <c r="H2156" s="1593" t="s">
        <v>145</v>
      </c>
      <c r="I2156" s="1591">
        <v>327.85</v>
      </c>
      <c r="J2156" s="3054" t="s">
        <v>408</v>
      </c>
      <c r="K2156" s="3054"/>
      <c r="L2156" s="3054"/>
      <c r="M2156" s="1489" t="str">
        <f t="shared" ref="M2156:M2157" si="504">A2156</f>
        <v>APPL</v>
      </c>
      <c r="P2156" s="1200"/>
      <c r="Q2156" s="1508">
        <f t="shared" ref="Q2156:Q2157" si="505">B2156*RIGHT(J2156,6)</f>
        <v>31307.13696</v>
      </c>
      <c r="R2156" s="1491">
        <f t="shared" ref="R2156:R2157" si="506">D2156</f>
        <v>38559.072640000006</v>
      </c>
      <c r="S2156" s="1510">
        <f t="shared" ref="S2156:S2157" si="507">R2156-Q2156</f>
        <v>7251.935680000006</v>
      </c>
      <c r="T2156" s="1530">
        <f t="shared" ref="T2156:T2157" si="508">(R2156-Q2156)/Q2156</f>
        <v>0.23163841807909624</v>
      </c>
    </row>
    <row r="2157" spans="1:20" hidden="1" outlineLevel="1" x14ac:dyDescent="0.35">
      <c r="A2157" s="7" t="s">
        <v>429</v>
      </c>
      <c r="B2157" s="1142">
        <v>38</v>
      </c>
      <c r="C2157" s="1143">
        <v>210.11</v>
      </c>
      <c r="D2157" s="1143">
        <f t="shared" si="502"/>
        <v>7984.18</v>
      </c>
      <c r="E2157" s="1641"/>
      <c r="F2157" s="1486">
        <f t="shared" si="503"/>
        <v>4.2806313038233415E-2</v>
      </c>
      <c r="G2157" s="1494" t="s">
        <v>228</v>
      </c>
      <c r="H2157" s="1488"/>
      <c r="I2157" s="1631"/>
      <c r="J2157" s="3054" t="s">
        <v>430</v>
      </c>
      <c r="K2157" s="3054"/>
      <c r="L2157" s="3054"/>
      <c r="M2157" s="1673" t="str">
        <f t="shared" si="504"/>
        <v>DOCU</v>
      </c>
      <c r="P2157" s="1632"/>
      <c r="Q2157" s="1529">
        <f t="shared" si="505"/>
        <v>7692.72</v>
      </c>
      <c r="R2157" s="1674">
        <f t="shared" si="506"/>
        <v>7984.18</v>
      </c>
      <c r="S2157" s="1510">
        <f t="shared" si="507"/>
        <v>291.46000000000004</v>
      </c>
      <c r="T2157" s="1530">
        <f t="shared" si="508"/>
        <v>3.788776921557005E-2</v>
      </c>
    </row>
    <row r="2158" spans="1:20" ht="16" hidden="1" outlineLevel="1" thickBot="1" x14ac:dyDescent="0.4">
      <c r="A2158" s="1346" t="s">
        <v>7</v>
      </c>
      <c r="B2158" s="1347"/>
      <c r="C2158" s="1348"/>
      <c r="D2158" s="1348">
        <v>1931.82</v>
      </c>
      <c r="E2158" s="32"/>
      <c r="F2158" s="1499">
        <f>D2158/D$1601</f>
        <v>6.7173577711232332E-3</v>
      </c>
      <c r="G2158" s="1418"/>
      <c r="H2158" s="1500"/>
      <c r="I2158" s="1501"/>
      <c r="J2158" s="1633"/>
      <c r="K2158" s="1634"/>
      <c r="L2158" s="1634"/>
      <c r="R2158" s="1532">
        <f>SUM(R2154:R2157)</f>
        <v>56134.352640000005</v>
      </c>
      <c r="S2158" s="1532">
        <f>SUM(S2154:S2157)</f>
        <v>10450.595680000006</v>
      </c>
      <c r="T2158" s="1668">
        <f>AVERAGE(T2154:T2157)</f>
        <v>0.2877415940971752</v>
      </c>
    </row>
    <row r="2159" spans="1:20" ht="16" hidden="1" outlineLevel="1" thickBot="1" x14ac:dyDescent="0.4">
      <c r="A2159" s="7" t="s">
        <v>60</v>
      </c>
      <c r="B2159" s="1142"/>
      <c r="C2159" s="1143"/>
      <c r="D2159" s="1143">
        <v>191235.23</v>
      </c>
      <c r="E2159" s="32"/>
      <c r="F2159" s="1503">
        <f>D2159/D$1554</f>
        <v>0.63042536939269156</v>
      </c>
      <c r="G2159" s="1504"/>
      <c r="H2159" s="1505"/>
      <c r="I2159" s="1290">
        <f>SUM(I2158:I2158)</f>
        <v>0</v>
      </c>
      <c r="J2159" s="1468"/>
      <c r="K2159" s="1151"/>
      <c r="L2159" s="1151"/>
      <c r="R2159" s="1470" t="str">
        <f>IF(SUM(D2154:D2157)&lt;&gt;R2158,"Out of Balance","Balances")</f>
        <v>Balances</v>
      </c>
    </row>
    <row r="2160" spans="1:20" ht="19" hidden="1" outlineLevel="1" thickBot="1" x14ac:dyDescent="0.5">
      <c r="A2160" s="726" t="s">
        <v>62</v>
      </c>
      <c r="B2160" s="583"/>
      <c r="C2160" s="584"/>
      <c r="D2160" s="1671">
        <f>SUM(D2154:D2159)</f>
        <v>249301.40264000001</v>
      </c>
      <c r="E2160" s="1538">
        <f>D2160-D2149</f>
        <v>2370.9158600000083</v>
      </c>
      <c r="F2160" s="1545">
        <f>(D2160-D2149)/D2149</f>
        <v>9.6015518007395717E-3</v>
      </c>
    </row>
    <row r="2161" spans="1:25" hidden="1" outlineLevel="1" x14ac:dyDescent="0.35"/>
    <row r="2162" spans="1:25" ht="16" hidden="1" outlineLevel="1" thickBot="1" x14ac:dyDescent="0.4">
      <c r="A2162" s="1619" t="s">
        <v>25</v>
      </c>
      <c r="B2162" s="1620" t="s">
        <v>26</v>
      </c>
      <c r="C2162" s="1621" t="s">
        <v>27</v>
      </c>
      <c r="D2162" s="1622">
        <f>D2151+7</f>
        <v>44029</v>
      </c>
      <c r="E2162" s="1623" t="s">
        <v>28</v>
      </c>
      <c r="F2162" s="3082" t="s">
        <v>410</v>
      </c>
      <c r="G2162" s="3083"/>
      <c r="H2162" s="3083"/>
      <c r="I2162" s="1182"/>
      <c r="J2162" s="1183" t="s">
        <v>233</v>
      </c>
      <c r="X2162" s="106">
        <v>198484.13</v>
      </c>
    </row>
    <row r="2163" spans="1:25" ht="16" hidden="1" outlineLevel="1" thickBot="1" x14ac:dyDescent="0.4">
      <c r="A2163" s="1584" t="s">
        <v>32</v>
      </c>
      <c r="B2163" s="1585" t="str">
        <f ca="1">TEXT(TODAY(),"ddd")</f>
        <v>Sun</v>
      </c>
      <c r="C2163" s="1586">
        <v>26671</v>
      </c>
      <c r="D2163" s="1587">
        <f>C2163-C2152</f>
        <v>596</v>
      </c>
      <c r="E2163" s="1641">
        <f>(C2163-C2152)/C2152</f>
        <v>2.2857142857142857E-2</v>
      </c>
      <c r="F2163" s="3084"/>
      <c r="G2163" s="3085"/>
      <c r="H2163" s="3086"/>
      <c r="I2163" s="1602"/>
      <c r="J2163" s="1188" t="s">
        <v>234</v>
      </c>
      <c r="K2163" s="1220" t="s">
        <v>34</v>
      </c>
      <c r="L2163" s="111" t="s">
        <v>35</v>
      </c>
      <c r="M2163" s="3099" t="s">
        <v>431</v>
      </c>
      <c r="N2163" s="3100"/>
      <c r="O2163" s="3100"/>
      <c r="P2163" s="3100"/>
      <c r="Q2163" s="3100"/>
      <c r="R2163" s="3100"/>
      <c r="S2163" s="3100"/>
      <c r="T2163" s="3100"/>
      <c r="X2163" s="106">
        <v>15000</v>
      </c>
      <c r="Y2163" s="193"/>
    </row>
    <row r="2164" spans="1:25" hidden="1" outlineLevel="1" x14ac:dyDescent="0.35">
      <c r="A2164" s="709" t="s">
        <v>36</v>
      </c>
      <c r="B2164" s="263"/>
      <c r="C2164" s="419">
        <v>10503</v>
      </c>
      <c r="D2164" s="1675">
        <f>C2164-C2153</f>
        <v>-114</v>
      </c>
      <c r="E2164" s="1641">
        <f t="shared" ref="E2164" si="509">(C2164-C2153)/C2153</f>
        <v>-1.0737496467928794E-2</v>
      </c>
      <c r="F2164" s="1486" t="s">
        <v>37</v>
      </c>
      <c r="G2164" s="1672" t="s">
        <v>38</v>
      </c>
      <c r="H2164" s="1604" t="s">
        <v>144</v>
      </c>
      <c r="I2164" s="1591" t="s">
        <v>400</v>
      </c>
      <c r="J2164" s="3033" t="s">
        <v>42</v>
      </c>
      <c r="K2164" s="3034"/>
      <c r="L2164" s="3034"/>
      <c r="M2164" s="1199" t="s">
        <v>244</v>
      </c>
      <c r="P2164" s="1200" t="s">
        <v>44</v>
      </c>
      <c r="Q2164" s="1479" t="s">
        <v>45</v>
      </c>
      <c r="R2164" s="1479" t="s">
        <v>46</v>
      </c>
      <c r="S2164" s="1479" t="s">
        <v>47</v>
      </c>
      <c r="T2164" s="1485" t="s">
        <v>48</v>
      </c>
    </row>
    <row r="2165" spans="1:25" hidden="1" outlineLevel="1" x14ac:dyDescent="0.35">
      <c r="A2165" s="1346" t="s">
        <v>389</v>
      </c>
      <c r="B2165" s="1347">
        <v>610</v>
      </c>
      <c r="C2165" s="1348">
        <v>8.4700000000000006</v>
      </c>
      <c r="D2165" s="1348">
        <f t="shared" ref="D2165:D2170" si="510">C2165*B2165</f>
        <v>5166.7000000000007</v>
      </c>
      <c r="E2165" s="1641">
        <f>(C2165-C2154)/C2154</f>
        <v>2.5423728813559424E-2</v>
      </c>
      <c r="F2165" s="1486">
        <f t="shared" ref="F2165:F2172" si="511">D2165/D$1896</f>
        <v>2.7700700331736085E-2</v>
      </c>
      <c r="G2165" s="1494" t="s">
        <v>228</v>
      </c>
      <c r="H2165" s="1593"/>
      <c r="I2165" s="1591">
        <v>21.1</v>
      </c>
      <c r="J2165" s="3054" t="s">
        <v>416</v>
      </c>
      <c r="K2165" s="3054"/>
      <c r="L2165" s="3054"/>
      <c r="M2165" s="1489" t="str">
        <f t="shared" ref="M2165:M2170" si="512">A2165</f>
        <v>SDC</v>
      </c>
      <c r="P2165" s="1200"/>
      <c r="Q2165" s="1529">
        <f>B2165*RIGHT(J2165,4)</f>
        <v>3653.9</v>
      </c>
      <c r="R2165" s="1495">
        <f t="shared" ref="R2165:R2170" si="513">D2165</f>
        <v>5166.7000000000007</v>
      </c>
      <c r="S2165" s="1510">
        <f t="shared" ref="S2165" si="514">R2165-Q2165</f>
        <v>1512.8000000000006</v>
      </c>
      <c r="T2165" s="1530">
        <f t="shared" ref="T2165" si="515">(R2165-Q2165)/Q2165</f>
        <v>0.41402337228714542</v>
      </c>
      <c r="V2165" s="4" t="s">
        <v>432</v>
      </c>
      <c r="W2165" s="4">
        <v>83.31</v>
      </c>
      <c r="X2165" s="4">
        <v>300</v>
      </c>
      <c r="Y2165" s="1676"/>
    </row>
    <row r="2166" spans="1:25" hidden="1" outlineLevel="1" x14ac:dyDescent="0.35">
      <c r="A2166" s="1677" t="s">
        <v>432</v>
      </c>
      <c r="B2166" s="1678">
        <v>300</v>
      </c>
      <c r="C2166" s="1143">
        <v>94.85</v>
      </c>
      <c r="D2166" s="1143">
        <f t="shared" si="510"/>
        <v>28455</v>
      </c>
      <c r="E2166" s="1641"/>
      <c r="F2166" s="1486">
        <f t="shared" si="511"/>
        <v>0.15255838890192003</v>
      </c>
      <c r="G2166" s="1494" t="s">
        <v>228</v>
      </c>
      <c r="H2166" s="1593"/>
      <c r="I2166" s="1591"/>
      <c r="J2166" s="3054" t="s">
        <v>433</v>
      </c>
      <c r="K2166" s="3054"/>
      <c r="L2166" s="3054"/>
      <c r="M2166" s="1489" t="str">
        <f t="shared" si="512"/>
        <v>MRNA</v>
      </c>
      <c r="P2166" s="1632"/>
      <c r="Q2166" s="1529">
        <f>B2166*RIGHT(J2166,6)</f>
        <v>24993</v>
      </c>
      <c r="R2166" s="1495">
        <f t="shared" si="513"/>
        <v>28455</v>
      </c>
      <c r="S2166" s="1510">
        <f>R2166-Q2166</f>
        <v>3462</v>
      </c>
      <c r="T2166" s="1530">
        <f>(R2166-Q2166)/Q2166</f>
        <v>0.13851878525987277</v>
      </c>
      <c r="U2166" t="s">
        <v>434</v>
      </c>
      <c r="V2166" s="4" t="s">
        <v>435</v>
      </c>
      <c r="W2166">
        <v>246</v>
      </c>
      <c r="Y2166" s="106"/>
    </row>
    <row r="2167" spans="1:25" hidden="1" outlineLevel="1" x14ac:dyDescent="0.35">
      <c r="A2167" s="1346" t="s">
        <v>402</v>
      </c>
      <c r="B2167" s="1347">
        <v>250</v>
      </c>
      <c r="C2167" s="1348">
        <v>18.75</v>
      </c>
      <c r="D2167" s="1348">
        <f t="shared" si="510"/>
        <v>4687.5</v>
      </c>
      <c r="E2167" s="1641">
        <f>(C2167-C2155)/C2156</f>
        <v>1.4074228523769786E-3</v>
      </c>
      <c r="F2167" s="1486">
        <f t="shared" si="511"/>
        <v>2.5131521629862947E-2</v>
      </c>
      <c r="G2167" s="1494" t="s">
        <v>228</v>
      </c>
      <c r="H2167" s="1593" t="s">
        <v>350</v>
      </c>
      <c r="I2167" s="1591">
        <v>19.59</v>
      </c>
      <c r="J2167" s="3054" t="s">
        <v>390</v>
      </c>
      <c r="K2167" s="3054"/>
      <c r="L2167" s="3054"/>
      <c r="M2167" s="1489" t="str">
        <f t="shared" si="512"/>
        <v>AVTR</v>
      </c>
      <c r="P2167" s="1200"/>
      <c r="Q2167" s="1529">
        <f>B2167*RIGHT(J2167,6)</f>
        <v>3030</v>
      </c>
      <c r="R2167" s="1495">
        <f t="shared" si="513"/>
        <v>4687.5</v>
      </c>
      <c r="S2167" s="1510">
        <f t="shared" ref="S2167:S2170" si="516">R2167-Q2167</f>
        <v>1657.5</v>
      </c>
      <c r="T2167" s="1530">
        <f t="shared" ref="T2167:T2170" si="517">(R2167-Q2167)/Q2167</f>
        <v>0.54702970297029707</v>
      </c>
      <c r="V2167" s="4" t="s">
        <v>208</v>
      </c>
      <c r="W2167" s="4">
        <v>315.57499999999999</v>
      </c>
      <c r="X2167" s="4">
        <v>200</v>
      </c>
      <c r="Y2167" s="1676"/>
    </row>
    <row r="2168" spans="1:25" hidden="1" outlineLevel="1" x14ac:dyDescent="0.35">
      <c r="A2168" s="1677" t="s">
        <v>391</v>
      </c>
      <c r="B2168" s="1678">
        <v>200.49799999999999</v>
      </c>
      <c r="C2168" s="1143">
        <v>385.31</v>
      </c>
      <c r="D2168" s="1143">
        <f t="shared" si="510"/>
        <v>77253.884380000003</v>
      </c>
      <c r="E2168" s="1641"/>
      <c r="F2168" s="1486">
        <f t="shared" si="511"/>
        <v>0.41418830214120561</v>
      </c>
      <c r="G2168" s="1494">
        <v>22</v>
      </c>
      <c r="H2168" s="1593" t="s">
        <v>145</v>
      </c>
      <c r="I2168" s="1591">
        <v>327.85</v>
      </c>
      <c r="J2168" s="3054" t="s">
        <v>436</v>
      </c>
      <c r="K2168" s="3054"/>
      <c r="L2168" s="3054"/>
      <c r="M2168" s="1489" t="str">
        <f t="shared" si="512"/>
        <v>APPL</v>
      </c>
      <c r="P2168" s="1200"/>
      <c r="Q2168" s="1529">
        <f t="shared" ref="Q2168:Q2170" si="518">B2168*RIGHT(J2168,6)</f>
        <v>70695.594800000006</v>
      </c>
      <c r="R2168" s="1495">
        <f t="shared" si="513"/>
        <v>77253.884380000003</v>
      </c>
      <c r="S2168" s="1510">
        <f t="shared" si="516"/>
        <v>6558.2895799999969</v>
      </c>
      <c r="T2168" s="1530">
        <f t="shared" si="517"/>
        <v>9.2768009075439542E-2</v>
      </c>
      <c r="V2168" s="4" t="s">
        <v>137</v>
      </c>
      <c r="W2168" s="4">
        <v>272</v>
      </c>
      <c r="X2168" s="4">
        <v>200</v>
      </c>
      <c r="Y2168" s="1676"/>
    </row>
    <row r="2169" spans="1:25" hidden="1" outlineLevel="1" x14ac:dyDescent="0.35">
      <c r="A2169" s="1677" t="s">
        <v>137</v>
      </c>
      <c r="B2169" s="1678">
        <v>200</v>
      </c>
      <c r="C2169" s="1348">
        <v>284.55</v>
      </c>
      <c r="D2169" s="1348">
        <f t="shared" si="510"/>
        <v>56910</v>
      </c>
      <c r="E2169" s="1641"/>
      <c r="F2169" s="1486">
        <f t="shared" si="511"/>
        <v>0.30511677780384006</v>
      </c>
      <c r="G2169" s="1494"/>
      <c r="H2169" s="1593" t="s">
        <v>145</v>
      </c>
      <c r="I2169" s="1591"/>
      <c r="J2169" s="3054" t="s">
        <v>437</v>
      </c>
      <c r="K2169" s="3054"/>
      <c r="L2169" s="3054"/>
      <c r="M2169" s="1489" t="str">
        <f t="shared" si="512"/>
        <v>ABMD</v>
      </c>
      <c r="P2169" s="1632"/>
      <c r="Q2169" s="1529">
        <f t="shared" si="518"/>
        <v>54400</v>
      </c>
      <c r="R2169" s="1495">
        <f t="shared" si="513"/>
        <v>56910</v>
      </c>
      <c r="S2169" s="1510">
        <f t="shared" si="516"/>
        <v>2510</v>
      </c>
      <c r="T2169" s="1530">
        <f t="shared" si="517"/>
        <v>4.6139705882352944E-2</v>
      </c>
      <c r="Y2169" s="193"/>
    </row>
    <row r="2170" spans="1:25" hidden="1" outlineLevel="1" x14ac:dyDescent="0.35">
      <c r="A2170" s="1677" t="s">
        <v>208</v>
      </c>
      <c r="B2170" s="1678">
        <v>200</v>
      </c>
      <c r="C2170" s="1143">
        <v>322.3</v>
      </c>
      <c r="D2170" s="1143">
        <f t="shared" si="510"/>
        <v>64460</v>
      </c>
      <c r="E2170" s="1641"/>
      <c r="F2170" s="1486">
        <f t="shared" si="511"/>
        <v>0.34559528197567263</v>
      </c>
      <c r="G2170" s="1494"/>
      <c r="H2170" s="1593"/>
      <c r="I2170" s="1591"/>
      <c r="J2170" s="3054" t="s">
        <v>438</v>
      </c>
      <c r="K2170" s="3054"/>
      <c r="L2170" s="3054"/>
      <c r="M2170" s="1489" t="str">
        <f t="shared" si="512"/>
        <v>ALGN</v>
      </c>
      <c r="P2170" s="1632"/>
      <c r="Q2170" s="1529">
        <f t="shared" si="518"/>
        <v>63116</v>
      </c>
      <c r="R2170" s="1495">
        <f t="shared" si="513"/>
        <v>64460</v>
      </c>
      <c r="S2170" s="1510">
        <f t="shared" si="516"/>
        <v>1344</v>
      </c>
      <c r="T2170" s="1530">
        <f t="shared" si="517"/>
        <v>2.1294125102984979E-2</v>
      </c>
      <c r="V2170" s="4" t="s">
        <v>391</v>
      </c>
      <c r="W2170" s="4">
        <v>394</v>
      </c>
      <c r="X2170" s="4">
        <v>100</v>
      </c>
      <c r="Y2170" s="1676"/>
    </row>
    <row r="2171" spans="1:25" ht="16" hidden="1" outlineLevel="1" thickBot="1" x14ac:dyDescent="0.4">
      <c r="A2171" s="1346" t="s">
        <v>7</v>
      </c>
      <c r="B2171" s="1347"/>
      <c r="C2171" s="1348"/>
      <c r="D2171" s="1348">
        <v>1950.38</v>
      </c>
      <c r="E2171" s="32"/>
      <c r="F2171" s="1486">
        <f t="shared" si="511"/>
        <v>1.045675032670978E-2</v>
      </c>
      <c r="G2171" s="1418"/>
      <c r="H2171" s="1679"/>
      <c r="I2171" s="1266"/>
      <c r="J2171" s="1633"/>
      <c r="K2171" s="1634"/>
      <c r="L2171" s="1634"/>
      <c r="R2171" s="1532">
        <f>SUM(R2165:R2170)</f>
        <v>236933.08438000001</v>
      </c>
      <c r="S2171" s="1532">
        <f>SUM(S2165:S2170)</f>
        <v>17044.58958</v>
      </c>
      <c r="T2171" s="1668">
        <f>AVERAGE(T2165:T2170)</f>
        <v>0.20996228342968212</v>
      </c>
      <c r="V2171" t="s">
        <v>439</v>
      </c>
      <c r="W2171">
        <v>80</v>
      </c>
    </row>
    <row r="2172" spans="1:25" ht="16" hidden="1" outlineLevel="1" thickBot="1" x14ac:dyDescent="0.4">
      <c r="A2172" s="7" t="s">
        <v>60</v>
      </c>
      <c r="B2172" s="1531"/>
      <c r="C2172" s="1143"/>
      <c r="D2172" s="1143">
        <f>16506.18-10000</f>
        <v>6506.18</v>
      </c>
      <c r="E2172" s="32"/>
      <c r="F2172" s="1486">
        <f t="shared" si="511"/>
        <v>3.4882176724860096E-2</v>
      </c>
      <c r="G2172" s="1504"/>
      <c r="H2172" s="1505"/>
      <c r="I2172" s="1290">
        <f>SUM(I2171:I2171)</f>
        <v>0</v>
      </c>
      <c r="J2172" s="1468"/>
      <c r="K2172" s="1151"/>
      <c r="L2172" s="1151"/>
      <c r="R2172" s="1470" t="str">
        <f>IF(SUM(D2165:D2170)&lt;&gt;R2171,"Out of Balance","Balances")</f>
        <v>Balances</v>
      </c>
      <c r="Y2172" s="193"/>
    </row>
    <row r="2173" spans="1:25" ht="19" hidden="1" outlineLevel="1" thickBot="1" x14ac:dyDescent="0.5">
      <c r="A2173" s="726" t="s">
        <v>62</v>
      </c>
      <c r="B2173" s="583"/>
      <c r="C2173" s="584"/>
      <c r="D2173" s="1670">
        <f>SUM(D2165:D2172)</f>
        <v>245389.64438000001</v>
      </c>
      <c r="E2173" s="73">
        <f>D2173-D2160</f>
        <v>-3911.7582600000023</v>
      </c>
      <c r="F2173" s="1537">
        <f>(D2173-D2160)/D2160</f>
        <v>-1.5690879467889392E-2</v>
      </c>
      <c r="G2173" s="1680" t="s">
        <v>440</v>
      </c>
      <c r="H2173" s="1681"/>
      <c r="I2173" s="1682"/>
    </row>
    <row r="2174" spans="1:25" hidden="1" outlineLevel="1" x14ac:dyDescent="0.35"/>
    <row r="2175" spans="1:25" ht="16" hidden="1" outlineLevel="1" thickBot="1" x14ac:dyDescent="0.4">
      <c r="A2175" s="1619" t="s">
        <v>25</v>
      </c>
      <c r="B2175" s="1620" t="s">
        <v>26</v>
      </c>
      <c r="C2175" s="1621" t="s">
        <v>27</v>
      </c>
      <c r="D2175" s="1622">
        <f>D2162+7</f>
        <v>44036</v>
      </c>
      <c r="E2175" s="1623" t="s">
        <v>28</v>
      </c>
      <c r="F2175" s="3082" t="s">
        <v>410</v>
      </c>
      <c r="G2175" s="3083"/>
      <c r="H2175" s="3083"/>
      <c r="I2175" s="1182"/>
      <c r="J2175" s="1183" t="s">
        <v>233</v>
      </c>
      <c r="X2175" s="106">
        <v>198484.13</v>
      </c>
    </row>
    <row r="2176" spans="1:25" ht="15.75" hidden="1" customHeight="1" outlineLevel="1" thickBot="1" x14ac:dyDescent="0.4">
      <c r="A2176" s="1584" t="s">
        <v>32</v>
      </c>
      <c r="B2176" s="1585" t="str">
        <f ca="1">TEXT(TODAY(),"ddd")</f>
        <v>Sun</v>
      </c>
      <c r="C2176" s="1586">
        <v>26075</v>
      </c>
      <c r="D2176" s="1587">
        <f>C2176-C2163</f>
        <v>-596</v>
      </c>
      <c r="E2176" s="1641">
        <f>(C2176-C2163)/C2163</f>
        <v>-2.23463687150838E-2</v>
      </c>
      <c r="F2176" s="3084"/>
      <c r="G2176" s="3085"/>
      <c r="H2176" s="3086"/>
      <c r="I2176" s="1602"/>
      <c r="J2176" s="1188" t="s">
        <v>234</v>
      </c>
      <c r="K2176" s="1220" t="s">
        <v>34</v>
      </c>
      <c r="L2176" s="111" t="s">
        <v>35</v>
      </c>
      <c r="M2176" s="3099" t="s">
        <v>431</v>
      </c>
      <c r="N2176" s="3100"/>
      <c r="O2176" s="3100"/>
      <c r="P2176" s="3100"/>
      <c r="Q2176" s="3100"/>
      <c r="R2176" s="3100"/>
      <c r="S2176" s="3100"/>
      <c r="T2176" s="3100"/>
      <c r="X2176" s="106">
        <v>15000</v>
      </c>
      <c r="Y2176" s="193"/>
    </row>
    <row r="2177" spans="1:26" hidden="1" outlineLevel="1" x14ac:dyDescent="0.35">
      <c r="A2177" s="709" t="s">
        <v>36</v>
      </c>
      <c r="B2177" s="263"/>
      <c r="C2177" s="419">
        <v>10617</v>
      </c>
      <c r="D2177" s="1587">
        <f>C2177-C2164</f>
        <v>114</v>
      </c>
      <c r="E2177" s="1641">
        <f t="shared" ref="E2177:E2181" si="519">(C2177-C2164)/C2164</f>
        <v>1.0854041702370752E-2</v>
      </c>
      <c r="F2177" s="1486" t="s">
        <v>37</v>
      </c>
      <c r="G2177" s="1672" t="s">
        <v>38</v>
      </c>
      <c r="H2177" s="1604" t="s">
        <v>144</v>
      </c>
      <c r="I2177" s="1591" t="s">
        <v>400</v>
      </c>
      <c r="J2177" s="3033" t="s">
        <v>42</v>
      </c>
      <c r="K2177" s="3034"/>
      <c r="L2177" s="3034"/>
      <c r="M2177" s="1199" t="s">
        <v>244</v>
      </c>
      <c r="P2177" s="1200" t="s">
        <v>44</v>
      </c>
      <c r="Q2177" s="1479" t="s">
        <v>45</v>
      </c>
      <c r="R2177" s="1479" t="s">
        <v>46</v>
      </c>
      <c r="S2177" s="1479" t="s">
        <v>47</v>
      </c>
      <c r="T2177" s="1485" t="s">
        <v>48</v>
      </c>
    </row>
    <row r="2178" spans="1:26" hidden="1" outlineLevel="1" x14ac:dyDescent="0.35">
      <c r="A2178" s="1346" t="s">
        <v>389</v>
      </c>
      <c r="B2178" s="1347">
        <v>610</v>
      </c>
      <c r="C2178" s="1348">
        <v>8.4700000000000006</v>
      </c>
      <c r="D2178" s="1348">
        <f t="shared" ref="D2178:D2181" si="520">C2178*B2178</f>
        <v>5166.7000000000007</v>
      </c>
      <c r="E2178" s="1641">
        <f t="shared" si="519"/>
        <v>0</v>
      </c>
      <c r="F2178" s="1486">
        <f t="shared" ref="F2178:F2183" si="521">D2178/D$1896</f>
        <v>2.7700700331736085E-2</v>
      </c>
      <c r="G2178" s="1494" t="s">
        <v>228</v>
      </c>
      <c r="H2178" s="1593"/>
      <c r="I2178" s="1591">
        <v>21.1</v>
      </c>
      <c r="J2178" s="3054" t="s">
        <v>416</v>
      </c>
      <c r="K2178" s="3054"/>
      <c r="L2178" s="3054"/>
      <c r="M2178" s="1489" t="str">
        <f t="shared" ref="M2178:M2181" si="522">A2178</f>
        <v>SDC</v>
      </c>
      <c r="P2178" s="1200"/>
      <c r="Q2178" s="1529">
        <f>B2178*RIGHT(J2178,4)</f>
        <v>3653.9</v>
      </c>
      <c r="R2178" s="1495">
        <f t="shared" ref="R2178:R2181" si="523">D2178</f>
        <v>5166.7000000000007</v>
      </c>
      <c r="S2178" s="1510">
        <f t="shared" ref="S2178:S2181" si="524">R2178-Q2178</f>
        <v>1512.8000000000006</v>
      </c>
      <c r="T2178" s="1530">
        <f t="shared" ref="T2178:T2181" si="525">(R2178-Q2178)/Q2178</f>
        <v>0.41402337228714542</v>
      </c>
      <c r="V2178" s="4" t="s">
        <v>432</v>
      </c>
      <c r="W2178" s="4">
        <v>83.31</v>
      </c>
      <c r="X2178" s="4">
        <v>300</v>
      </c>
      <c r="Y2178" s="1676"/>
    </row>
    <row r="2179" spans="1:26" hidden="1" outlineLevel="1" x14ac:dyDescent="0.35">
      <c r="A2179" s="1361" t="s">
        <v>402</v>
      </c>
      <c r="B2179" s="1362">
        <v>250</v>
      </c>
      <c r="C2179" s="1363">
        <v>18.75</v>
      </c>
      <c r="D2179" s="1363">
        <f t="shared" si="520"/>
        <v>4687.5</v>
      </c>
      <c r="E2179" s="1641">
        <f t="shared" si="519"/>
        <v>-0.80231945176594621</v>
      </c>
      <c r="F2179" s="1486">
        <f t="shared" si="521"/>
        <v>2.5131521629862947E-2</v>
      </c>
      <c r="G2179" s="1494" t="s">
        <v>228</v>
      </c>
      <c r="H2179" s="1593" t="s">
        <v>350</v>
      </c>
      <c r="I2179" s="1591">
        <v>19.59</v>
      </c>
      <c r="J2179" s="3054" t="s">
        <v>390</v>
      </c>
      <c r="K2179" s="3054"/>
      <c r="L2179" s="3054"/>
      <c r="M2179" s="1489" t="str">
        <f t="shared" si="522"/>
        <v>AVTR</v>
      </c>
      <c r="P2179" s="1200"/>
      <c r="Q2179" s="1529">
        <f>B2179*RIGHT(J2179,6)</f>
        <v>3030</v>
      </c>
      <c r="R2179" s="1495">
        <f t="shared" si="523"/>
        <v>4687.5</v>
      </c>
      <c r="S2179" s="1510">
        <f t="shared" si="524"/>
        <v>1657.5</v>
      </c>
      <c r="T2179" s="1530">
        <f t="shared" si="525"/>
        <v>0.54702970297029707</v>
      </c>
      <c r="V2179" s="4" t="s">
        <v>208</v>
      </c>
      <c r="W2179" s="4">
        <v>315.57499999999999</v>
      </c>
      <c r="X2179" s="4">
        <v>200</v>
      </c>
      <c r="Y2179" s="1676"/>
    </row>
    <row r="2180" spans="1:26" hidden="1" outlineLevel="1" x14ac:dyDescent="0.35">
      <c r="A2180" s="1346" t="s">
        <v>391</v>
      </c>
      <c r="B2180" s="1347">
        <v>200.49799999999999</v>
      </c>
      <c r="C2180" s="1348">
        <v>385.31</v>
      </c>
      <c r="D2180" s="1348">
        <f t="shared" si="520"/>
        <v>77253.884380000003</v>
      </c>
      <c r="E2180" s="1641">
        <f t="shared" si="519"/>
        <v>19.549866666666667</v>
      </c>
      <c r="F2180" s="1486">
        <f t="shared" si="521"/>
        <v>0.41418830214120561</v>
      </c>
      <c r="G2180" s="1494">
        <v>22</v>
      </c>
      <c r="H2180" s="1593" t="s">
        <v>145</v>
      </c>
      <c r="I2180" s="1591">
        <v>327.85</v>
      </c>
      <c r="J2180" s="3054" t="s">
        <v>436</v>
      </c>
      <c r="K2180" s="3054"/>
      <c r="L2180" s="3054"/>
      <c r="M2180" s="1489" t="str">
        <f t="shared" si="522"/>
        <v>APPL</v>
      </c>
      <c r="P2180" s="1200"/>
      <c r="Q2180" s="1529">
        <f>B2180*RIGHT(J2180,6)</f>
        <v>70695.594800000006</v>
      </c>
      <c r="R2180" s="1495">
        <f t="shared" si="523"/>
        <v>77253.884380000003</v>
      </c>
      <c r="S2180" s="1510">
        <f t="shared" si="524"/>
        <v>6558.2895799999969</v>
      </c>
      <c r="T2180" s="1530">
        <f t="shared" si="525"/>
        <v>9.2768009075439542E-2</v>
      </c>
      <c r="V2180" s="4" t="s">
        <v>137</v>
      </c>
      <c r="W2180" s="4">
        <v>272</v>
      </c>
      <c r="X2180" s="4">
        <v>200</v>
      </c>
      <c r="Y2180" s="1676"/>
    </row>
    <row r="2181" spans="1:26" hidden="1" outlineLevel="1" x14ac:dyDescent="0.35">
      <c r="A2181" s="1361" t="s">
        <v>137</v>
      </c>
      <c r="B2181" s="1362">
        <v>200</v>
      </c>
      <c r="C2181" s="1363">
        <v>284.55</v>
      </c>
      <c r="D2181" s="1363">
        <f t="shared" si="520"/>
        <v>56910</v>
      </c>
      <c r="E2181" s="1641">
        <f t="shared" si="519"/>
        <v>-0.26150372427396118</v>
      </c>
      <c r="F2181" s="1486">
        <f t="shared" si="521"/>
        <v>0.30511677780384006</v>
      </c>
      <c r="G2181" s="1494"/>
      <c r="H2181" s="1593" t="s">
        <v>145</v>
      </c>
      <c r="I2181" s="1591"/>
      <c r="J2181" s="3054" t="s">
        <v>437</v>
      </c>
      <c r="K2181" s="3054"/>
      <c r="L2181" s="3054"/>
      <c r="M2181" s="1489" t="str">
        <f t="shared" si="522"/>
        <v>ABMD</v>
      </c>
      <c r="P2181" s="1632"/>
      <c r="Q2181" s="1529">
        <f>B2181*RIGHT(J2181,6)</f>
        <v>54400</v>
      </c>
      <c r="R2181" s="1495">
        <f t="shared" si="523"/>
        <v>56910</v>
      </c>
      <c r="S2181" s="1510">
        <f t="shared" si="524"/>
        <v>2510</v>
      </c>
      <c r="T2181" s="1530">
        <f t="shared" si="525"/>
        <v>4.6139705882352944E-2</v>
      </c>
      <c r="Y2181" s="193"/>
    </row>
    <row r="2182" spans="1:26" ht="16" hidden="1" outlineLevel="1" thickBot="1" x14ac:dyDescent="0.4">
      <c r="A2182" s="1346" t="s">
        <v>7</v>
      </c>
      <c r="B2182" s="1347"/>
      <c r="C2182" s="1348"/>
      <c r="D2182" s="1348">
        <v>1931.82</v>
      </c>
      <c r="E2182" s="32"/>
      <c r="F2182" s="1486">
        <f t="shared" si="521"/>
        <v>1.0357242904533725E-2</v>
      </c>
      <c r="G2182" s="1418"/>
      <c r="H2182" s="1679"/>
      <c r="I2182" s="1266"/>
      <c r="J2182" s="1633"/>
      <c r="K2182" s="1634"/>
      <c r="L2182" s="1634"/>
      <c r="R2182" s="1532">
        <f>SUM(R2178:R2181)</f>
        <v>144018.08438000001</v>
      </c>
      <c r="S2182" s="1532">
        <f>SUM(S2178:S2181)</f>
        <v>12238.589579999998</v>
      </c>
      <c r="T2182" s="1668">
        <f>AVERAGE(T2178:T2181)</f>
        <v>0.27499019755380871</v>
      </c>
      <c r="V2182" t="s">
        <v>439</v>
      </c>
      <c r="W2182">
        <v>80</v>
      </c>
    </row>
    <row r="2183" spans="1:26" ht="16" hidden="1" outlineLevel="1" thickBot="1" x14ac:dyDescent="0.4">
      <c r="A2183" s="1361" t="s">
        <v>60</v>
      </c>
      <c r="B2183" s="1362"/>
      <c r="C2183" s="1363"/>
      <c r="D2183" s="1363">
        <v>85659.77</v>
      </c>
      <c r="E2183" s="32"/>
      <c r="F2183" s="1486">
        <f t="shared" si="521"/>
        <v>0.45925554401367152</v>
      </c>
      <c r="G2183" s="1504"/>
      <c r="H2183" s="1505"/>
      <c r="I2183" s="1290">
        <f>SUM(I2182:I2182)</f>
        <v>0</v>
      </c>
      <c r="J2183" s="1468"/>
      <c r="K2183" s="1151"/>
      <c r="L2183" s="1151"/>
      <c r="R2183" s="1470" t="str">
        <f>IF(SUM(D2178:D2181)&lt;&gt;R2182,"Out of Balance","Balances")</f>
        <v>Balances</v>
      </c>
      <c r="Y2183" s="193"/>
    </row>
    <row r="2184" spans="1:26" ht="19" hidden="1" outlineLevel="1" thickBot="1" x14ac:dyDescent="0.5">
      <c r="A2184" s="726" t="s">
        <v>62</v>
      </c>
      <c r="B2184" s="583"/>
      <c r="C2184" s="584"/>
      <c r="D2184" s="1670">
        <f>SUM(D2178:D2183)</f>
        <v>231609.67438000004</v>
      </c>
      <c r="E2184" s="73">
        <f>D2184-D2173</f>
        <v>-13779.969999999972</v>
      </c>
      <c r="F2184" s="1537">
        <f>(D2184-D2173)/D2173</f>
        <v>-5.6155466685712675E-2</v>
      </c>
    </row>
    <row r="2185" spans="1:26" hidden="1" outlineLevel="1" x14ac:dyDescent="0.35"/>
    <row r="2186" spans="1:26" ht="16" hidden="1" outlineLevel="1" thickBot="1" x14ac:dyDescent="0.4">
      <c r="A2186" s="1619" t="s">
        <v>25</v>
      </c>
      <c r="B2186" s="1620" t="s">
        <v>26</v>
      </c>
      <c r="C2186" s="1621" t="s">
        <v>27</v>
      </c>
      <c r="D2186" s="1622">
        <f>D2175+7</f>
        <v>44043</v>
      </c>
      <c r="E2186" s="1623" t="s">
        <v>28</v>
      </c>
      <c r="F2186" s="3082" t="s">
        <v>410</v>
      </c>
      <c r="G2186" s="3083"/>
      <c r="H2186" s="3083"/>
      <c r="I2186" s="1182"/>
      <c r="J2186" s="1182"/>
      <c r="K2186" s="1183" t="s">
        <v>233</v>
      </c>
      <c r="Y2186" s="106"/>
    </row>
    <row r="2187" spans="1:26" ht="15.75" hidden="1" customHeight="1" outlineLevel="1" thickBot="1" x14ac:dyDescent="0.4">
      <c r="A2187" s="1584" t="s">
        <v>32</v>
      </c>
      <c r="B2187" s="1585" t="str">
        <f ca="1">TEXT(TODAY(),"ddd")</f>
        <v>Sun</v>
      </c>
      <c r="C2187" s="1586">
        <v>26075</v>
      </c>
      <c r="D2187" s="1587">
        <f>C2187-C2176</f>
        <v>0</v>
      </c>
      <c r="E2187" s="1641">
        <f>(C2187-C2176)/C2176</f>
        <v>0</v>
      </c>
      <c r="F2187" s="3084"/>
      <c r="G2187" s="3085"/>
      <c r="H2187" s="3086"/>
      <c r="I2187" s="1602"/>
      <c r="J2187" s="1602"/>
      <c r="K2187" s="1188" t="s">
        <v>234</v>
      </c>
      <c r="L2187" s="1220" t="s">
        <v>34</v>
      </c>
      <c r="M2187" s="111" t="s">
        <v>35</v>
      </c>
      <c r="N2187" s="3099"/>
      <c r="O2187" s="3100"/>
      <c r="P2187" s="3100"/>
      <c r="Q2187" s="3100"/>
      <c r="R2187" s="3100"/>
      <c r="S2187" s="3100"/>
      <c r="T2187" s="3100"/>
      <c r="U2187" s="3100"/>
      <c r="Y2187" s="106"/>
      <c r="Z2187" s="193"/>
    </row>
    <row r="2188" spans="1:26" hidden="1" outlineLevel="1" x14ac:dyDescent="0.35">
      <c r="A2188" s="709" t="s">
        <v>36</v>
      </c>
      <c r="B2188" s="263"/>
      <c r="C2188" s="419">
        <v>10617</v>
      </c>
      <c r="D2188" s="1587">
        <f>C2188-C2177</f>
        <v>0</v>
      </c>
      <c r="E2188" s="1641">
        <f t="shared" ref="E2188:E2191" si="526">(C2188-C2177)/C2177</f>
        <v>0</v>
      </c>
      <c r="F2188" s="1486" t="s">
        <v>37</v>
      </c>
      <c r="G2188" s="1672" t="s">
        <v>38</v>
      </c>
      <c r="H2188" s="1604" t="s">
        <v>144</v>
      </c>
      <c r="I2188" s="1488" t="s">
        <v>441</v>
      </c>
      <c r="J2188" s="1591" t="s">
        <v>400</v>
      </c>
      <c r="K2188" s="3033" t="s">
        <v>42</v>
      </c>
      <c r="L2188" s="3034"/>
      <c r="M2188" s="3034"/>
      <c r="N2188" s="1199" t="s">
        <v>244</v>
      </c>
      <c r="Q2188" s="1200" t="s">
        <v>44</v>
      </c>
      <c r="R2188" s="1479" t="s">
        <v>45</v>
      </c>
      <c r="S2188" s="1479" t="s">
        <v>46</v>
      </c>
      <c r="T2188" s="1479" t="s">
        <v>47</v>
      </c>
      <c r="U2188" s="1485" t="s">
        <v>48</v>
      </c>
    </row>
    <row r="2189" spans="1:26" hidden="1" outlineLevel="1" x14ac:dyDescent="0.35">
      <c r="A2189" s="1346" t="s">
        <v>389</v>
      </c>
      <c r="B2189" s="1347">
        <v>610</v>
      </c>
      <c r="C2189" s="1348">
        <v>8.4700000000000006</v>
      </c>
      <c r="D2189" s="1348">
        <f t="shared" ref="D2189:D2195" si="527">C2189*B2189</f>
        <v>5166.7000000000007</v>
      </c>
      <c r="E2189" s="1641">
        <f t="shared" si="526"/>
        <v>0</v>
      </c>
      <c r="F2189" s="1486">
        <f>D2189/D$2198</f>
        <v>2.2356538053554368E-2</v>
      </c>
      <c r="G2189" s="1494" t="s">
        <v>228</v>
      </c>
      <c r="H2189" s="1593"/>
      <c r="I2189" s="1591">
        <v>3.64</v>
      </c>
      <c r="J2189" s="1591">
        <v>21.1</v>
      </c>
      <c r="K2189" s="3054" t="s">
        <v>416</v>
      </c>
      <c r="L2189" s="3054"/>
      <c r="M2189" s="3054"/>
      <c r="N2189" s="1489" t="str">
        <f>A2189</f>
        <v>SDC</v>
      </c>
      <c r="Q2189" s="1200"/>
      <c r="R2189" s="1529">
        <f>B2189*RIGHT(K2189,4)</f>
        <v>3653.9</v>
      </c>
      <c r="S2189" s="1495">
        <f>D2189</f>
        <v>5166.7000000000007</v>
      </c>
      <c r="T2189" s="1510">
        <f t="shared" ref="T2189:T2192" si="528">S2189-R2189</f>
        <v>1512.8000000000006</v>
      </c>
      <c r="U2189" s="1530">
        <f t="shared" ref="U2189:U2192" si="529">(S2189-R2189)/R2189</f>
        <v>0.41402337228714542</v>
      </c>
      <c r="W2189" t="s">
        <v>65</v>
      </c>
      <c r="X2189">
        <v>251.21</v>
      </c>
      <c r="Z2189" s="106"/>
    </row>
    <row r="2190" spans="1:26" hidden="1" outlineLevel="1" x14ac:dyDescent="0.35">
      <c r="A2190" s="1361" t="s">
        <v>402</v>
      </c>
      <c r="B2190" s="1362">
        <v>250</v>
      </c>
      <c r="C2190" s="1363">
        <v>18.75</v>
      </c>
      <c r="D2190" s="1363">
        <f t="shared" si="527"/>
        <v>4687.5</v>
      </c>
      <c r="E2190" s="1641">
        <f t="shared" si="526"/>
        <v>0</v>
      </c>
      <c r="F2190" s="1486">
        <f t="shared" ref="F2190:F2197" si="530">D2190/D$2198</f>
        <v>2.0283018585564496E-2</v>
      </c>
      <c r="G2190" s="1494" t="s">
        <v>228</v>
      </c>
      <c r="H2190" s="1593" t="s">
        <v>350</v>
      </c>
      <c r="I2190" s="1591">
        <v>6.66</v>
      </c>
      <c r="J2190" s="1591">
        <v>19.59</v>
      </c>
      <c r="K2190" s="3054" t="s">
        <v>390</v>
      </c>
      <c r="L2190" s="3054"/>
      <c r="M2190" s="3054"/>
      <c r="N2190" s="1489" t="str">
        <f>A2190</f>
        <v>AVTR</v>
      </c>
      <c r="Q2190" s="1200"/>
      <c r="R2190" s="1529">
        <f>B2190*RIGHT(K2190,6)</f>
        <v>3030</v>
      </c>
      <c r="S2190" s="1495">
        <f>D2190</f>
        <v>4687.5</v>
      </c>
      <c r="T2190" s="1510">
        <f t="shared" si="528"/>
        <v>1657.5</v>
      </c>
      <c r="U2190" s="1530">
        <f t="shared" si="529"/>
        <v>0.54702970297029707</v>
      </c>
      <c r="W2190" t="s">
        <v>429</v>
      </c>
      <c r="X2190">
        <v>199.53</v>
      </c>
      <c r="Z2190" s="106"/>
    </row>
    <row r="2191" spans="1:26" hidden="1" outlineLevel="1" x14ac:dyDescent="0.35">
      <c r="A2191" s="1346" t="s">
        <v>391</v>
      </c>
      <c r="B2191" s="1347">
        <v>200.49799999999999</v>
      </c>
      <c r="C2191" s="1348">
        <v>385.31</v>
      </c>
      <c r="D2191" s="1348">
        <f t="shared" si="527"/>
        <v>77253.884380000003</v>
      </c>
      <c r="E2191" s="1641">
        <f t="shared" si="526"/>
        <v>0</v>
      </c>
      <c r="F2191" s="1486">
        <f t="shared" si="530"/>
        <v>0.33428095417313941</v>
      </c>
      <c r="G2191" s="1494">
        <v>22</v>
      </c>
      <c r="H2191" s="1683" t="s">
        <v>145</v>
      </c>
      <c r="I2191" s="1591">
        <v>192.58</v>
      </c>
      <c r="J2191" s="1591">
        <v>399.24</v>
      </c>
      <c r="K2191" s="3054" t="s">
        <v>436</v>
      </c>
      <c r="L2191" s="3054"/>
      <c r="M2191" s="3054"/>
      <c r="N2191" s="1489" t="str">
        <f>A2191</f>
        <v>APPL</v>
      </c>
      <c r="Q2191" s="1200"/>
      <c r="R2191" s="1529">
        <f>B2191*RIGHT(K2191,6)</f>
        <v>70695.594800000006</v>
      </c>
      <c r="S2191" s="1495">
        <f>D2191</f>
        <v>77253.884380000003</v>
      </c>
      <c r="T2191" s="1510">
        <f t="shared" si="528"/>
        <v>6558.2895799999969</v>
      </c>
      <c r="U2191" s="1530">
        <f t="shared" si="529"/>
        <v>9.2768009075439542E-2</v>
      </c>
      <c r="W2191" t="s">
        <v>426</v>
      </c>
      <c r="X2191">
        <v>153.85</v>
      </c>
      <c r="Z2191" s="106"/>
    </row>
    <row r="2192" spans="1:26" hidden="1" outlineLevel="1" x14ac:dyDescent="0.35">
      <c r="A2192" s="1361" t="s">
        <v>137</v>
      </c>
      <c r="B2192" s="1362">
        <v>200</v>
      </c>
      <c r="C2192" s="1363">
        <v>284.55</v>
      </c>
      <c r="D2192" s="1363">
        <f t="shared" si="527"/>
        <v>56910</v>
      </c>
      <c r="E2192" s="1641"/>
      <c r="F2192" s="1486">
        <f t="shared" si="530"/>
        <v>0.24625207204362146</v>
      </c>
      <c r="G2192" s="1494">
        <v>67</v>
      </c>
      <c r="H2192" s="1683" t="s">
        <v>145</v>
      </c>
      <c r="I2192" s="1591">
        <v>119.01</v>
      </c>
      <c r="J2192" s="1591">
        <v>301.11</v>
      </c>
      <c r="K2192" s="3054" t="s">
        <v>437</v>
      </c>
      <c r="L2192" s="3054"/>
      <c r="M2192" s="3054"/>
      <c r="N2192" s="1684" t="str">
        <f>A2192</f>
        <v>ABMD</v>
      </c>
      <c r="Q2192" s="1632"/>
      <c r="R2192" s="1685">
        <f>B2192*RIGHT(K2192,6)</f>
        <v>54400</v>
      </c>
      <c r="S2192" s="1674">
        <f>D2192</f>
        <v>56910</v>
      </c>
      <c r="T2192" s="1686">
        <f t="shared" si="528"/>
        <v>2510</v>
      </c>
      <c r="U2192" s="1687">
        <f t="shared" si="529"/>
        <v>4.6139705882352944E-2</v>
      </c>
      <c r="Z2192" s="193"/>
    </row>
    <row r="2193" spans="1:26" hidden="1" outlineLevel="1" x14ac:dyDescent="0.35">
      <c r="A2193" s="1677" t="str">
        <f>W2189</f>
        <v>VEEV</v>
      </c>
      <c r="B2193" s="1678">
        <v>125</v>
      </c>
      <c r="C2193" s="1688">
        <f>X2189</f>
        <v>251.21</v>
      </c>
      <c r="D2193" s="1688">
        <f t="shared" si="527"/>
        <v>31401.25</v>
      </c>
      <c r="E2193" s="1641"/>
      <c r="F2193" s="1486">
        <f t="shared" si="530"/>
        <v>0.13587458930345753</v>
      </c>
      <c r="G2193" s="1494">
        <v>128</v>
      </c>
      <c r="H2193" s="1683" t="s">
        <v>145</v>
      </c>
      <c r="I2193" s="1591">
        <v>118.11</v>
      </c>
      <c r="J2193" s="1591">
        <v>263.63</v>
      </c>
      <c r="K2193" s="1689"/>
      <c r="L2193" s="1690"/>
      <c r="M2193" s="1690"/>
      <c r="N2193" s="1489"/>
      <c r="O2193" s="3"/>
      <c r="P2193" s="3"/>
      <c r="Q2193" s="1200"/>
      <c r="R2193" s="1529"/>
      <c r="S2193" s="1495"/>
      <c r="T2193" s="1510"/>
      <c r="U2193" s="1530"/>
      <c r="W2193" t="s">
        <v>155</v>
      </c>
      <c r="X2193" t="s">
        <v>146</v>
      </c>
    </row>
    <row r="2194" spans="1:26" hidden="1" outlineLevel="1" x14ac:dyDescent="0.35">
      <c r="A2194" s="1677" t="str">
        <f>W2190</f>
        <v>DOCU</v>
      </c>
      <c r="B2194" s="1678">
        <v>200</v>
      </c>
      <c r="C2194" s="1688">
        <f t="shared" ref="C2194:C2195" si="531">X2190</f>
        <v>199.53</v>
      </c>
      <c r="D2194" s="1688">
        <f t="shared" si="527"/>
        <v>39906</v>
      </c>
      <c r="E2194" s="1641"/>
      <c r="F2194" s="1486">
        <f t="shared" si="530"/>
        <v>0.17267501646411451</v>
      </c>
      <c r="G2194" s="1494"/>
      <c r="H2194" s="1593" t="s">
        <v>350</v>
      </c>
      <c r="I2194" s="1591">
        <v>43.13</v>
      </c>
      <c r="J2194" s="1591">
        <v>217</v>
      </c>
      <c r="K2194" s="1689"/>
      <c r="L2194" s="1690"/>
      <c r="M2194" s="1690"/>
      <c r="N2194" s="1489"/>
      <c r="O2194" s="3"/>
      <c r="P2194" s="3"/>
      <c r="Q2194" s="1200"/>
      <c r="R2194" s="1529"/>
      <c r="S2194" s="1495"/>
      <c r="T2194" s="1510"/>
      <c r="U2194" s="1530"/>
      <c r="W2194" t="s">
        <v>153</v>
      </c>
      <c r="X2194" t="s">
        <v>146</v>
      </c>
    </row>
    <row r="2195" spans="1:26" hidden="1" outlineLevel="1" x14ac:dyDescent="0.35">
      <c r="A2195" s="1677" t="str">
        <f>W2191</f>
        <v>CVNA</v>
      </c>
      <c r="B2195" s="1678">
        <v>90</v>
      </c>
      <c r="C2195" s="1688">
        <f t="shared" si="531"/>
        <v>153.85</v>
      </c>
      <c r="D2195" s="1688">
        <f t="shared" si="527"/>
        <v>13846.5</v>
      </c>
      <c r="E2195" s="1641"/>
      <c r="F2195" s="1486">
        <f t="shared" si="530"/>
        <v>5.9914414260270679E-2</v>
      </c>
      <c r="G2195" s="1494"/>
      <c r="H2195" s="1593" t="s">
        <v>229</v>
      </c>
      <c r="I2195" s="1593">
        <v>22.16</v>
      </c>
      <c r="J2195" s="1591">
        <v>155.97</v>
      </c>
      <c r="K2195" s="1689"/>
      <c r="L2195" s="1690"/>
      <c r="M2195" s="1690"/>
      <c r="N2195" s="1489"/>
      <c r="O2195" s="3"/>
      <c r="P2195" s="3"/>
      <c r="Q2195" s="1200"/>
      <c r="R2195" s="1529"/>
      <c r="S2195" s="1495"/>
      <c r="T2195" s="1510"/>
      <c r="U2195" s="1530"/>
    </row>
    <row r="2196" spans="1:26" ht="16" hidden="1" outlineLevel="1" thickBot="1" x14ac:dyDescent="0.4">
      <c r="A2196" s="1361" t="s">
        <v>7</v>
      </c>
      <c r="B2196" s="1362"/>
      <c r="C2196" s="1363"/>
      <c r="D2196" s="1363">
        <v>1931.82</v>
      </c>
      <c r="E2196" s="32"/>
      <c r="F2196" s="1486">
        <f t="shared" si="530"/>
        <v>8.3590700723125775E-3</v>
      </c>
      <c r="G2196" s="1418"/>
      <c r="H2196" s="1679"/>
      <c r="I2196" s="1679"/>
      <c r="J2196" s="1266"/>
      <c r="K2196" s="1633"/>
      <c r="L2196" s="1634"/>
      <c r="M2196" s="1634"/>
      <c r="S2196" s="1691">
        <f>SUM(S2189:S2192)</f>
        <v>144018.08438000001</v>
      </c>
      <c r="T2196" s="1691">
        <f>SUM(T2189:T2192)</f>
        <v>12238.589579999998</v>
      </c>
      <c r="U2196" s="1692">
        <f>AVERAGE(U2189:U2192)</f>
        <v>0.27499019755380871</v>
      </c>
    </row>
    <row r="2197" spans="1:26" ht="16" hidden="1" outlineLevel="1" thickBot="1" x14ac:dyDescent="0.4">
      <c r="A2197" s="1346" t="s">
        <v>60</v>
      </c>
      <c r="B2197" s="1347"/>
      <c r="C2197" s="1348"/>
      <c r="D2197" s="1348">
        <v>1</v>
      </c>
      <c r="E2197" s="32"/>
      <c r="F2197" s="1486">
        <f t="shared" si="530"/>
        <v>4.3270439649204259E-6</v>
      </c>
      <c r="G2197" s="1504"/>
      <c r="H2197" s="1693"/>
      <c r="I2197" s="1694"/>
      <c r="J2197" s="1290">
        <f>SUM(J2196:J2196)</f>
        <v>0</v>
      </c>
      <c r="K2197" s="1468"/>
      <c r="L2197" s="1151"/>
      <c r="M2197" s="1151"/>
      <c r="S2197" s="1470" t="str">
        <f>IF(SUM(D2189:D2192)&lt;&gt;S2196,"Out of Balance","Balances")</f>
        <v>Balances</v>
      </c>
    </row>
    <row r="2198" spans="1:26" ht="19" hidden="1" outlineLevel="1" thickBot="1" x14ac:dyDescent="0.5">
      <c r="A2198" s="726" t="s">
        <v>62</v>
      </c>
      <c r="B2198" s="583"/>
      <c r="C2198" s="584"/>
      <c r="D2198" s="1670">
        <f>SUM(D2189:D2197)</f>
        <v>231104.65438000002</v>
      </c>
      <c r="E2198" s="73">
        <f>D2198-D2184</f>
        <v>-505.02000000001863</v>
      </c>
      <c r="F2198" s="1537">
        <f>(D2198-D2184)/D2184</f>
        <v>-2.1804788653665501E-3</v>
      </c>
      <c r="H2198" s="1645">
        <f>SUM(E2198,E2184,E2173,E2160,E2149)</f>
        <v>-5597.5133599999826</v>
      </c>
      <c r="I2198" s="1646" t="s">
        <v>88</v>
      </c>
    </row>
    <row r="2199" spans="1:26" hidden="1" outlineLevel="1" x14ac:dyDescent="0.35"/>
    <row r="2200" spans="1:26" ht="16" hidden="1" outlineLevel="1" thickBot="1" x14ac:dyDescent="0.4">
      <c r="A2200" s="1619" t="s">
        <v>25</v>
      </c>
      <c r="B2200" s="1620" t="s">
        <v>26</v>
      </c>
      <c r="C2200" s="1621" t="s">
        <v>27</v>
      </c>
      <c r="D2200" s="1622">
        <f>D2186+7</f>
        <v>44050</v>
      </c>
      <c r="E2200" s="1623" t="s">
        <v>28</v>
      </c>
      <c r="F2200" s="3082"/>
      <c r="G2200" s="3083"/>
      <c r="H2200" s="3083"/>
      <c r="I2200" s="1182"/>
      <c r="J2200" s="1182"/>
      <c r="K2200" s="1183" t="s">
        <v>233</v>
      </c>
      <c r="Y2200" s="106"/>
    </row>
    <row r="2201" spans="1:26" ht="16" hidden="1" outlineLevel="1" thickBot="1" x14ac:dyDescent="0.4">
      <c r="A2201" s="1584" t="s">
        <v>32</v>
      </c>
      <c r="B2201" s="1585" t="str">
        <f ca="1">TEXT(TODAY(),"ddd")</f>
        <v>Sun</v>
      </c>
      <c r="C2201" s="1586">
        <v>27433</v>
      </c>
      <c r="D2201" s="1587">
        <f>C2201-C2187</f>
        <v>1358</v>
      </c>
      <c r="E2201" s="1641">
        <f>(C2201-C2187)/C2187</f>
        <v>5.2080536912751677E-2</v>
      </c>
      <c r="F2201" s="3084"/>
      <c r="G2201" s="3085"/>
      <c r="H2201" s="3086"/>
      <c r="I2201" s="1602"/>
      <c r="J2201" s="1602"/>
      <c r="K2201" s="1188" t="s">
        <v>234</v>
      </c>
      <c r="L2201" s="1220" t="s">
        <v>34</v>
      </c>
      <c r="M2201" s="111" t="s">
        <v>35</v>
      </c>
      <c r="N2201" s="3099"/>
      <c r="O2201" s="3100"/>
      <c r="P2201" s="3100"/>
      <c r="Q2201" s="3100"/>
      <c r="R2201" s="3100"/>
      <c r="S2201" s="3100"/>
      <c r="T2201" s="3100"/>
      <c r="U2201" s="3100"/>
      <c r="Y2201" s="106"/>
      <c r="Z2201" s="193"/>
    </row>
    <row r="2202" spans="1:26" hidden="1" outlineLevel="1" x14ac:dyDescent="0.35">
      <c r="A2202" s="709" t="s">
        <v>36</v>
      </c>
      <c r="B2202" s="263"/>
      <c r="C2202" s="419">
        <v>11010</v>
      </c>
      <c r="D2202" s="1587">
        <f>C2202-C2188</f>
        <v>393</v>
      </c>
      <c r="E2202" s="1641">
        <f t="shared" ref="E2202:E2209" si="532">(C2202-C2188)/C2188</f>
        <v>3.7016106244701891E-2</v>
      </c>
      <c r="F2202" s="1486" t="s">
        <v>37</v>
      </c>
      <c r="G2202" s="1672" t="s">
        <v>38</v>
      </c>
      <c r="H2202" s="1604" t="s">
        <v>144</v>
      </c>
      <c r="I2202" s="1488" t="s">
        <v>441</v>
      </c>
      <c r="J2202" s="1591" t="s">
        <v>400</v>
      </c>
      <c r="K2202" s="3033" t="s">
        <v>42</v>
      </c>
      <c r="L2202" s="3034"/>
      <c r="M2202" s="3034"/>
      <c r="N2202" s="1199" t="s">
        <v>244</v>
      </c>
      <c r="Q2202" s="1200" t="s">
        <v>44</v>
      </c>
      <c r="R2202" s="1479" t="s">
        <v>45</v>
      </c>
      <c r="S2202" s="1479" t="s">
        <v>46</v>
      </c>
      <c r="T2202" s="1479" t="s">
        <v>47</v>
      </c>
      <c r="U2202" s="1485" t="s">
        <v>48</v>
      </c>
    </row>
    <row r="2203" spans="1:26" hidden="1" outlineLevel="1" x14ac:dyDescent="0.35">
      <c r="A2203" s="1346" t="s">
        <v>442</v>
      </c>
      <c r="B2203" s="1347">
        <v>610</v>
      </c>
      <c r="C2203" s="1348">
        <v>9.0500000000000007</v>
      </c>
      <c r="D2203" s="1348">
        <f t="shared" ref="D2203:D2209" si="533">C2203*B2203</f>
        <v>5520.5</v>
      </c>
      <c r="E2203" s="1641">
        <f t="shared" si="532"/>
        <v>6.8476977567886663E-2</v>
      </c>
      <c r="F2203" s="1486">
        <f>D2203/D$2198</f>
        <v>2.388744620834321E-2</v>
      </c>
      <c r="G2203" s="1494" t="s">
        <v>228</v>
      </c>
      <c r="H2203" s="1593"/>
      <c r="I2203" s="1591">
        <v>3.64</v>
      </c>
      <c r="J2203" s="1591">
        <v>21.1</v>
      </c>
      <c r="K2203" s="3054" t="s">
        <v>416</v>
      </c>
      <c r="L2203" s="3054"/>
      <c r="M2203" s="3054"/>
      <c r="N2203" s="1489" t="str">
        <f>A2203</f>
        <v>SDC (Dwn 14% AE)</v>
      </c>
      <c r="Q2203" s="1200"/>
      <c r="R2203" s="1529">
        <f>B2203*RIGHT(K2203,4)</f>
        <v>3653.9</v>
      </c>
      <c r="S2203" s="1495">
        <f>D2203</f>
        <v>5520.5</v>
      </c>
      <c r="T2203" s="1510">
        <f t="shared" ref="T2203:T2209" si="534">S2203-R2203</f>
        <v>1866.6</v>
      </c>
      <c r="U2203" s="1530">
        <f t="shared" ref="U2203:U2209" si="535">(S2203-R2203)/R2203</f>
        <v>0.51085141903171949</v>
      </c>
      <c r="W2203" t="s">
        <v>65</v>
      </c>
      <c r="X2203">
        <v>251.21</v>
      </c>
      <c r="Z2203" s="106"/>
    </row>
    <row r="2204" spans="1:26" hidden="1" outlineLevel="1" x14ac:dyDescent="0.35">
      <c r="A2204" s="1361" t="s">
        <v>402</v>
      </c>
      <c r="B2204" s="1362">
        <v>250</v>
      </c>
      <c r="C2204" s="1363">
        <v>21.67</v>
      </c>
      <c r="D2204" s="1363">
        <f t="shared" si="533"/>
        <v>5417.5</v>
      </c>
      <c r="E2204" s="1641">
        <f t="shared" si="532"/>
        <v>0.15573333333333342</v>
      </c>
      <c r="F2204" s="1486">
        <f t="shared" ref="F2204:F2211" si="536">D2204/D$2198</f>
        <v>2.344176067995641E-2</v>
      </c>
      <c r="G2204" s="1494" t="s">
        <v>228</v>
      </c>
      <c r="H2204" s="1593" t="s">
        <v>350</v>
      </c>
      <c r="I2204" s="1591">
        <v>6.66</v>
      </c>
      <c r="J2204" s="1591">
        <v>19.59</v>
      </c>
      <c r="K2204" s="3054" t="s">
        <v>390</v>
      </c>
      <c r="L2204" s="3054"/>
      <c r="M2204" s="3054"/>
      <c r="N2204" s="1489" t="str">
        <f>A2204</f>
        <v>AVTR</v>
      </c>
      <c r="Q2204" s="1200"/>
      <c r="R2204" s="1529">
        <f>B2204*RIGHT(K2204,6)</f>
        <v>3030</v>
      </c>
      <c r="S2204" s="1495">
        <f>D2204</f>
        <v>5417.5</v>
      </c>
      <c r="T2204" s="1510">
        <f t="shared" si="534"/>
        <v>2387.5</v>
      </c>
      <c r="U2204" s="1530">
        <f t="shared" si="535"/>
        <v>0.78795379537953791</v>
      </c>
      <c r="W2204" t="s">
        <v>429</v>
      </c>
      <c r="X2204">
        <v>199.53</v>
      </c>
      <c r="Z2204" s="106"/>
    </row>
    <row r="2205" spans="1:26" hidden="1" outlineLevel="1" x14ac:dyDescent="0.35">
      <c r="A2205" s="1346" t="s">
        <v>391</v>
      </c>
      <c r="B2205" s="1347">
        <v>200.49799999999999</v>
      </c>
      <c r="C2205" s="1348">
        <v>444.45</v>
      </c>
      <c r="D2205" s="1348">
        <f t="shared" si="533"/>
        <v>89111.3361</v>
      </c>
      <c r="E2205" s="1641">
        <f t="shared" si="532"/>
        <v>0.15348680283408161</v>
      </c>
      <c r="F2205" s="1486">
        <f t="shared" si="536"/>
        <v>0.38558866907750072</v>
      </c>
      <c r="G2205" s="1494">
        <v>22</v>
      </c>
      <c r="H2205" s="1683" t="s">
        <v>145</v>
      </c>
      <c r="I2205" s="1591">
        <v>192.58</v>
      </c>
      <c r="J2205" s="1591">
        <v>399.24</v>
      </c>
      <c r="K2205" s="3054" t="s">
        <v>436</v>
      </c>
      <c r="L2205" s="3054"/>
      <c r="M2205" s="3054"/>
      <c r="N2205" s="1489" t="str">
        <f>A2205</f>
        <v>APPL</v>
      </c>
      <c r="Q2205" s="1200"/>
      <c r="R2205" s="1529">
        <f>B2205*RIGHT(K2205,6)</f>
        <v>70695.594800000006</v>
      </c>
      <c r="S2205" s="1495">
        <f>D2205</f>
        <v>89111.3361</v>
      </c>
      <c r="T2205" s="1510">
        <f t="shared" si="534"/>
        <v>18415.741299999994</v>
      </c>
      <c r="U2205" s="1530">
        <f t="shared" si="535"/>
        <v>0.26049347702779341</v>
      </c>
      <c r="W2205" t="s">
        <v>426</v>
      </c>
      <c r="X2205">
        <v>153.85</v>
      </c>
      <c r="Z2205" s="106"/>
    </row>
    <row r="2206" spans="1:26" hidden="1" outlineLevel="1" x14ac:dyDescent="0.35">
      <c r="A2206" s="1361" t="s">
        <v>137</v>
      </c>
      <c r="B2206" s="1362">
        <v>160</v>
      </c>
      <c r="C2206" s="1363">
        <v>310.82</v>
      </c>
      <c r="D2206" s="1363">
        <f t="shared" si="533"/>
        <v>49731.199999999997</v>
      </c>
      <c r="E2206" s="1641">
        <f t="shared" si="532"/>
        <v>9.2321208926374909E-2</v>
      </c>
      <c r="F2206" s="1486">
        <f t="shared" si="536"/>
        <v>0.21518908882825069</v>
      </c>
      <c r="G2206" s="1494">
        <v>67</v>
      </c>
      <c r="H2206" s="1683" t="s">
        <v>145</v>
      </c>
      <c r="I2206" s="1591">
        <v>119.01</v>
      </c>
      <c r="J2206" s="1591">
        <v>301.11</v>
      </c>
      <c r="K2206" s="3054" t="s">
        <v>437</v>
      </c>
      <c r="L2206" s="3054"/>
      <c r="M2206" s="3054"/>
      <c r="N2206" s="1684" t="str">
        <f>A2206</f>
        <v>ABMD</v>
      </c>
      <c r="Q2206" s="1632"/>
      <c r="R2206" s="1685">
        <f>B2206*RIGHT(K2206,6)</f>
        <v>43520</v>
      </c>
      <c r="S2206" s="1674">
        <f>D2206</f>
        <v>49731.199999999997</v>
      </c>
      <c r="T2206" s="1686">
        <f t="shared" si="534"/>
        <v>6211.1999999999971</v>
      </c>
      <c r="U2206" s="1687">
        <f t="shared" si="535"/>
        <v>0.14272058823529404</v>
      </c>
      <c r="Z2206" s="193"/>
    </row>
    <row r="2207" spans="1:26" hidden="1" outlineLevel="1" x14ac:dyDescent="0.35">
      <c r="A2207" s="1346" t="str">
        <f>W2203</f>
        <v>VEEV</v>
      </c>
      <c r="B2207" s="1347">
        <v>125</v>
      </c>
      <c r="C2207" s="1348">
        <v>261.22000000000003</v>
      </c>
      <c r="D2207" s="1348">
        <f t="shared" si="533"/>
        <v>32652.500000000004</v>
      </c>
      <c r="E2207" s="1641">
        <f t="shared" si="532"/>
        <v>3.9847139843159185E-2</v>
      </c>
      <c r="F2207" s="1486">
        <f t="shared" si="536"/>
        <v>0.14128880306456423</v>
      </c>
      <c r="G2207" s="1494">
        <v>128</v>
      </c>
      <c r="H2207" s="1683" t="s">
        <v>145</v>
      </c>
      <c r="I2207" s="1591">
        <v>118.11</v>
      </c>
      <c r="J2207" s="1591">
        <v>263.63</v>
      </c>
      <c r="K2207" s="3054" t="s">
        <v>443</v>
      </c>
      <c r="L2207" s="3054"/>
      <c r="M2207" s="3054"/>
      <c r="N2207" s="1489"/>
      <c r="O2207" s="3"/>
      <c r="P2207" s="3"/>
      <c r="Q2207" s="1200"/>
      <c r="R2207" s="1685">
        <f t="shared" ref="R2207:R2209" si="537">B2207*RIGHT(K2207,6)</f>
        <v>31825</v>
      </c>
      <c r="S2207" s="1674">
        <f t="shared" ref="S2207:S2209" si="538">D2207</f>
        <v>32652.500000000004</v>
      </c>
      <c r="T2207" s="1686">
        <f t="shared" si="534"/>
        <v>827.50000000000364</v>
      </c>
      <c r="U2207" s="1687">
        <f t="shared" si="535"/>
        <v>2.6001571091908992E-2</v>
      </c>
      <c r="W2207" t="s">
        <v>155</v>
      </c>
      <c r="X2207" t="s">
        <v>146</v>
      </c>
    </row>
    <row r="2208" spans="1:26" hidden="1" outlineLevel="1" x14ac:dyDescent="0.35">
      <c r="A2208" s="1361" t="str">
        <f>W2204</f>
        <v>DOCU</v>
      </c>
      <c r="B2208" s="1362">
        <v>200</v>
      </c>
      <c r="C2208" s="1363">
        <v>204.76</v>
      </c>
      <c r="D2208" s="1363">
        <f t="shared" si="533"/>
        <v>40952</v>
      </c>
      <c r="E2208" s="1641">
        <f t="shared" si="532"/>
        <v>2.6211597253545781E-2</v>
      </c>
      <c r="F2208" s="1486">
        <f t="shared" si="536"/>
        <v>0.17720110445142129</v>
      </c>
      <c r="G2208" s="1494"/>
      <c r="H2208" s="1593" t="s">
        <v>350</v>
      </c>
      <c r="I2208" s="1591">
        <v>43.13</v>
      </c>
      <c r="J2208" s="1591">
        <v>217</v>
      </c>
      <c r="K2208" s="3054" t="s">
        <v>444</v>
      </c>
      <c r="L2208" s="3054"/>
      <c r="M2208" s="3054"/>
      <c r="N2208" s="1489"/>
      <c r="O2208" s="3"/>
      <c r="P2208" s="3"/>
      <c r="Q2208" s="1200"/>
      <c r="R2208" s="1685">
        <f t="shared" si="537"/>
        <v>40114</v>
      </c>
      <c r="S2208" s="1674">
        <f t="shared" si="538"/>
        <v>40952</v>
      </c>
      <c r="T2208" s="1686">
        <f t="shared" si="534"/>
        <v>838</v>
      </c>
      <c r="U2208" s="1687">
        <f t="shared" si="535"/>
        <v>2.0890462182779079E-2</v>
      </c>
      <c r="W2208" t="s">
        <v>153</v>
      </c>
      <c r="X2208" t="s">
        <v>146</v>
      </c>
    </row>
    <row r="2209" spans="1:23" hidden="1" outlineLevel="1" x14ac:dyDescent="0.35">
      <c r="A2209" s="1346" t="str">
        <f>W2205</f>
        <v>CVNA</v>
      </c>
      <c r="B2209" s="1347">
        <v>90</v>
      </c>
      <c r="C2209" s="1348">
        <v>192</v>
      </c>
      <c r="D2209" s="1348">
        <f t="shared" si="533"/>
        <v>17280</v>
      </c>
      <c r="E2209" s="1641">
        <f t="shared" si="532"/>
        <v>0.24796880077998054</v>
      </c>
      <c r="F2209" s="1486">
        <f t="shared" si="536"/>
        <v>7.477131971382496E-2</v>
      </c>
      <c r="G2209" s="1494"/>
      <c r="H2209" s="1593" t="s">
        <v>229</v>
      </c>
      <c r="I2209" s="1593">
        <v>22.16</v>
      </c>
      <c r="J2209" s="1591">
        <v>155.97</v>
      </c>
      <c r="K2209" s="3054" t="s">
        <v>445</v>
      </c>
      <c r="L2209" s="3054"/>
      <c r="M2209" s="3054"/>
      <c r="N2209" s="1489"/>
      <c r="O2209" s="3"/>
      <c r="P2209" s="3"/>
      <c r="Q2209" s="1200"/>
      <c r="R2209" s="1529">
        <f t="shared" si="537"/>
        <v>13685.4</v>
      </c>
      <c r="S2209" s="1674">
        <f t="shared" si="538"/>
        <v>17280</v>
      </c>
      <c r="T2209" s="1686">
        <f t="shared" si="534"/>
        <v>3594.6000000000004</v>
      </c>
      <c r="U2209" s="1687">
        <f t="shared" si="535"/>
        <v>0.26265947652242538</v>
      </c>
    </row>
    <row r="2210" spans="1:23" ht="16" hidden="1" outlineLevel="1" thickBot="1" x14ac:dyDescent="0.4">
      <c r="A2210" s="1361" t="s">
        <v>7</v>
      </c>
      <c r="B2210" s="1362"/>
      <c r="C2210" s="1363"/>
      <c r="D2210" s="1363">
        <v>1999.43</v>
      </c>
      <c r="E2210" s="32"/>
      <c r="F2210" s="1486">
        <f t="shared" si="536"/>
        <v>8.6516215147808481E-3</v>
      </c>
      <c r="G2210" s="1418"/>
      <c r="H2210" s="1679"/>
      <c r="I2210" s="1679"/>
      <c r="J2210" s="1266"/>
      <c r="K2210" s="1633"/>
      <c r="L2210" s="1634"/>
      <c r="M2210" s="1634"/>
      <c r="S2210" s="1691">
        <f>SUM(S2203:S2206)</f>
        <v>149780.5361</v>
      </c>
      <c r="T2210" s="1691">
        <f>SUM(T2203:T2206)</f>
        <v>28881.04129999999</v>
      </c>
      <c r="U2210" s="1692">
        <f>AVERAGE(U2203:U2209)</f>
        <v>0.28736725563877974</v>
      </c>
    </row>
    <row r="2211" spans="1:23" ht="16" hidden="1" outlineLevel="1" thickBot="1" x14ac:dyDescent="0.4">
      <c r="A2211" s="1346" t="s">
        <v>60</v>
      </c>
      <c r="B2211" s="1347"/>
      <c r="C2211" s="1348"/>
      <c r="D2211" s="1348">
        <v>12650.57</v>
      </c>
      <c r="E2211" s="32"/>
      <c r="F2211" s="1486">
        <f t="shared" si="536"/>
        <v>5.4739572571303394E-2</v>
      </c>
      <c r="G2211" s="1504"/>
      <c r="H2211" s="1505"/>
      <c r="I2211" s="1694"/>
      <c r="J2211" s="1290">
        <f>SUM(J2210:J2210)</f>
        <v>0</v>
      </c>
      <c r="K2211" s="1468"/>
      <c r="L2211" s="1151"/>
      <c r="M2211" s="1151"/>
      <c r="S2211" s="1470" t="str">
        <f>IF(SUM(D2203:D2206)&lt;&gt;S2210,"Out of Balance","Balances")</f>
        <v>Balances</v>
      </c>
    </row>
    <row r="2212" spans="1:23" ht="19" hidden="1" outlineLevel="1" thickBot="1" x14ac:dyDescent="0.5">
      <c r="A2212" s="726" t="s">
        <v>62</v>
      </c>
      <c r="B2212" s="583"/>
      <c r="C2212" s="584"/>
      <c r="D2212" s="1671">
        <f>SUM(D2203:D2211)</f>
        <v>255315.0361</v>
      </c>
      <c r="E2212" s="1538">
        <f>D2212-D2198</f>
        <v>24210.381719999976</v>
      </c>
      <c r="F2212" s="1545">
        <f>(D2212-D2198)/D2198</f>
        <v>0.1047593861099457</v>
      </c>
    </row>
    <row r="2213" spans="1:23" ht="18.5" hidden="1" outlineLevel="1" x14ac:dyDescent="0.45">
      <c r="A2213" s="683"/>
      <c r="B2213" s="1695"/>
      <c r="C2213" s="1696"/>
      <c r="D2213" s="1697"/>
      <c r="E2213" s="1698"/>
      <c r="F2213" s="1699"/>
    </row>
    <row r="2214" spans="1:23" ht="16" hidden="1" outlineLevel="1" thickBot="1" x14ac:dyDescent="0.4">
      <c r="A2214" s="1619" t="s">
        <v>25</v>
      </c>
      <c r="B2214" s="1620" t="s">
        <v>26</v>
      </c>
      <c r="C2214" s="1621" t="s">
        <v>27</v>
      </c>
      <c r="D2214" s="1622">
        <f>D2200+7</f>
        <v>44057</v>
      </c>
      <c r="E2214" s="1623" t="s">
        <v>28</v>
      </c>
      <c r="F2214" s="3082" t="s">
        <v>410</v>
      </c>
      <c r="G2214" s="3083"/>
      <c r="H2214" s="3083"/>
      <c r="I2214" s="1182"/>
      <c r="J2214" s="1182"/>
      <c r="K2214" s="1183" t="s">
        <v>233</v>
      </c>
    </row>
    <row r="2215" spans="1:23" ht="16" hidden="1" outlineLevel="1" thickBot="1" x14ac:dyDescent="0.4">
      <c r="A2215" s="1584" t="s">
        <v>32</v>
      </c>
      <c r="B2215" s="1585" t="str">
        <f ca="1">TEXT(TODAY(),"ddd")</f>
        <v>Sun</v>
      </c>
      <c r="C2215" s="1586">
        <v>27931</v>
      </c>
      <c r="D2215" s="1587">
        <f>C2215-C2201</f>
        <v>498</v>
      </c>
      <c r="E2215" s="1641">
        <f t="shared" ref="E2215:E2216" si="539">(C2215-C2201)/C2201</f>
        <v>1.8153318995370538E-2</v>
      </c>
      <c r="F2215" s="3084"/>
      <c r="G2215" s="3085"/>
      <c r="H2215" s="3086"/>
      <c r="I2215" s="1602"/>
      <c r="J2215" s="1602"/>
      <c r="K2215" s="1188" t="s">
        <v>234</v>
      </c>
      <c r="L2215" s="1220" t="s">
        <v>34</v>
      </c>
      <c r="M2215" s="111" t="s">
        <v>35</v>
      </c>
      <c r="N2215" s="3099"/>
      <c r="O2215" s="3100"/>
      <c r="P2215" s="3100"/>
      <c r="Q2215" s="3100"/>
      <c r="R2215" s="3100"/>
      <c r="S2215" s="3100"/>
      <c r="T2215" s="3100"/>
      <c r="U2215" s="3100"/>
    </row>
    <row r="2216" spans="1:23" hidden="1" outlineLevel="1" x14ac:dyDescent="0.35">
      <c r="A2216" s="709" t="s">
        <v>36</v>
      </c>
      <c r="B2216" s="263"/>
      <c r="C2216" s="419">
        <v>11019</v>
      </c>
      <c r="D2216" s="1587">
        <f>C2216-C2202</f>
        <v>9</v>
      </c>
      <c r="E2216" s="1641">
        <f t="shared" si="539"/>
        <v>8.1743869209809268E-4</v>
      </c>
      <c r="F2216" s="1486" t="s">
        <v>37</v>
      </c>
      <c r="G2216" s="1672" t="s">
        <v>38</v>
      </c>
      <c r="H2216" s="1604" t="s">
        <v>144</v>
      </c>
      <c r="I2216" s="1488" t="s">
        <v>441</v>
      </c>
      <c r="J2216" s="1591" t="s">
        <v>400</v>
      </c>
      <c r="K2216" s="3033" t="s">
        <v>42</v>
      </c>
      <c r="L2216" s="3034"/>
      <c r="M2216" s="3034"/>
      <c r="N2216" s="1199" t="s">
        <v>244</v>
      </c>
      <c r="Q2216" s="1200" t="s">
        <v>44</v>
      </c>
      <c r="R2216" s="1479" t="s">
        <v>45</v>
      </c>
      <c r="S2216" s="1479" t="s">
        <v>46</v>
      </c>
      <c r="T2216" s="1479" t="s">
        <v>47</v>
      </c>
      <c r="U2216" s="1485" t="s">
        <v>48</v>
      </c>
      <c r="W2216" s="1700" t="s">
        <v>446</v>
      </c>
    </row>
    <row r="2217" spans="1:23" hidden="1" outlineLevel="1" x14ac:dyDescent="0.35">
      <c r="A2217" s="1361" t="s">
        <v>402</v>
      </c>
      <c r="B2217" s="1362">
        <v>250</v>
      </c>
      <c r="C2217" s="1363">
        <v>20.68</v>
      </c>
      <c r="D2217" s="1363">
        <f t="shared" ref="D2217:D2223" si="540">C2217*B2217</f>
        <v>5170</v>
      </c>
      <c r="E2217" s="1641">
        <f>(C2217-C2204)/C2204</f>
        <v>-4.5685279187817347E-2</v>
      </c>
      <c r="F2217" s="1486">
        <f t="shared" ref="F2217:F2225" si="541">D2217/D$2198</f>
        <v>2.2370817298638601E-2</v>
      </c>
      <c r="G2217" s="1494" t="s">
        <v>228</v>
      </c>
      <c r="H2217" s="1593" t="s">
        <v>350</v>
      </c>
      <c r="I2217" s="1591">
        <v>6.66</v>
      </c>
      <c r="J2217" s="1591">
        <v>19.59</v>
      </c>
      <c r="K2217" s="3054" t="s">
        <v>390</v>
      </c>
      <c r="L2217" s="3054"/>
      <c r="M2217" s="3054"/>
      <c r="N2217" s="1489" t="str">
        <f>A2217</f>
        <v>AVTR</v>
      </c>
      <c r="Q2217" s="1345">
        <v>44138</v>
      </c>
      <c r="R2217" s="1529">
        <f>B2217*RIGHT(K2217,6)</f>
        <v>3030</v>
      </c>
      <c r="S2217" s="1510">
        <f>D2217</f>
        <v>5170</v>
      </c>
      <c r="T2217" s="1510">
        <f t="shared" ref="T2217:T2223" si="542">S2217-R2217</f>
        <v>2140</v>
      </c>
      <c r="U2217" s="1530">
        <f t="shared" ref="U2217:U2223" si="543">(S2217-R2217)/R2217</f>
        <v>0.70627062706270627</v>
      </c>
      <c r="V2217" s="1701" t="str">
        <f t="shared" ref="V2217:V2223" si="544">A2217</f>
        <v>AVTR</v>
      </c>
      <c r="W2217" s="1702">
        <f t="shared" ref="W2217:W2223" ca="1" si="545">Q2217-TODAY()</f>
        <v>-1034</v>
      </c>
    </row>
    <row r="2218" spans="1:23" hidden="1" outlineLevel="1" x14ac:dyDescent="0.35">
      <c r="A2218" s="1346" t="s">
        <v>391</v>
      </c>
      <c r="B2218" s="1347">
        <v>200.86600000000001</v>
      </c>
      <c r="C2218" s="1348">
        <v>459.63</v>
      </c>
      <c r="D2218" s="1348">
        <f t="shared" si="540"/>
        <v>92324.039580000011</v>
      </c>
      <c r="E2218" s="1641">
        <f>(C2218-C2205)/C2205</f>
        <v>3.4154573067836667E-2</v>
      </c>
      <c r="F2218" s="1486">
        <f t="shared" si="541"/>
        <v>0.39949017828171357</v>
      </c>
      <c r="G2218" s="1494">
        <v>22</v>
      </c>
      <c r="H2218" s="1683" t="s">
        <v>145</v>
      </c>
      <c r="I2218" s="1591">
        <v>192.58</v>
      </c>
      <c r="J2218" s="1591">
        <v>399.24</v>
      </c>
      <c r="K2218" s="3054" t="s">
        <v>436</v>
      </c>
      <c r="L2218" s="3054"/>
      <c r="M2218" s="3054"/>
      <c r="N2218" s="1489" t="str">
        <f>A2218</f>
        <v>APPL</v>
      </c>
      <c r="Q2218" s="1345">
        <v>44132</v>
      </c>
      <c r="R2218" s="1529">
        <f>B2218*RIGHT(K2218,6)</f>
        <v>70825.351600000009</v>
      </c>
      <c r="S2218" s="1510">
        <f>D2218</f>
        <v>92324.039580000011</v>
      </c>
      <c r="T2218" s="1510">
        <f t="shared" si="542"/>
        <v>21498.687980000002</v>
      </c>
      <c r="U2218" s="1530">
        <f t="shared" si="543"/>
        <v>0.30354509359047077</v>
      </c>
      <c r="V2218" s="1703" t="str">
        <f t="shared" si="544"/>
        <v>APPL</v>
      </c>
      <c r="W2218" s="1702">
        <f t="shared" ca="1" si="545"/>
        <v>-1040</v>
      </c>
    </row>
    <row r="2219" spans="1:23" hidden="1" outlineLevel="1" x14ac:dyDescent="0.35">
      <c r="A2219" s="1361" t="s">
        <v>429</v>
      </c>
      <c r="B2219" s="1362">
        <v>200</v>
      </c>
      <c r="C2219" s="1363">
        <v>199.71</v>
      </c>
      <c r="D2219" s="1363">
        <f>C2219*B2219</f>
        <v>39942</v>
      </c>
      <c r="E2219" s="1641">
        <f>(C2219-C2208)/C2208</f>
        <v>-2.4663020121117325E-2</v>
      </c>
      <c r="F2219" s="1486">
        <f>D2219/D$2198</f>
        <v>0.17283079004685165</v>
      </c>
      <c r="G2219" s="1494" t="s">
        <v>228</v>
      </c>
      <c r="H2219" s="1593" t="s">
        <v>350</v>
      </c>
      <c r="I2219" s="1591">
        <v>43.13</v>
      </c>
      <c r="J2219" s="1591">
        <v>217</v>
      </c>
      <c r="K2219" s="3054" t="s">
        <v>444</v>
      </c>
      <c r="L2219" s="3054"/>
      <c r="M2219" s="3054"/>
      <c r="N2219" s="1489"/>
      <c r="O2219" s="3"/>
      <c r="P2219" s="3"/>
      <c r="Q2219" s="1345">
        <v>44077</v>
      </c>
      <c r="R2219" s="1704">
        <f>B2219*RIGHT(K2219,6)</f>
        <v>40114</v>
      </c>
      <c r="S2219" s="1705">
        <f>D2219</f>
        <v>39942</v>
      </c>
      <c r="T2219" s="1705">
        <f>S2219-R2219</f>
        <v>-172</v>
      </c>
      <c r="U2219" s="1706">
        <f>(S2219-R2219)/R2219</f>
        <v>-4.2877798274916492E-3</v>
      </c>
      <c r="V2219" s="1703" t="str">
        <f>A2219</f>
        <v>DOCU</v>
      </c>
      <c r="W2219" s="1702">
        <f t="shared" ca="1" si="545"/>
        <v>-1095</v>
      </c>
    </row>
    <row r="2220" spans="1:23" hidden="1" outlineLevel="1" x14ac:dyDescent="0.35">
      <c r="A2220" s="1346" t="s">
        <v>137</v>
      </c>
      <c r="B2220" s="1347">
        <v>160</v>
      </c>
      <c r="C2220" s="1348">
        <v>307.35000000000002</v>
      </c>
      <c r="D2220" s="1348">
        <f t="shared" si="540"/>
        <v>49176</v>
      </c>
      <c r="E2220" s="1641">
        <f>(C2220-C2206)/C2206</f>
        <v>-1.1164017759474842E-2</v>
      </c>
      <c r="F2220" s="1486">
        <f t="shared" si="541"/>
        <v>0.21278671401892688</v>
      </c>
      <c r="G2220" s="1494">
        <v>67</v>
      </c>
      <c r="H2220" s="1683" t="s">
        <v>145</v>
      </c>
      <c r="I2220" s="1591">
        <v>119.01</v>
      </c>
      <c r="J2220" s="1591">
        <v>301.11</v>
      </c>
      <c r="K2220" s="3054" t="s">
        <v>437</v>
      </c>
      <c r="L2220" s="3054"/>
      <c r="M2220" s="3054"/>
      <c r="N2220" s="1684" t="str">
        <f>A2220</f>
        <v>ABMD</v>
      </c>
      <c r="Q2220" s="1345">
        <v>44133</v>
      </c>
      <c r="R2220" s="1685">
        <f>B2220*RIGHT(K2220,6)</f>
        <v>43520</v>
      </c>
      <c r="S2220" s="1686">
        <f>D2220</f>
        <v>49176</v>
      </c>
      <c r="T2220" s="1686">
        <f t="shared" si="542"/>
        <v>5656</v>
      </c>
      <c r="U2220" s="1687">
        <f t="shared" si="543"/>
        <v>0.12996323529411766</v>
      </c>
      <c r="V2220" s="1703" t="str">
        <f t="shared" si="544"/>
        <v>ABMD</v>
      </c>
      <c r="W2220" s="1702">
        <f t="shared" ca="1" si="545"/>
        <v>-1039</v>
      </c>
    </row>
    <row r="2221" spans="1:23" hidden="1" outlineLevel="1" x14ac:dyDescent="0.35">
      <c r="A2221" s="1361" t="s">
        <v>65</v>
      </c>
      <c r="B2221" s="1362">
        <v>125</v>
      </c>
      <c r="C2221" s="1363">
        <v>258.33999999999997</v>
      </c>
      <c r="D2221" s="1363">
        <f t="shared" si="540"/>
        <v>32292.499999999996</v>
      </c>
      <c r="E2221" s="1641">
        <f>(C2221-C2207)/C2207</f>
        <v>-1.1025189495444652E-2</v>
      </c>
      <c r="F2221" s="1486">
        <f t="shared" si="541"/>
        <v>0.13973106723719284</v>
      </c>
      <c r="G2221" s="1494">
        <v>128</v>
      </c>
      <c r="H2221" s="1683" t="s">
        <v>145</v>
      </c>
      <c r="I2221" s="1591">
        <v>118.11</v>
      </c>
      <c r="J2221" s="1591">
        <v>263.63</v>
      </c>
      <c r="K2221" s="3054" t="s">
        <v>443</v>
      </c>
      <c r="L2221" s="3054"/>
      <c r="M2221" s="3054"/>
      <c r="N2221" s="1489"/>
      <c r="O2221" s="3"/>
      <c r="P2221" s="3"/>
      <c r="Q2221" s="1345">
        <v>44070</v>
      </c>
      <c r="R2221" s="1707">
        <f t="shared" ref="R2221:R2223" si="546">B2221*RIGHT(K2221,6)</f>
        <v>31825</v>
      </c>
      <c r="S2221" s="1708">
        <f t="shared" ref="S2221:S2223" si="547">D2221</f>
        <v>32292.499999999996</v>
      </c>
      <c r="T2221" s="1708">
        <f t="shared" si="542"/>
        <v>467.49999999999636</v>
      </c>
      <c r="U2221" s="1709">
        <f t="shared" si="543"/>
        <v>1.4689709347996743E-2</v>
      </c>
      <c r="V2221" s="1703" t="str">
        <f t="shared" si="544"/>
        <v>VEEV</v>
      </c>
      <c r="W2221" s="1702">
        <f t="shared" ca="1" si="545"/>
        <v>-1102</v>
      </c>
    </row>
    <row r="2222" spans="1:23" hidden="1" outlineLevel="1" x14ac:dyDescent="0.35">
      <c r="A2222" s="1346" t="s">
        <v>447</v>
      </c>
      <c r="B2222" s="1347">
        <v>113</v>
      </c>
      <c r="C2222" s="1348">
        <v>107.4</v>
      </c>
      <c r="D2222" s="1348">
        <f t="shared" si="540"/>
        <v>12136.2</v>
      </c>
      <c r="E2222" s="1641"/>
      <c r="F2222" s="1486">
        <f t="shared" si="541"/>
        <v>5.2513870967067278E-2</v>
      </c>
      <c r="G2222" s="1494" t="s">
        <v>228</v>
      </c>
      <c r="H2222" s="1593" t="s">
        <v>228</v>
      </c>
      <c r="I2222" s="1710"/>
      <c r="J2222" s="1591"/>
      <c r="K2222" s="3054" t="s">
        <v>448</v>
      </c>
      <c r="L2222" s="3054"/>
      <c r="M2222" s="3054"/>
      <c r="N2222" s="1489"/>
      <c r="O2222" s="3"/>
      <c r="P2222" s="3"/>
      <c r="Q2222" s="1345">
        <v>44140</v>
      </c>
      <c r="R2222" s="1704">
        <f t="shared" si="546"/>
        <v>12481.98</v>
      </c>
      <c r="S2222" s="1705">
        <f t="shared" si="547"/>
        <v>12136.2</v>
      </c>
      <c r="T2222" s="1705">
        <f t="shared" si="542"/>
        <v>-345.77999999999884</v>
      </c>
      <c r="U2222" s="1706">
        <f t="shared" si="543"/>
        <v>-2.7702335687126468E-2</v>
      </c>
      <c r="V2222" s="1703" t="str">
        <f t="shared" si="544"/>
        <v>FVRR</v>
      </c>
      <c r="W2222" s="1702">
        <f t="shared" ca="1" si="545"/>
        <v>-1032</v>
      </c>
    </row>
    <row r="2223" spans="1:23" hidden="1" outlineLevel="1" x14ac:dyDescent="0.35">
      <c r="A2223" s="1361" t="s">
        <v>426</v>
      </c>
      <c r="B2223" s="1362">
        <v>90</v>
      </c>
      <c r="C2223" s="1363">
        <v>196.68</v>
      </c>
      <c r="D2223" s="1363">
        <f t="shared" si="540"/>
        <v>17701.2</v>
      </c>
      <c r="E2223" s="1641">
        <f>(C2223-C2209)/C2209</f>
        <v>2.4375000000000036E-2</v>
      </c>
      <c r="F2223" s="1486">
        <f t="shared" si="541"/>
        <v>7.6593870631849442E-2</v>
      </c>
      <c r="G2223" s="1494" t="s">
        <v>228</v>
      </c>
      <c r="H2223" s="1593" t="s">
        <v>229</v>
      </c>
      <c r="I2223" s="1593">
        <v>22.16</v>
      </c>
      <c r="J2223" s="1591">
        <v>155.97</v>
      </c>
      <c r="K2223" s="3054" t="s">
        <v>445</v>
      </c>
      <c r="L2223" s="3054"/>
      <c r="M2223" s="3054"/>
      <c r="N2223" s="1489"/>
      <c r="O2223" s="3"/>
      <c r="P2223" s="3"/>
      <c r="Q2223" s="1345">
        <v>44144</v>
      </c>
      <c r="R2223" s="1529">
        <f t="shared" si="546"/>
        <v>13685.4</v>
      </c>
      <c r="S2223" s="1686">
        <f t="shared" si="547"/>
        <v>17701.2</v>
      </c>
      <c r="T2223" s="1686">
        <f t="shared" si="542"/>
        <v>4015.8000000000011</v>
      </c>
      <c r="U2223" s="1687">
        <f t="shared" si="543"/>
        <v>0.29343680126265959</v>
      </c>
      <c r="V2223" s="1711" t="str">
        <f t="shared" si="544"/>
        <v>CVNA</v>
      </c>
      <c r="W2223" s="1712">
        <f t="shared" ca="1" si="545"/>
        <v>-1028</v>
      </c>
    </row>
    <row r="2224" spans="1:23" ht="16" hidden="1" outlineLevel="1" thickBot="1" x14ac:dyDescent="0.4">
      <c r="A2224" s="1346" t="s">
        <v>7</v>
      </c>
      <c r="B2224" s="1347"/>
      <c r="C2224" s="1348"/>
      <c r="D2224" s="1348">
        <v>2001.72</v>
      </c>
      <c r="E2224" s="32"/>
      <c r="F2224" s="1486">
        <f t="shared" si="541"/>
        <v>8.6615304454605146E-3</v>
      </c>
      <c r="G2224" s="1418"/>
      <c r="H2224" s="1679"/>
      <c r="I2224" s="1679"/>
      <c r="J2224" s="1266"/>
      <c r="K2224" s="1633"/>
      <c r="L2224" s="1634"/>
      <c r="M2224" s="1634"/>
      <c r="S2224" s="1691">
        <f>SUM(S2217:S2220)</f>
        <v>186612.03958000001</v>
      </c>
      <c r="T2224" s="1691">
        <f>SUM(T2217:T2220)</f>
        <v>29122.687980000002</v>
      </c>
      <c r="U2224" s="1692">
        <f>AVERAGE(U2217:U2223)</f>
        <v>0.20227362157761899</v>
      </c>
    </row>
    <row r="2225" spans="1:23" ht="16" hidden="1" outlineLevel="1" thickBot="1" x14ac:dyDescent="0.4">
      <c r="A2225" s="1361" t="s">
        <v>60</v>
      </c>
      <c r="B2225" s="1362"/>
      <c r="C2225" s="1363"/>
      <c r="D2225" s="1363">
        <f>168.46+4861.59</f>
        <v>5030.05</v>
      </c>
      <c r="E2225" s="32"/>
      <c r="F2225" s="1486">
        <f t="shared" si="541"/>
        <v>2.1765247495747989E-2</v>
      </c>
      <c r="G2225" s="1713"/>
      <c r="H2225" s="1714"/>
      <c r="I2225" s="1715"/>
      <c r="J2225" s="1290">
        <f>SUM(J2224:J2224)</f>
        <v>0</v>
      </c>
      <c r="K2225" s="1468"/>
      <c r="L2225" s="1151"/>
      <c r="M2225" s="1151"/>
      <c r="S2225" s="1470" t="str">
        <f>IF(SUM(D2217:D2220)&lt;&gt;S2224,"Out of Balance","Balances")</f>
        <v>Balances</v>
      </c>
    </row>
    <row r="2226" spans="1:23" ht="19" hidden="1" outlineLevel="1" thickBot="1" x14ac:dyDescent="0.5">
      <c r="A2226" s="726" t="s">
        <v>62</v>
      </c>
      <c r="B2226" s="583"/>
      <c r="C2226" s="584"/>
      <c r="D2226" s="1671">
        <f>SUM(D2217:D2225)</f>
        <v>255773.70958000002</v>
      </c>
      <c r="E2226" s="1538">
        <f>D2226-D2212</f>
        <v>458.67348000002676</v>
      </c>
      <c r="F2226" s="1545">
        <f>(D2226-D2212)/D2212</f>
        <v>1.7965000691160891E-3</v>
      </c>
    </row>
    <row r="2227" spans="1:23" hidden="1" outlineLevel="1" x14ac:dyDescent="0.35"/>
    <row r="2228" spans="1:23" ht="16.5" hidden="1" customHeight="1" outlineLevel="1" thickBot="1" x14ac:dyDescent="0.4">
      <c r="A2228" s="1619" t="s">
        <v>25</v>
      </c>
      <c r="B2228" s="1620" t="s">
        <v>26</v>
      </c>
      <c r="C2228" s="1621" t="s">
        <v>27</v>
      </c>
      <c r="D2228" s="1622">
        <f>D2214+7</f>
        <v>44064</v>
      </c>
      <c r="E2228" s="1623" t="s">
        <v>28</v>
      </c>
      <c r="F2228" s="3082" t="s">
        <v>410</v>
      </c>
      <c r="G2228" s="3083"/>
      <c r="H2228" s="3083"/>
      <c r="I2228" s="1182"/>
      <c r="J2228" s="1182"/>
      <c r="K2228" s="1183" t="s">
        <v>233</v>
      </c>
    </row>
    <row r="2229" spans="1:23" ht="16.5" hidden="1" customHeight="1" outlineLevel="1" thickBot="1" x14ac:dyDescent="0.4">
      <c r="A2229" s="1584" t="s">
        <v>32</v>
      </c>
      <c r="B2229" s="1585" t="str">
        <f ca="1">TEXT(TODAY(),"ddd")</f>
        <v>Sun</v>
      </c>
      <c r="C2229" s="1586">
        <v>27930.33</v>
      </c>
      <c r="D2229" s="1587">
        <f>C2229-C2215</f>
        <v>-0.66999999999825377</v>
      </c>
      <c r="E2229" s="1641">
        <f>(C2229-C2215)/C2215</f>
        <v>-2.3987683935349746E-5</v>
      </c>
      <c r="F2229" s="3084"/>
      <c r="G2229" s="3085"/>
      <c r="H2229" s="3086"/>
      <c r="I2229" s="1602"/>
      <c r="J2229" s="1602"/>
      <c r="K2229" s="1188" t="s">
        <v>234</v>
      </c>
      <c r="L2229" s="1220" t="s">
        <v>34</v>
      </c>
      <c r="M2229" s="111" t="s">
        <v>35</v>
      </c>
      <c r="N2229" s="3099"/>
      <c r="O2229" s="3100"/>
      <c r="P2229" s="3100"/>
      <c r="Q2229" s="3100"/>
      <c r="R2229" s="3100"/>
      <c r="S2229" s="3100"/>
      <c r="T2229" s="3100"/>
      <c r="U2229" s="3100"/>
    </row>
    <row r="2230" spans="1:23" hidden="1" outlineLevel="1" x14ac:dyDescent="0.35">
      <c r="A2230" s="709" t="s">
        <v>36</v>
      </c>
      <c r="B2230" s="263"/>
      <c r="C2230" s="419">
        <v>11348.41</v>
      </c>
      <c r="D2230" s="1587">
        <f>C2230-C2216</f>
        <v>329.40999999999985</v>
      </c>
      <c r="E2230" s="1641">
        <f>(C2230-C2216)/C2216</f>
        <v>2.9894727289227683E-2</v>
      </c>
      <c r="F2230" s="1486" t="s">
        <v>37</v>
      </c>
      <c r="G2230" s="1672" t="s">
        <v>38</v>
      </c>
      <c r="H2230" s="1604" t="s">
        <v>144</v>
      </c>
      <c r="I2230" s="1488" t="s">
        <v>441</v>
      </c>
      <c r="J2230" s="1591" t="s">
        <v>400</v>
      </c>
      <c r="K2230" s="3033" t="s">
        <v>42</v>
      </c>
      <c r="L2230" s="3034"/>
      <c r="M2230" s="3034"/>
      <c r="N2230" s="1199" t="s">
        <v>244</v>
      </c>
      <c r="Q2230" s="1200" t="s">
        <v>44</v>
      </c>
      <c r="R2230" s="1479" t="s">
        <v>45</v>
      </c>
      <c r="S2230" s="1479" t="s">
        <v>46</v>
      </c>
      <c r="T2230" s="1479" t="s">
        <v>47</v>
      </c>
      <c r="U2230" s="1485" t="s">
        <v>48</v>
      </c>
      <c r="W2230" s="1700" t="s">
        <v>446</v>
      </c>
    </row>
    <row r="2231" spans="1:23" hidden="1" outlineLevel="1" x14ac:dyDescent="0.35">
      <c r="A2231" s="1654" t="s">
        <v>402</v>
      </c>
      <c r="B2231" s="1362">
        <v>250</v>
      </c>
      <c r="C2231" s="1363">
        <v>21.27</v>
      </c>
      <c r="D2231" s="1363">
        <f t="shared" ref="D2231:D2232" si="548">C2231*B2231</f>
        <v>5317.5</v>
      </c>
      <c r="E2231" s="1641">
        <f t="shared" ref="E2231:E2233" si="549">(C2231-C2217)/C2217</f>
        <v>2.8529980657640227E-2</v>
      </c>
      <c r="F2231" s="1486">
        <f t="shared" ref="F2231:F2232" si="550">D2231/D$2198</f>
        <v>2.3009056283464367E-2</v>
      </c>
      <c r="G2231" s="1494" t="s">
        <v>228</v>
      </c>
      <c r="H2231" s="1593" t="s">
        <v>350</v>
      </c>
      <c r="I2231" s="1716">
        <v>6.66</v>
      </c>
      <c r="J2231" s="1716">
        <v>19.59</v>
      </c>
      <c r="K2231" s="3054" t="s">
        <v>390</v>
      </c>
      <c r="L2231" s="3054"/>
      <c r="M2231" s="3054"/>
      <c r="N2231" s="1489" t="str">
        <f>A2231</f>
        <v>AVTR</v>
      </c>
      <c r="Q2231" s="1345">
        <v>44138</v>
      </c>
      <c r="R2231" s="1529">
        <f>B2231*RIGHT(K2231,6)</f>
        <v>3030</v>
      </c>
      <c r="S2231" s="1510">
        <f>D2231</f>
        <v>5317.5</v>
      </c>
      <c r="T2231" s="1510">
        <f t="shared" ref="T2231:T2232" si="551">S2231-R2231</f>
        <v>2287.5</v>
      </c>
      <c r="U2231" s="1530">
        <f t="shared" ref="U2231:U2232" si="552">(S2231-R2231)/R2231</f>
        <v>0.75495049504950495</v>
      </c>
      <c r="V2231" s="1701" t="str">
        <f t="shared" ref="V2231:V2232" si="553">A2231</f>
        <v>AVTR</v>
      </c>
      <c r="W2231" s="1702">
        <f ca="1">Q2231-TODAY()</f>
        <v>-1034</v>
      </c>
    </row>
    <row r="2232" spans="1:23" hidden="1" outlineLevel="1" x14ac:dyDescent="0.35">
      <c r="A2232" s="1346" t="s">
        <v>391</v>
      </c>
      <c r="B2232" s="1347">
        <v>200.86600000000001</v>
      </c>
      <c r="C2232" s="1348">
        <v>502.81</v>
      </c>
      <c r="D2232" s="1348">
        <f t="shared" si="548"/>
        <v>100997.43346</v>
      </c>
      <c r="E2232" s="1641">
        <f t="shared" si="549"/>
        <v>9.3945129778299954E-2</v>
      </c>
      <c r="F2232" s="1486">
        <f t="shared" si="550"/>
        <v>0.43702033492554532</v>
      </c>
      <c r="G2232" s="1494">
        <v>22</v>
      </c>
      <c r="H2232" s="1683" t="s">
        <v>145</v>
      </c>
      <c r="I2232" s="1716">
        <v>192.58</v>
      </c>
      <c r="J2232" s="1716">
        <v>399.24</v>
      </c>
      <c r="K2232" s="3054" t="s">
        <v>436</v>
      </c>
      <c r="L2232" s="3054"/>
      <c r="M2232" s="3054"/>
      <c r="N2232" s="1489" t="str">
        <f>A2232</f>
        <v>APPL</v>
      </c>
      <c r="Q2232" s="1345">
        <v>44132</v>
      </c>
      <c r="R2232" s="1529">
        <f>B2232*RIGHT(K2232,6)</f>
        <v>70825.351600000009</v>
      </c>
      <c r="S2232" s="1510">
        <f>D2232</f>
        <v>100997.43346</v>
      </c>
      <c r="T2232" s="1510">
        <f t="shared" si="551"/>
        <v>30172.081859999991</v>
      </c>
      <c r="U2232" s="1530">
        <f t="shared" si="552"/>
        <v>0.42600680657969353</v>
      </c>
      <c r="V2232" s="1703" t="str">
        <f t="shared" si="553"/>
        <v>APPL</v>
      </c>
      <c r="W2232" s="1702">
        <f ca="1">Q2232-TODAY()</f>
        <v>-1040</v>
      </c>
    </row>
    <row r="2233" spans="1:23" hidden="1" outlineLevel="1" x14ac:dyDescent="0.35">
      <c r="A2233" s="1654" t="s">
        <v>429</v>
      </c>
      <c r="B2233" s="1362">
        <v>200</v>
      </c>
      <c r="C2233" s="1363">
        <v>204.82</v>
      </c>
      <c r="D2233" s="1363">
        <f>C2233*B2233</f>
        <v>40964</v>
      </c>
      <c r="E2233" s="1641">
        <f t="shared" si="549"/>
        <v>2.5587101296880403E-2</v>
      </c>
      <c r="F2233" s="1486">
        <f>D2233/D$2198</f>
        <v>0.17725302897900033</v>
      </c>
      <c r="G2233" s="1494"/>
      <c r="H2233" s="1593" t="s">
        <v>350</v>
      </c>
      <c r="I2233" s="1716">
        <v>43.13</v>
      </c>
      <c r="J2233" s="1716">
        <v>217</v>
      </c>
      <c r="K2233" s="3054" t="s">
        <v>444</v>
      </c>
      <c r="L2233" s="3054"/>
      <c r="M2233" s="3054"/>
      <c r="N2233" s="1489"/>
      <c r="O2233" s="3"/>
      <c r="P2233" s="3"/>
      <c r="Q2233" s="1345">
        <v>44077</v>
      </c>
      <c r="R2233" s="1685">
        <f>B2233*RIGHT(K2233,6)</f>
        <v>40114</v>
      </c>
      <c r="S2233" s="1686">
        <f>D2233</f>
        <v>40964</v>
      </c>
      <c r="T2233" s="1686">
        <f>S2233-R2233</f>
        <v>850</v>
      </c>
      <c r="U2233" s="1687">
        <f>(S2233-R2233)/R2233</f>
        <v>2.1189609612604077E-2</v>
      </c>
      <c r="V2233" s="1703" t="str">
        <f>A2233</f>
        <v>DOCU</v>
      </c>
      <c r="W2233" s="1702">
        <f ca="1">Q2233-TODAY()</f>
        <v>-1095</v>
      </c>
    </row>
    <row r="2234" spans="1:23" hidden="1" outlineLevel="1" x14ac:dyDescent="0.35">
      <c r="A2234" s="1397" t="s">
        <v>65</v>
      </c>
      <c r="B2234" s="1347">
        <v>125</v>
      </c>
      <c r="C2234" s="1348">
        <v>259.29000000000002</v>
      </c>
      <c r="D2234" s="1348">
        <f t="shared" ref="D2234:D2237" si="554">C2234*B2234</f>
        <v>32411.250000000004</v>
      </c>
      <c r="E2234" s="1641">
        <f>(C2234-C2221)/C2221</f>
        <v>3.6773244561432434E-3</v>
      </c>
      <c r="F2234" s="1486">
        <f t="shared" ref="F2234:F2239" si="555">D2234/D$2198</f>
        <v>0.14024490370802717</v>
      </c>
      <c r="G2234" s="1494">
        <v>128</v>
      </c>
      <c r="H2234" s="1683" t="s">
        <v>145</v>
      </c>
      <c r="I2234" s="1716">
        <v>118.11</v>
      </c>
      <c r="J2234" s="1716">
        <v>263.63</v>
      </c>
      <c r="K2234" s="3054" t="s">
        <v>443</v>
      </c>
      <c r="L2234" s="3054"/>
      <c r="M2234" s="3054"/>
      <c r="N2234" s="1489"/>
      <c r="O2234" s="3"/>
      <c r="P2234" s="3"/>
      <c r="Q2234" s="1345">
        <v>44070</v>
      </c>
      <c r="R2234" s="1685">
        <f t="shared" ref="R2234:R2235" si="556">B2234*RIGHT(K2234,6)</f>
        <v>31825</v>
      </c>
      <c r="S2234" s="1686">
        <f t="shared" ref="S2234:S2237" si="557">D2234</f>
        <v>32411.250000000004</v>
      </c>
      <c r="T2234" s="1686">
        <f t="shared" ref="T2234:T2235" si="558">S2234-R2234</f>
        <v>586.25000000000364</v>
      </c>
      <c r="U2234" s="1687">
        <f t="shared" ref="U2234:U2235" si="559">(S2234-R2234)/R2234</f>
        <v>1.842105263157906E-2</v>
      </c>
      <c r="V2234" s="1703" t="str">
        <f t="shared" ref="V2234:V2237" si="560">A2234</f>
        <v>VEEV</v>
      </c>
      <c r="W2234" s="1702">
        <f ca="1">Q2234-TODAY()</f>
        <v>-1102</v>
      </c>
    </row>
    <row r="2235" spans="1:23" hidden="1" outlineLevel="1" x14ac:dyDescent="0.35">
      <c r="A2235" s="1654" t="s">
        <v>447</v>
      </c>
      <c r="B2235" s="1362">
        <v>113</v>
      </c>
      <c r="C2235" s="1363">
        <v>111.79</v>
      </c>
      <c r="D2235" s="1363">
        <f t="shared" si="554"/>
        <v>12632.27</v>
      </c>
      <c r="E2235" s="1641">
        <f>(C2235-C2222)/C2222</f>
        <v>4.0875232774674121E-2</v>
      </c>
      <c r="F2235" s="1486">
        <f t="shared" si="555"/>
        <v>5.4660387666745351E-2</v>
      </c>
      <c r="G2235" s="1494"/>
      <c r="H2235" s="1593"/>
      <c r="I2235" s="1717">
        <v>17</v>
      </c>
      <c r="J2235" s="1716">
        <v>126</v>
      </c>
      <c r="K2235" s="3054" t="s">
        <v>448</v>
      </c>
      <c r="L2235" s="3054"/>
      <c r="M2235" s="3054"/>
      <c r="N2235" s="1489"/>
      <c r="O2235" s="3"/>
      <c r="P2235" s="3"/>
      <c r="Q2235" s="1345">
        <v>44140</v>
      </c>
      <c r="R2235" s="1685">
        <f t="shared" si="556"/>
        <v>12481.98</v>
      </c>
      <c r="S2235" s="1686">
        <f t="shared" si="557"/>
        <v>12632.27</v>
      </c>
      <c r="T2235" s="1686">
        <f t="shared" si="558"/>
        <v>150.29000000000087</v>
      </c>
      <c r="U2235" s="1687">
        <f t="shared" si="559"/>
        <v>1.2040557667934165E-2</v>
      </c>
      <c r="V2235" s="1703" t="str">
        <f t="shared" si="560"/>
        <v>FVRR</v>
      </c>
      <c r="W2235" s="1702">
        <f ca="1">Q2235-TODAY()</f>
        <v>-1032</v>
      </c>
    </row>
    <row r="2236" spans="1:23" hidden="1" outlineLevel="1" x14ac:dyDescent="0.35">
      <c r="A2236" s="1654" t="s">
        <v>49</v>
      </c>
      <c r="B2236" s="1347">
        <v>100</v>
      </c>
      <c r="C2236" s="1348">
        <v>507.33</v>
      </c>
      <c r="D2236" s="1348">
        <f t="shared" si="554"/>
        <v>50733</v>
      </c>
      <c r="E2236" s="1641"/>
      <c r="F2236" s="1486">
        <f t="shared" si="555"/>
        <v>0.21952392147230798</v>
      </c>
      <c r="G2236" s="1494"/>
      <c r="H2236" s="1593"/>
      <c r="I2236" s="1717"/>
      <c r="J2236" s="1716"/>
      <c r="K2236" s="1718"/>
      <c r="L2236" s="1718"/>
      <c r="M2236" s="1718"/>
      <c r="N2236" s="1489"/>
      <c r="O2236" s="3"/>
      <c r="P2236" s="3"/>
      <c r="Q2236" s="1345"/>
      <c r="R2236" s="1685"/>
      <c r="S2236" s="1686">
        <f t="shared" si="557"/>
        <v>50733</v>
      </c>
      <c r="T2236" s="1686"/>
      <c r="U2236" s="1687"/>
      <c r="V2236" s="1703" t="str">
        <f t="shared" si="560"/>
        <v>NVDA</v>
      </c>
      <c r="W2236" s="1702"/>
    </row>
    <row r="2237" spans="1:23" hidden="1" outlineLevel="1" x14ac:dyDescent="0.35">
      <c r="A2237" s="1654" t="s">
        <v>426</v>
      </c>
      <c r="B2237" s="1362">
        <v>90</v>
      </c>
      <c r="C2237" s="1363">
        <v>199.71</v>
      </c>
      <c r="D2237" s="1363">
        <f t="shared" si="554"/>
        <v>17973.900000000001</v>
      </c>
      <c r="E2237" s="1641">
        <f>(C2237-C2223)/C2223</f>
        <v>1.5405735204392928E-2</v>
      </c>
      <c r="F2237" s="1486">
        <f t="shared" si="555"/>
        <v>7.7773855521083249E-2</v>
      </c>
      <c r="G2237" s="1494"/>
      <c r="H2237" s="1593" t="s">
        <v>229</v>
      </c>
      <c r="I2237" s="1719">
        <v>22.16</v>
      </c>
      <c r="J2237" s="1716">
        <v>155.97</v>
      </c>
      <c r="K2237" s="3054" t="s">
        <v>445</v>
      </c>
      <c r="L2237" s="3054"/>
      <c r="M2237" s="3054"/>
      <c r="N2237" s="1489"/>
      <c r="O2237" s="3"/>
      <c r="P2237" s="3"/>
      <c r="Q2237" s="1345">
        <v>44144</v>
      </c>
      <c r="R2237" s="1529">
        <f t="shared" ref="R2237" si="561">B2237*RIGHT(K2237,6)</f>
        <v>13685.4</v>
      </c>
      <c r="S2237" s="1686">
        <f t="shared" si="557"/>
        <v>17973.900000000001</v>
      </c>
      <c r="T2237" s="1686">
        <f t="shared" ref="T2237" si="562">S2237-R2237</f>
        <v>4288.5000000000018</v>
      </c>
      <c r="U2237" s="1687">
        <f t="shared" ref="U2237" si="563">(S2237-R2237)/R2237</f>
        <v>0.31336314612652916</v>
      </c>
      <c r="V2237" s="1711" t="str">
        <f t="shared" si="560"/>
        <v>CVNA</v>
      </c>
      <c r="W2237" s="1712">
        <f ca="1">Q2237-TODAY()</f>
        <v>-1028</v>
      </c>
    </row>
    <row r="2238" spans="1:23" ht="16" hidden="1" outlineLevel="1" thickBot="1" x14ac:dyDescent="0.4">
      <c r="A2238" s="7" t="s">
        <v>7</v>
      </c>
      <c r="B2238" s="1347"/>
      <c r="C2238" s="1348"/>
      <c r="D2238" s="1348">
        <v>2001.72</v>
      </c>
      <c r="E2238" s="32"/>
      <c r="F2238" s="1486">
        <f t="shared" si="555"/>
        <v>8.6615304454605146E-3</v>
      </c>
      <c r="G2238" s="1418"/>
      <c r="H2238" s="1679"/>
      <c r="I2238" s="1679"/>
      <c r="J2238" s="1266"/>
      <c r="K2238" s="1633"/>
      <c r="L2238" s="1634"/>
      <c r="M2238" s="1634"/>
      <c r="S2238" s="1691">
        <f>SUM(S2231:S2233)</f>
        <v>147278.93346</v>
      </c>
      <c r="T2238" s="1691">
        <f>SUM(T2231:T2233)</f>
        <v>33309.581859999991</v>
      </c>
      <c r="U2238" s="1692">
        <f>AVERAGE(U2231:U2237)</f>
        <v>0.25766194461130748</v>
      </c>
    </row>
    <row r="2239" spans="1:23" ht="16" hidden="1" outlineLevel="1" thickBot="1" x14ac:dyDescent="0.4">
      <c r="A2239" s="1397" t="s">
        <v>60</v>
      </c>
      <c r="B2239" s="1362"/>
      <c r="C2239" s="1363"/>
      <c r="D2239" s="1363">
        <f>168.46+4861.59</f>
        <v>5030.05</v>
      </c>
      <c r="E2239" s="32"/>
      <c r="F2239" s="1486">
        <f t="shared" si="555"/>
        <v>2.1765247495747989E-2</v>
      </c>
      <c r="G2239" s="1713"/>
      <c r="H2239" s="1714"/>
      <c r="I2239" s="1715"/>
      <c r="J2239" s="1290">
        <f>SUM(J2238:J2238)</f>
        <v>0</v>
      </c>
      <c r="K2239" s="1468"/>
      <c r="L2239" s="1151"/>
      <c r="M2239" s="1151"/>
      <c r="S2239" s="1470" t="str">
        <f>IF(SUM(D2231:D2233)&lt;&gt;S2238,"Out of Balance","Balances")</f>
        <v>Balances</v>
      </c>
    </row>
    <row r="2240" spans="1:23" ht="19" hidden="1" outlineLevel="1" thickBot="1" x14ac:dyDescent="0.5">
      <c r="A2240" s="726" t="s">
        <v>62</v>
      </c>
      <c r="B2240" s="583"/>
      <c r="C2240" s="584"/>
      <c r="D2240" s="1671">
        <f>SUM(D2231:D2239)</f>
        <v>268061.12345999997</v>
      </c>
      <c r="E2240" s="1538">
        <f>D2240-D2226</f>
        <v>12287.413879999949</v>
      </c>
      <c r="F2240" s="1545">
        <f>(D2240-D2226)/D2226</f>
        <v>4.804017543545356E-2</v>
      </c>
    </row>
    <row r="2241" spans="1:23" hidden="1" outlineLevel="1" x14ac:dyDescent="0.35"/>
    <row r="2242" spans="1:23" ht="16" hidden="1" outlineLevel="1" thickBot="1" x14ac:dyDescent="0.4">
      <c r="A2242" s="1619" t="s">
        <v>25</v>
      </c>
      <c r="B2242" s="1620" t="s">
        <v>26</v>
      </c>
      <c r="C2242" s="1621" t="s">
        <v>27</v>
      </c>
      <c r="D2242" s="1720">
        <f>D2228+7</f>
        <v>44071</v>
      </c>
      <c r="E2242" s="1623" t="s">
        <v>28</v>
      </c>
      <c r="F2242" s="3082"/>
      <c r="G2242" s="3083"/>
      <c r="H2242" s="3083"/>
      <c r="I2242" s="1182"/>
      <c r="J2242" s="1182"/>
      <c r="K2242" s="1183" t="s">
        <v>233</v>
      </c>
    </row>
    <row r="2243" spans="1:23" ht="16" hidden="1" outlineLevel="1" thickBot="1" x14ac:dyDescent="0.4">
      <c r="A2243" s="1584" t="s">
        <v>32</v>
      </c>
      <c r="B2243" s="1585" t="str">
        <f ca="1">TEXT(TODAY(),"ddd")</f>
        <v>Sun</v>
      </c>
      <c r="C2243" s="1586">
        <v>28653</v>
      </c>
      <c r="D2243" s="1587">
        <f>C2243-C2229</f>
        <v>722.66999999999825</v>
      </c>
      <c r="E2243" s="1641">
        <f>(C2243-C2229)/C2229</f>
        <v>2.5874022970727457E-2</v>
      </c>
      <c r="F2243" s="3084"/>
      <c r="G2243" s="3085"/>
      <c r="H2243" s="3086"/>
      <c r="I2243" s="1602"/>
      <c r="J2243" s="1602"/>
      <c r="K2243" s="1188" t="s">
        <v>234</v>
      </c>
      <c r="L2243" s="1220" t="s">
        <v>34</v>
      </c>
      <c r="M2243" s="111" t="s">
        <v>35</v>
      </c>
      <c r="N2243" s="3099"/>
      <c r="O2243" s="3100"/>
      <c r="P2243" s="3100"/>
      <c r="Q2243" s="3100"/>
      <c r="R2243" s="3100"/>
      <c r="S2243" s="3100"/>
      <c r="T2243" s="3100"/>
      <c r="U2243" s="3100"/>
    </row>
    <row r="2244" spans="1:23" hidden="1" outlineLevel="1" x14ac:dyDescent="0.35">
      <c r="A2244" s="709" t="s">
        <v>36</v>
      </c>
      <c r="B2244" s="263"/>
      <c r="C2244" s="419">
        <v>11695</v>
      </c>
      <c r="D2244" s="1587">
        <f>C2244-C2230</f>
        <v>346.59000000000015</v>
      </c>
      <c r="E2244" s="1641">
        <f>(C2244-C2230)/C2230</f>
        <v>3.054084228539506E-2</v>
      </c>
      <c r="F2244" s="1486" t="s">
        <v>37</v>
      </c>
      <c r="G2244" s="1672" t="s">
        <v>38</v>
      </c>
      <c r="H2244" s="1604" t="s">
        <v>144</v>
      </c>
      <c r="I2244" s="1488" t="s">
        <v>441</v>
      </c>
      <c r="J2244" s="1591" t="s">
        <v>400</v>
      </c>
      <c r="K2244" s="3033" t="s">
        <v>42</v>
      </c>
      <c r="L2244" s="3034"/>
      <c r="M2244" s="3034"/>
      <c r="N2244" s="1199" t="s">
        <v>244</v>
      </c>
      <c r="Q2244" s="1200" t="s">
        <v>44</v>
      </c>
      <c r="R2244" s="1479" t="s">
        <v>45</v>
      </c>
      <c r="S2244" s="1479" t="s">
        <v>46</v>
      </c>
      <c r="T2244" s="1479" t="s">
        <v>47</v>
      </c>
      <c r="U2244" s="1485" t="s">
        <v>48</v>
      </c>
      <c r="W2244" s="1700" t="s">
        <v>446</v>
      </c>
    </row>
    <row r="2245" spans="1:23" hidden="1" outlineLevel="1" x14ac:dyDescent="0.35">
      <c r="A2245" s="1654" t="s">
        <v>402</v>
      </c>
      <c r="B2245" s="1362">
        <v>250</v>
      </c>
      <c r="C2245" s="1363">
        <v>21.99</v>
      </c>
      <c r="D2245" s="1363">
        <f t="shared" ref="D2245:D2246" si="564">C2245*B2245</f>
        <v>5497.5</v>
      </c>
      <c r="E2245" s="1641">
        <f t="shared" ref="E2245:E2251" si="565">(C2245-C2231)/C2231</f>
        <v>3.3850493653032387E-2</v>
      </c>
      <c r="F2245" s="1486">
        <f t="shared" ref="F2245:F2246" si="566">D2245/D$2198</f>
        <v>2.3787924197150041E-2</v>
      </c>
      <c r="G2245" s="1494" t="s">
        <v>228</v>
      </c>
      <c r="H2245" s="1660" t="s">
        <v>449</v>
      </c>
      <c r="I2245" s="1716">
        <v>6.66</v>
      </c>
      <c r="J2245" s="1716">
        <v>19.59</v>
      </c>
      <c r="K2245" s="3054" t="s">
        <v>390</v>
      </c>
      <c r="L2245" s="3054"/>
      <c r="M2245" s="3054"/>
      <c r="N2245" s="1489" t="str">
        <f>A2245</f>
        <v>AVTR</v>
      </c>
      <c r="Q2245" s="1345">
        <v>44138</v>
      </c>
      <c r="R2245" s="1529">
        <f>B2245*RIGHT(K2245,6)</f>
        <v>3030</v>
      </c>
      <c r="S2245" s="1510">
        <f>D2245</f>
        <v>5497.5</v>
      </c>
      <c r="T2245" s="1510">
        <f t="shared" ref="T2245:T2246" si="567">S2245-R2245</f>
        <v>2467.5</v>
      </c>
      <c r="U2245" s="1530">
        <f t="shared" ref="U2245:U2246" si="568">(S2245-R2245)/R2245</f>
        <v>0.8143564356435643</v>
      </c>
      <c r="V2245" s="1701" t="str">
        <f t="shared" ref="V2245:V2246" si="569">A2245</f>
        <v>AVTR</v>
      </c>
      <c r="W2245" s="1702">
        <f t="shared" ref="W2245:W2251" ca="1" si="570">Q2245-TODAY()</f>
        <v>-1034</v>
      </c>
    </row>
    <row r="2246" spans="1:23" hidden="1" outlineLevel="1" x14ac:dyDescent="0.35">
      <c r="A2246" s="1346" t="s">
        <v>391</v>
      </c>
      <c r="B2246" s="1347">
        <v>200.86600000000001</v>
      </c>
      <c r="C2246" s="1348">
        <v>499.23</v>
      </c>
      <c r="D2246" s="1348">
        <f t="shared" si="564"/>
        <v>100278.33318000002</v>
      </c>
      <c r="E2246" s="1641">
        <f t="shared" si="565"/>
        <v>-7.1199856804756946E-3</v>
      </c>
      <c r="F2246" s="1486">
        <f t="shared" si="566"/>
        <v>0.43390875639879878</v>
      </c>
      <c r="G2246" s="1494">
        <v>22</v>
      </c>
      <c r="H2246" s="1683" t="s">
        <v>450</v>
      </c>
      <c r="I2246" s="1716">
        <v>192.58</v>
      </c>
      <c r="J2246" s="1716">
        <v>399.24</v>
      </c>
      <c r="K2246" s="3054" t="s">
        <v>436</v>
      </c>
      <c r="L2246" s="3054"/>
      <c r="M2246" s="3054"/>
      <c r="N2246" s="1489" t="str">
        <f>A2246</f>
        <v>APPL</v>
      </c>
      <c r="Q2246" s="1345">
        <v>44132</v>
      </c>
      <c r="R2246" s="1529">
        <f>B2246*RIGHT(K2246,6)</f>
        <v>70825.351600000009</v>
      </c>
      <c r="S2246" s="1510">
        <f>D2246</f>
        <v>100278.33318000002</v>
      </c>
      <c r="T2246" s="1510">
        <f t="shared" si="567"/>
        <v>29452.981580000007</v>
      </c>
      <c r="U2246" s="1530">
        <f t="shared" si="568"/>
        <v>0.4158536585365854</v>
      </c>
      <c r="V2246" s="1703" t="str">
        <f t="shared" si="569"/>
        <v>APPL</v>
      </c>
      <c r="W2246" s="1702">
        <f t="shared" ca="1" si="570"/>
        <v>-1040</v>
      </c>
    </row>
    <row r="2247" spans="1:23" hidden="1" outlineLevel="1" x14ac:dyDescent="0.35">
      <c r="A2247" s="1677" t="s">
        <v>429</v>
      </c>
      <c r="B2247" s="1678">
        <v>200</v>
      </c>
      <c r="C2247" s="1688">
        <v>215.24</v>
      </c>
      <c r="D2247" s="1688">
        <f>C2247*B2247</f>
        <v>43048</v>
      </c>
      <c r="E2247" s="1641">
        <f t="shared" si="565"/>
        <v>5.0873938091983283E-2</v>
      </c>
      <c r="F2247" s="1486">
        <f>D2247/D$2198</f>
        <v>0.18627058860189449</v>
      </c>
      <c r="G2247" s="1494"/>
      <c r="H2247" s="1660" t="s">
        <v>451</v>
      </c>
      <c r="I2247" s="1716">
        <v>43.13</v>
      </c>
      <c r="J2247" s="1716">
        <v>217</v>
      </c>
      <c r="K2247" s="3054" t="s">
        <v>444</v>
      </c>
      <c r="L2247" s="3054"/>
      <c r="M2247" s="3054"/>
      <c r="N2247" s="1489"/>
      <c r="O2247" s="3"/>
      <c r="P2247" s="3"/>
      <c r="Q2247" s="1345">
        <v>44077</v>
      </c>
      <c r="R2247" s="1685">
        <f>B2247*RIGHT(K2247,6)</f>
        <v>40114</v>
      </c>
      <c r="S2247" s="1686">
        <f>D2247</f>
        <v>43048</v>
      </c>
      <c r="T2247" s="1686">
        <f>S2247-R2247</f>
        <v>2934</v>
      </c>
      <c r="U2247" s="1687">
        <f>(S2247-R2247)/R2247</f>
        <v>7.3141546592212198E-2</v>
      </c>
      <c r="V2247" s="1703" t="str">
        <f>A2247</f>
        <v>DOCU</v>
      </c>
      <c r="W2247" s="1721">
        <f t="shared" ca="1" si="570"/>
        <v>-1095</v>
      </c>
    </row>
    <row r="2248" spans="1:23" hidden="1" outlineLevel="1" x14ac:dyDescent="0.35">
      <c r="A2248" s="1677" t="s">
        <v>65</v>
      </c>
      <c r="B2248" s="1678">
        <v>125</v>
      </c>
      <c r="C2248" s="1688">
        <v>274.07</v>
      </c>
      <c r="D2248" s="1688">
        <f t="shared" ref="D2248:D2251" si="571">C2248*B2248</f>
        <v>34258.75</v>
      </c>
      <c r="E2248" s="1641">
        <f t="shared" si="565"/>
        <v>5.7001812642215169E-2</v>
      </c>
      <c r="F2248" s="1486">
        <f t="shared" ref="F2248:F2253" si="572">D2248/D$2198</f>
        <v>0.14823911743321763</v>
      </c>
      <c r="G2248" s="1494">
        <v>128</v>
      </c>
      <c r="H2248" s="1683" t="s">
        <v>452</v>
      </c>
      <c r="I2248" s="1716">
        <v>118.11</v>
      </c>
      <c r="J2248" s="1716">
        <v>263.63</v>
      </c>
      <c r="K2248" s="3054" t="s">
        <v>443</v>
      </c>
      <c r="L2248" s="3054"/>
      <c r="M2248" s="3054"/>
      <c r="N2248" s="1489"/>
      <c r="O2248" s="3"/>
      <c r="P2248" s="3"/>
      <c r="Q2248" s="1345">
        <v>44162</v>
      </c>
      <c r="R2248" s="1685">
        <f t="shared" ref="R2248:R2251" si="573">B2248*RIGHT(K2248,6)</f>
        <v>31825</v>
      </c>
      <c r="S2248" s="1686">
        <f t="shared" ref="S2248:S2251" si="574">D2248</f>
        <v>34258.75</v>
      </c>
      <c r="T2248" s="1686">
        <f t="shared" ref="T2248:T2251" si="575">S2248-R2248</f>
        <v>2433.75</v>
      </c>
      <c r="U2248" s="1687">
        <f t="shared" ref="U2248:U2251" si="576">(S2248-R2248)/R2248</f>
        <v>7.6472898664571881E-2</v>
      </c>
      <c r="V2248" s="1703" t="str">
        <f t="shared" ref="V2248:V2251" si="577">A2248</f>
        <v>VEEV</v>
      </c>
      <c r="W2248" s="1702">
        <f t="shared" ca="1" si="570"/>
        <v>-1010</v>
      </c>
    </row>
    <row r="2249" spans="1:23" hidden="1" outlineLevel="1" x14ac:dyDescent="0.35">
      <c r="A2249" s="1654" t="s">
        <v>447</v>
      </c>
      <c r="B2249" s="1362">
        <v>113</v>
      </c>
      <c r="C2249" s="1363">
        <v>114.29</v>
      </c>
      <c r="D2249" s="1363">
        <f t="shared" si="571"/>
        <v>12914.77</v>
      </c>
      <c r="E2249" s="1641">
        <f t="shared" si="565"/>
        <v>2.2363359871187045E-2</v>
      </c>
      <c r="F2249" s="1486">
        <f t="shared" si="572"/>
        <v>5.5882777586835373E-2</v>
      </c>
      <c r="G2249" s="1494"/>
      <c r="H2249" s="1593"/>
      <c r="I2249" s="1717">
        <v>17</v>
      </c>
      <c r="J2249" s="1716">
        <v>126</v>
      </c>
      <c r="K2249" s="3054" t="s">
        <v>448</v>
      </c>
      <c r="L2249" s="3054"/>
      <c r="M2249" s="3054"/>
      <c r="N2249" s="1489"/>
      <c r="O2249" s="3"/>
      <c r="P2249" s="3"/>
      <c r="Q2249" s="1345">
        <v>44140</v>
      </c>
      <c r="R2249" s="1685">
        <f t="shared" si="573"/>
        <v>12481.98</v>
      </c>
      <c r="S2249" s="1686">
        <f t="shared" si="574"/>
        <v>12914.77</v>
      </c>
      <c r="T2249" s="1686">
        <f t="shared" si="575"/>
        <v>432.79000000000087</v>
      </c>
      <c r="U2249" s="1687">
        <f t="shared" si="576"/>
        <v>3.4673184863299004E-2</v>
      </c>
      <c r="V2249" s="1703" t="str">
        <f t="shared" si="577"/>
        <v>FVRR</v>
      </c>
      <c r="W2249" s="1702">
        <f t="shared" ca="1" si="570"/>
        <v>-1032</v>
      </c>
    </row>
    <row r="2250" spans="1:23" hidden="1" outlineLevel="1" x14ac:dyDescent="0.35">
      <c r="A2250" s="1654" t="s">
        <v>49</v>
      </c>
      <c r="B2250" s="1362">
        <v>100</v>
      </c>
      <c r="C2250" s="1363">
        <v>525.91</v>
      </c>
      <c r="D2250" s="1363">
        <f t="shared" si="571"/>
        <v>52591</v>
      </c>
      <c r="E2250" s="1641">
        <f t="shared" si="565"/>
        <v>3.6623105276644363E-2</v>
      </c>
      <c r="F2250" s="1486">
        <f t="shared" si="572"/>
        <v>0.22756356915913012</v>
      </c>
      <c r="G2250" s="1494"/>
      <c r="H2250" s="1683" t="s">
        <v>453</v>
      </c>
      <c r="I2250" s="1717"/>
      <c r="J2250" s="1716"/>
      <c r="K2250" s="3054" t="s">
        <v>454</v>
      </c>
      <c r="L2250" s="3054"/>
      <c r="M2250" s="3054"/>
      <c r="N2250" s="1489"/>
      <c r="O2250" s="3"/>
      <c r="P2250" s="3"/>
      <c r="Q2250" s="1345">
        <v>44147</v>
      </c>
      <c r="R2250" s="1685">
        <f t="shared" si="573"/>
        <v>50462</v>
      </c>
      <c r="S2250" s="1686">
        <f t="shared" si="574"/>
        <v>52591</v>
      </c>
      <c r="T2250" s="1686">
        <f t="shared" si="575"/>
        <v>2129</v>
      </c>
      <c r="U2250" s="1687">
        <f t="shared" si="576"/>
        <v>4.2190162894851571E-2</v>
      </c>
      <c r="V2250" s="1703" t="str">
        <f t="shared" si="577"/>
        <v>NVDA</v>
      </c>
      <c r="W2250" s="1702">
        <f t="shared" ca="1" si="570"/>
        <v>-1025</v>
      </c>
    </row>
    <row r="2251" spans="1:23" hidden="1" outlineLevel="1" x14ac:dyDescent="0.35">
      <c r="A2251" s="1654" t="s">
        <v>426</v>
      </c>
      <c r="B2251" s="1347">
        <v>90</v>
      </c>
      <c r="C2251" s="1348">
        <v>218.44</v>
      </c>
      <c r="D2251" s="1348">
        <f t="shared" si="571"/>
        <v>19659.599999999999</v>
      </c>
      <c r="E2251" s="1641">
        <f t="shared" si="565"/>
        <v>9.3785989685043258E-2</v>
      </c>
      <c r="F2251" s="1486">
        <f t="shared" si="572"/>
        <v>8.5067953532749596E-2</v>
      </c>
      <c r="G2251" s="1494"/>
      <c r="H2251" s="1722" t="s">
        <v>455</v>
      </c>
      <c r="I2251" s="1719">
        <v>22.16</v>
      </c>
      <c r="J2251" s="1716">
        <v>155.97</v>
      </c>
      <c r="K2251" s="3054" t="s">
        <v>445</v>
      </c>
      <c r="L2251" s="3054"/>
      <c r="M2251" s="3054"/>
      <c r="N2251" s="1489"/>
      <c r="O2251" s="3"/>
      <c r="P2251" s="3"/>
      <c r="Q2251" s="1345">
        <v>44144</v>
      </c>
      <c r="R2251" s="1529">
        <f t="shared" si="573"/>
        <v>13685.4</v>
      </c>
      <c r="S2251" s="1686">
        <f t="shared" si="574"/>
        <v>19659.599999999999</v>
      </c>
      <c r="T2251" s="1686">
        <f t="shared" si="575"/>
        <v>5974.1999999999989</v>
      </c>
      <c r="U2251" s="1687">
        <f t="shared" si="576"/>
        <v>0.43653820860186759</v>
      </c>
      <c r="V2251" s="1711" t="str">
        <f t="shared" si="577"/>
        <v>CVNA</v>
      </c>
      <c r="W2251" s="1712">
        <f t="shared" ca="1" si="570"/>
        <v>-1028</v>
      </c>
    </row>
    <row r="2252" spans="1:23" ht="16" hidden="1" outlineLevel="1" thickBot="1" x14ac:dyDescent="0.4">
      <c r="A2252" s="7" t="s">
        <v>7</v>
      </c>
      <c r="B2252" s="1362"/>
      <c r="C2252" s="1363"/>
      <c r="D2252" s="1363">
        <v>2020.69</v>
      </c>
      <c r="E2252" s="32"/>
      <c r="F2252" s="1486">
        <f t="shared" si="572"/>
        <v>8.7436144694750563E-3</v>
      </c>
      <c r="G2252" s="1418"/>
      <c r="H2252" s="1679"/>
      <c r="I2252" s="1679"/>
      <c r="J2252" s="1266"/>
      <c r="K2252" s="1633"/>
      <c r="L2252" s="1634"/>
      <c r="M2252" s="1634"/>
      <c r="S2252" s="1691">
        <f>SUM(S2245:S2247)</f>
        <v>148823.83318000002</v>
      </c>
      <c r="T2252" s="1691">
        <f>SUM(T2245:T2247)</f>
        <v>34854.481580000007</v>
      </c>
      <c r="U2252" s="1692">
        <f>AVERAGE(U2245:U2251)</f>
        <v>0.27046087082813602</v>
      </c>
    </row>
    <row r="2253" spans="1:23" hidden="1" outlineLevel="1" x14ac:dyDescent="0.35">
      <c r="A2253" s="1397" t="s">
        <v>60</v>
      </c>
      <c r="B2253" s="1347"/>
      <c r="C2253" s="1348"/>
      <c r="D2253" s="1348">
        <v>3391.48</v>
      </c>
      <c r="E2253" s="32"/>
      <c r="F2253" s="1486">
        <f t="shared" si="572"/>
        <v>1.4675083066148327E-2</v>
      </c>
      <c r="G2253" s="1713"/>
      <c r="H2253" s="1723"/>
      <c r="I2253" s="1724"/>
      <c r="J2253" s="1725">
        <f>SUM(J2252:J2252)</f>
        <v>0</v>
      </c>
      <c r="K2253" s="1468"/>
      <c r="L2253" s="1151"/>
      <c r="M2253" s="1151"/>
      <c r="S2253" s="1470" t="str">
        <f>IF(SUM(D2245:D2247)&lt;&gt;S2252,"Out of Balance","Balances")</f>
        <v>Balances</v>
      </c>
    </row>
    <row r="2254" spans="1:23" ht="19" hidden="1" outlineLevel="1" thickBot="1" x14ac:dyDescent="0.5">
      <c r="A2254" s="726" t="s">
        <v>62</v>
      </c>
      <c r="B2254" s="583"/>
      <c r="C2254" s="584"/>
      <c r="D2254" s="1671">
        <f>SUM(D2245:D2253)</f>
        <v>273660.12318</v>
      </c>
      <c r="E2254" s="1538">
        <f>D2254-D2240</f>
        <v>5598.9997200000216</v>
      </c>
      <c r="F2254" s="1545">
        <f>(D2254-D2240)/D2240</f>
        <v>2.0887026241369549E-2</v>
      </c>
      <c r="H2254" s="1645">
        <f>SUM(E2254,E2240,E2226,E2212)</f>
        <v>42555.468799999973</v>
      </c>
      <c r="I2254" s="1646" t="s">
        <v>89</v>
      </c>
      <c r="J2254" s="1726">
        <f>SUM(H2254,H2198,H2135,H2074,H1999,H1939,H1859)</f>
        <v>21909.035879645875</v>
      </c>
    </row>
    <row r="2255" spans="1:23" hidden="1" outlineLevel="1" x14ac:dyDescent="0.35"/>
    <row r="2256" spans="1:23" ht="16" hidden="1" outlineLevel="1" thickBot="1" x14ac:dyDescent="0.4">
      <c r="A2256" s="1619" t="s">
        <v>25</v>
      </c>
      <c r="B2256" s="1620" t="s">
        <v>26</v>
      </c>
      <c r="C2256" s="1621" t="s">
        <v>27</v>
      </c>
      <c r="D2256" s="1622">
        <f>D2242+7</f>
        <v>44078</v>
      </c>
      <c r="E2256" s="1623" t="s">
        <v>28</v>
      </c>
      <c r="F2256" s="3114" t="s">
        <v>456</v>
      </c>
      <c r="G2256" s="3115"/>
      <c r="H2256" s="3116"/>
      <c r="I2256" s="1727"/>
      <c r="J2256" s="1182"/>
      <c r="K2256" s="1183" t="s">
        <v>233</v>
      </c>
    </row>
    <row r="2257" spans="1:26" ht="16" hidden="1" outlineLevel="1" thickBot="1" x14ac:dyDescent="0.4">
      <c r="A2257" s="1584" t="s">
        <v>32</v>
      </c>
      <c r="B2257" s="1585" t="str">
        <f ca="1">TEXT(TODAY(),"ddd")</f>
        <v>Sun</v>
      </c>
      <c r="C2257" s="1586">
        <v>28335</v>
      </c>
      <c r="D2257" s="1587">
        <f>C2257-C2243</f>
        <v>-318</v>
      </c>
      <c r="E2257" s="1641">
        <f>(C2257-C2243)/C2243</f>
        <v>-1.1098314312637421E-2</v>
      </c>
      <c r="F2257" s="3117"/>
      <c r="G2257" s="3118"/>
      <c r="H2257" s="3119"/>
      <c r="I2257" s="1602"/>
      <c r="J2257" s="1602"/>
      <c r="K2257" s="1188" t="s">
        <v>234</v>
      </c>
      <c r="L2257" s="1220" t="s">
        <v>34</v>
      </c>
      <c r="M2257" s="111" t="s">
        <v>35</v>
      </c>
      <c r="N2257" s="3099"/>
      <c r="O2257" s="3100"/>
      <c r="P2257" s="3100"/>
      <c r="Q2257" s="3100"/>
      <c r="R2257" s="3100"/>
      <c r="S2257" s="3100"/>
      <c r="T2257" s="3100"/>
      <c r="U2257" s="3100"/>
    </row>
    <row r="2258" spans="1:26" hidden="1" outlineLevel="1" x14ac:dyDescent="0.35">
      <c r="A2258" s="709" t="s">
        <v>36</v>
      </c>
      <c r="B2258" s="1728">
        <v>0.375</v>
      </c>
      <c r="C2258" s="419">
        <v>11468</v>
      </c>
      <c r="D2258" s="1587">
        <f>C2258-C2244</f>
        <v>-227</v>
      </c>
      <c r="E2258" s="1641">
        <f>(C2258-C2244)/C2244</f>
        <v>-1.9410004275331339E-2</v>
      </c>
      <c r="F2258" s="1729" t="s">
        <v>37</v>
      </c>
      <c r="G2258" s="1672" t="s">
        <v>38</v>
      </c>
      <c r="H2258" s="1604" t="s">
        <v>144</v>
      </c>
      <c r="I2258" s="1488" t="s">
        <v>441</v>
      </c>
      <c r="J2258" s="1591" t="s">
        <v>400</v>
      </c>
      <c r="K2258" s="3033" t="s">
        <v>42</v>
      </c>
      <c r="L2258" s="3034"/>
      <c r="M2258" s="3034"/>
      <c r="N2258" s="1199" t="s">
        <v>244</v>
      </c>
      <c r="Q2258" s="1200" t="s">
        <v>44</v>
      </c>
      <c r="R2258" s="1479" t="s">
        <v>45</v>
      </c>
      <c r="S2258" s="1479" t="s">
        <v>46</v>
      </c>
      <c r="T2258" s="1479" t="s">
        <v>47</v>
      </c>
      <c r="U2258" s="1485" t="s">
        <v>48</v>
      </c>
      <c r="W2258" s="1700" t="s">
        <v>446</v>
      </c>
      <c r="X2258" t="s">
        <v>457</v>
      </c>
    </row>
    <row r="2259" spans="1:26" hidden="1" outlineLevel="1" x14ac:dyDescent="0.35">
      <c r="A2259" s="1654" t="s">
        <v>402</v>
      </c>
      <c r="B2259" s="1362">
        <v>250</v>
      </c>
      <c r="C2259" s="1363">
        <v>21.24</v>
      </c>
      <c r="D2259" s="1363">
        <f t="shared" ref="D2259" si="578">C2259*B2259</f>
        <v>5310</v>
      </c>
      <c r="E2259" s="1641">
        <f t="shared" ref="E2259:E2265" si="579">(D2259-D2245)/D2245</f>
        <v>-3.4106412005457026E-2</v>
      </c>
      <c r="F2259" s="1486">
        <f t="shared" ref="F2259:F2260" si="580">D2259/D$2198</f>
        <v>2.2976603453727464E-2</v>
      </c>
      <c r="G2259" s="1494" t="s">
        <v>228</v>
      </c>
      <c r="H2259" s="1730" t="s">
        <v>449</v>
      </c>
      <c r="I2259" s="1716">
        <v>6.66</v>
      </c>
      <c r="J2259" s="1716">
        <v>19.59</v>
      </c>
      <c r="K2259" s="3054" t="s">
        <v>390</v>
      </c>
      <c r="L2259" s="3054"/>
      <c r="M2259" s="3054"/>
      <c r="N2259" s="1489" t="str">
        <f>A2259</f>
        <v>AVTR</v>
      </c>
      <c r="Q2259" s="1345">
        <v>44138</v>
      </c>
      <c r="R2259" s="1529">
        <f>B2259*RIGHT(K2259,6)</f>
        <v>3030</v>
      </c>
      <c r="S2259" s="1510">
        <f>D2259</f>
        <v>5310</v>
      </c>
      <c r="T2259" s="1510">
        <f t="shared" ref="T2259:T2260" si="581">S2259-R2259</f>
        <v>2280</v>
      </c>
      <c r="U2259" s="1530">
        <f t="shared" ref="U2259:U2260" si="582">(S2259-R2259)/R2259</f>
        <v>0.75247524752475248</v>
      </c>
      <c r="V2259" s="1701" t="str">
        <f t="shared" ref="V2259:V2260" si="583">A2259</f>
        <v>AVTR</v>
      </c>
      <c r="W2259" s="1702">
        <f ca="1">Q2259-TODAY()</f>
        <v>-1034</v>
      </c>
      <c r="Z2259" s="219"/>
    </row>
    <row r="2260" spans="1:26" hidden="1" outlineLevel="1" x14ac:dyDescent="0.35">
      <c r="A2260" s="1346" t="s">
        <v>391</v>
      </c>
      <c r="B2260" s="1347">
        <v>803.46400000000006</v>
      </c>
      <c r="C2260" s="1348">
        <v>122.73</v>
      </c>
      <c r="D2260" s="1348"/>
      <c r="E2260" s="1641">
        <f t="shared" si="579"/>
        <v>-1</v>
      </c>
      <c r="F2260" s="1486">
        <f t="shared" si="580"/>
        <v>0</v>
      </c>
      <c r="G2260" s="1494">
        <v>22</v>
      </c>
      <c r="H2260" s="1731" t="s">
        <v>450</v>
      </c>
      <c r="I2260" s="1716">
        <v>192.58</v>
      </c>
      <c r="J2260" s="1716">
        <v>399.24</v>
      </c>
      <c r="K2260" s="3054" t="s">
        <v>458</v>
      </c>
      <c r="L2260" s="3054"/>
      <c r="M2260" s="3054"/>
      <c r="N2260" s="1489" t="str">
        <f>A2260</f>
        <v>APPL</v>
      </c>
      <c r="Q2260" s="1345">
        <v>44132</v>
      </c>
      <c r="R2260" s="1529">
        <f>B2260*RIGHT(K2260,6)</f>
        <v>70825.351600000009</v>
      </c>
      <c r="S2260" s="1510">
        <f>D2260</f>
        <v>0</v>
      </c>
      <c r="T2260" s="1510">
        <f t="shared" si="581"/>
        <v>-70825.351600000009</v>
      </c>
      <c r="U2260" s="1530">
        <f t="shared" si="582"/>
        <v>-1</v>
      </c>
      <c r="V2260" s="1703" t="str">
        <f t="shared" si="583"/>
        <v>APPL</v>
      </c>
      <c r="W2260" s="1702">
        <f ca="1">Q2260-TODAY()</f>
        <v>-1040</v>
      </c>
      <c r="X2260">
        <v>125.34520000000001</v>
      </c>
      <c r="Z2260" s="106"/>
    </row>
    <row r="2261" spans="1:26" hidden="1" outlineLevel="1" x14ac:dyDescent="0.35">
      <c r="A2261" s="1677" t="s">
        <v>429</v>
      </c>
      <c r="B2261" s="1678">
        <v>200</v>
      </c>
      <c r="C2261" s="1688">
        <v>237</v>
      </c>
      <c r="D2261" s="1688">
        <v>464</v>
      </c>
      <c r="E2261" s="1641">
        <f t="shared" si="579"/>
        <v>-0.98922133432447501</v>
      </c>
      <c r="F2261" s="1486">
        <f>D2261/D$2198</f>
        <v>2.0077483997230777E-3</v>
      </c>
      <c r="G2261" s="1494"/>
      <c r="H2261" s="1730" t="s">
        <v>451</v>
      </c>
      <c r="I2261" s="1716">
        <v>43.13</v>
      </c>
      <c r="J2261" s="1716">
        <v>217</v>
      </c>
      <c r="K2261" s="3054" t="s">
        <v>444</v>
      </c>
      <c r="L2261" s="3054"/>
      <c r="M2261" s="3054"/>
      <c r="N2261" s="1489"/>
      <c r="O2261" s="3"/>
      <c r="P2261" s="3"/>
      <c r="Q2261" s="1345">
        <v>44077</v>
      </c>
      <c r="R2261" s="1685">
        <f>B2261*RIGHT(K2261,6)</f>
        <v>40114</v>
      </c>
      <c r="S2261" s="1686">
        <f>D2261</f>
        <v>464</v>
      </c>
      <c r="T2261" s="1686">
        <f>S2261-R2261</f>
        <v>-39650</v>
      </c>
      <c r="U2261" s="1687">
        <f>(S2261-R2261)/R2261</f>
        <v>-0.98843296604676667</v>
      </c>
      <c r="V2261" s="1703" t="str">
        <f>A2261</f>
        <v>DOCU</v>
      </c>
      <c r="W2261" s="1721">
        <f ca="1">Q2261-TODAY()</f>
        <v>-1095</v>
      </c>
      <c r="X2261">
        <v>230.86</v>
      </c>
      <c r="Z2261" s="106"/>
    </row>
    <row r="2262" spans="1:26" hidden="1" outlineLevel="1" x14ac:dyDescent="0.35">
      <c r="A2262" s="1346" t="s">
        <v>65</v>
      </c>
      <c r="B2262" s="1347">
        <v>125</v>
      </c>
      <c r="C2262" s="1348">
        <v>276.72000000000003</v>
      </c>
      <c r="D2262" s="1348"/>
      <c r="E2262" s="1641">
        <f t="shared" si="579"/>
        <v>-1</v>
      </c>
      <c r="F2262" s="1486">
        <f t="shared" ref="F2262:F2267" si="584">D2262/D$2198</f>
        <v>0</v>
      </c>
      <c r="G2262" s="1494">
        <v>128</v>
      </c>
      <c r="H2262" s="1731" t="s">
        <v>452</v>
      </c>
      <c r="I2262" s="1716">
        <v>118.11</v>
      </c>
      <c r="J2262" s="1716">
        <v>263.63</v>
      </c>
      <c r="K2262" s="3054" t="s">
        <v>443</v>
      </c>
      <c r="L2262" s="3054"/>
      <c r="M2262" s="3054"/>
      <c r="N2262" s="1489"/>
      <c r="O2262" s="3"/>
      <c r="P2262" s="3"/>
      <c r="Q2262" s="1345">
        <v>44070</v>
      </c>
      <c r="R2262" s="1685">
        <f t="shared" ref="R2262:R2265" si="585">B2262*RIGHT(K2262,6)</f>
        <v>31825</v>
      </c>
      <c r="S2262" s="1686">
        <f t="shared" ref="S2262:S2265" si="586">D2262</f>
        <v>0</v>
      </c>
      <c r="T2262" s="1686">
        <f t="shared" ref="T2262:T2265" si="587">S2262-R2262</f>
        <v>-31825</v>
      </c>
      <c r="U2262" s="1687">
        <f t="shared" ref="U2262:U2265" si="588">(S2262-R2262)/R2262</f>
        <v>-1</v>
      </c>
      <c r="V2262" s="1703" t="str">
        <f t="shared" ref="V2262:V2265" si="589">A2262</f>
        <v>VEEV</v>
      </c>
      <c r="W2262" s="1702">
        <f ca="1">Q2262-TODAY()</f>
        <v>-1102</v>
      </c>
      <c r="X2262">
        <v>279.24</v>
      </c>
      <c r="Z2262" s="106"/>
    </row>
    <row r="2263" spans="1:26" hidden="1" outlineLevel="1" x14ac:dyDescent="0.35">
      <c r="A2263" s="1654" t="s">
        <v>447</v>
      </c>
      <c r="B2263" s="1362">
        <v>113</v>
      </c>
      <c r="C2263" s="1363">
        <v>116.37</v>
      </c>
      <c r="D2263" s="1363"/>
      <c r="E2263" s="1641">
        <f t="shared" si="579"/>
        <v>-1</v>
      </c>
      <c r="F2263" s="1486">
        <f t="shared" si="584"/>
        <v>0</v>
      </c>
      <c r="G2263" s="1494"/>
      <c r="H2263" s="1732"/>
      <c r="I2263" s="1717">
        <v>17</v>
      </c>
      <c r="J2263" s="1716">
        <v>126</v>
      </c>
      <c r="K2263" s="3054" t="s">
        <v>448</v>
      </c>
      <c r="L2263" s="3054"/>
      <c r="M2263" s="3054"/>
      <c r="N2263" s="1489"/>
      <c r="O2263" s="3"/>
      <c r="P2263" s="3"/>
      <c r="Q2263" s="1345">
        <v>44140</v>
      </c>
      <c r="R2263" s="1685">
        <f t="shared" si="585"/>
        <v>12481.98</v>
      </c>
      <c r="S2263" s="1686">
        <f t="shared" si="586"/>
        <v>0</v>
      </c>
      <c r="T2263" s="1686">
        <f t="shared" si="587"/>
        <v>-12481.98</v>
      </c>
      <c r="U2263" s="1687">
        <f t="shared" si="588"/>
        <v>-1</v>
      </c>
      <c r="V2263" s="1703" t="str">
        <f t="shared" si="589"/>
        <v>FVRR</v>
      </c>
      <c r="W2263" s="1702">
        <f ca="1">Q2263-TODAY()</f>
        <v>-1032</v>
      </c>
      <c r="X2263">
        <v>107.91</v>
      </c>
      <c r="Z2263" s="106"/>
    </row>
    <row r="2264" spans="1:26" hidden="1" outlineLevel="1" x14ac:dyDescent="0.35">
      <c r="A2264" s="1654" t="s">
        <v>49</v>
      </c>
      <c r="B2264" s="1347">
        <v>100</v>
      </c>
      <c r="C2264" s="1348">
        <v>521.42999999999995</v>
      </c>
      <c r="D2264" s="1348"/>
      <c r="E2264" s="1641">
        <f t="shared" si="579"/>
        <v>-1</v>
      </c>
      <c r="F2264" s="1486">
        <f t="shared" si="584"/>
        <v>0</v>
      </c>
      <c r="G2264" s="1494"/>
      <c r="H2264" s="1731" t="s">
        <v>453</v>
      </c>
      <c r="I2264" s="1717"/>
      <c r="J2264" s="1716"/>
      <c r="K2264" s="3054" t="s">
        <v>454</v>
      </c>
      <c r="L2264" s="3054"/>
      <c r="M2264" s="3054"/>
      <c r="N2264" s="1489"/>
      <c r="O2264" s="3"/>
      <c r="P2264" s="3"/>
      <c r="Q2264" s="1345">
        <v>44147</v>
      </c>
      <c r="R2264" s="1685">
        <f t="shared" si="585"/>
        <v>50462</v>
      </c>
      <c r="S2264" s="1686">
        <f t="shared" si="586"/>
        <v>0</v>
      </c>
      <c r="T2264" s="1686">
        <f t="shared" si="587"/>
        <v>-50462</v>
      </c>
      <c r="U2264" s="1687">
        <f t="shared" si="588"/>
        <v>-1</v>
      </c>
      <c r="V2264" s="1703" t="str">
        <f t="shared" si="589"/>
        <v>NVDA</v>
      </c>
      <c r="W2264" s="1702"/>
      <c r="X2264">
        <v>535.78499999999997</v>
      </c>
      <c r="Z2264" s="106"/>
    </row>
    <row r="2265" spans="1:26" hidden="1" outlineLevel="1" x14ac:dyDescent="0.35">
      <c r="A2265" s="1654" t="s">
        <v>426</v>
      </c>
      <c r="B2265" s="1531">
        <v>90</v>
      </c>
      <c r="C2265" s="1143">
        <v>202.86</v>
      </c>
      <c r="D2265" s="1143"/>
      <c r="E2265" s="1641">
        <f t="shared" si="579"/>
        <v>-1</v>
      </c>
      <c r="F2265" s="1486">
        <f t="shared" si="584"/>
        <v>0</v>
      </c>
      <c r="G2265" s="1494"/>
      <c r="H2265" s="1733" t="s">
        <v>455</v>
      </c>
      <c r="I2265" s="1719">
        <v>22.16</v>
      </c>
      <c r="J2265" s="1716">
        <v>155.97</v>
      </c>
      <c r="K2265" s="3054" t="s">
        <v>445</v>
      </c>
      <c r="L2265" s="3054"/>
      <c r="M2265" s="3054"/>
      <c r="N2265" s="1489"/>
      <c r="O2265" s="3"/>
      <c r="P2265" s="3"/>
      <c r="Q2265" s="1345">
        <v>44144</v>
      </c>
      <c r="R2265" s="1529">
        <f t="shared" si="585"/>
        <v>13685.4</v>
      </c>
      <c r="S2265" s="1686">
        <f t="shared" si="586"/>
        <v>0</v>
      </c>
      <c r="T2265" s="1686">
        <f t="shared" si="587"/>
        <v>-13685.4</v>
      </c>
      <c r="U2265" s="1687">
        <f t="shared" si="588"/>
        <v>-1</v>
      </c>
      <c r="V2265" s="1711" t="str">
        <f t="shared" si="589"/>
        <v>CVNA</v>
      </c>
      <c r="W2265" s="1712">
        <f ca="1">Q2265-TODAY()</f>
        <v>-1028</v>
      </c>
      <c r="X2265">
        <v>208.5</v>
      </c>
      <c r="Z2265" s="193"/>
    </row>
    <row r="2266" spans="1:26" ht="16" hidden="1" outlineLevel="1" thickBot="1" x14ac:dyDescent="0.4">
      <c r="A2266" s="1346" t="s">
        <v>7</v>
      </c>
      <c r="B2266" s="1347"/>
      <c r="C2266" s="1348"/>
      <c r="D2266" s="1348">
        <v>2049.14</v>
      </c>
      <c r="E2266" s="32"/>
      <c r="F2266" s="1486">
        <f t="shared" si="584"/>
        <v>8.8667188702770405E-3</v>
      </c>
      <c r="G2266" s="1418"/>
      <c r="H2266" s="1679"/>
      <c r="I2266" s="1679"/>
      <c r="J2266" s="1266"/>
      <c r="K2266" s="1633"/>
      <c r="L2266" s="1634"/>
      <c r="M2266" s="1634"/>
      <c r="S2266" s="1691">
        <f>SUM(S2259:S2261)</f>
        <v>5774</v>
      </c>
      <c r="T2266" s="1691">
        <f>SUM(T2259:T2261)</f>
        <v>-108195.35160000001</v>
      </c>
      <c r="U2266" s="1692">
        <f>AVERAGE(U2259:U2265)</f>
        <v>-0.74799395978885919</v>
      </c>
      <c r="Z2266" s="219"/>
    </row>
    <row r="2267" spans="1:26" hidden="1" outlineLevel="1" x14ac:dyDescent="0.35">
      <c r="A2267" s="7" t="s">
        <v>60</v>
      </c>
      <c r="B2267" s="1531"/>
      <c r="C2267" s="1143"/>
      <c r="D2267" s="1143">
        <v>268652.13</v>
      </c>
      <c r="E2267" s="32"/>
      <c r="F2267" s="1486">
        <f t="shared" si="584"/>
        <v>1.1624695777795178</v>
      </c>
      <c r="G2267" s="1734"/>
      <c r="H2267" s="1723"/>
      <c r="I2267" s="1724"/>
      <c r="J2267" s="1725">
        <f>SUM(J2266:J2266)</f>
        <v>0</v>
      </c>
      <c r="K2267" s="1468"/>
      <c r="L2267" s="1151"/>
      <c r="M2267" s="1151"/>
      <c r="S2267" s="1470" t="str">
        <f>IF(SUM(D2259:D2261)&lt;&gt;S2266,"Out of Balance","Balances")</f>
        <v>Balances</v>
      </c>
      <c r="Z2267" s="219"/>
    </row>
    <row r="2268" spans="1:26" ht="19" hidden="1" outlineLevel="1" thickBot="1" x14ac:dyDescent="0.5">
      <c r="A2268" s="1650" t="s">
        <v>62</v>
      </c>
      <c r="B2268" s="583"/>
      <c r="C2268" s="584"/>
      <c r="D2268" s="1671">
        <f>SUM(D2259:D2267)</f>
        <v>276475.27</v>
      </c>
      <c r="E2268" s="1538">
        <f>D2268-D2254</f>
        <v>2815.1468200000236</v>
      </c>
      <c r="F2268" s="1735">
        <f>(D2268-D2254)/D2254</f>
        <v>1.0287018756285366E-2</v>
      </c>
      <c r="G2268" s="1736" t="s">
        <v>459</v>
      </c>
      <c r="H2268" s="1737">
        <f>E2268+E2254+E2240+E2226+E2212</f>
        <v>45370.615619999997</v>
      </c>
      <c r="I2268" s="1738" t="s">
        <v>460</v>
      </c>
      <c r="J2268" s="1739"/>
      <c r="Z2268" s="219"/>
    </row>
    <row r="2269" spans="1:26" hidden="1" outlineLevel="1" x14ac:dyDescent="0.35"/>
    <row r="2270" spans="1:26" ht="16" hidden="1" outlineLevel="1" thickBot="1" x14ac:dyDescent="0.4">
      <c r="A2270" s="1619" t="s">
        <v>25</v>
      </c>
      <c r="B2270" s="1620" t="s">
        <v>26</v>
      </c>
      <c r="C2270" s="1621" t="s">
        <v>27</v>
      </c>
      <c r="D2270" s="1622">
        <f>D2256+7</f>
        <v>44085</v>
      </c>
      <c r="E2270" s="1623" t="s">
        <v>28</v>
      </c>
      <c r="F2270" s="3108" t="s">
        <v>461</v>
      </c>
      <c r="G2270" s="3109"/>
      <c r="H2270" s="3110"/>
      <c r="I2270" s="1727"/>
      <c r="J2270" s="1182"/>
      <c r="K2270" s="1183" t="s">
        <v>233</v>
      </c>
    </row>
    <row r="2271" spans="1:26" ht="27" hidden="1" customHeight="1" outlineLevel="1" thickBot="1" x14ac:dyDescent="0.4">
      <c r="A2271" s="1584" t="s">
        <v>32</v>
      </c>
      <c r="B2271" s="1585" t="str">
        <f ca="1">TEXT(TODAY(),"ddd")</f>
        <v>Sun</v>
      </c>
      <c r="C2271" s="1586">
        <v>27665</v>
      </c>
      <c r="D2271" s="1740">
        <f>C2271-C2257</f>
        <v>-670</v>
      </c>
      <c r="E2271" s="1741">
        <f>(C2271-C2257)/C2257</f>
        <v>-2.3645667901888125E-2</v>
      </c>
      <c r="F2271" s="3111"/>
      <c r="G2271" s="3112"/>
      <c r="H2271" s="3113"/>
      <c r="I2271" s="1602"/>
      <c r="J2271" s="1602"/>
      <c r="K2271" s="1188" t="s">
        <v>234</v>
      </c>
      <c r="L2271" s="1220" t="s">
        <v>34</v>
      </c>
      <c r="M2271" s="111" t="s">
        <v>462</v>
      </c>
      <c r="N2271" s="3099"/>
      <c r="O2271" s="3100"/>
      <c r="P2271" s="3100"/>
      <c r="Q2271" s="3100"/>
      <c r="R2271" s="3100"/>
      <c r="S2271" s="3100"/>
      <c r="T2271" s="3100"/>
      <c r="U2271" s="3100"/>
    </row>
    <row r="2272" spans="1:26" hidden="1" outlineLevel="1" x14ac:dyDescent="0.35">
      <c r="A2272" s="709" t="s">
        <v>36</v>
      </c>
      <c r="B2272" s="419"/>
      <c r="C2272" s="419">
        <v>10853</v>
      </c>
      <c r="D2272" s="1742">
        <f>C2272-C2258</f>
        <v>-615</v>
      </c>
      <c r="E2272" s="1743">
        <f t="shared" ref="E2272:E2273" si="590">(C2272-C2258)/C2258</f>
        <v>-5.3627485176142312E-2</v>
      </c>
      <c r="F2272" s="1744" t="s">
        <v>37</v>
      </c>
      <c r="G2272" s="1745" t="s">
        <v>38</v>
      </c>
      <c r="H2272" s="1746" t="s">
        <v>144</v>
      </c>
      <c r="I2272" s="1747" t="s">
        <v>441</v>
      </c>
      <c r="J2272" s="1748" t="s">
        <v>400</v>
      </c>
      <c r="K2272" s="3063" t="s">
        <v>42</v>
      </c>
      <c r="L2272" s="3064"/>
      <c r="M2272" s="3064"/>
      <c r="N2272" s="1749" t="s">
        <v>244</v>
      </c>
      <c r="Q2272" s="1750" t="s">
        <v>44</v>
      </c>
      <c r="R2272" s="1445" t="s">
        <v>45</v>
      </c>
      <c r="S2272" s="1445" t="s">
        <v>46</v>
      </c>
      <c r="T2272" s="1445" t="s">
        <v>47</v>
      </c>
      <c r="U2272" s="1751" t="s">
        <v>48</v>
      </c>
      <c r="W2272" s="1700" t="s">
        <v>446</v>
      </c>
    </row>
    <row r="2273" spans="1:23" hidden="1" outlineLevel="1" x14ac:dyDescent="0.35">
      <c r="A2273" s="1752" t="s">
        <v>402</v>
      </c>
      <c r="B2273" s="1753">
        <v>250</v>
      </c>
      <c r="C2273" s="1754">
        <v>21.5</v>
      </c>
      <c r="D2273" s="1754">
        <f t="shared" ref="D2273:D2277" si="591">C2273*B2273</f>
        <v>5375</v>
      </c>
      <c r="E2273" s="1755">
        <f t="shared" si="590"/>
        <v>1.2241054613936044E-2</v>
      </c>
      <c r="F2273" s="1756">
        <f t="shared" ref="F2273:F2279" si="592">D2273/D$2198</f>
        <v>2.3257861311447289E-2</v>
      </c>
      <c r="G2273" s="1757" t="s">
        <v>228</v>
      </c>
      <c r="H2273" s="1758" t="s">
        <v>449</v>
      </c>
      <c r="I2273" s="1759">
        <v>6.66</v>
      </c>
      <c r="J2273" s="1759">
        <v>19.59</v>
      </c>
      <c r="K2273" s="3107" t="s">
        <v>390</v>
      </c>
      <c r="L2273" s="3107"/>
      <c r="M2273" s="3107"/>
      <c r="N2273" s="1760" t="str">
        <f>A2273</f>
        <v>AVTR</v>
      </c>
      <c r="O2273" s="64"/>
      <c r="P2273" s="64"/>
      <c r="Q2273" s="1761">
        <v>44138</v>
      </c>
      <c r="R2273" s="1762">
        <f>B2273*RIGHT(K2273,6)</f>
        <v>3030</v>
      </c>
      <c r="S2273" s="1763">
        <f>D2273</f>
        <v>5375</v>
      </c>
      <c r="T2273" s="1763">
        <f t="shared" ref="T2273:T2277" si="593">S2273-R2273</f>
        <v>2345</v>
      </c>
      <c r="U2273" s="1764">
        <f t="shared" ref="U2273:U2277" si="594">(S2273-R2273)/R2273</f>
        <v>0.77392739273927391</v>
      </c>
      <c r="V2273" s="1765" t="str">
        <f t="shared" ref="V2273:V2277" si="595">A2273</f>
        <v>AVTR</v>
      </c>
      <c r="W2273" s="1702">
        <f ca="1">Q2273-TODAY()</f>
        <v>-1034</v>
      </c>
    </row>
    <row r="2274" spans="1:23" hidden="1" outlineLevel="1" x14ac:dyDescent="0.35">
      <c r="A2274" s="1559" t="s">
        <v>463</v>
      </c>
      <c r="B2274" s="1347">
        <v>200</v>
      </c>
      <c r="C2274" s="1348">
        <v>394.68</v>
      </c>
      <c r="D2274" s="1348">
        <f t="shared" si="591"/>
        <v>78936</v>
      </c>
      <c r="E2274" s="1641"/>
      <c r="F2274" s="1486">
        <f t="shared" si="592"/>
        <v>0.34155954241495873</v>
      </c>
      <c r="G2274" s="1494">
        <v>22</v>
      </c>
      <c r="H2274" s="1731" t="s">
        <v>464</v>
      </c>
      <c r="I2274" s="1716">
        <v>227.5</v>
      </c>
      <c r="J2274" s="1716">
        <v>424</v>
      </c>
      <c r="K2274" s="3055" t="s">
        <v>465</v>
      </c>
      <c r="L2274" s="3055"/>
      <c r="M2274" s="3055"/>
      <c r="N2274" s="1489" t="str">
        <f>A2274</f>
        <v>DPZ</v>
      </c>
      <c r="Q2274" s="1345">
        <v>44110</v>
      </c>
      <c r="R2274" s="1529">
        <f>B2274*RIGHT(K2274,6)</f>
        <v>78706</v>
      </c>
      <c r="S2274" s="1510">
        <f>D2274</f>
        <v>78936</v>
      </c>
      <c r="T2274" s="1510">
        <f t="shared" si="593"/>
        <v>230</v>
      </c>
      <c r="U2274" s="1563">
        <f t="shared" si="594"/>
        <v>2.9222676797194622E-3</v>
      </c>
      <c r="V2274" s="1766" t="str">
        <f t="shared" si="595"/>
        <v>DPZ</v>
      </c>
      <c r="W2274" s="1721">
        <f ca="1">Q2274-TODAY()</f>
        <v>-1062</v>
      </c>
    </row>
    <row r="2275" spans="1:23" hidden="1" outlineLevel="1" x14ac:dyDescent="0.35">
      <c r="A2275" s="1767" t="s">
        <v>65</v>
      </c>
      <c r="B2275" s="1362">
        <v>200</v>
      </c>
      <c r="C2275" s="1363">
        <v>264.52999999999997</v>
      </c>
      <c r="D2275" s="1363">
        <f t="shared" si="591"/>
        <v>52905.999999999993</v>
      </c>
      <c r="E2275" s="1641"/>
      <c r="F2275" s="1486">
        <f t="shared" si="592"/>
        <v>0.22892658800808002</v>
      </c>
      <c r="G2275" s="1494">
        <v>128</v>
      </c>
      <c r="H2275" s="1731" t="s">
        <v>450</v>
      </c>
      <c r="I2275" s="1716">
        <v>118</v>
      </c>
      <c r="J2275" s="1716">
        <v>298</v>
      </c>
      <c r="K2275" s="3055" t="s">
        <v>466</v>
      </c>
      <c r="L2275" s="3055"/>
      <c r="M2275" s="3055"/>
      <c r="N2275" s="1489"/>
      <c r="O2275" s="3"/>
      <c r="P2275" s="3"/>
      <c r="Q2275" s="1345">
        <v>44159</v>
      </c>
      <c r="R2275" s="1685">
        <f t="shared" ref="R2275:R2277" si="596">B2275*RIGHT(K2275,6)</f>
        <v>55472</v>
      </c>
      <c r="S2275" s="1686">
        <f t="shared" ref="S2275:S2277" si="597">D2275</f>
        <v>52905.999999999993</v>
      </c>
      <c r="T2275" s="1768">
        <f t="shared" si="593"/>
        <v>-2566.0000000000073</v>
      </c>
      <c r="U2275" s="1769">
        <f t="shared" si="594"/>
        <v>-4.6257571387366733E-2</v>
      </c>
      <c r="V2275" s="1766" t="str">
        <f t="shared" si="595"/>
        <v>VEEV</v>
      </c>
      <c r="W2275" s="1702">
        <f ca="1">Q2275-TODAY()</f>
        <v>-1013</v>
      </c>
    </row>
    <row r="2276" spans="1:23" hidden="1" outlineLevel="1" x14ac:dyDescent="0.35">
      <c r="A2276" s="1559" t="s">
        <v>447</v>
      </c>
      <c r="B2276" s="1347">
        <v>200</v>
      </c>
      <c r="C2276" s="1348">
        <v>124.46</v>
      </c>
      <c r="D2276" s="1348">
        <f t="shared" si="591"/>
        <v>24892</v>
      </c>
      <c r="E2276" s="1641"/>
      <c r="F2276" s="1486">
        <f t="shared" si="592"/>
        <v>0.10770877837479924</v>
      </c>
      <c r="G2276" s="1494" t="s">
        <v>228</v>
      </c>
      <c r="H2276" s="1730"/>
      <c r="I2276" s="1717">
        <v>17</v>
      </c>
      <c r="J2276" s="1716">
        <v>129</v>
      </c>
      <c r="K2276" s="3055" t="s">
        <v>467</v>
      </c>
      <c r="L2276" s="3055"/>
      <c r="M2276" s="3055"/>
      <c r="N2276" s="1489"/>
      <c r="O2276" s="3"/>
      <c r="P2276" s="3"/>
      <c r="Q2276" s="1345">
        <v>44140</v>
      </c>
      <c r="R2276" s="1685">
        <f t="shared" si="596"/>
        <v>25052</v>
      </c>
      <c r="S2276" s="1686">
        <f t="shared" si="597"/>
        <v>24892</v>
      </c>
      <c r="T2276" s="1768">
        <f t="shared" si="593"/>
        <v>-160</v>
      </c>
      <c r="U2276" s="1769">
        <f t="shared" si="594"/>
        <v>-6.3867156314865083E-3</v>
      </c>
      <c r="V2276" s="1766" t="str">
        <f t="shared" si="595"/>
        <v>FVRR</v>
      </c>
      <c r="W2276" s="1702">
        <f ca="1">Q2276-TODAY()</f>
        <v>-1032</v>
      </c>
    </row>
    <row r="2277" spans="1:23" ht="16" hidden="1" outlineLevel="1" thickBot="1" x14ac:dyDescent="0.4">
      <c r="A2277" s="1770" t="s">
        <v>49</v>
      </c>
      <c r="B2277" s="1771">
        <v>200</v>
      </c>
      <c r="C2277" s="1772">
        <v>486.58</v>
      </c>
      <c r="D2277" s="1772">
        <f t="shared" si="591"/>
        <v>97316</v>
      </c>
      <c r="E2277" s="1773"/>
      <c r="F2277" s="1774">
        <f t="shared" si="592"/>
        <v>0.42109061049019619</v>
      </c>
      <c r="G2277" s="1775">
        <v>89</v>
      </c>
      <c r="H2277" s="1776" t="s">
        <v>468</v>
      </c>
      <c r="I2277" s="1777">
        <v>169</v>
      </c>
      <c r="J2277" s="1778">
        <v>589</v>
      </c>
      <c r="K2277" s="3098" t="s">
        <v>469</v>
      </c>
      <c r="L2277" s="3098"/>
      <c r="M2277" s="3098"/>
      <c r="N2277" s="1779"/>
      <c r="O2277" s="2"/>
      <c r="P2277" s="2"/>
      <c r="Q2277" s="1780">
        <v>44147</v>
      </c>
      <c r="R2277" s="1781">
        <f t="shared" si="596"/>
        <v>103540.00000000001</v>
      </c>
      <c r="S2277" s="1782">
        <f t="shared" si="597"/>
        <v>97316</v>
      </c>
      <c r="T2277" s="1783">
        <f t="shared" si="593"/>
        <v>-6224.0000000000146</v>
      </c>
      <c r="U2277" s="1784">
        <f t="shared" si="594"/>
        <v>-6.0112033996523213E-2</v>
      </c>
      <c r="V2277" s="1766" t="str">
        <f t="shared" si="595"/>
        <v>NVDA</v>
      </c>
      <c r="W2277" s="1702">
        <f ca="1">Q2277-TODAY()</f>
        <v>-1025</v>
      </c>
    </row>
    <row r="2278" spans="1:23" ht="16" hidden="1" outlineLevel="1" thickBot="1" x14ac:dyDescent="0.4">
      <c r="A2278" s="1785" t="s">
        <v>7</v>
      </c>
      <c r="B2278" s="1786"/>
      <c r="C2278" s="1787"/>
      <c r="D2278" s="1787">
        <v>1990.74</v>
      </c>
      <c r="E2278" s="1588"/>
      <c r="F2278" s="1729">
        <f t="shared" si="592"/>
        <v>8.6140195027256897E-3</v>
      </c>
      <c r="G2278" s="1788"/>
      <c r="H2278" s="1789"/>
      <c r="I2278" s="1789"/>
      <c r="J2278" s="1216"/>
      <c r="K2278" s="1633"/>
      <c r="L2278" s="1634"/>
      <c r="M2278" s="1634"/>
      <c r="S2278" s="1691">
        <f>SUM(S2273:S2274)</f>
        <v>84311</v>
      </c>
      <c r="T2278" s="1790">
        <f>SUM(T2274:T2277)</f>
        <v>-8720.0000000000218</v>
      </c>
      <c r="U2278" s="1791">
        <f>AVERAGE(U2273:U2277)</f>
        <v>0.13281866788072338</v>
      </c>
    </row>
    <row r="2279" spans="1:23" ht="16" hidden="1" outlineLevel="1" thickBot="1" x14ac:dyDescent="0.4">
      <c r="A2279" s="1701" t="s">
        <v>60</v>
      </c>
      <c r="B2279" s="1792"/>
      <c r="C2279" s="1793"/>
      <c r="D2279" s="1793">
        <v>4443.6899999999996</v>
      </c>
      <c r="E2279" s="1794"/>
      <c r="F2279" s="1795">
        <f t="shared" si="592"/>
        <v>1.9228041996477246E-2</v>
      </c>
      <c r="G2279" s="1734"/>
      <c r="H2279" s="1723"/>
      <c r="I2279" s="1796"/>
      <c r="J2279" s="61">
        <f>SUM(J2278:J2278)</f>
        <v>0</v>
      </c>
      <c r="K2279" s="1468"/>
      <c r="L2279" s="1151"/>
      <c r="M2279" s="1151"/>
      <c r="S2279" s="1470" t="str">
        <f>IF(SUM(D2273:D2274)&lt;&gt;S2278,"Out of Balance","Balances")</f>
        <v>Balances</v>
      </c>
    </row>
    <row r="2280" spans="1:23" ht="19" hidden="1" outlineLevel="1" thickBot="1" x14ac:dyDescent="0.5">
      <c r="A2280" s="1797" t="s">
        <v>62</v>
      </c>
      <c r="B2280" s="1798"/>
      <c r="C2280" s="1799"/>
      <c r="D2280" s="1800">
        <f>SUM(D2273:D2279)</f>
        <v>265859.43</v>
      </c>
      <c r="E2280" s="73">
        <f>D2280-D2268</f>
        <v>-10615.840000000026</v>
      </c>
      <c r="F2280" s="1537">
        <f>(D2280-D2268)/D2268</f>
        <v>-3.8397068931337063E-2</v>
      </c>
      <c r="G2280" s="72" t="s">
        <v>459</v>
      </c>
      <c r="H2280" s="1801">
        <f>E2280+E2268+E2254+E2240+E2226</f>
        <v>10544.393899999995</v>
      </c>
      <c r="I2280" s="1738" t="s">
        <v>470</v>
      </c>
      <c r="J2280" s="1739"/>
    </row>
    <row r="2281" spans="1:23" hidden="1" outlineLevel="1" x14ac:dyDescent="0.35">
      <c r="B2281" s="1802"/>
      <c r="C2281" s="602"/>
      <c r="D2281" s="1803"/>
      <c r="F2281" s="193"/>
    </row>
    <row r="2282" spans="1:23" ht="16" hidden="1" outlineLevel="1" thickBot="1" x14ac:dyDescent="0.4">
      <c r="A2282" s="1619" t="s">
        <v>25</v>
      </c>
      <c r="B2282" s="1620" t="s">
        <v>26</v>
      </c>
      <c r="C2282" s="1621" t="s">
        <v>27</v>
      </c>
      <c r="D2282" s="1622">
        <f>D2270+7</f>
        <v>44092</v>
      </c>
      <c r="E2282" s="1623" t="s">
        <v>28</v>
      </c>
      <c r="F2282" s="3082"/>
      <c r="G2282" s="3083"/>
      <c r="H2282" s="3083"/>
      <c r="I2282" s="1182"/>
      <c r="J2282" s="1182"/>
      <c r="K2282" s="1183" t="s">
        <v>233</v>
      </c>
    </row>
    <row r="2283" spans="1:23" ht="16.5" hidden="1" customHeight="1" outlineLevel="1" thickBot="1" x14ac:dyDescent="0.4">
      <c r="A2283" s="1584" t="s">
        <v>32</v>
      </c>
      <c r="B2283" s="1585" t="str">
        <f ca="1">TEXT(TODAY(),"ddd")</f>
        <v>Sun</v>
      </c>
      <c r="C2283" s="1586">
        <f>27100-510</f>
        <v>26590</v>
      </c>
      <c r="D2283" s="1740">
        <f>C2283-C2271</f>
        <v>-1075</v>
      </c>
      <c r="E2283" s="1741">
        <f>(C2283-C2271)/C2271</f>
        <v>-3.8857762515814208E-2</v>
      </c>
      <c r="F2283" s="3084"/>
      <c r="G2283" s="3085"/>
      <c r="H2283" s="3086"/>
      <c r="I2283" s="1602"/>
      <c r="J2283" s="1602"/>
      <c r="K2283" s="1188" t="s">
        <v>234</v>
      </c>
      <c r="L2283" s="1220" t="s">
        <v>34</v>
      </c>
      <c r="M2283" s="111" t="s">
        <v>35</v>
      </c>
      <c r="N2283" s="3099"/>
      <c r="O2283" s="3100"/>
      <c r="P2283" s="3100"/>
      <c r="Q2283" s="3100"/>
      <c r="R2283" s="3100"/>
      <c r="S2283" s="3100"/>
      <c r="T2283" s="3100"/>
      <c r="U2283" s="3100"/>
    </row>
    <row r="2284" spans="1:23" hidden="1" outlineLevel="1" x14ac:dyDescent="0.35">
      <c r="A2284" s="709" t="s">
        <v>36</v>
      </c>
      <c r="B2284" s="419"/>
      <c r="C2284" s="419">
        <f>10778-14.48</f>
        <v>10763.52</v>
      </c>
      <c r="D2284" s="1740">
        <f>C2284-C2272</f>
        <v>-89.479999999999563</v>
      </c>
      <c r="E2284" s="1741">
        <f>(C2284-C2272)/C2272</f>
        <v>-8.2447249608402808E-3</v>
      </c>
      <c r="F2284" s="1795" t="s">
        <v>37</v>
      </c>
      <c r="G2284" s="1745" t="s">
        <v>38</v>
      </c>
      <c r="H2284" s="1746" t="s">
        <v>144</v>
      </c>
      <c r="I2284" s="1747" t="s">
        <v>441</v>
      </c>
      <c r="J2284" s="1748" t="s">
        <v>400</v>
      </c>
      <c r="K2284" s="3063" t="s">
        <v>42</v>
      </c>
      <c r="L2284" s="3064"/>
      <c r="M2284" s="3064"/>
      <c r="N2284" s="1749" t="s">
        <v>244</v>
      </c>
      <c r="Q2284" s="1750" t="s">
        <v>44</v>
      </c>
      <c r="R2284" s="1445" t="s">
        <v>45</v>
      </c>
      <c r="S2284" s="1445" t="s">
        <v>46</v>
      </c>
      <c r="T2284" s="1445" t="s">
        <v>47</v>
      </c>
      <c r="U2284" s="1751" t="s">
        <v>48</v>
      </c>
      <c r="W2284" s="1700" t="s">
        <v>446</v>
      </c>
    </row>
    <row r="2285" spans="1:23" hidden="1" outlineLevel="1" x14ac:dyDescent="0.35">
      <c r="A2285" s="1752" t="s">
        <v>402</v>
      </c>
      <c r="B2285" s="1753">
        <v>250</v>
      </c>
      <c r="C2285" s="1754">
        <f>22.79-0.52</f>
        <v>22.27</v>
      </c>
      <c r="D2285" s="1754">
        <f t="shared" ref="D2285:D2289" si="598">C2285*B2285</f>
        <v>5567.5</v>
      </c>
      <c r="E2285" s="1755">
        <f t="shared" ref="E2285:E2289" si="599">(C2285-C2273)/C2273</f>
        <v>3.5813953488372074E-2</v>
      </c>
      <c r="F2285" s="1756">
        <f t="shared" ref="F2285:F2291" si="600">D2285/D$2198</f>
        <v>2.4090817274694473E-2</v>
      </c>
      <c r="G2285" s="1757" t="s">
        <v>228</v>
      </c>
      <c r="H2285" s="1758" t="s">
        <v>449</v>
      </c>
      <c r="I2285" s="1759">
        <v>6.66</v>
      </c>
      <c r="J2285" s="1759">
        <v>19.59</v>
      </c>
      <c r="K2285" s="3107" t="s">
        <v>390</v>
      </c>
      <c r="L2285" s="3107"/>
      <c r="M2285" s="3107"/>
      <c r="N2285" s="1760" t="str">
        <f>A2285</f>
        <v>AVTR</v>
      </c>
      <c r="O2285" s="64"/>
      <c r="P2285" s="64"/>
      <c r="Q2285" s="1761">
        <v>44138</v>
      </c>
      <c r="R2285" s="1762">
        <f>B2285*RIGHT(K2285,6)</f>
        <v>3030</v>
      </c>
      <c r="S2285" s="1763">
        <f>D2285</f>
        <v>5567.5</v>
      </c>
      <c r="T2285" s="1763">
        <f t="shared" ref="T2285:T2289" si="601">S2285-R2285</f>
        <v>2537.5</v>
      </c>
      <c r="U2285" s="1764">
        <f t="shared" ref="U2285:U2289" si="602">(S2285-R2285)/R2285</f>
        <v>0.83745874587458746</v>
      </c>
      <c r="V2285" s="1765" t="str">
        <f t="shared" ref="V2285:V2289" si="603">A2285</f>
        <v>AVTR</v>
      </c>
      <c r="W2285" s="1702">
        <f ca="1">Q2285-TODAY()</f>
        <v>-1034</v>
      </c>
    </row>
    <row r="2286" spans="1:23" hidden="1" outlineLevel="1" x14ac:dyDescent="0.35">
      <c r="A2286" s="1559" t="s">
        <v>463</v>
      </c>
      <c r="B2286" s="1347">
        <v>200</v>
      </c>
      <c r="C2286" s="1348">
        <f>404.86-7.27</f>
        <v>397.59000000000003</v>
      </c>
      <c r="D2286" s="1348">
        <f t="shared" si="598"/>
        <v>79518</v>
      </c>
      <c r="E2286" s="1641">
        <f t="shared" si="599"/>
        <v>7.3730617208878713E-3</v>
      </c>
      <c r="F2286" s="1486">
        <f t="shared" si="600"/>
        <v>0.34407788200254241</v>
      </c>
      <c r="G2286" s="1494">
        <v>22</v>
      </c>
      <c r="H2286" s="1731" t="s">
        <v>464</v>
      </c>
      <c r="I2286" s="1716">
        <v>227.5</v>
      </c>
      <c r="J2286" s="1716">
        <v>424</v>
      </c>
      <c r="K2286" s="3055" t="s">
        <v>465</v>
      </c>
      <c r="L2286" s="3055"/>
      <c r="M2286" s="3055"/>
      <c r="N2286" s="1489" t="str">
        <f>A2286</f>
        <v>DPZ</v>
      </c>
      <c r="Q2286" s="1345">
        <v>44110</v>
      </c>
      <c r="R2286" s="1529">
        <f>B2286*RIGHT(K2286,6)</f>
        <v>78706</v>
      </c>
      <c r="S2286" s="1510">
        <f>D2286</f>
        <v>79518</v>
      </c>
      <c r="T2286" s="1510">
        <f t="shared" si="601"/>
        <v>812</v>
      </c>
      <c r="U2286" s="1563">
        <f t="shared" si="602"/>
        <v>1.0316875460574797E-2</v>
      </c>
      <c r="V2286" s="1766" t="str">
        <f t="shared" si="603"/>
        <v>DPZ</v>
      </c>
      <c r="W2286" s="1721">
        <f ca="1">Q2286-TODAY()</f>
        <v>-1062</v>
      </c>
    </row>
    <row r="2287" spans="1:23" hidden="1" outlineLevel="1" x14ac:dyDescent="0.35">
      <c r="A2287" s="1767" t="s">
        <v>65</v>
      </c>
      <c r="B2287" s="1362">
        <v>200</v>
      </c>
      <c r="C2287" s="1363">
        <f>271.52-5.62</f>
        <v>265.89999999999998</v>
      </c>
      <c r="D2287" s="1363">
        <f t="shared" si="598"/>
        <v>53179.999999999993</v>
      </c>
      <c r="E2287" s="1641">
        <f t="shared" si="599"/>
        <v>5.1789967111480917E-3</v>
      </c>
      <c r="F2287" s="1486">
        <f t="shared" si="600"/>
        <v>0.23011219805446823</v>
      </c>
      <c r="G2287" s="1494">
        <v>128</v>
      </c>
      <c r="H2287" s="1731" t="s">
        <v>450</v>
      </c>
      <c r="I2287" s="1716">
        <v>118</v>
      </c>
      <c r="J2287" s="1716">
        <v>298</v>
      </c>
      <c r="K2287" s="3055" t="s">
        <v>466</v>
      </c>
      <c r="L2287" s="3055"/>
      <c r="M2287" s="3055"/>
      <c r="N2287" s="1489"/>
      <c r="O2287" s="3"/>
      <c r="P2287" s="3"/>
      <c r="Q2287" s="1345">
        <v>44159</v>
      </c>
      <c r="R2287" s="1685">
        <f t="shared" ref="R2287:R2289" si="604">B2287*RIGHT(K2287,6)</f>
        <v>55472</v>
      </c>
      <c r="S2287" s="1686">
        <f t="shared" ref="S2287:S2289" si="605">D2287</f>
        <v>53179.999999999993</v>
      </c>
      <c r="T2287" s="1768">
        <f t="shared" si="601"/>
        <v>-2292.0000000000073</v>
      </c>
      <c r="U2287" s="1769">
        <f t="shared" si="602"/>
        <v>-4.1318142486299524E-2</v>
      </c>
      <c r="V2287" s="1766" t="str">
        <f t="shared" si="603"/>
        <v>VEEV</v>
      </c>
      <c r="W2287" s="1702">
        <f ca="1">Q2287-TODAY()</f>
        <v>-1013</v>
      </c>
    </row>
    <row r="2288" spans="1:23" hidden="1" outlineLevel="1" x14ac:dyDescent="0.35">
      <c r="A2288" s="1559" t="s">
        <v>447</v>
      </c>
      <c r="B2288" s="1347">
        <v>200</v>
      </c>
      <c r="C2288" s="1348">
        <f>126.4-2.97</f>
        <v>123.43</v>
      </c>
      <c r="D2288" s="1348">
        <f t="shared" si="598"/>
        <v>24686</v>
      </c>
      <c r="E2288" s="1641">
        <f t="shared" si="599"/>
        <v>-8.2757512453799364E-3</v>
      </c>
      <c r="F2288" s="1486">
        <f t="shared" si="600"/>
        <v>0.10681740731802564</v>
      </c>
      <c r="G2288" s="1494" t="s">
        <v>228</v>
      </c>
      <c r="H2288" s="1730"/>
      <c r="I2288" s="1717">
        <v>17</v>
      </c>
      <c r="J2288" s="1716">
        <v>129</v>
      </c>
      <c r="K2288" s="3055" t="s">
        <v>467</v>
      </c>
      <c r="L2288" s="3055"/>
      <c r="M2288" s="3055"/>
      <c r="N2288" s="1489"/>
      <c r="O2288" s="3"/>
      <c r="P2288" s="3"/>
      <c r="Q2288" s="1345">
        <v>44140</v>
      </c>
      <c r="R2288" s="1685">
        <f t="shared" si="604"/>
        <v>25052</v>
      </c>
      <c r="S2288" s="1686">
        <f t="shared" si="605"/>
        <v>24686</v>
      </c>
      <c r="T2288" s="1768">
        <f t="shared" si="601"/>
        <v>-366</v>
      </c>
      <c r="U2288" s="1769">
        <f t="shared" si="602"/>
        <v>-1.4609612007025386E-2</v>
      </c>
      <c r="V2288" s="1766" t="str">
        <f t="shared" si="603"/>
        <v>FVRR</v>
      </c>
      <c r="W2288" s="1702">
        <f ca="1">Q2288-TODAY()</f>
        <v>-1032</v>
      </c>
    </row>
    <row r="2289" spans="1:29" ht="16" hidden="1" outlineLevel="1" thickBot="1" x14ac:dyDescent="0.4">
      <c r="A2289" s="1770" t="s">
        <v>49</v>
      </c>
      <c r="B2289" s="1771">
        <v>200</v>
      </c>
      <c r="C2289" s="1772">
        <f>500.69-13.12</f>
        <v>487.57</v>
      </c>
      <c r="D2289" s="1772">
        <f t="shared" si="598"/>
        <v>97514</v>
      </c>
      <c r="E2289" s="1773">
        <f t="shared" si="599"/>
        <v>2.0346089029553397E-3</v>
      </c>
      <c r="F2289" s="1774">
        <f t="shared" si="600"/>
        <v>0.42194736519525045</v>
      </c>
      <c r="G2289" s="1775">
        <v>89</v>
      </c>
      <c r="H2289" s="1776" t="s">
        <v>468</v>
      </c>
      <c r="I2289" s="1777">
        <v>169</v>
      </c>
      <c r="J2289" s="1778">
        <v>589</v>
      </c>
      <c r="K2289" s="3098" t="s">
        <v>469</v>
      </c>
      <c r="L2289" s="3098"/>
      <c r="M2289" s="3098"/>
      <c r="N2289" s="1779"/>
      <c r="O2289" s="2"/>
      <c r="P2289" s="2"/>
      <c r="Q2289" s="1780">
        <v>44147</v>
      </c>
      <c r="R2289" s="1781">
        <f t="shared" si="604"/>
        <v>103540.00000000001</v>
      </c>
      <c r="S2289" s="1782">
        <f t="shared" si="605"/>
        <v>97514</v>
      </c>
      <c r="T2289" s="1783">
        <f t="shared" si="601"/>
        <v>-6026.0000000000146</v>
      </c>
      <c r="U2289" s="1784">
        <f t="shared" si="602"/>
        <v>-5.8199729573111973E-2</v>
      </c>
      <c r="V2289" s="1766" t="str">
        <f t="shared" si="603"/>
        <v>NVDA</v>
      </c>
      <c r="W2289" s="1702">
        <f ca="1">Q2289-TODAY()</f>
        <v>-1025</v>
      </c>
    </row>
    <row r="2290" spans="1:29" ht="16" hidden="1" outlineLevel="1" thickBot="1" x14ac:dyDescent="0.4">
      <c r="A2290" s="1785" t="s">
        <v>7</v>
      </c>
      <c r="B2290" s="1786"/>
      <c r="C2290" s="1787"/>
      <c r="D2290" s="1787">
        <v>1990.74</v>
      </c>
      <c r="E2290" s="1588"/>
      <c r="F2290" s="1729">
        <f t="shared" si="600"/>
        <v>8.6140195027256897E-3</v>
      </c>
      <c r="G2290" s="1788"/>
      <c r="H2290" s="1789"/>
      <c r="I2290" s="1789"/>
      <c r="J2290" s="1216"/>
      <c r="K2290" s="1633"/>
      <c r="L2290" s="1634"/>
      <c r="M2290" s="1634"/>
      <c r="S2290" s="1691">
        <f>SUM(S2285:S2286)</f>
        <v>85085.5</v>
      </c>
      <c r="T2290" s="1790">
        <f>SUM(T2286:T2289)</f>
        <v>-7872.0000000000218</v>
      </c>
      <c r="U2290" s="1791">
        <f>AVERAGE(U2285:U2289)</f>
        <v>0.1467296274537451</v>
      </c>
    </row>
    <row r="2291" spans="1:29" ht="16" hidden="1" outlineLevel="1" thickBot="1" x14ac:dyDescent="0.4">
      <c r="A2291" s="1701" t="s">
        <v>60</v>
      </c>
      <c r="B2291" s="1792"/>
      <c r="C2291" s="1793"/>
      <c r="D2291" s="1793">
        <v>4183.41</v>
      </c>
      <c r="E2291" s="1794"/>
      <c r="F2291" s="1795">
        <f t="shared" si="600"/>
        <v>1.810179899328776E-2</v>
      </c>
      <c r="G2291" s="1734" t="s">
        <v>471</v>
      </c>
      <c r="H2291" s="1723"/>
      <c r="I2291" s="1796"/>
      <c r="J2291" s="61">
        <f>SUM(J2290:J2290)</f>
        <v>0</v>
      </c>
      <c r="K2291" s="1468"/>
      <c r="L2291" s="1151"/>
      <c r="M2291" s="1151"/>
      <c r="S2291" s="1470" t="str">
        <f>IF(SUM(D2285:D2286)&lt;&gt;S2290,"Out of Balance","Balances")</f>
        <v>Balances</v>
      </c>
    </row>
    <row r="2292" spans="1:29" ht="19" hidden="1" outlineLevel="1" thickBot="1" x14ac:dyDescent="0.5">
      <c r="A2292" s="1797" t="s">
        <v>62</v>
      </c>
      <c r="B2292" s="1798"/>
      <c r="C2292" s="1799"/>
      <c r="D2292" s="1804">
        <f>SUM(D2285:D2291)</f>
        <v>266639.64999999997</v>
      </c>
      <c r="E2292" s="1805">
        <f>D2292-D2280</f>
        <v>780.21999999997206</v>
      </c>
      <c r="F2292" s="1806">
        <f>(D2292-D2280)/D2280</f>
        <v>2.9347087669599385E-3</v>
      </c>
      <c r="G2292" s="72" t="s">
        <v>459</v>
      </c>
      <c r="H2292" s="1807">
        <f>E2292+E2280+E2268+E2252+E2238</f>
        <v>-7020.47318000003</v>
      </c>
      <c r="I2292" s="1738"/>
      <c r="J2292" s="1739"/>
    </row>
    <row r="2293" spans="1:29" hidden="1" outlineLevel="1" x14ac:dyDescent="0.35"/>
    <row r="2294" spans="1:29" ht="16" hidden="1" outlineLevel="1" thickBot="1" x14ac:dyDescent="0.4">
      <c r="A2294" s="1619" t="s">
        <v>25</v>
      </c>
      <c r="B2294" s="1620" t="s">
        <v>26</v>
      </c>
      <c r="C2294" s="1621" t="s">
        <v>27</v>
      </c>
      <c r="D2294" s="1622">
        <f>D2282+7</f>
        <v>44099</v>
      </c>
      <c r="E2294" s="1623" t="s">
        <v>28</v>
      </c>
      <c r="F2294" s="3082"/>
      <c r="G2294" s="3083"/>
      <c r="H2294" s="3083"/>
      <c r="I2294" s="1182"/>
      <c r="J2294" s="1182"/>
      <c r="K2294" s="1183" t="s">
        <v>233</v>
      </c>
    </row>
    <row r="2295" spans="1:29" ht="16" hidden="1" outlineLevel="1" thickBot="1" x14ac:dyDescent="0.4">
      <c r="A2295" s="1584" t="s">
        <v>32</v>
      </c>
      <c r="B2295" s="1585" t="str">
        <f ca="1">TEXT(TODAY(),"ddd")</f>
        <v>Sun</v>
      </c>
      <c r="C2295" s="1586">
        <v>27173</v>
      </c>
      <c r="D2295" s="1808">
        <f>C2295-C2283</f>
        <v>583</v>
      </c>
      <c r="E2295" s="1641">
        <f>(C2295-C2283)/C2283</f>
        <v>2.1925535915757802E-2</v>
      </c>
      <c r="F2295" s="3084"/>
      <c r="G2295" s="3085"/>
      <c r="H2295" s="3086"/>
      <c r="I2295" s="1602"/>
      <c r="J2295" s="1602"/>
      <c r="K2295" s="1188" t="s">
        <v>234</v>
      </c>
      <c r="L2295" s="1220" t="s">
        <v>34</v>
      </c>
      <c r="M2295" s="111" t="s">
        <v>35</v>
      </c>
      <c r="N2295" s="3099" t="s">
        <v>431</v>
      </c>
      <c r="O2295" s="3100"/>
      <c r="P2295" s="3100"/>
      <c r="Q2295" s="3100"/>
      <c r="R2295" s="3100"/>
      <c r="S2295" s="3100"/>
      <c r="T2295" s="3100"/>
      <c r="U2295" s="3100"/>
      <c r="AB2295" s="1140"/>
      <c r="AC2295" s="1140" t="s">
        <v>472</v>
      </c>
    </row>
    <row r="2296" spans="1:29" hidden="1" outlineLevel="1" x14ac:dyDescent="0.35">
      <c r="A2296" s="709" t="s">
        <v>36</v>
      </c>
      <c r="B2296" s="419"/>
      <c r="C2296" s="419">
        <v>10913</v>
      </c>
      <c r="D2296" s="1808">
        <f>C2296-C2284</f>
        <v>149.47999999999956</v>
      </c>
      <c r="E2296" s="1641">
        <f>(C2296-C2284)/C2284</f>
        <v>1.3887650136758195E-2</v>
      </c>
      <c r="F2296" s="1795" t="s">
        <v>37</v>
      </c>
      <c r="G2296" s="1745" t="s">
        <v>38</v>
      </c>
      <c r="H2296" s="1746" t="s">
        <v>144</v>
      </c>
      <c r="I2296" s="1747" t="s">
        <v>441</v>
      </c>
      <c r="J2296" s="1748" t="s">
        <v>400</v>
      </c>
      <c r="K2296" s="3063" t="s">
        <v>42</v>
      </c>
      <c r="L2296" s="3064"/>
      <c r="M2296" s="3064"/>
      <c r="N2296" s="1749" t="s">
        <v>244</v>
      </c>
      <c r="Q2296" s="1750" t="s">
        <v>44</v>
      </c>
      <c r="R2296" s="1445" t="s">
        <v>45</v>
      </c>
      <c r="S2296" s="1445" t="s">
        <v>46</v>
      </c>
      <c r="T2296" s="1445" t="s">
        <v>47</v>
      </c>
      <c r="U2296" s="1751" t="s">
        <v>48</v>
      </c>
      <c r="W2296" s="1700" t="s">
        <v>446</v>
      </c>
      <c r="AC2296">
        <v>6</v>
      </c>
    </row>
    <row r="2297" spans="1:29" hidden="1" outlineLevel="1" x14ac:dyDescent="0.35">
      <c r="A2297" s="1752" t="s">
        <v>402</v>
      </c>
      <c r="B2297" s="1753">
        <v>250</v>
      </c>
      <c r="C2297" s="1754">
        <v>22.03</v>
      </c>
      <c r="D2297" s="1754">
        <f t="shared" ref="D2297:D2301" si="606">C2297*B2297</f>
        <v>5507.5</v>
      </c>
      <c r="E2297" s="1755">
        <f t="shared" ref="E2297:E2301" si="607">(C2297-C2285)/C2285</f>
        <v>-1.0776829815895754E-2</v>
      </c>
      <c r="F2297" s="1756">
        <f t="shared" ref="F2297:F2303" si="608">D2297/D$2198</f>
        <v>2.3831194636799245E-2</v>
      </c>
      <c r="G2297" s="1757" t="s">
        <v>228</v>
      </c>
      <c r="H2297" s="1758" t="s">
        <v>449</v>
      </c>
      <c r="I2297" s="1759">
        <v>6.66</v>
      </c>
      <c r="J2297" s="1759">
        <v>19.59</v>
      </c>
      <c r="K2297" s="3107" t="s">
        <v>390</v>
      </c>
      <c r="L2297" s="3107"/>
      <c r="M2297" s="3107"/>
      <c r="N2297" s="1760" t="str">
        <f>A2297</f>
        <v>AVTR</v>
      </c>
      <c r="O2297" s="64"/>
      <c r="P2297" s="64"/>
      <c r="Q2297" s="1761">
        <v>44138</v>
      </c>
      <c r="R2297" s="1762">
        <f>B2297*RIGHT(K2297,6)</f>
        <v>3030</v>
      </c>
      <c r="S2297" s="1763">
        <f>D2297</f>
        <v>5507.5</v>
      </c>
      <c r="T2297" s="1763">
        <f t="shared" ref="T2297:T2301" si="609">S2297-R2297</f>
        <v>2477.5</v>
      </c>
      <c r="U2297" s="1764">
        <f t="shared" ref="U2297:U2301" si="610">(S2297-R2297)/R2297</f>
        <v>0.81765676567656764</v>
      </c>
      <c r="V2297" s="1765" t="str">
        <f t="shared" ref="V2297:V2301" si="611">A2297</f>
        <v>AVTR</v>
      </c>
      <c r="W2297" s="1702">
        <f ca="1">Q2297-TODAY()</f>
        <v>-1034</v>
      </c>
      <c r="AC2297">
        <v>16</v>
      </c>
    </row>
    <row r="2298" spans="1:29" hidden="1" outlineLevel="1" x14ac:dyDescent="0.35">
      <c r="A2298" s="1559" t="s">
        <v>463</v>
      </c>
      <c r="B2298" s="1347">
        <v>200</v>
      </c>
      <c r="C2298" s="1348">
        <v>418.08</v>
      </c>
      <c r="D2298" s="1348">
        <f t="shared" si="606"/>
        <v>83616</v>
      </c>
      <c r="E2298" s="1641">
        <f t="shared" si="607"/>
        <v>5.1535501395910233E-2</v>
      </c>
      <c r="F2298" s="1486">
        <f t="shared" si="608"/>
        <v>0.36181010817078635</v>
      </c>
      <c r="G2298" s="1494">
        <v>22</v>
      </c>
      <c r="H2298" s="1731" t="s">
        <v>464</v>
      </c>
      <c r="I2298" s="1716">
        <v>227.5</v>
      </c>
      <c r="J2298" s="1716">
        <v>424</v>
      </c>
      <c r="K2298" s="3055" t="s">
        <v>465</v>
      </c>
      <c r="L2298" s="3055"/>
      <c r="M2298" s="3055"/>
      <c r="N2298" s="1489" t="str">
        <f>A2298</f>
        <v>DPZ</v>
      </c>
      <c r="Q2298" s="1345">
        <v>44110</v>
      </c>
      <c r="R2298" s="1529">
        <f>B2298*RIGHT(K2298,6)</f>
        <v>78706</v>
      </c>
      <c r="S2298" s="1510">
        <f>D2298</f>
        <v>83616</v>
      </c>
      <c r="T2298" s="1510">
        <f t="shared" si="609"/>
        <v>4910</v>
      </c>
      <c r="U2298" s="1563">
        <f t="shared" si="610"/>
        <v>6.2384062206185045E-2</v>
      </c>
      <c r="V2298" s="1766" t="str">
        <f t="shared" si="611"/>
        <v>DPZ</v>
      </c>
      <c r="W2298" s="1721">
        <f ca="1">Q2298-TODAY()</f>
        <v>-1062</v>
      </c>
    </row>
    <row r="2299" spans="1:29" hidden="1" outlineLevel="1" x14ac:dyDescent="0.35">
      <c r="A2299" s="1767" t="s">
        <v>65</v>
      </c>
      <c r="B2299" s="1362">
        <v>200</v>
      </c>
      <c r="C2299" s="1363">
        <v>273.95999999999998</v>
      </c>
      <c r="D2299" s="1363">
        <f t="shared" si="606"/>
        <v>54791.999999999993</v>
      </c>
      <c r="E2299" s="1641">
        <f t="shared" si="607"/>
        <v>3.0312147423843562E-2</v>
      </c>
      <c r="F2299" s="1486">
        <f t="shared" si="608"/>
        <v>0.23708739292591996</v>
      </c>
      <c r="G2299" s="1494">
        <v>128</v>
      </c>
      <c r="H2299" s="1731" t="s">
        <v>450</v>
      </c>
      <c r="I2299" s="1716">
        <v>118</v>
      </c>
      <c r="J2299" s="1716">
        <v>298</v>
      </c>
      <c r="K2299" s="3055" t="s">
        <v>466</v>
      </c>
      <c r="L2299" s="3055"/>
      <c r="M2299" s="3055"/>
      <c r="N2299" s="1489"/>
      <c r="O2299" s="3"/>
      <c r="P2299" s="3"/>
      <c r="Q2299" s="1345">
        <v>44159</v>
      </c>
      <c r="R2299" s="1685">
        <f t="shared" ref="R2299:R2301" si="612">B2299*RIGHT(K2299,6)</f>
        <v>55472</v>
      </c>
      <c r="S2299" s="1686">
        <f t="shared" ref="S2299:S2301" si="613">D2299</f>
        <v>54791.999999999993</v>
      </c>
      <c r="T2299" s="1768">
        <f t="shared" si="609"/>
        <v>-680.00000000000728</v>
      </c>
      <c r="U2299" s="1769">
        <f t="shared" si="610"/>
        <v>-1.2258436688780057E-2</v>
      </c>
      <c r="V2299" s="1766" t="str">
        <f t="shared" si="611"/>
        <v>VEEV</v>
      </c>
      <c r="W2299" s="1702">
        <f ca="1">Q2299-TODAY()</f>
        <v>-1013</v>
      </c>
    </row>
    <row r="2300" spans="1:29" hidden="1" outlineLevel="1" x14ac:dyDescent="0.35">
      <c r="A2300" s="1559" t="s">
        <v>447</v>
      </c>
      <c r="B2300" s="1347">
        <v>200</v>
      </c>
      <c r="C2300" s="1348">
        <v>135.4</v>
      </c>
      <c r="D2300" s="1348">
        <f t="shared" si="606"/>
        <v>27080</v>
      </c>
      <c r="E2300" s="1641">
        <f t="shared" si="607"/>
        <v>9.6978044235599109E-2</v>
      </c>
      <c r="F2300" s="1486">
        <f t="shared" si="608"/>
        <v>0.11717635057004513</v>
      </c>
      <c r="G2300" s="1494" t="s">
        <v>228</v>
      </c>
      <c r="H2300" s="1730"/>
      <c r="I2300" s="1717">
        <v>17</v>
      </c>
      <c r="J2300" s="1716">
        <v>129</v>
      </c>
      <c r="K2300" s="3055" t="s">
        <v>467</v>
      </c>
      <c r="L2300" s="3055"/>
      <c r="M2300" s="3055"/>
      <c r="N2300" s="1489"/>
      <c r="O2300" s="3"/>
      <c r="P2300" s="3"/>
      <c r="Q2300" s="1345">
        <v>44140</v>
      </c>
      <c r="R2300" s="1685">
        <f t="shared" si="612"/>
        <v>25052</v>
      </c>
      <c r="S2300" s="1686">
        <f t="shared" si="613"/>
        <v>27080</v>
      </c>
      <c r="T2300" s="1510">
        <f t="shared" si="609"/>
        <v>2028</v>
      </c>
      <c r="U2300" s="1563">
        <f t="shared" si="610"/>
        <v>8.0951620629091489E-2</v>
      </c>
      <c r="V2300" s="1766" t="str">
        <f t="shared" si="611"/>
        <v>FVRR</v>
      </c>
      <c r="W2300" s="1702">
        <f ca="1">Q2300-TODAY()</f>
        <v>-1032</v>
      </c>
    </row>
    <row r="2301" spans="1:29" ht="16" hidden="1" outlineLevel="1" thickBot="1" x14ac:dyDescent="0.4">
      <c r="A2301" s="1770" t="s">
        <v>49</v>
      </c>
      <c r="B2301" s="1771">
        <v>200.03200000000001</v>
      </c>
      <c r="C2301" s="1772">
        <v>514.95000000000005</v>
      </c>
      <c r="D2301" s="1772">
        <f t="shared" si="606"/>
        <v>103006.47840000002</v>
      </c>
      <c r="E2301" s="1773">
        <f t="shared" si="607"/>
        <v>5.6156039132842575E-2</v>
      </c>
      <c r="F2301" s="1774">
        <f t="shared" si="608"/>
        <v>0.44571356070842633</v>
      </c>
      <c r="G2301" s="1775">
        <v>89</v>
      </c>
      <c r="H2301" s="1776" t="s">
        <v>468</v>
      </c>
      <c r="I2301" s="1777">
        <v>169</v>
      </c>
      <c r="J2301" s="1778">
        <v>589</v>
      </c>
      <c r="K2301" s="3098" t="s">
        <v>469</v>
      </c>
      <c r="L2301" s="3098"/>
      <c r="M2301" s="3098"/>
      <c r="N2301" s="1779"/>
      <c r="O2301" s="2"/>
      <c r="P2301" s="2"/>
      <c r="Q2301" s="1780">
        <v>44147</v>
      </c>
      <c r="R2301" s="1781">
        <f t="shared" si="612"/>
        <v>103556.56640000001</v>
      </c>
      <c r="S2301" s="1782">
        <f t="shared" si="613"/>
        <v>103006.47840000002</v>
      </c>
      <c r="T2301" s="1768">
        <f t="shared" si="609"/>
        <v>-550.08799999998882</v>
      </c>
      <c r="U2301" s="1769">
        <f t="shared" si="610"/>
        <v>-5.3119567316977862E-3</v>
      </c>
      <c r="V2301" s="1766" t="str">
        <f t="shared" si="611"/>
        <v>NVDA</v>
      </c>
      <c r="W2301" s="1702">
        <f ca="1">Q2301-TODAY()</f>
        <v>-1025</v>
      </c>
      <c r="X2301">
        <f>0.032*514.95</f>
        <v>16.478400000000001</v>
      </c>
    </row>
    <row r="2302" spans="1:29" ht="16" hidden="1" outlineLevel="1" thickBot="1" x14ac:dyDescent="0.4">
      <c r="A2302" s="1785" t="s">
        <v>7</v>
      </c>
      <c r="B2302" s="1786"/>
      <c r="C2302" s="1787"/>
      <c r="D2302" s="1787">
        <v>1965.01</v>
      </c>
      <c r="E2302" s="1588"/>
      <c r="F2302" s="1729">
        <f t="shared" si="608"/>
        <v>8.5026846615082856E-3</v>
      </c>
      <c r="G2302" s="1788"/>
      <c r="H2302" s="1789"/>
      <c r="I2302" s="1789"/>
      <c r="J2302" s="1216"/>
      <c r="K2302" s="1633"/>
      <c r="L2302" s="1634"/>
      <c r="M2302" s="1634"/>
      <c r="S2302" s="1691">
        <f>SUM(S2297:S2298)</f>
        <v>89123.5</v>
      </c>
      <c r="T2302" s="1809">
        <f>SUM(T2298:T2301)</f>
        <v>5707.9120000000039</v>
      </c>
      <c r="U2302" s="1810">
        <f>AVERAGE(U2297:U2301)</f>
        <v>0.18868441101827327</v>
      </c>
      <c r="AA2302" s="1811"/>
      <c r="AB2302" s="1811"/>
      <c r="AC2302" s="1811">
        <f>SUM(AC2296:AC2301)</f>
        <v>22</v>
      </c>
    </row>
    <row r="2303" spans="1:29" ht="16" hidden="1" outlineLevel="1" thickBot="1" x14ac:dyDescent="0.4">
      <c r="A2303" s="1701" t="s">
        <v>60</v>
      </c>
      <c r="B2303" s="1792"/>
      <c r="C2303" s="1793"/>
      <c r="D2303" s="1793">
        <v>3183.41</v>
      </c>
      <c r="E2303" s="1794"/>
      <c r="F2303" s="1795">
        <f t="shared" si="608"/>
        <v>1.3774755028367332E-2</v>
      </c>
      <c r="G2303" s="1734"/>
      <c r="H2303" s="1723"/>
      <c r="I2303" s="1796"/>
      <c r="J2303" s="61">
        <f>SUM(J2302:J2302)</f>
        <v>0</v>
      </c>
      <c r="K2303" s="1468"/>
      <c r="L2303" s="1151"/>
      <c r="M2303" s="1151"/>
      <c r="S2303" s="1470" t="str">
        <f>IF(SUM(D2297:D2298)&lt;&gt;S2302,"Out of Balance","Balances")</f>
        <v>Balances</v>
      </c>
    </row>
    <row r="2304" spans="1:29" ht="19" hidden="1" outlineLevel="1" thickBot="1" x14ac:dyDescent="0.5">
      <c r="A2304" s="1797" t="s">
        <v>62</v>
      </c>
      <c r="B2304" s="1798"/>
      <c r="C2304" s="1799"/>
      <c r="D2304" s="1804">
        <f>SUM(D2297:D2303)</f>
        <v>279150.39840000001</v>
      </c>
      <c r="E2304" s="1805">
        <f>D2304-D2292</f>
        <v>12510.74840000004</v>
      </c>
      <c r="F2304" s="1806">
        <f>(D2304-D2292)/D2292</f>
        <v>4.692006008858788E-2</v>
      </c>
      <c r="G2304" s="72" t="s">
        <v>459</v>
      </c>
      <c r="H2304" s="1812">
        <f>E2304+E2292+E2280+E2268+E2254</f>
        <v>11089.274940000032</v>
      </c>
      <c r="I2304" s="1738"/>
      <c r="J2304" s="1739"/>
    </row>
    <row r="2305" spans="1:29" hidden="1" outlineLevel="1" x14ac:dyDescent="0.35"/>
    <row r="2306" spans="1:29" ht="16" hidden="1" outlineLevel="1" thickBot="1" x14ac:dyDescent="0.4">
      <c r="A2306" s="1619" t="s">
        <v>25</v>
      </c>
      <c r="B2306" s="1620" t="s">
        <v>26</v>
      </c>
      <c r="C2306" s="1621" t="s">
        <v>27</v>
      </c>
      <c r="D2306" s="1622">
        <f>D2294+7</f>
        <v>44106</v>
      </c>
      <c r="E2306" s="1623" t="s">
        <v>28</v>
      </c>
      <c r="F2306" s="3101" t="s">
        <v>473</v>
      </c>
      <c r="G2306" s="3102"/>
      <c r="H2306" s="3103"/>
      <c r="I2306" s="1727"/>
      <c r="J2306" s="1182"/>
      <c r="K2306" s="1183" t="s">
        <v>233</v>
      </c>
    </row>
    <row r="2307" spans="1:29" ht="16" hidden="1" outlineLevel="1" thickBot="1" x14ac:dyDescent="0.4">
      <c r="A2307" s="1584" t="s">
        <v>32</v>
      </c>
      <c r="B2307" s="1585" t="str">
        <f ca="1">TEXT(TODAY(),"ddd")</f>
        <v>Sun</v>
      </c>
      <c r="C2307" s="1586">
        <v>27682</v>
      </c>
      <c r="D2307" s="1808">
        <f>C2307-C2295</f>
        <v>509</v>
      </c>
      <c r="E2307" s="1641">
        <f>(C2307-C2295)/C2295</f>
        <v>1.8731829389467484E-2</v>
      </c>
      <c r="F2307" s="3104"/>
      <c r="G2307" s="3105"/>
      <c r="H2307" s="3106"/>
      <c r="I2307" s="1602"/>
      <c r="J2307" s="1602"/>
      <c r="K2307" s="1188" t="s">
        <v>234</v>
      </c>
      <c r="L2307" s="1220" t="s">
        <v>34</v>
      </c>
      <c r="M2307" s="111" t="s">
        <v>35</v>
      </c>
      <c r="N2307" s="3099" t="s">
        <v>431</v>
      </c>
      <c r="O2307" s="3100"/>
      <c r="P2307" s="3100"/>
      <c r="Q2307" s="3100"/>
      <c r="R2307" s="3100"/>
      <c r="S2307" s="3100"/>
      <c r="T2307" s="3100"/>
      <c r="U2307" s="3100"/>
    </row>
    <row r="2308" spans="1:29" hidden="1" outlineLevel="1" x14ac:dyDescent="0.35">
      <c r="A2308" s="709" t="s">
        <v>36</v>
      </c>
      <c r="B2308" s="419"/>
      <c r="C2308" s="419">
        <v>11075</v>
      </c>
      <c r="D2308" s="1808">
        <f>C2308-C2296</f>
        <v>162</v>
      </c>
      <c r="E2308" s="1641">
        <f>(C2308-C2296)/C2296</f>
        <v>1.4844680656098232E-2</v>
      </c>
      <c r="F2308" s="1744" t="s">
        <v>37</v>
      </c>
      <c r="G2308" s="1745" t="s">
        <v>38</v>
      </c>
      <c r="H2308" s="1746" t="s">
        <v>144</v>
      </c>
      <c r="I2308" s="1747" t="s">
        <v>441</v>
      </c>
      <c r="J2308" s="1748" t="s">
        <v>400</v>
      </c>
      <c r="K2308" s="3063" t="s">
        <v>42</v>
      </c>
      <c r="L2308" s="3064"/>
      <c r="M2308" s="3064"/>
      <c r="N2308" s="1749" t="s">
        <v>244</v>
      </c>
      <c r="Q2308" s="1750" t="s">
        <v>44</v>
      </c>
      <c r="R2308" s="1445" t="s">
        <v>45</v>
      </c>
      <c r="S2308" s="1445" t="s">
        <v>46</v>
      </c>
      <c r="T2308" s="1445" t="s">
        <v>47</v>
      </c>
      <c r="U2308" s="1751" t="s">
        <v>48</v>
      </c>
      <c r="W2308" s="1700" t="s">
        <v>446</v>
      </c>
    </row>
    <row r="2309" spans="1:29" hidden="1" outlineLevel="1" x14ac:dyDescent="0.35">
      <c r="A2309" s="1752" t="s">
        <v>402</v>
      </c>
      <c r="B2309" s="1753">
        <v>250</v>
      </c>
      <c r="C2309" s="1754">
        <v>22.9</v>
      </c>
      <c r="D2309" s="1754">
        <f t="shared" ref="D2309:D2313" si="614">C2309*B2309</f>
        <v>5725</v>
      </c>
      <c r="E2309" s="1755">
        <f t="shared" ref="E2309:E2313" si="615">(C2309-C2297)/C2297</f>
        <v>3.9491602360417495E-2</v>
      </c>
      <c r="F2309" s="1756">
        <f t="shared" ref="F2309:F2315" si="616">D2309/D$2198</f>
        <v>2.4772326699169438E-2</v>
      </c>
      <c r="G2309" s="1757" t="s">
        <v>228</v>
      </c>
      <c r="H2309" s="1758" t="s">
        <v>449</v>
      </c>
      <c r="I2309" s="1759">
        <v>6.66</v>
      </c>
      <c r="J2309" s="1759">
        <v>19.59</v>
      </c>
      <c r="K2309" s="3107" t="s">
        <v>390</v>
      </c>
      <c r="L2309" s="3107"/>
      <c r="M2309" s="3107"/>
      <c r="N2309" s="1760" t="str">
        <f>A2309</f>
        <v>AVTR</v>
      </c>
      <c r="O2309" s="64"/>
      <c r="P2309" s="64"/>
      <c r="Q2309" s="1761">
        <v>44138</v>
      </c>
      <c r="R2309" s="1762">
        <f>B2309*RIGHT(K2309,6)</f>
        <v>3030</v>
      </c>
      <c r="S2309" s="1763">
        <f>D2309</f>
        <v>5725</v>
      </c>
      <c r="T2309" s="1763">
        <f t="shared" ref="T2309:T2313" si="617">S2309-R2309</f>
        <v>2695</v>
      </c>
      <c r="U2309" s="1764">
        <f t="shared" ref="U2309:U2313" si="618">(S2309-R2309)/R2309</f>
        <v>0.88943894389438949</v>
      </c>
      <c r="V2309" s="1813" t="str">
        <f t="shared" ref="V2309:V2313" si="619">A2309</f>
        <v>AVTR</v>
      </c>
      <c r="W2309" s="1702">
        <f ca="1">Q2309-TODAY()</f>
        <v>-1034</v>
      </c>
      <c r="AC2309">
        <v>248</v>
      </c>
    </row>
    <row r="2310" spans="1:29" hidden="1" outlineLevel="1" x14ac:dyDescent="0.35">
      <c r="A2310" s="1559" t="s">
        <v>463</v>
      </c>
      <c r="B2310" s="1814">
        <v>200.375</v>
      </c>
      <c r="C2310" s="1348">
        <v>433.78</v>
      </c>
      <c r="D2310" s="1348">
        <f t="shared" si="614"/>
        <v>86918.667499999996</v>
      </c>
      <c r="E2310" s="1641">
        <f t="shared" si="615"/>
        <v>3.7552621507845364E-2</v>
      </c>
      <c r="F2310" s="1486">
        <f t="shared" si="616"/>
        <v>0.37610089564480015</v>
      </c>
      <c r="G2310" s="1494">
        <v>22</v>
      </c>
      <c r="H2310" s="1731" t="s">
        <v>464</v>
      </c>
      <c r="I2310" s="1716">
        <v>227.5</v>
      </c>
      <c r="J2310" s="1716">
        <v>424</v>
      </c>
      <c r="K2310" s="3055" t="s">
        <v>465</v>
      </c>
      <c r="L2310" s="3055"/>
      <c r="M2310" s="3055"/>
      <c r="N2310" s="1489" t="str">
        <f>A2310</f>
        <v>DPZ</v>
      </c>
      <c r="Q2310" s="1345">
        <v>44110</v>
      </c>
      <c r="R2310" s="1529">
        <f>B2310*RIGHT(K2310,6)</f>
        <v>78853.573749999996</v>
      </c>
      <c r="S2310" s="1510">
        <f>D2310</f>
        <v>86918.667499999996</v>
      </c>
      <c r="T2310" s="1510">
        <f t="shared" si="617"/>
        <v>8065.09375</v>
      </c>
      <c r="U2310" s="1563">
        <f t="shared" si="618"/>
        <v>0.10227936879018118</v>
      </c>
      <c r="V2310" s="1815" t="str">
        <f t="shared" si="619"/>
        <v>DPZ</v>
      </c>
      <c r="W2310" s="1721">
        <f ca="1">Q2310-TODAY()</f>
        <v>-1062</v>
      </c>
      <c r="AC2310">
        <f>AC2302</f>
        <v>22</v>
      </c>
    </row>
    <row r="2311" spans="1:29" hidden="1" outlineLevel="1" x14ac:dyDescent="0.35">
      <c r="A2311" s="1767" t="s">
        <v>65</v>
      </c>
      <c r="B2311" s="1362">
        <v>200</v>
      </c>
      <c r="C2311" s="1363">
        <v>275.56</v>
      </c>
      <c r="D2311" s="1363">
        <f t="shared" si="614"/>
        <v>55112</v>
      </c>
      <c r="E2311" s="1641">
        <f t="shared" si="615"/>
        <v>5.840268652358092E-3</v>
      </c>
      <c r="F2311" s="1486">
        <f t="shared" si="616"/>
        <v>0.23847204699469451</v>
      </c>
      <c r="G2311" s="1494">
        <v>128</v>
      </c>
      <c r="H2311" s="1731" t="s">
        <v>450</v>
      </c>
      <c r="I2311" s="1716">
        <v>118</v>
      </c>
      <c r="J2311" s="1716">
        <v>298</v>
      </c>
      <c r="K2311" s="3055" t="s">
        <v>466</v>
      </c>
      <c r="L2311" s="3055"/>
      <c r="M2311" s="3055"/>
      <c r="N2311" s="1489" t="str">
        <f t="shared" ref="N2311:N2313" si="620">A2311</f>
        <v>VEEV</v>
      </c>
      <c r="O2311" s="3"/>
      <c r="P2311" s="3"/>
      <c r="Q2311" s="1345">
        <v>44159</v>
      </c>
      <c r="R2311" s="1685">
        <f t="shared" ref="R2311:R2313" si="621">B2311*RIGHT(K2311,6)</f>
        <v>55472</v>
      </c>
      <c r="S2311" s="1686">
        <f t="shared" ref="S2311:S2313" si="622">D2311</f>
        <v>55112</v>
      </c>
      <c r="T2311" s="1816">
        <f t="shared" si="617"/>
        <v>-360</v>
      </c>
      <c r="U2311" s="1817">
        <f t="shared" si="618"/>
        <v>-6.4897605999423135E-3</v>
      </c>
      <c r="V2311" s="1815" t="str">
        <f t="shared" si="619"/>
        <v>VEEV</v>
      </c>
      <c r="W2311" s="1702">
        <f ca="1">Q2311-TODAY()</f>
        <v>-1013</v>
      </c>
      <c r="AC2311">
        <f>SUM(AC2309:AC2310)</f>
        <v>270</v>
      </c>
    </row>
    <row r="2312" spans="1:29" hidden="1" outlineLevel="1" x14ac:dyDescent="0.35">
      <c r="A2312" s="1559" t="s">
        <v>447</v>
      </c>
      <c r="B2312" s="1347">
        <v>200</v>
      </c>
      <c r="C2312" s="1348">
        <v>153.01</v>
      </c>
      <c r="D2312" s="1348">
        <f t="shared" si="614"/>
        <v>30602</v>
      </c>
      <c r="E2312" s="1641">
        <f t="shared" si="615"/>
        <v>0.13005908419497772</v>
      </c>
      <c r="F2312" s="1486">
        <f t="shared" si="616"/>
        <v>0.13241619941449487</v>
      </c>
      <c r="G2312" s="1494" t="s">
        <v>228</v>
      </c>
      <c r="H2312" s="1730"/>
      <c r="I2312" s="1717">
        <v>17</v>
      </c>
      <c r="J2312" s="1716">
        <v>129</v>
      </c>
      <c r="K2312" s="3055" t="s">
        <v>467</v>
      </c>
      <c r="L2312" s="3055"/>
      <c r="M2312" s="3055"/>
      <c r="N2312" s="1489" t="str">
        <f t="shared" si="620"/>
        <v>FVRR</v>
      </c>
      <c r="O2312" s="3"/>
      <c r="P2312" s="3"/>
      <c r="Q2312" s="1345">
        <v>44140</v>
      </c>
      <c r="R2312" s="1685">
        <f t="shared" si="621"/>
        <v>25052</v>
      </c>
      <c r="S2312" s="1686">
        <f t="shared" si="622"/>
        <v>30602</v>
      </c>
      <c r="T2312" s="1510">
        <f t="shared" si="617"/>
        <v>5550</v>
      </c>
      <c r="U2312" s="1563">
        <f t="shared" si="618"/>
        <v>0.22153919846718825</v>
      </c>
      <c r="V2312" s="1815" t="str">
        <f t="shared" si="619"/>
        <v>FVRR</v>
      </c>
      <c r="W2312" s="1702">
        <f ca="1">Q2312-TODAY()</f>
        <v>-1032</v>
      </c>
    </row>
    <row r="2313" spans="1:29" ht="16" hidden="1" outlineLevel="1" thickBot="1" x14ac:dyDescent="0.4">
      <c r="A2313" s="1770" t="s">
        <v>49</v>
      </c>
      <c r="B2313" s="1818">
        <v>200.03200000000001</v>
      </c>
      <c r="C2313" s="1772">
        <v>522.49</v>
      </c>
      <c r="D2313" s="1772">
        <f t="shared" si="614"/>
        <v>104514.71968000001</v>
      </c>
      <c r="E2313" s="1773">
        <f t="shared" si="615"/>
        <v>1.4642198271676789E-2</v>
      </c>
      <c r="F2313" s="1774">
        <f t="shared" si="616"/>
        <v>0.4522397870366941</v>
      </c>
      <c r="G2313" s="1775">
        <v>89</v>
      </c>
      <c r="H2313" s="1776" t="s">
        <v>468</v>
      </c>
      <c r="I2313" s="1777">
        <v>169</v>
      </c>
      <c r="J2313" s="1778">
        <v>589</v>
      </c>
      <c r="K2313" s="3098" t="s">
        <v>469</v>
      </c>
      <c r="L2313" s="3098"/>
      <c r="M2313" s="3098"/>
      <c r="N2313" s="1489" t="str">
        <f t="shared" si="620"/>
        <v>NVDA</v>
      </c>
      <c r="O2313" s="2"/>
      <c r="P2313" s="2"/>
      <c r="Q2313" s="1780">
        <v>44147</v>
      </c>
      <c r="R2313" s="1781">
        <f t="shared" si="621"/>
        <v>103556.56640000001</v>
      </c>
      <c r="S2313" s="1782">
        <f t="shared" si="622"/>
        <v>104514.71968000001</v>
      </c>
      <c r="T2313" s="1510">
        <f t="shared" si="617"/>
        <v>958.15327999999863</v>
      </c>
      <c r="U2313" s="1563">
        <f t="shared" si="618"/>
        <v>9.2524628163028633E-3</v>
      </c>
      <c r="V2313" s="1815" t="str">
        <f t="shared" si="619"/>
        <v>NVDA</v>
      </c>
      <c r="W2313" s="1702">
        <f ca="1">Q2313-TODAY()</f>
        <v>-1025</v>
      </c>
    </row>
    <row r="2314" spans="1:29" ht="16" hidden="1" outlineLevel="1" thickBot="1" x14ac:dyDescent="0.4">
      <c r="A2314" s="1785" t="s">
        <v>7</v>
      </c>
      <c r="B2314" s="1786"/>
      <c r="C2314" s="1787"/>
      <c r="D2314" s="1787">
        <v>2001.52</v>
      </c>
      <c r="E2314" s="1588"/>
      <c r="F2314" s="1729">
        <f t="shared" si="616"/>
        <v>8.6606650366675315E-3</v>
      </c>
      <c r="G2314" s="1788"/>
      <c r="H2314" s="1789"/>
      <c r="I2314" s="1789"/>
      <c r="J2314" s="1216"/>
      <c r="K2314" s="1633"/>
      <c r="L2314" s="1634"/>
      <c r="M2314" s="1634"/>
      <c r="S2314" s="1691">
        <f>SUM(S2309:S2313)</f>
        <v>282872.38717999996</v>
      </c>
      <c r="T2314" s="1809">
        <f>SUM(T2309:T2313)</f>
        <v>16908.247029999999</v>
      </c>
      <c r="U2314" s="1810">
        <f>AVERAGE(U2309:U2313)</f>
        <v>0.24320404267362389</v>
      </c>
    </row>
    <row r="2315" spans="1:29" ht="16" hidden="1" outlineLevel="1" thickBot="1" x14ac:dyDescent="0.4">
      <c r="A2315" s="1701" t="s">
        <v>60</v>
      </c>
      <c r="B2315" s="1792"/>
      <c r="C2315" s="1793"/>
      <c r="D2315" s="1793">
        <v>2183.41</v>
      </c>
      <c r="E2315" s="1794"/>
      <c r="F2315" s="1795">
        <f t="shared" si="616"/>
        <v>9.4477110634469067E-3</v>
      </c>
      <c r="G2315" s="1734"/>
      <c r="H2315" s="1723"/>
      <c r="I2315" s="1796"/>
      <c r="J2315" s="61">
        <f>SUM(J2314:J2314)</f>
        <v>0</v>
      </c>
      <c r="K2315" s="1468"/>
      <c r="L2315" s="1151"/>
      <c r="M2315" s="1151"/>
      <c r="S2315" s="1470" t="str">
        <f>IF(SUM(D2309:D2313)&lt;&gt;S2314,"Out of Balance","Balances")</f>
        <v>Balances</v>
      </c>
    </row>
    <row r="2316" spans="1:29" ht="19" hidden="1" outlineLevel="1" thickBot="1" x14ac:dyDescent="0.5">
      <c r="A2316" s="1797" t="s">
        <v>62</v>
      </c>
      <c r="B2316" s="1798"/>
      <c r="C2316" s="1799"/>
      <c r="D2316" s="1804">
        <f>SUM(D2309:D2315)</f>
        <v>287057.31717999995</v>
      </c>
      <c r="E2316" s="1805">
        <f>D2316-D2304</f>
        <v>7906.918779999949</v>
      </c>
      <c r="F2316" s="1806">
        <f>(D2316-D2304)/D2304</f>
        <v>2.8324941770887149E-2</v>
      </c>
      <c r="G2316" s="72" t="s">
        <v>459</v>
      </c>
      <c r="H2316" s="1801">
        <f>E2316+E2304+E2292+E2280+E2268</f>
        <v>13397.193999999959</v>
      </c>
      <c r="I2316" s="1738"/>
      <c r="J2316" s="1739"/>
    </row>
    <row r="2317" spans="1:29" hidden="1" outlineLevel="1" x14ac:dyDescent="0.35"/>
    <row r="2318" spans="1:29" ht="16" hidden="1" outlineLevel="1" thickBot="1" x14ac:dyDescent="0.4">
      <c r="A2318" s="1619" t="s">
        <v>25</v>
      </c>
      <c r="B2318" s="1620" t="s">
        <v>26</v>
      </c>
      <c r="C2318" s="1621" t="s">
        <v>27</v>
      </c>
      <c r="D2318" s="1622">
        <f>D2306+7</f>
        <v>44113</v>
      </c>
      <c r="E2318" s="1623" t="s">
        <v>28</v>
      </c>
      <c r="F2318" s="3082" t="s">
        <v>474</v>
      </c>
      <c r="G2318" s="3083"/>
      <c r="H2318" s="3083"/>
      <c r="I2318" s="1182"/>
      <c r="J2318" s="1182"/>
      <c r="K2318" s="1183" t="s">
        <v>233</v>
      </c>
    </row>
    <row r="2319" spans="1:29" ht="16" hidden="1" outlineLevel="1" thickBot="1" x14ac:dyDescent="0.4">
      <c r="A2319" s="1584" t="s">
        <v>32</v>
      </c>
      <c r="B2319" s="1585" t="str">
        <f ca="1">TEXT(TODAY(),"ddd")</f>
        <v>Sun</v>
      </c>
      <c r="C2319" s="1586">
        <v>28586</v>
      </c>
      <c r="D2319" s="1808">
        <f>C2319-C2307</f>
        <v>904</v>
      </c>
      <c r="E2319" s="1641">
        <f>(C2319-C2307)/C2307</f>
        <v>3.2656599956650531E-2</v>
      </c>
      <c r="F2319" s="3084"/>
      <c r="G2319" s="3085"/>
      <c r="H2319" s="3086"/>
      <c r="I2319" s="1602"/>
      <c r="J2319" s="1602"/>
      <c r="K2319" s="1188" t="s">
        <v>234</v>
      </c>
      <c r="L2319" s="1220" t="s">
        <v>34</v>
      </c>
      <c r="M2319" s="111" t="s">
        <v>35</v>
      </c>
      <c r="N2319" s="3099" t="s">
        <v>431</v>
      </c>
      <c r="O2319" s="3100"/>
      <c r="P2319" s="3100"/>
      <c r="Q2319" s="3100"/>
      <c r="R2319" s="3100"/>
      <c r="S2319" s="3100"/>
      <c r="T2319" s="3100"/>
      <c r="U2319" s="3100"/>
    </row>
    <row r="2320" spans="1:29" hidden="1" outlineLevel="1" x14ac:dyDescent="0.35">
      <c r="A2320" s="709" t="s">
        <v>36</v>
      </c>
      <c r="B2320" s="419"/>
      <c r="C2320" s="419">
        <v>11579</v>
      </c>
      <c r="D2320" s="1808">
        <f>C2320-C2308</f>
        <v>504</v>
      </c>
      <c r="E2320" s="1641">
        <f>(C2320-C2308)/C2308</f>
        <v>4.5507900677200903E-2</v>
      </c>
      <c r="F2320" s="1795" t="s">
        <v>37</v>
      </c>
      <c r="G2320" s="1745" t="s">
        <v>38</v>
      </c>
      <c r="H2320" s="1746" t="s">
        <v>144</v>
      </c>
      <c r="I2320" s="1747" t="s">
        <v>441</v>
      </c>
      <c r="J2320" s="1748" t="s">
        <v>400</v>
      </c>
      <c r="K2320" s="3063" t="s">
        <v>42</v>
      </c>
      <c r="L2320" s="3064"/>
      <c r="M2320" s="3064"/>
      <c r="N2320" s="1749" t="s">
        <v>244</v>
      </c>
      <c r="Q2320" s="1750" t="s">
        <v>44</v>
      </c>
      <c r="R2320" s="1445" t="s">
        <v>45</v>
      </c>
      <c r="S2320" s="1445" t="s">
        <v>46</v>
      </c>
      <c r="T2320" s="1445" t="s">
        <v>47</v>
      </c>
      <c r="U2320" s="1751" t="s">
        <v>48</v>
      </c>
      <c r="W2320" s="1700" t="s">
        <v>446</v>
      </c>
    </row>
    <row r="2321" spans="1:25" hidden="1" outlineLevel="1" x14ac:dyDescent="0.35">
      <c r="A2321" s="7" t="s">
        <v>49</v>
      </c>
      <c r="B2321" s="1819">
        <v>200.03200000000001</v>
      </c>
      <c r="C2321" s="1363">
        <v>550.51</v>
      </c>
      <c r="D2321" s="1363">
        <f>C2321*B2321</f>
        <v>110119.61632</v>
      </c>
      <c r="E2321" s="32">
        <f>(C2321-C2313)/C2313</f>
        <v>5.3627820628145959E-2</v>
      </c>
      <c r="F2321" s="1486">
        <f>D2321/D$2198</f>
        <v>0.47649242121680885</v>
      </c>
      <c r="G2321" s="1494">
        <v>89</v>
      </c>
      <c r="H2321" s="1820" t="s">
        <v>468</v>
      </c>
      <c r="I2321" s="1716">
        <v>169</v>
      </c>
      <c r="J2321" s="1716">
        <v>589</v>
      </c>
      <c r="K2321" s="3055" t="s">
        <v>469</v>
      </c>
      <c r="L2321" s="3055"/>
      <c r="M2321" s="3055"/>
      <c r="N2321" s="1489" t="str">
        <f>A2321</f>
        <v>NVDA</v>
      </c>
      <c r="O2321" s="3"/>
      <c r="P2321" s="3"/>
      <c r="Q2321" s="1345">
        <v>44147</v>
      </c>
      <c r="R2321" s="1529">
        <f>B2321*RIGHT(K2321,6)</f>
        <v>103556.56640000001</v>
      </c>
      <c r="S2321" s="1510">
        <f>D2321</f>
        <v>110119.61632</v>
      </c>
      <c r="T2321" s="1510">
        <f>S2321-R2321</f>
        <v>6563.0499199999904</v>
      </c>
      <c r="U2321" s="1530">
        <f>(S2321-R2321)/R2321</f>
        <v>6.337647286073006E-2</v>
      </c>
      <c r="V2321" s="7" t="str">
        <f>A2321</f>
        <v>NVDA</v>
      </c>
      <c r="W2321" s="1821">
        <f ca="1">Q2321-TODAY()</f>
        <v>-1025</v>
      </c>
    </row>
    <row r="2322" spans="1:25" hidden="1" outlineLevel="1" x14ac:dyDescent="0.35">
      <c r="A2322" s="1084" t="s">
        <v>65</v>
      </c>
      <c r="B2322" s="1822">
        <v>200</v>
      </c>
      <c r="C2322" s="1823">
        <v>294.12</v>
      </c>
      <c r="D2322" s="1823">
        <f>C2322*B2322</f>
        <v>58824</v>
      </c>
      <c r="E2322" s="32">
        <f>(C2322-C2311)/C2311</f>
        <v>6.7353752358832925E-2</v>
      </c>
      <c r="F2322" s="1486">
        <f>D2322/D$2198</f>
        <v>0.25453403419247916</v>
      </c>
      <c r="G2322" s="1494">
        <v>128</v>
      </c>
      <c r="H2322" s="1820" t="s">
        <v>450</v>
      </c>
      <c r="I2322" s="1716">
        <v>118</v>
      </c>
      <c r="J2322" s="1716">
        <v>298</v>
      </c>
      <c r="K2322" s="3055" t="s">
        <v>466</v>
      </c>
      <c r="L2322" s="3055"/>
      <c r="M2322" s="3055"/>
      <c r="N2322" s="1489" t="str">
        <f>A2322</f>
        <v>VEEV</v>
      </c>
      <c r="O2322" s="3"/>
      <c r="P2322" s="3"/>
      <c r="Q2322" s="1345">
        <v>44159</v>
      </c>
      <c r="R2322" s="1529">
        <f>B2322*RIGHT(K2322,6)</f>
        <v>55472</v>
      </c>
      <c r="S2322" s="1510">
        <f>D2322</f>
        <v>58824</v>
      </c>
      <c r="T2322" s="1510">
        <f>S2322-R2322</f>
        <v>3352</v>
      </c>
      <c r="U2322" s="1530">
        <f>(S2322-R2322)/R2322</f>
        <v>6.0426882030573982E-2</v>
      </c>
      <c r="V2322" s="7" t="str">
        <f>A2322</f>
        <v>VEEV</v>
      </c>
      <c r="W2322" s="1702">
        <f ca="1">Q2322-TODAY()</f>
        <v>-1013</v>
      </c>
    </row>
    <row r="2323" spans="1:25" hidden="1" outlineLevel="1" x14ac:dyDescent="0.35">
      <c r="A2323" s="7" t="s">
        <v>447</v>
      </c>
      <c r="B2323" s="1819">
        <v>200</v>
      </c>
      <c r="C2323" s="1363">
        <v>161.55000000000001</v>
      </c>
      <c r="D2323" s="1363">
        <f>C2323*B2323</f>
        <v>32310.000000000004</v>
      </c>
      <c r="E2323" s="32">
        <f>(C2323-C2312)/C2312</f>
        <v>5.5813345532971841E-2</v>
      </c>
      <c r="F2323" s="1486">
        <f>D2323/D$2198</f>
        <v>0.13980679050657899</v>
      </c>
      <c r="G2323" s="1494" t="s">
        <v>228</v>
      </c>
      <c r="H2323" s="1824"/>
      <c r="I2323" s="1716">
        <v>17</v>
      </c>
      <c r="J2323" s="1716">
        <v>129</v>
      </c>
      <c r="K2323" s="3055" t="s">
        <v>467</v>
      </c>
      <c r="L2323" s="3055"/>
      <c r="M2323" s="3055"/>
      <c r="N2323" s="1489" t="str">
        <f>A2323</f>
        <v>FVRR</v>
      </c>
      <c r="O2323" s="3"/>
      <c r="P2323" s="3"/>
      <c r="Q2323" s="1345">
        <v>44140</v>
      </c>
      <c r="R2323" s="1529">
        <f>B2323*RIGHT(K2323,6)</f>
        <v>25052</v>
      </c>
      <c r="S2323" s="1510">
        <f>D2323</f>
        <v>32310.000000000004</v>
      </c>
      <c r="T2323" s="1510">
        <f>S2323-R2323</f>
        <v>7258.0000000000036</v>
      </c>
      <c r="U2323" s="1530">
        <f>(S2323-R2323)/R2323</f>
        <v>0.28971738783330686</v>
      </c>
      <c r="V2323" s="7" t="str">
        <f>A2323</f>
        <v>FVRR</v>
      </c>
      <c r="W2323" s="1702">
        <f ca="1">Q2323-TODAY()</f>
        <v>-1032</v>
      </c>
    </row>
    <row r="2324" spans="1:25" ht="16" hidden="1" outlineLevel="1" thickBot="1" x14ac:dyDescent="0.4">
      <c r="A2324" s="1654" t="s">
        <v>463</v>
      </c>
      <c r="B2324" s="1822">
        <v>200.37200000000001</v>
      </c>
      <c r="C2324" s="1823">
        <v>390.95</v>
      </c>
      <c r="D2324" s="1823">
        <f>C2324*B2324</f>
        <v>78335.433400000009</v>
      </c>
      <c r="E2324" s="1430">
        <f>(C2324-C2310)/C2310</f>
        <v>-9.873668679976022E-2</v>
      </c>
      <c r="F2324" s="1486">
        <f>D2324/D$2198</f>
        <v>0.33896086433289602</v>
      </c>
      <c r="G2324" s="1494">
        <v>22</v>
      </c>
      <c r="H2324" s="1820" t="s">
        <v>464</v>
      </c>
      <c r="I2324" s="1716">
        <v>227.5</v>
      </c>
      <c r="J2324" s="1716">
        <v>424</v>
      </c>
      <c r="K2324" s="3055" t="s">
        <v>465</v>
      </c>
      <c r="L2324" s="3055"/>
      <c r="M2324" s="3055"/>
      <c r="N2324" s="1489" t="str">
        <f>A2324</f>
        <v>DPZ</v>
      </c>
      <c r="O2324" s="3"/>
      <c r="P2324" s="3"/>
      <c r="Q2324" s="1345">
        <v>44204</v>
      </c>
      <c r="R2324" s="1529">
        <f>B2324*RIGHT(K2324,6)</f>
        <v>78852.393160000007</v>
      </c>
      <c r="S2324" s="1510">
        <f>D2324</f>
        <v>78335.433400000009</v>
      </c>
      <c r="T2324" s="1816">
        <f>S2324-R2324</f>
        <v>-516.95975999999791</v>
      </c>
      <c r="U2324" s="1825">
        <f>(S2324-R2324)/R2324</f>
        <v>-6.5560440118923322E-3</v>
      </c>
      <c r="V2324" s="7" t="str">
        <f>A2324</f>
        <v>DPZ</v>
      </c>
      <c r="W2324" s="1826">
        <f ca="1">Q2324-TODAY()</f>
        <v>-968</v>
      </c>
      <c r="X2324" s="1827">
        <f>S2310-S2324</f>
        <v>8583.2340999999869</v>
      </c>
      <c r="Y2324" s="602"/>
    </row>
    <row r="2325" spans="1:25" hidden="1" outlineLevel="1" x14ac:dyDescent="0.35">
      <c r="A2325" s="7" t="s">
        <v>402</v>
      </c>
      <c r="B2325" s="1819">
        <v>250</v>
      </c>
      <c r="C2325" s="1363">
        <v>24.48</v>
      </c>
      <c r="D2325" s="1363">
        <f t="shared" ref="D2325" si="623">C2325*B2325</f>
        <v>6120</v>
      </c>
      <c r="E2325" s="32">
        <f>(C2325-C2309)/C2309</f>
        <v>6.8995633187773006E-2</v>
      </c>
      <c r="F2325" s="1486">
        <f t="shared" ref="F2325:F2327" si="624">D2325/D$2198</f>
        <v>2.6481509065313009E-2</v>
      </c>
      <c r="G2325" s="1494" t="s">
        <v>228</v>
      </c>
      <c r="H2325" s="1824" t="s">
        <v>449</v>
      </c>
      <c r="I2325" s="1716">
        <v>6.66</v>
      </c>
      <c r="J2325" s="1716">
        <v>19.59</v>
      </c>
      <c r="K2325" s="3055" t="s">
        <v>390</v>
      </c>
      <c r="L2325" s="3055"/>
      <c r="M2325" s="3055"/>
      <c r="N2325" s="1489" t="str">
        <f>A2325</f>
        <v>AVTR</v>
      </c>
      <c r="O2325" s="3"/>
      <c r="P2325" s="3"/>
      <c r="Q2325" s="1345">
        <v>44138</v>
      </c>
      <c r="R2325" s="1529">
        <f>B2325*RIGHT(K2325,6)</f>
        <v>3030</v>
      </c>
      <c r="S2325" s="1510">
        <f>D2325</f>
        <v>6120</v>
      </c>
      <c r="T2325" s="1510">
        <f t="shared" ref="T2325" si="625">S2325-R2325</f>
        <v>3090</v>
      </c>
      <c r="U2325" s="1530">
        <f t="shared" ref="U2325" si="626">(S2325-R2325)/R2325</f>
        <v>1.0198019801980198</v>
      </c>
      <c r="V2325" s="7" t="str">
        <f t="shared" ref="V2325" si="627">A2325</f>
        <v>AVTR</v>
      </c>
      <c r="W2325" s="1712">
        <f ca="1">Q2325-TODAY()</f>
        <v>-1034</v>
      </c>
    </row>
    <row r="2326" spans="1:25" ht="16" hidden="1" outlineLevel="1" thickBot="1" x14ac:dyDescent="0.4">
      <c r="A2326" s="1084" t="s">
        <v>7</v>
      </c>
      <c r="B2326" s="1822"/>
      <c r="C2326" s="1823"/>
      <c r="D2326" s="1823">
        <v>2025.02</v>
      </c>
      <c r="E2326" s="1588"/>
      <c r="F2326" s="1729">
        <f t="shared" si="624"/>
        <v>8.7623505698431609E-3</v>
      </c>
      <c r="G2326" s="1788"/>
      <c r="H2326" s="1789"/>
      <c r="I2326" s="1789"/>
      <c r="J2326" s="1216"/>
      <c r="K2326" s="1633"/>
      <c r="L2326" s="1634"/>
      <c r="M2326" s="1634"/>
      <c r="S2326" s="1691">
        <f>SUM(S2325:S2325)</f>
        <v>6120</v>
      </c>
      <c r="T2326" s="1809">
        <f>SUM(T2321:T2325)</f>
        <v>19746.090159999996</v>
      </c>
      <c r="U2326" s="1810">
        <f>AVERAGE(U2321:U2325)</f>
        <v>0.28535333578214772</v>
      </c>
    </row>
    <row r="2327" spans="1:25" ht="16" hidden="1" outlineLevel="1" thickBot="1" x14ac:dyDescent="0.4">
      <c r="A2327" s="7" t="s">
        <v>60</v>
      </c>
      <c r="B2327" s="1819"/>
      <c r="C2327" s="1363"/>
      <c r="D2327" s="1363">
        <f>2183.41-1500</f>
        <v>683.40999999999985</v>
      </c>
      <c r="E2327" s="1794"/>
      <c r="F2327" s="1795">
        <f t="shared" si="624"/>
        <v>2.9571451160662677E-3</v>
      </c>
      <c r="G2327" s="1734"/>
      <c r="H2327" s="1723"/>
      <c r="I2327" s="1796"/>
      <c r="J2327" s="61">
        <f>SUM(J2326:J2326)</f>
        <v>0</v>
      </c>
      <c r="K2327" s="1468"/>
      <c r="L2327" s="1151"/>
      <c r="M2327" s="1151"/>
      <c r="S2327" s="1470" t="str">
        <f>IF(SUM(D2325:D2325)&lt;&gt;S2326,"Out of Balance","Balances")</f>
        <v>Balances</v>
      </c>
    </row>
    <row r="2328" spans="1:25" ht="19" hidden="1" outlineLevel="1" thickBot="1" x14ac:dyDescent="0.5">
      <c r="A2328" s="1797" t="s">
        <v>62</v>
      </c>
      <c r="B2328" s="1798"/>
      <c r="C2328" s="1799"/>
      <c r="D2328" s="1828">
        <f>SUM(D2321:D2327)</f>
        <v>288417.47972</v>
      </c>
      <c r="E2328" s="1829">
        <f>D2328-D2316</f>
        <v>1360.1625400000485</v>
      </c>
      <c r="F2328" s="1806">
        <f>(D2328-D2316)/D2316</f>
        <v>4.7382960077870283E-3</v>
      </c>
      <c r="G2328" s="72" t="s">
        <v>459</v>
      </c>
      <c r="H2328" s="1801">
        <f>E2328+E2316+E2304+E2292+E2280</f>
        <v>11942.209719999984</v>
      </c>
      <c r="I2328" s="98" t="s">
        <v>470</v>
      </c>
      <c r="J2328" s="1739"/>
    </row>
    <row r="2329" spans="1:25" hidden="1" outlineLevel="1" x14ac:dyDescent="0.35"/>
    <row r="2330" spans="1:25" ht="16" hidden="1" outlineLevel="1" thickBot="1" x14ac:dyDescent="0.4">
      <c r="A2330" s="1619" t="s">
        <v>25</v>
      </c>
      <c r="B2330" s="1620" t="s">
        <v>26</v>
      </c>
      <c r="C2330" s="1621" t="s">
        <v>27</v>
      </c>
      <c r="D2330" s="1622">
        <f>D2318+7</f>
        <v>44120</v>
      </c>
      <c r="E2330" s="1623" t="s">
        <v>28</v>
      </c>
      <c r="F2330" s="3082"/>
      <c r="G2330" s="3083"/>
      <c r="H2330" s="3096"/>
      <c r="I2330" s="1727"/>
      <c r="J2330" s="1182"/>
      <c r="K2330" s="1183" t="s">
        <v>233</v>
      </c>
    </row>
    <row r="2331" spans="1:25" ht="16" hidden="1" outlineLevel="1" thickBot="1" x14ac:dyDescent="0.4">
      <c r="A2331" s="1584" t="s">
        <v>32</v>
      </c>
      <c r="B2331" s="1585" t="str">
        <f ca="1">TEXT(TODAY(),"ddd")</f>
        <v>Sun</v>
      </c>
      <c r="C2331" s="1586">
        <v>28606</v>
      </c>
      <c r="D2331" s="1808">
        <f>C2331-C2319</f>
        <v>20</v>
      </c>
      <c r="E2331" s="1641">
        <f>(C2331-C2319)/C2319</f>
        <v>6.9964318197719168E-4</v>
      </c>
      <c r="F2331" s="3097"/>
      <c r="G2331" s="3085"/>
      <c r="H2331" s="3086"/>
      <c r="I2331" s="1602"/>
      <c r="J2331" s="1602"/>
      <c r="K2331" s="1188" t="s">
        <v>234</v>
      </c>
      <c r="L2331" s="1220" t="s">
        <v>34</v>
      </c>
      <c r="M2331" s="111" t="s">
        <v>35</v>
      </c>
      <c r="N2331" s="2995"/>
      <c r="O2331" s="2996"/>
      <c r="P2331" s="2996"/>
      <c r="Q2331" s="2996"/>
      <c r="R2331" s="2996"/>
      <c r="S2331" s="2996"/>
      <c r="T2331" s="2996"/>
      <c r="U2331" s="3044"/>
    </row>
    <row r="2332" spans="1:25" hidden="1" outlineLevel="1" x14ac:dyDescent="0.35">
      <c r="A2332" s="709" t="s">
        <v>36</v>
      </c>
      <c r="B2332" s="419"/>
      <c r="C2332" s="419">
        <v>11671</v>
      </c>
      <c r="D2332" s="1808">
        <f>C2332-C2320</f>
        <v>92</v>
      </c>
      <c r="E2332" s="1641">
        <f>(C2332-C2320)/C2320</f>
        <v>7.9454184299162268E-3</v>
      </c>
      <c r="F2332" s="1744" t="s">
        <v>37</v>
      </c>
      <c r="G2332" s="1745" t="s">
        <v>38</v>
      </c>
      <c r="H2332" s="1746" t="s">
        <v>144</v>
      </c>
      <c r="I2332" s="1747" t="s">
        <v>441</v>
      </c>
      <c r="J2332" s="1748" t="s">
        <v>400</v>
      </c>
      <c r="K2332" s="3063" t="s">
        <v>42</v>
      </c>
      <c r="L2332" s="3064"/>
      <c r="M2332" s="3064"/>
      <c r="N2332" s="1830" t="s">
        <v>244</v>
      </c>
      <c r="Q2332" s="1831" t="s">
        <v>44</v>
      </c>
      <c r="R2332" s="1832" t="s">
        <v>45</v>
      </c>
      <c r="S2332" s="1832" t="s">
        <v>46</v>
      </c>
      <c r="T2332" s="1832" t="s">
        <v>47</v>
      </c>
      <c r="U2332" s="1833" t="s">
        <v>48</v>
      </c>
      <c r="W2332" s="1700" t="s">
        <v>446</v>
      </c>
    </row>
    <row r="2333" spans="1:25" hidden="1" outlineLevel="1" x14ac:dyDescent="0.35">
      <c r="A2333" s="7" t="s">
        <v>49</v>
      </c>
      <c r="B2333" s="1819">
        <v>200.03200000000001</v>
      </c>
      <c r="C2333" s="1363">
        <v>552.46</v>
      </c>
      <c r="D2333" s="1363">
        <f>C2333*B2333</f>
        <v>110509.67872000001</v>
      </c>
      <c r="E2333" s="32">
        <f>(C2333-C2321)/C2321</f>
        <v>3.5421699878295499E-3</v>
      </c>
      <c r="F2333" s="1486">
        <f>D2333/D$2198</f>
        <v>0.47818023837067131</v>
      </c>
      <c r="G2333" s="1494">
        <v>89</v>
      </c>
      <c r="H2333" s="1820" t="s">
        <v>468</v>
      </c>
      <c r="I2333" s="1716">
        <v>169</v>
      </c>
      <c r="J2333" s="1716">
        <v>589</v>
      </c>
      <c r="K2333" s="3055" t="s">
        <v>469</v>
      </c>
      <c r="L2333" s="3055"/>
      <c r="M2333" s="3055"/>
      <c r="N2333" s="1489" t="str">
        <f>A2333</f>
        <v>NVDA</v>
      </c>
      <c r="O2333" s="3"/>
      <c r="P2333" s="3"/>
      <c r="Q2333" s="1345">
        <v>44147</v>
      </c>
      <c r="R2333" s="1529">
        <f>B2333*RIGHT(K2333,6)</f>
        <v>103556.56640000001</v>
      </c>
      <c r="S2333" s="1510">
        <f>D2333</f>
        <v>110509.67872000001</v>
      </c>
      <c r="T2333" s="1510">
        <f>S2333-R2333</f>
        <v>6953.1123200000002</v>
      </c>
      <c r="U2333" s="1530">
        <f>(S2333-R2333)/R2333</f>
        <v>6.7143133088661378E-2</v>
      </c>
      <c r="V2333" s="7" t="str">
        <f>A2333</f>
        <v>NVDA</v>
      </c>
      <c r="W2333" s="1821">
        <f ca="1">Q2333-TODAY()</f>
        <v>-1025</v>
      </c>
    </row>
    <row r="2334" spans="1:25" hidden="1" outlineLevel="1" x14ac:dyDescent="0.35">
      <c r="A2334" s="1084" t="s">
        <v>65</v>
      </c>
      <c r="B2334" s="1822">
        <v>200</v>
      </c>
      <c r="C2334" s="1823">
        <v>306.27</v>
      </c>
      <c r="D2334" s="1823">
        <f>C2334*B2334</f>
        <v>61254</v>
      </c>
      <c r="E2334" s="32">
        <f t="shared" ref="E2334:E2337" si="628">(C2334-C2322)/C2322</f>
        <v>4.1309669522643741E-2</v>
      </c>
      <c r="F2334" s="1486">
        <f>D2334/D$2198</f>
        <v>0.2650487510272358</v>
      </c>
      <c r="G2334" s="1494">
        <v>128</v>
      </c>
      <c r="H2334" s="1820" t="s">
        <v>450</v>
      </c>
      <c r="I2334" s="1716">
        <v>118</v>
      </c>
      <c r="J2334" s="1716">
        <v>298</v>
      </c>
      <c r="K2334" s="3055" t="s">
        <v>466</v>
      </c>
      <c r="L2334" s="3055"/>
      <c r="M2334" s="3055"/>
      <c r="N2334" s="1489" t="str">
        <f>A2334</f>
        <v>VEEV</v>
      </c>
      <c r="O2334" s="3"/>
      <c r="P2334" s="3"/>
      <c r="Q2334" s="1345">
        <v>44159</v>
      </c>
      <c r="R2334" s="1529">
        <f>B2334*RIGHT(K2334,6)</f>
        <v>55472</v>
      </c>
      <c r="S2334" s="1510">
        <f>D2334</f>
        <v>61254</v>
      </c>
      <c r="T2334" s="1510">
        <f>S2334-R2334</f>
        <v>5782</v>
      </c>
      <c r="U2334" s="1530">
        <f>(S2334-R2334)/R2334</f>
        <v>0.1042327660801846</v>
      </c>
      <c r="V2334" s="7" t="str">
        <f>A2334</f>
        <v>VEEV</v>
      </c>
      <c r="W2334" s="1702">
        <f ca="1">Q2334-TODAY()</f>
        <v>-1013</v>
      </c>
    </row>
    <row r="2335" spans="1:25" ht="16" hidden="1" outlineLevel="1" thickBot="1" x14ac:dyDescent="0.4">
      <c r="A2335" s="7" t="s">
        <v>447</v>
      </c>
      <c r="B2335" s="1819">
        <v>200</v>
      </c>
      <c r="C2335" s="1363">
        <v>173.38</v>
      </c>
      <c r="D2335" s="1363">
        <f>C2335*B2335</f>
        <v>34676</v>
      </c>
      <c r="E2335" s="32">
        <f t="shared" si="628"/>
        <v>7.3228102754565053E-2</v>
      </c>
      <c r="F2335" s="1486">
        <f>D2335/D$2198</f>
        <v>0.15004457652758069</v>
      </c>
      <c r="G2335" s="1494" t="s">
        <v>228</v>
      </c>
      <c r="H2335" s="1824"/>
      <c r="I2335" s="1716">
        <v>17</v>
      </c>
      <c r="J2335" s="1716">
        <v>129</v>
      </c>
      <c r="K2335" s="3055" t="s">
        <v>467</v>
      </c>
      <c r="L2335" s="3055"/>
      <c r="M2335" s="3055"/>
      <c r="N2335" s="1489" t="str">
        <f>A2335</f>
        <v>FVRR</v>
      </c>
      <c r="O2335" s="3"/>
      <c r="P2335" s="3"/>
      <c r="Q2335" s="1345">
        <v>44140</v>
      </c>
      <c r="R2335" s="1529">
        <f>B2335*RIGHT(K2335,6)</f>
        <v>25052</v>
      </c>
      <c r="S2335" s="1510">
        <f>D2335</f>
        <v>34676</v>
      </c>
      <c r="T2335" s="1834">
        <f>S2335-R2335</f>
        <v>9624</v>
      </c>
      <c r="U2335" s="1835">
        <f>(S2335-R2335)/R2335</f>
        <v>0.38416094523391348</v>
      </c>
      <c r="V2335" s="7" t="str">
        <f>A2335</f>
        <v>FVRR</v>
      </c>
      <c r="W2335" s="1702">
        <f ca="1">Q2335-TODAY()</f>
        <v>-1032</v>
      </c>
      <c r="X2335" s="1827">
        <v>9624</v>
      </c>
      <c r="Y2335" s="602"/>
    </row>
    <row r="2336" spans="1:25" hidden="1" outlineLevel="1" x14ac:dyDescent="0.35">
      <c r="A2336" s="1084" t="s">
        <v>463</v>
      </c>
      <c r="B2336" s="1822">
        <v>200.37200000000001</v>
      </c>
      <c r="C2336" s="1823">
        <v>399.45</v>
      </c>
      <c r="D2336" s="1823">
        <f>C2336*B2336</f>
        <v>80038.595400000006</v>
      </c>
      <c r="E2336" s="32">
        <f t="shared" si="628"/>
        <v>2.1741910730272415E-2</v>
      </c>
      <c r="F2336" s="1486">
        <f>D2336/D$2198</f>
        <v>0.34633052118627777</v>
      </c>
      <c r="G2336" s="1494">
        <v>22</v>
      </c>
      <c r="H2336" s="1820" t="s">
        <v>464</v>
      </c>
      <c r="I2336" s="1716">
        <v>227.5</v>
      </c>
      <c r="J2336" s="1716">
        <v>424</v>
      </c>
      <c r="K2336" s="3055" t="s">
        <v>465</v>
      </c>
      <c r="L2336" s="3055"/>
      <c r="M2336" s="3055"/>
      <c r="N2336" s="1489" t="str">
        <f>A2336</f>
        <v>DPZ</v>
      </c>
      <c r="O2336" s="3"/>
      <c r="P2336" s="3"/>
      <c r="Q2336" s="1345">
        <v>44204</v>
      </c>
      <c r="R2336" s="1529">
        <f>B2336*RIGHT(K2336,6)</f>
        <v>78852.393160000007</v>
      </c>
      <c r="S2336" s="1510">
        <f>D2336</f>
        <v>80038.595400000006</v>
      </c>
      <c r="T2336" s="1510">
        <f>S2336-R2336</f>
        <v>1186.2022399999987</v>
      </c>
      <c r="U2336" s="1530">
        <f>(S2336-R2336)/R2336</f>
        <v>1.5043325794729737E-2</v>
      </c>
      <c r="V2336" s="7" t="str">
        <f>A2336</f>
        <v>DPZ</v>
      </c>
      <c r="W2336" s="1702">
        <f ca="1">Q2336-TODAY()</f>
        <v>-968</v>
      </c>
    </row>
    <row r="2337" spans="1:23" hidden="1" outlineLevel="1" x14ac:dyDescent="0.35">
      <c r="A2337" s="7" t="s">
        <v>402</v>
      </c>
      <c r="B2337" s="1819">
        <v>250</v>
      </c>
      <c r="C2337" s="1363">
        <v>24.46</v>
      </c>
      <c r="D2337" s="1363">
        <f t="shared" ref="D2337" si="629">C2337*B2337</f>
        <v>6115</v>
      </c>
      <c r="E2337" s="32">
        <f t="shared" si="628"/>
        <v>-8.1699346405227015E-4</v>
      </c>
      <c r="F2337" s="1486">
        <f t="shared" ref="F2337:F2339" si="630">D2337/D$2198</f>
        <v>2.6459873845488407E-2</v>
      </c>
      <c r="G2337" s="1494" t="s">
        <v>228</v>
      </c>
      <c r="H2337" s="1824" t="s">
        <v>449</v>
      </c>
      <c r="I2337" s="1716">
        <v>6.66</v>
      </c>
      <c r="J2337" s="1716">
        <v>19.59</v>
      </c>
      <c r="K2337" s="3055" t="s">
        <v>390</v>
      </c>
      <c r="L2337" s="3055"/>
      <c r="M2337" s="3055"/>
      <c r="N2337" s="1489" t="str">
        <f>A2337</f>
        <v>AVTR</v>
      </c>
      <c r="O2337" s="3"/>
      <c r="P2337" s="3"/>
      <c r="Q2337" s="1345">
        <v>44138</v>
      </c>
      <c r="R2337" s="1529">
        <f>B2337*RIGHT(K2337,6)</f>
        <v>3030</v>
      </c>
      <c r="S2337" s="1510">
        <f>D2337</f>
        <v>6115</v>
      </c>
      <c r="T2337" s="1510">
        <f t="shared" ref="T2337" si="631">S2337-R2337</f>
        <v>3085</v>
      </c>
      <c r="U2337" s="1530">
        <f t="shared" ref="U2337" si="632">(S2337-R2337)/R2337</f>
        <v>1.0181518151815181</v>
      </c>
      <c r="V2337" s="7" t="str">
        <f t="shared" ref="V2337" si="633">A2337</f>
        <v>AVTR</v>
      </c>
      <c r="W2337" s="1836">
        <f ca="1">Q2337-TODAY()</f>
        <v>-1034</v>
      </c>
    </row>
    <row r="2338" spans="1:23" ht="16" hidden="1" outlineLevel="1" thickBot="1" x14ac:dyDescent="0.4">
      <c r="A2338" s="1084" t="s">
        <v>7</v>
      </c>
      <c r="B2338" s="1822"/>
      <c r="C2338" s="1823"/>
      <c r="D2338" s="1823">
        <v>2030.46</v>
      </c>
      <c r="E2338" s="1588"/>
      <c r="F2338" s="1729">
        <f t="shared" si="630"/>
        <v>8.7858896890123279E-3</v>
      </c>
      <c r="G2338" s="1788"/>
      <c r="H2338" s="1789"/>
      <c r="I2338" s="1789"/>
      <c r="J2338" s="1216"/>
      <c r="K2338" s="1633"/>
      <c r="L2338" s="1634"/>
      <c r="M2338" s="1634"/>
      <c r="S2338" s="1691">
        <f>SUM(S2337:S2337)</f>
        <v>6115</v>
      </c>
      <c r="T2338" s="1809">
        <f>SUM(T2333:T2337)</f>
        <v>26630.314559999999</v>
      </c>
      <c r="U2338" s="1810">
        <f>AVERAGE(U2333:U2337)</f>
        <v>0.31774639707580149</v>
      </c>
    </row>
    <row r="2339" spans="1:23" ht="16" hidden="1" outlineLevel="1" thickBot="1" x14ac:dyDescent="0.4">
      <c r="A2339" s="7" t="s">
        <v>60</v>
      </c>
      <c r="B2339" s="1819"/>
      <c r="C2339" s="1363"/>
      <c r="D2339" s="1363">
        <v>133.86000000000001</v>
      </c>
      <c r="E2339" s="1794"/>
      <c r="F2339" s="1795">
        <f t="shared" si="630"/>
        <v>5.7921810514424828E-4</v>
      </c>
      <c r="G2339" s="1734"/>
      <c r="H2339" s="1723"/>
      <c r="I2339" s="1796"/>
      <c r="J2339" s="61">
        <f>SUM(J2338:J2338)</f>
        <v>0</v>
      </c>
      <c r="K2339" s="1468"/>
      <c r="L2339" s="1151"/>
      <c r="M2339" s="1151"/>
      <c r="S2339" s="1470" t="str">
        <f>IF(SUM(D2337:D2337)&lt;&gt;S2338,"Out of Balance","Balances")</f>
        <v>Balances</v>
      </c>
    </row>
    <row r="2340" spans="1:23" ht="19" hidden="1" outlineLevel="1" thickBot="1" x14ac:dyDescent="0.5">
      <c r="A2340" s="1797" t="s">
        <v>62</v>
      </c>
      <c r="B2340" s="1798"/>
      <c r="C2340" s="1799"/>
      <c r="D2340" s="1804">
        <f>SUM(D2333:D2339)</f>
        <v>294757.59412000002</v>
      </c>
      <c r="E2340" s="1805">
        <f>D2340-D2328</f>
        <v>6340.1144000000204</v>
      </c>
      <c r="F2340" s="1806">
        <f>(D2340-D2328)/D2328</f>
        <v>2.198242078169152E-2</v>
      </c>
      <c r="G2340" s="72" t="s">
        <v>459</v>
      </c>
      <c r="H2340" s="1801">
        <f>E2340+E2328+E2316+E2304+E2292</f>
        <v>28898.16412000003</v>
      </c>
      <c r="I2340" s="98" t="s">
        <v>475</v>
      </c>
      <c r="J2340" s="1739"/>
    </row>
    <row r="2341" spans="1:23" hidden="1" outlineLevel="1" x14ac:dyDescent="0.35">
      <c r="E2341" s="1383"/>
    </row>
    <row r="2342" spans="1:23" ht="16" hidden="1" outlineLevel="1" thickBot="1" x14ac:dyDescent="0.4">
      <c r="A2342" s="1619" t="s">
        <v>25</v>
      </c>
      <c r="B2342" s="1620" t="s">
        <v>26</v>
      </c>
      <c r="C2342" s="1621" t="s">
        <v>27</v>
      </c>
      <c r="D2342" s="1622">
        <f>D2330+7</f>
        <v>44127</v>
      </c>
      <c r="E2342" s="1623" t="s">
        <v>28</v>
      </c>
      <c r="F2342" s="3087" t="s">
        <v>476</v>
      </c>
      <c r="G2342" s="3088"/>
      <c r="H2342" s="3089"/>
      <c r="I2342" s="1727"/>
      <c r="J2342" s="1182"/>
      <c r="K2342" s="1183" t="s">
        <v>233</v>
      </c>
    </row>
    <row r="2343" spans="1:23" ht="16" hidden="1" outlineLevel="1" thickBot="1" x14ac:dyDescent="0.4">
      <c r="A2343" s="1584" t="s">
        <v>32</v>
      </c>
      <c r="B2343" s="1585" t="str">
        <f ca="1">TEXT(TODAY(),"ddd")</f>
        <v>Sun</v>
      </c>
      <c r="C2343" s="1586">
        <v>28335</v>
      </c>
      <c r="D2343" s="1837">
        <f>C2343-C2331</f>
        <v>-271</v>
      </c>
      <c r="E2343" s="1641">
        <f>(C2343-C2331)/C2331</f>
        <v>-9.4735370202055514E-3</v>
      </c>
      <c r="F2343" s="3090"/>
      <c r="G2343" s="3091"/>
      <c r="H2343" s="3092"/>
      <c r="I2343" s="1602"/>
      <c r="J2343" s="1602"/>
      <c r="K2343" s="1188" t="s">
        <v>234</v>
      </c>
      <c r="L2343" s="1220" t="s">
        <v>34</v>
      </c>
      <c r="M2343" s="111" t="s">
        <v>35</v>
      </c>
      <c r="N2343" s="2995"/>
      <c r="O2343" s="2996"/>
      <c r="P2343" s="2996"/>
      <c r="Q2343" s="2996"/>
      <c r="R2343" s="2996"/>
      <c r="S2343" s="2996"/>
      <c r="T2343" s="2996"/>
      <c r="U2343" s="3044"/>
    </row>
    <row r="2344" spans="1:23" hidden="1" outlineLevel="1" x14ac:dyDescent="0.35">
      <c r="A2344" s="709" t="s">
        <v>36</v>
      </c>
      <c r="B2344" s="419"/>
      <c r="C2344" s="419">
        <v>11548</v>
      </c>
      <c r="D2344" s="1837">
        <f>C2344-C2332</f>
        <v>-123</v>
      </c>
      <c r="E2344" s="1641">
        <f>(C2344-C2332)/C2332</f>
        <v>-1.0538942678433725E-2</v>
      </c>
      <c r="F2344" s="1744" t="s">
        <v>37</v>
      </c>
      <c r="G2344" s="1745" t="s">
        <v>38</v>
      </c>
      <c r="H2344" s="1746" t="s">
        <v>144</v>
      </c>
      <c r="I2344" s="1747" t="s">
        <v>441</v>
      </c>
      <c r="J2344" s="1748" t="s">
        <v>400</v>
      </c>
      <c r="K2344" s="3063" t="s">
        <v>42</v>
      </c>
      <c r="L2344" s="3064"/>
      <c r="M2344" s="3064"/>
      <c r="N2344" s="1830" t="s">
        <v>244</v>
      </c>
      <c r="O2344" s="1143">
        <f>C2335-C2345</f>
        <v>14.490000000000009</v>
      </c>
      <c r="Q2344" s="1831" t="s">
        <v>44</v>
      </c>
      <c r="R2344" s="1832" t="s">
        <v>45</v>
      </c>
      <c r="S2344" s="1832" t="s">
        <v>46</v>
      </c>
      <c r="T2344" s="1832" t="s">
        <v>47</v>
      </c>
      <c r="U2344" s="1833" t="s">
        <v>48</v>
      </c>
      <c r="W2344" s="1700" t="s">
        <v>446</v>
      </c>
    </row>
    <row r="2345" spans="1:23" hidden="1" outlineLevel="1" x14ac:dyDescent="0.35">
      <c r="A2345" s="7" t="s">
        <v>477</v>
      </c>
      <c r="B2345" s="1362">
        <v>400</v>
      </c>
      <c r="C2345" s="1363">
        <v>158.88999999999999</v>
      </c>
      <c r="D2345" s="1363">
        <f>C2345*B2345</f>
        <v>63555.999999999993</v>
      </c>
      <c r="E2345" s="1400">
        <f>(C2345-C2335)/C2335</f>
        <v>-8.3573653247202728E-2</v>
      </c>
      <c r="F2345" s="1486">
        <f>D2345/D$2198</f>
        <v>0.27500960623448256</v>
      </c>
      <c r="G2345" s="1494" t="s">
        <v>228</v>
      </c>
      <c r="H2345" s="1824"/>
      <c r="I2345" s="1716">
        <v>17</v>
      </c>
      <c r="J2345" s="1716">
        <v>129</v>
      </c>
      <c r="K2345" s="3093" t="s">
        <v>478</v>
      </c>
      <c r="L2345" s="3094"/>
      <c r="M2345" s="3095"/>
      <c r="N2345" s="1489" t="str">
        <f>A2345</f>
        <v>FVRR ($9K Loss)</v>
      </c>
      <c r="O2345" s="1838"/>
      <c r="P2345" s="3"/>
      <c r="Q2345" s="1345">
        <v>44132</v>
      </c>
      <c r="R2345" s="1529"/>
      <c r="S2345" s="1510">
        <f>D2345</f>
        <v>63555.999999999993</v>
      </c>
      <c r="T2345" s="1510">
        <f>S2345-R2345</f>
        <v>63555.999999999993</v>
      </c>
      <c r="U2345" s="1530"/>
      <c r="V2345" s="7" t="str">
        <f>A2345</f>
        <v>FVRR ($9K Loss)</v>
      </c>
      <c r="W2345" s="1839">
        <f ca="1">Q2345-TODAY()</f>
        <v>-1040</v>
      </c>
    </row>
    <row r="2346" spans="1:23" hidden="1" outlineLevel="1" x14ac:dyDescent="0.35">
      <c r="A2346" s="1084" t="s">
        <v>49</v>
      </c>
      <c r="B2346" s="1822">
        <v>200.03200000000001</v>
      </c>
      <c r="C2346" s="1823">
        <v>543.61</v>
      </c>
      <c r="D2346" s="1823">
        <f>C2346*B2346</f>
        <v>108739.39552000001</v>
      </c>
      <c r="E2346" s="32">
        <f>(C2346-C2333)/C2333</f>
        <v>-1.6019259312891471E-2</v>
      </c>
      <c r="F2346" s="1486">
        <f>D2346/D$2198</f>
        <v>0.47052014513391122</v>
      </c>
      <c r="G2346" s="1494">
        <v>89</v>
      </c>
      <c r="H2346" s="1820" t="s">
        <v>468</v>
      </c>
      <c r="I2346" s="1716">
        <v>169</v>
      </c>
      <c r="J2346" s="1716">
        <v>589</v>
      </c>
      <c r="K2346" s="3055" t="s">
        <v>469</v>
      </c>
      <c r="L2346" s="3055"/>
      <c r="M2346" s="3055"/>
      <c r="N2346" s="1489" t="str">
        <f>A2346</f>
        <v>NVDA</v>
      </c>
      <c r="O2346" s="3"/>
      <c r="P2346" s="3"/>
      <c r="Q2346" s="1345">
        <v>44153</v>
      </c>
      <c r="R2346" s="1529">
        <f>B2346*RIGHT(K2346,6)</f>
        <v>103556.56640000001</v>
      </c>
      <c r="S2346" s="1510">
        <f>D2346</f>
        <v>108739.39552000001</v>
      </c>
      <c r="T2346" s="1510">
        <f>S2346-R2346</f>
        <v>5182.8291199999949</v>
      </c>
      <c r="U2346" s="1530">
        <f>(S2346-R2346)/R2346</f>
        <v>5.0048290515742652E-2</v>
      </c>
      <c r="V2346" s="7" t="str">
        <f>A2346</f>
        <v>NVDA</v>
      </c>
      <c r="W2346" s="1702">
        <f ca="1">Q2346-TODAY()</f>
        <v>-1019</v>
      </c>
    </row>
    <row r="2347" spans="1:23" hidden="1" outlineLevel="1" x14ac:dyDescent="0.35">
      <c r="A2347" s="7" t="s">
        <v>65</v>
      </c>
      <c r="B2347" s="1362">
        <v>200</v>
      </c>
      <c r="C2347" s="1363">
        <v>296.85000000000002</v>
      </c>
      <c r="D2347" s="1363">
        <f>C2347*B2347</f>
        <v>59370.000000000007</v>
      </c>
      <c r="E2347" s="32">
        <f>(C2347-C2334)/C2334</f>
        <v>-3.0757175041629801E-2</v>
      </c>
      <c r="F2347" s="1486">
        <f>D2347/D$2198</f>
        <v>0.25689660019732574</v>
      </c>
      <c r="G2347" s="1494">
        <v>128</v>
      </c>
      <c r="H2347" s="1824" t="s">
        <v>450</v>
      </c>
      <c r="I2347" s="1716">
        <v>118</v>
      </c>
      <c r="J2347" s="1716">
        <v>298</v>
      </c>
      <c r="K2347" s="3055" t="s">
        <v>466</v>
      </c>
      <c r="L2347" s="3055"/>
      <c r="M2347" s="3055"/>
      <c r="N2347" s="1489" t="str">
        <f>A2347</f>
        <v>VEEV</v>
      </c>
      <c r="O2347" s="3"/>
      <c r="P2347" s="3"/>
      <c r="Q2347" s="1345">
        <v>44159</v>
      </c>
      <c r="R2347" s="1529">
        <f>B2347*RIGHT(K2347,6)</f>
        <v>55472</v>
      </c>
      <c r="S2347" s="1510">
        <f>D2347</f>
        <v>59370.000000000007</v>
      </c>
      <c r="T2347" s="1510">
        <f>S2347-R2347</f>
        <v>3898.0000000000073</v>
      </c>
      <c r="U2347" s="1530">
        <f>(S2347-R2347)/R2347</f>
        <v>7.0269685607153284E-2</v>
      </c>
      <c r="V2347" s="7" t="str">
        <f>A2347</f>
        <v>VEEV</v>
      </c>
      <c r="W2347" s="1702">
        <f ca="1">Q2347-TODAY()</f>
        <v>-1013</v>
      </c>
    </row>
    <row r="2348" spans="1:23" hidden="1" outlineLevel="1" x14ac:dyDescent="0.35">
      <c r="A2348" s="1084" t="s">
        <v>402</v>
      </c>
      <c r="B2348" s="1822">
        <v>200</v>
      </c>
      <c r="C2348" s="1823">
        <v>24.9</v>
      </c>
      <c r="D2348" s="1823">
        <f t="shared" ref="D2348" si="634">C2348*B2348</f>
        <v>4980</v>
      </c>
      <c r="E2348" s="32">
        <f>(C2348-C2335)/C2335</f>
        <v>-0.85638481947168066</v>
      </c>
      <c r="F2348" s="1486">
        <f>D2348/D$2198</f>
        <v>2.1548678945303722E-2</v>
      </c>
      <c r="G2348" s="1494" t="s">
        <v>228</v>
      </c>
      <c r="H2348" s="1820" t="s">
        <v>449</v>
      </c>
      <c r="I2348" s="1716">
        <v>6.66</v>
      </c>
      <c r="J2348" s="1716">
        <v>19.59</v>
      </c>
      <c r="K2348" s="3055" t="s">
        <v>390</v>
      </c>
      <c r="L2348" s="3055"/>
      <c r="M2348" s="3055"/>
      <c r="N2348" s="1489" t="str">
        <f>A2348</f>
        <v>AVTR</v>
      </c>
      <c r="O2348" s="3"/>
      <c r="P2348" s="3"/>
      <c r="Q2348" s="1345">
        <v>44132</v>
      </c>
      <c r="R2348" s="1529">
        <f>B2348*RIGHT(K2348,6)</f>
        <v>2424</v>
      </c>
      <c r="S2348" s="1510">
        <f>D2348</f>
        <v>4980</v>
      </c>
      <c r="T2348" s="1510">
        <f t="shared" ref="T2348" si="635">S2348-R2348</f>
        <v>2556</v>
      </c>
      <c r="U2348" s="1530">
        <f t="shared" ref="U2348" si="636">(S2348-R2348)/R2348</f>
        <v>1.0544554455445545</v>
      </c>
      <c r="V2348" s="7" t="str">
        <f t="shared" ref="V2348" si="637">A2348</f>
        <v>AVTR</v>
      </c>
      <c r="W2348" s="1702">
        <f ca="1">Q2348-TODAY()</f>
        <v>-1040</v>
      </c>
    </row>
    <row r="2349" spans="1:23" hidden="1" outlineLevel="1" x14ac:dyDescent="0.35">
      <c r="A2349" s="7" t="s">
        <v>479</v>
      </c>
      <c r="B2349" s="1819">
        <v>97.372</v>
      </c>
      <c r="C2349" s="1363">
        <v>394.1</v>
      </c>
      <c r="D2349" s="1363">
        <f>C2349*B2349</f>
        <v>38374.305200000003</v>
      </c>
      <c r="E2349" s="32">
        <f>(C2349-C2336)/C2336</f>
        <v>-1.339341594692694E-2</v>
      </c>
      <c r="F2349" s="1486">
        <f>D2349/D$2198</f>
        <v>0.16604730572367454</v>
      </c>
      <c r="G2349" s="1494">
        <v>22</v>
      </c>
      <c r="H2349" s="1824" t="s">
        <v>464</v>
      </c>
      <c r="I2349" s="1716">
        <v>227.5</v>
      </c>
      <c r="J2349" s="1716">
        <v>424</v>
      </c>
      <c r="K2349" s="3055" t="s">
        <v>465</v>
      </c>
      <c r="L2349" s="3055"/>
      <c r="M2349" s="3055"/>
      <c r="N2349" s="1489" t="str">
        <f>A2349</f>
        <v>DPZ ($8K Loss)</v>
      </c>
      <c r="O2349" s="3"/>
      <c r="P2349" s="3"/>
      <c r="Q2349" s="1345">
        <v>44204</v>
      </c>
      <c r="R2349" s="1529">
        <f>B2349*RIGHT(K2349,6)</f>
        <v>38318.803159999996</v>
      </c>
      <c r="S2349" s="1510">
        <f>D2349</f>
        <v>38374.305200000003</v>
      </c>
      <c r="T2349" s="1510">
        <f>S2349-R2349</f>
        <v>55.502040000006673</v>
      </c>
      <c r="U2349" s="1530">
        <f>(S2349-R2349)/R2349</f>
        <v>1.4484283282089512E-3</v>
      </c>
      <c r="V2349" s="7" t="str">
        <f>A2349</f>
        <v>DPZ ($8K Loss)</v>
      </c>
      <c r="W2349" s="1702">
        <f ca="1">Q2349-TODAY()</f>
        <v>-968</v>
      </c>
    </row>
    <row r="2350" spans="1:23" ht="16" hidden="1" outlineLevel="1" thickBot="1" x14ac:dyDescent="0.4">
      <c r="A2350" s="1084" t="s">
        <v>7</v>
      </c>
      <c r="B2350" s="1822"/>
      <c r="C2350" s="1823"/>
      <c r="D2350" s="1823">
        <v>2021.68</v>
      </c>
      <c r="E2350" s="1588"/>
      <c r="F2350" s="1729">
        <f t="shared" ref="F2350:F2351" si="638">D2350/D$2198</f>
        <v>8.7478982430003269E-3</v>
      </c>
      <c r="G2350" s="1788"/>
      <c r="H2350" s="1789"/>
      <c r="I2350" s="1789"/>
      <c r="J2350" s="1216"/>
      <c r="K2350" s="1633"/>
      <c r="L2350" s="1634"/>
      <c r="M2350" s="1634"/>
      <c r="S2350" s="1691">
        <f>SUM(S2348:S2348)</f>
        <v>4980</v>
      </c>
      <c r="T2350" s="1809">
        <f>SUM(T2346:T2349)</f>
        <v>11692.331160000009</v>
      </c>
      <c r="U2350" s="1810">
        <f>AVERAGE(U2346:U2349)</f>
        <v>0.29405546249891484</v>
      </c>
    </row>
    <row r="2351" spans="1:23" ht="16" hidden="1" outlineLevel="1" thickBot="1" x14ac:dyDescent="0.4">
      <c r="A2351" s="7" t="s">
        <v>60</v>
      </c>
      <c r="B2351" s="1819"/>
      <c r="C2351" s="1363"/>
      <c r="D2351" s="1363">
        <f>5526.41-2500</f>
        <v>3026.41</v>
      </c>
      <c r="E2351" s="1794"/>
      <c r="F2351" s="1795">
        <f t="shared" si="638"/>
        <v>1.3095409125874827E-2</v>
      </c>
      <c r="G2351" s="1734"/>
      <c r="H2351" s="1723"/>
      <c r="I2351" s="1796"/>
      <c r="J2351" s="61">
        <f>SUM(J2350:J2350)</f>
        <v>0</v>
      </c>
      <c r="K2351" s="1468"/>
      <c r="L2351" s="1151"/>
      <c r="M2351" s="1151"/>
      <c r="S2351" s="1470" t="str">
        <f>IF(SUM(D2348:D2348)&lt;&gt;S2350,"Out of Balance","Balances")</f>
        <v>Balances</v>
      </c>
    </row>
    <row r="2352" spans="1:23" ht="19" hidden="1" outlineLevel="1" thickBot="1" x14ac:dyDescent="0.5">
      <c r="A2352" s="1797" t="s">
        <v>62</v>
      </c>
      <c r="B2352" s="1798"/>
      <c r="C2352" s="1799"/>
      <c r="D2352" s="1840">
        <f>SUM(D2345:D2351)</f>
        <v>280067.79071999993</v>
      </c>
      <c r="E2352" s="1841">
        <f>D2352-D2340</f>
        <v>-14689.803400000092</v>
      </c>
      <c r="F2352" s="1842">
        <f>(D2352-D2340)/D2340</f>
        <v>-4.9836895445752837E-2</v>
      </c>
      <c r="G2352" s="72" t="s">
        <v>459</v>
      </c>
      <c r="H2352" s="1801">
        <f>E2352+E2340+E2328+E2316+E2304</f>
        <v>13428.140719999967</v>
      </c>
      <c r="I2352" s="98" t="s">
        <v>480</v>
      </c>
      <c r="J2352" s="1843"/>
    </row>
    <row r="2353" spans="1:30" hidden="1" outlineLevel="1" x14ac:dyDescent="0.35"/>
    <row r="2354" spans="1:30" ht="16" hidden="1" outlineLevel="1" thickBot="1" x14ac:dyDescent="0.4">
      <c r="A2354" s="1619" t="s">
        <v>25</v>
      </c>
      <c r="B2354" s="1620" t="s">
        <v>26</v>
      </c>
      <c r="C2354" s="1621" t="s">
        <v>27</v>
      </c>
      <c r="D2354" s="1622">
        <f>D2342+7</f>
        <v>44134</v>
      </c>
      <c r="E2354" s="1623" t="s">
        <v>28</v>
      </c>
      <c r="F2354" s="3082" t="s">
        <v>29</v>
      </c>
      <c r="G2354" s="3083"/>
      <c r="H2354" s="3083"/>
      <c r="I2354" s="1182"/>
      <c r="J2354" s="1182"/>
      <c r="K2354" s="1183" t="s">
        <v>233</v>
      </c>
    </row>
    <row r="2355" spans="1:30" ht="16" hidden="1" outlineLevel="1" thickBot="1" x14ac:dyDescent="0.4">
      <c r="A2355" s="1584" t="s">
        <v>32</v>
      </c>
      <c r="B2355" s="1585" t="str">
        <f ca="1">TEXT(TODAY(),"ddd")</f>
        <v>Sun</v>
      </c>
      <c r="C2355" s="1586">
        <v>26501</v>
      </c>
      <c r="D2355" s="1837">
        <f>C2355-C2343</f>
        <v>-1834</v>
      </c>
      <c r="E2355" s="1641">
        <f>(C2355-C2343)/C2343</f>
        <v>-6.4725604376213164E-2</v>
      </c>
      <c r="F2355" s="3084"/>
      <c r="G2355" s="3085"/>
      <c r="H2355" s="3086"/>
      <c r="I2355" s="1602"/>
      <c r="J2355" s="1602"/>
      <c r="K2355" s="1188" t="s">
        <v>234</v>
      </c>
      <c r="L2355" s="1220" t="s">
        <v>34</v>
      </c>
      <c r="M2355" s="111" t="s">
        <v>35</v>
      </c>
      <c r="N2355" s="2995"/>
      <c r="O2355" s="2996"/>
      <c r="P2355" s="2996"/>
      <c r="Q2355" s="2996"/>
      <c r="R2355" s="2996"/>
      <c r="S2355" s="2996"/>
      <c r="T2355" s="2996"/>
      <c r="U2355" s="3044"/>
    </row>
    <row r="2356" spans="1:30" hidden="1" outlineLevel="1" x14ac:dyDescent="0.35">
      <c r="A2356" s="709" t="s">
        <v>36</v>
      </c>
      <c r="B2356" s="419"/>
      <c r="C2356" s="419">
        <v>10911</v>
      </c>
      <c r="D2356" s="1837">
        <f>C2356-C2344</f>
        <v>-637</v>
      </c>
      <c r="E2356" s="1641">
        <f>(C2356-C2344)/C2344</f>
        <v>-5.5161066851402839E-2</v>
      </c>
      <c r="F2356" s="1795" t="s">
        <v>37</v>
      </c>
      <c r="G2356" s="1745" t="s">
        <v>38</v>
      </c>
      <c r="H2356" s="1746" t="s">
        <v>144</v>
      </c>
      <c r="I2356" s="1747" t="s">
        <v>441</v>
      </c>
      <c r="J2356" s="1748" t="s">
        <v>400</v>
      </c>
      <c r="K2356" s="3063" t="s">
        <v>42</v>
      </c>
      <c r="L2356" s="3064"/>
      <c r="M2356" s="3064"/>
      <c r="N2356" s="1830" t="s">
        <v>244</v>
      </c>
      <c r="Q2356" s="1831" t="s">
        <v>44</v>
      </c>
      <c r="R2356" s="1832" t="s">
        <v>45</v>
      </c>
      <c r="S2356" s="1832" t="s">
        <v>46</v>
      </c>
      <c r="T2356" s="1832" t="s">
        <v>47</v>
      </c>
      <c r="U2356" s="1833" t="s">
        <v>48</v>
      </c>
      <c r="W2356" s="1700" t="s">
        <v>446</v>
      </c>
      <c r="Z2356" s="1383"/>
      <c r="AB2356" s="1844"/>
      <c r="AC2356" s="1164" t="s">
        <v>27</v>
      </c>
      <c r="AD2356" s="1165" t="s">
        <v>481</v>
      </c>
    </row>
    <row r="2357" spans="1:30" hidden="1" outlineLevel="1" x14ac:dyDescent="0.35">
      <c r="A2357" s="1084" t="s">
        <v>49</v>
      </c>
      <c r="B2357" s="1822">
        <v>300.03199999999998</v>
      </c>
      <c r="C2357" s="1166">
        <v>501.36</v>
      </c>
      <c r="D2357" s="1823">
        <f>C2357*B2357</f>
        <v>150424.04352000001</v>
      </c>
      <c r="E2357" s="32">
        <f>(C2357-C2346)/C2346</f>
        <v>-7.7721160390721286E-2</v>
      </c>
      <c r="F2357" s="1486">
        <f>D2357/D$2198</f>
        <v>0.65089144969214352</v>
      </c>
      <c r="G2357" s="1494">
        <v>89</v>
      </c>
      <c r="H2357" s="1820" t="s">
        <v>468</v>
      </c>
      <c r="I2357" s="1716">
        <v>169</v>
      </c>
      <c r="J2357" s="1716">
        <v>589</v>
      </c>
      <c r="K2357" s="3055" t="s">
        <v>469</v>
      </c>
      <c r="L2357" s="3055"/>
      <c r="M2357" s="3055"/>
      <c r="N2357" s="1489" t="str">
        <f>A2357</f>
        <v>NVDA</v>
      </c>
      <c r="O2357" s="3"/>
      <c r="P2357" s="3"/>
      <c r="Q2357" s="1345">
        <v>44153</v>
      </c>
      <c r="R2357" s="1845">
        <f>B2357*RIGHT(K2357,6)</f>
        <v>155326.56640000001</v>
      </c>
      <c r="S2357" s="1834">
        <f>D2357</f>
        <v>150424.04352000001</v>
      </c>
      <c r="T2357" s="1834">
        <f>S2357-R2357</f>
        <v>-4902.5228800000041</v>
      </c>
      <c r="U2357" s="1835">
        <f>(S2357-R2357)/R2357</f>
        <v>-3.156268108943406E-2</v>
      </c>
      <c r="V2357" s="7" t="str">
        <f>A2357</f>
        <v>NVDA</v>
      </c>
      <c r="W2357" s="1702">
        <f ca="1">Q2357-TODAY()</f>
        <v>-1019</v>
      </c>
      <c r="AC2357">
        <v>519.16</v>
      </c>
      <c r="AD2357" s="106">
        <f>AB2357*AC2357</f>
        <v>0</v>
      </c>
    </row>
    <row r="2358" spans="1:30" hidden="1" outlineLevel="1" x14ac:dyDescent="0.35">
      <c r="A2358" s="7" t="s">
        <v>65</v>
      </c>
      <c r="B2358" s="1362">
        <v>225</v>
      </c>
      <c r="C2358" s="1363">
        <v>270.05</v>
      </c>
      <c r="D2358" s="1363">
        <f>C2358*B2358</f>
        <v>60761.25</v>
      </c>
      <c r="E2358" s="32">
        <f t="shared" ref="E2358:E2360" si="639">(C2358-C2347)/C2347</f>
        <v>-9.0281286845208045E-2</v>
      </c>
      <c r="F2358" s="1486">
        <f>D2358/D$2198</f>
        <v>0.26291660011352125</v>
      </c>
      <c r="G2358" s="1494">
        <v>128</v>
      </c>
      <c r="H2358" s="1820" t="s">
        <v>450</v>
      </c>
      <c r="I2358" s="1716">
        <v>118</v>
      </c>
      <c r="J2358" s="1716">
        <v>298</v>
      </c>
      <c r="K2358" s="3055" t="s">
        <v>466</v>
      </c>
      <c r="L2358" s="3055"/>
      <c r="M2358" s="3055"/>
      <c r="N2358" s="1489" t="str">
        <f>A2358</f>
        <v>VEEV</v>
      </c>
      <c r="O2358" s="3"/>
      <c r="P2358" s="3"/>
      <c r="Q2358" s="1345">
        <v>44159</v>
      </c>
      <c r="R2358" s="1845">
        <f>B2358*RIGHT(K2358,6)</f>
        <v>62406</v>
      </c>
      <c r="S2358" s="1834">
        <f>D2358</f>
        <v>60761.25</v>
      </c>
      <c r="T2358" s="1834">
        <f>S2358-R2358</f>
        <v>-1644.75</v>
      </c>
      <c r="U2358" s="1835">
        <f>(S2358-R2358)/R2358</f>
        <v>-2.6355638880876837E-2</v>
      </c>
      <c r="V2358" s="7" t="str">
        <f>A2358</f>
        <v>VEEV</v>
      </c>
      <c r="W2358" s="1702">
        <f ca="1">Q2358-TODAY()</f>
        <v>-1013</v>
      </c>
      <c r="AC2358">
        <v>289</v>
      </c>
      <c r="AD2358" s="106">
        <f>AB2358*AC2358</f>
        <v>0</v>
      </c>
    </row>
    <row r="2359" spans="1:30" ht="16" hidden="1" outlineLevel="1" thickBot="1" x14ac:dyDescent="0.4">
      <c r="A2359" s="1084" t="s">
        <v>402</v>
      </c>
      <c r="B2359" s="1822">
        <v>200</v>
      </c>
      <c r="C2359" s="1823">
        <v>23.27</v>
      </c>
      <c r="D2359" s="1823">
        <f t="shared" ref="D2359" si="640">C2359*B2359</f>
        <v>4654</v>
      </c>
      <c r="E2359" s="32">
        <f t="shared" si="639"/>
        <v>-6.5461847389558195E-2</v>
      </c>
      <c r="F2359" s="1486">
        <f>D2359/D$2198</f>
        <v>2.0138062612739663E-2</v>
      </c>
      <c r="G2359" s="1494" t="s">
        <v>228</v>
      </c>
      <c r="H2359" s="1824" t="s">
        <v>449</v>
      </c>
      <c r="I2359" s="1716">
        <v>6.66</v>
      </c>
      <c r="J2359" s="1716">
        <v>19.59</v>
      </c>
      <c r="K2359" s="3055" t="s">
        <v>390</v>
      </c>
      <c r="L2359" s="3055"/>
      <c r="M2359" s="3055"/>
      <c r="N2359" s="1489" t="str">
        <f>A2359</f>
        <v>AVTR</v>
      </c>
      <c r="O2359" s="3"/>
      <c r="P2359" s="3"/>
      <c r="Q2359" s="1345">
        <v>44132</v>
      </c>
      <c r="R2359" s="1529">
        <f>B2359*RIGHT(K2359,6)</f>
        <v>2424</v>
      </c>
      <c r="S2359" s="1510">
        <f>D2359</f>
        <v>4654</v>
      </c>
      <c r="T2359" s="1510">
        <f t="shared" ref="T2359" si="641">S2359-R2359</f>
        <v>2230</v>
      </c>
      <c r="U2359" s="1530">
        <f t="shared" ref="U2359" si="642">(S2359-R2359)/R2359</f>
        <v>0.91996699669966997</v>
      </c>
      <c r="V2359" s="7" t="str">
        <f t="shared" ref="V2359" si="643">A2359</f>
        <v>AVTR</v>
      </c>
      <c r="W2359" s="1702">
        <f ca="1">Q2359-TODAY()</f>
        <v>-1040</v>
      </c>
      <c r="AD2359" s="1846">
        <f>SUM(AD2357:AD2358)</f>
        <v>0</v>
      </c>
    </row>
    <row r="2360" spans="1:30" hidden="1" outlineLevel="1" x14ac:dyDescent="0.35">
      <c r="A2360" s="7" t="s">
        <v>463</v>
      </c>
      <c r="B2360" s="1819">
        <v>97.372</v>
      </c>
      <c r="C2360" s="1363">
        <v>378.32</v>
      </c>
      <c r="D2360" s="1363">
        <f>C2360*B2360</f>
        <v>36837.77504</v>
      </c>
      <c r="E2360" s="32">
        <f t="shared" si="639"/>
        <v>-4.004059883278363E-2</v>
      </c>
      <c r="F2360" s="1486">
        <f>D2360/D$2198</f>
        <v>0.1593986721679283</v>
      </c>
      <c r="G2360" s="1494">
        <v>22</v>
      </c>
      <c r="H2360" s="1820" t="s">
        <v>464</v>
      </c>
      <c r="I2360" s="1716">
        <v>227.5</v>
      </c>
      <c r="J2360" s="1716">
        <v>424</v>
      </c>
      <c r="K2360" s="3055" t="s">
        <v>465</v>
      </c>
      <c r="L2360" s="3055"/>
      <c r="M2360" s="3055"/>
      <c r="N2360" s="1489" t="str">
        <f>A2360</f>
        <v>DPZ</v>
      </c>
      <c r="O2360" s="3"/>
      <c r="P2360" s="3"/>
      <c r="Q2360" s="1345">
        <v>44204</v>
      </c>
      <c r="R2360" s="1845">
        <f>B2360*RIGHT(K2360,6)</f>
        <v>38318.803159999996</v>
      </c>
      <c r="S2360" s="1834">
        <f>D2360</f>
        <v>36837.77504</v>
      </c>
      <c r="T2360" s="1834">
        <f>S2360-R2360</f>
        <v>-1481.0281199999954</v>
      </c>
      <c r="U2360" s="1835">
        <f>(S2360-R2360)/R2360</f>
        <v>-3.865016644220251E-2</v>
      </c>
      <c r="V2360" s="7" t="str">
        <f>A2360</f>
        <v>DPZ</v>
      </c>
      <c r="W2360" s="1702">
        <f ca="1">Q2360-TODAY()</f>
        <v>-968</v>
      </c>
    </row>
    <row r="2361" spans="1:30" ht="16" hidden="1" outlineLevel="1" thickBot="1" x14ac:dyDescent="0.4">
      <c r="A2361" s="1084" t="s">
        <v>7</v>
      </c>
      <c r="B2361" s="1822"/>
      <c r="C2361" s="1823"/>
      <c r="D2361" s="1823">
        <v>1968.78</v>
      </c>
      <c r="E2361" s="1588"/>
      <c r="F2361" s="1729">
        <f t="shared" ref="F2361:F2362" si="644">D2361/D$2198</f>
        <v>8.5189976172560366E-3</v>
      </c>
      <c r="G2361" s="1788"/>
      <c r="H2361" s="1789"/>
      <c r="I2361" s="1789"/>
      <c r="J2361" s="1216"/>
      <c r="K2361" s="1633"/>
      <c r="L2361" s="1634"/>
      <c r="M2361" s="1634"/>
      <c r="S2361" s="1691">
        <f>SUM(S2357:S2360)</f>
        <v>252677.06856000001</v>
      </c>
      <c r="T2361" s="1809">
        <f>SUM(T2357:T2360)</f>
        <v>-5798.3009999999995</v>
      </c>
      <c r="U2361" s="1810">
        <f>AVERAGE(U2357:U2360)</f>
        <v>0.20584962757178912</v>
      </c>
    </row>
    <row r="2362" spans="1:30" ht="16" hidden="1" outlineLevel="1" thickBot="1" x14ac:dyDescent="0.4">
      <c r="A2362" s="7" t="s">
        <v>60</v>
      </c>
      <c r="B2362" s="1819"/>
      <c r="C2362" s="1363"/>
      <c r="D2362" s="1363">
        <v>1862.02</v>
      </c>
      <c r="E2362" s="1794"/>
      <c r="F2362" s="1795">
        <f t="shared" si="644"/>
        <v>8.0570424035611311E-3</v>
      </c>
      <c r="G2362" s="1734"/>
      <c r="H2362" s="1723"/>
      <c r="I2362" s="1796"/>
      <c r="J2362" s="61">
        <f>SUM(J2361:J2361)</f>
        <v>0</v>
      </c>
      <c r="K2362" s="1468"/>
      <c r="L2362" s="1151"/>
      <c r="M2362" s="1151"/>
      <c r="S2362" s="1470" t="str">
        <f>IF(SUM(D2357:D2360)&lt;&gt;S2361,"Out of Balance","Balances")</f>
        <v>Balances</v>
      </c>
    </row>
    <row r="2363" spans="1:30" ht="19" hidden="1" outlineLevel="1" thickBot="1" x14ac:dyDescent="0.5">
      <c r="A2363" s="1797" t="s">
        <v>62</v>
      </c>
      <c r="B2363" s="1798"/>
      <c r="C2363" s="1799"/>
      <c r="D2363" s="1840">
        <f>SUM(D2357:D2362)</f>
        <v>256507.86856</v>
      </c>
      <c r="E2363" s="1841">
        <f>D2363-D2352</f>
        <v>-23559.922159999929</v>
      </c>
      <c r="F2363" s="1847">
        <f>(D2363-D2352)/D2352</f>
        <v>-8.4122212338062663E-2</v>
      </c>
      <c r="G2363" s="72" t="s">
        <v>459</v>
      </c>
      <c r="H2363" s="1841">
        <f>E2363+E2352+E2340+E2328+E2316</f>
        <v>-22642.529840000003</v>
      </c>
      <c r="I2363" s="1848" t="s">
        <v>482</v>
      </c>
      <c r="J2363" s="1849"/>
    </row>
    <row r="2364" spans="1:30" hidden="1" outlineLevel="1" x14ac:dyDescent="0.35"/>
    <row r="2365" spans="1:30" ht="16" hidden="1" outlineLevel="1" thickBot="1" x14ac:dyDescent="0.4">
      <c r="A2365" s="1619" t="s">
        <v>25</v>
      </c>
      <c r="B2365" s="1620" t="s">
        <v>26</v>
      </c>
      <c r="C2365" s="1621" t="s">
        <v>27</v>
      </c>
      <c r="D2365" s="1622">
        <f>D2354+7</f>
        <v>44141</v>
      </c>
      <c r="E2365" s="1623" t="s">
        <v>28</v>
      </c>
      <c r="F2365" s="3036" t="s">
        <v>29</v>
      </c>
      <c r="G2365" s="3037"/>
      <c r="H2365" s="3038"/>
      <c r="I2365" s="1727"/>
      <c r="J2365" s="1182"/>
      <c r="K2365" s="1183" t="s">
        <v>233</v>
      </c>
      <c r="T2365" s="247">
        <f>SUM(T2368:T2370)</f>
        <v>9054.5000000000018</v>
      </c>
    </row>
    <row r="2366" spans="1:30" ht="16" hidden="1" outlineLevel="1" thickBot="1" x14ac:dyDescent="0.4">
      <c r="A2366" s="1584" t="s">
        <v>32</v>
      </c>
      <c r="B2366" s="1585" t="str">
        <f ca="1">TEXT(TODAY(),"ddd")</f>
        <v>Sun</v>
      </c>
      <c r="C2366" s="1586">
        <v>28323</v>
      </c>
      <c r="D2366" s="1808">
        <f>C2366-C2355</f>
        <v>1822</v>
      </c>
      <c r="E2366" s="1641">
        <f>(C2366-C2355)/C2355</f>
        <v>6.8752122561412776E-2</v>
      </c>
      <c r="F2366" s="3039"/>
      <c r="G2366" s="3040"/>
      <c r="H2366" s="3041"/>
      <c r="I2366" s="1602"/>
      <c r="J2366" s="1602"/>
      <c r="K2366" s="1188" t="s">
        <v>234</v>
      </c>
      <c r="L2366" s="1220" t="s">
        <v>34</v>
      </c>
      <c r="M2366" s="111" t="s">
        <v>35</v>
      </c>
      <c r="N2366" s="2995"/>
      <c r="O2366" s="2996"/>
      <c r="P2366" s="2996"/>
      <c r="Q2366" s="2996"/>
      <c r="R2366" s="2996"/>
      <c r="S2366" s="2996"/>
      <c r="T2366" s="2996"/>
      <c r="U2366" s="2996"/>
      <c r="V2366" s="1850">
        <f>AVERAGE(U2368:U2370)</f>
        <v>0.35754420553621097</v>
      </c>
      <c r="Y2366" s="1851"/>
      <c r="Z2366" s="1852"/>
      <c r="AA2366" s="1852"/>
      <c r="AB2366" s="1852"/>
      <c r="AC2366" s="1853" t="s">
        <v>305</v>
      </c>
    </row>
    <row r="2367" spans="1:30" ht="16" hidden="1" outlineLevel="1" thickBot="1" x14ac:dyDescent="0.4">
      <c r="A2367" s="709" t="s">
        <v>36</v>
      </c>
      <c r="B2367" s="419"/>
      <c r="C2367" s="419">
        <v>11895</v>
      </c>
      <c r="D2367" s="1808">
        <f>C2367-C2356</f>
        <v>984</v>
      </c>
      <c r="E2367" s="1641">
        <f>(C2367-C2356)/C2356</f>
        <v>9.0184217761891672E-2</v>
      </c>
      <c r="F2367" s="1744" t="s">
        <v>37</v>
      </c>
      <c r="G2367" s="1745" t="s">
        <v>38</v>
      </c>
      <c r="H2367" s="1746" t="s">
        <v>144</v>
      </c>
      <c r="I2367" s="1747" t="s">
        <v>441</v>
      </c>
      <c r="J2367" s="1748" t="s">
        <v>400</v>
      </c>
      <c r="K2367" s="3063" t="s">
        <v>42</v>
      </c>
      <c r="L2367" s="3064"/>
      <c r="M2367" s="3064"/>
      <c r="N2367" s="1830" t="s">
        <v>244</v>
      </c>
      <c r="Q2367" s="1831" t="s">
        <v>44</v>
      </c>
      <c r="R2367" s="1832" t="s">
        <v>45</v>
      </c>
      <c r="S2367" s="1832" t="s">
        <v>46</v>
      </c>
      <c r="T2367" s="1832" t="s">
        <v>47</v>
      </c>
      <c r="U2367" s="1854" t="s">
        <v>48</v>
      </c>
      <c r="V2367" s="1855">
        <f>SUM(T2368:T2370)</f>
        <v>9054.5000000000018</v>
      </c>
      <c r="W2367" s="1856" t="s">
        <v>446</v>
      </c>
      <c r="Y2367" s="105"/>
      <c r="Z2367" s="1857"/>
      <c r="AB2367" s="85"/>
      <c r="AC2367" s="1555"/>
    </row>
    <row r="2368" spans="1:30" hidden="1" outlineLevel="1" x14ac:dyDescent="0.35">
      <c r="A2368" s="7" t="s">
        <v>483</v>
      </c>
      <c r="B2368" s="1362">
        <v>350</v>
      </c>
      <c r="C2368" s="1363">
        <v>26.46</v>
      </c>
      <c r="D2368" s="1363">
        <f t="shared" ref="D2368:D2370" si="645">C2368*B2368</f>
        <v>9261</v>
      </c>
      <c r="E2368" s="1858">
        <f>(C2368-22.86)/22.86</f>
        <v>0.15748031496062997</v>
      </c>
      <c r="F2368" s="1486">
        <f>D2368/D$2377</f>
        <v>3.1105008337210967E-2</v>
      </c>
      <c r="G2368" s="1494"/>
      <c r="H2368" s="1820"/>
      <c r="I2368" s="1716"/>
      <c r="J2368" s="1716"/>
      <c r="K2368" s="3055" t="s">
        <v>484</v>
      </c>
      <c r="L2368" s="3055"/>
      <c r="M2368" s="3055"/>
      <c r="N2368" s="1489" t="str">
        <f t="shared" ref="N2368:N2370" si="646">A2368</f>
        <v>LI</v>
      </c>
      <c r="O2368" s="3"/>
      <c r="P2368" s="3"/>
      <c r="Q2368" s="1345">
        <v>44138</v>
      </c>
      <c r="R2368" s="1529">
        <f t="shared" ref="R2368:R2369" si="647">B2368*RIGHT(K2368,6)</f>
        <v>8001</v>
      </c>
      <c r="S2368" s="1510">
        <f>D2368</f>
        <v>9261</v>
      </c>
      <c r="T2368" s="1859">
        <f t="shared" ref="T2368:T2370" si="648">S2368-R2368</f>
        <v>1260</v>
      </c>
      <c r="U2368" s="1530">
        <f t="shared" ref="U2368:U2370" si="649">(S2368-R2368)/R2368</f>
        <v>0.15748031496062992</v>
      </c>
      <c r="V2368" s="1711" t="str">
        <f t="shared" ref="V2368:V2370" si="650">A2368</f>
        <v>LI</v>
      </c>
      <c r="W2368" s="1702">
        <f t="shared" ref="W2368:W2374" ca="1" si="651">Q2368-TODAY()</f>
        <v>-1034</v>
      </c>
      <c r="Y2368" s="105"/>
      <c r="AB2368" s="85"/>
      <c r="AC2368" s="1555"/>
      <c r="AD2368" s="1860"/>
    </row>
    <row r="2369" spans="1:30" hidden="1" outlineLevel="1" x14ac:dyDescent="0.35">
      <c r="A2369" s="1084" t="s">
        <v>485</v>
      </c>
      <c r="B2369" s="1822">
        <v>350</v>
      </c>
      <c r="C2369" s="1823">
        <v>34.81</v>
      </c>
      <c r="D2369" s="1823">
        <f t="shared" si="645"/>
        <v>12183.5</v>
      </c>
      <c r="E2369" s="1858">
        <f>(C2369-20.94)/20.94</f>
        <v>0.66236867239732566</v>
      </c>
      <c r="F2369" s="1486">
        <f t="shared" ref="F2369:F2374" si="652">D2369/D$2377</f>
        <v>4.092083674294459E-2</v>
      </c>
      <c r="G2369" s="1494"/>
      <c r="H2369" s="1820"/>
      <c r="I2369" s="1716"/>
      <c r="J2369" s="1716"/>
      <c r="K2369" s="3055" t="s">
        <v>486</v>
      </c>
      <c r="L2369" s="3055"/>
      <c r="M2369" s="3055"/>
      <c r="N2369" s="1489" t="str">
        <f t="shared" si="646"/>
        <v>XPEV</v>
      </c>
      <c r="O2369" s="3"/>
      <c r="P2369" s="3"/>
      <c r="Q2369" s="1345">
        <v>44147</v>
      </c>
      <c r="R2369" s="1529">
        <f t="shared" si="647"/>
        <v>7329</v>
      </c>
      <c r="S2369" s="1510">
        <f t="shared" ref="S2369:S2370" si="653">D2369</f>
        <v>12183.5</v>
      </c>
      <c r="T2369" s="1859">
        <f t="shared" si="648"/>
        <v>4854.5</v>
      </c>
      <c r="U2369" s="1530">
        <f t="shared" si="649"/>
        <v>0.66236867239732566</v>
      </c>
      <c r="V2369" s="7" t="str">
        <f t="shared" si="650"/>
        <v>XPEV</v>
      </c>
      <c r="W2369" s="1702">
        <f t="shared" ca="1" si="651"/>
        <v>-1025</v>
      </c>
      <c r="Y2369" s="1861"/>
      <c r="AB2369" s="85"/>
      <c r="AC2369" s="1862">
        <v>44070</v>
      </c>
      <c r="AD2369" s="1860"/>
    </row>
    <row r="2370" spans="1:30" hidden="1" outlineLevel="1" x14ac:dyDescent="0.35">
      <c r="A2370" s="7" t="s">
        <v>487</v>
      </c>
      <c r="B2370" s="1362">
        <v>350</v>
      </c>
      <c r="C2370" s="1363">
        <v>41.63</v>
      </c>
      <c r="D2370" s="1363">
        <f t="shared" si="645"/>
        <v>14570.5</v>
      </c>
      <c r="E2370" s="1858">
        <f>(C2370-33.23)/33.23</f>
        <v>0.25278362925067727</v>
      </c>
      <c r="F2370" s="1486">
        <f t="shared" si="652"/>
        <v>4.8938076231220436E-2</v>
      </c>
      <c r="G2370" s="1494"/>
      <c r="H2370" s="1820"/>
      <c r="I2370" s="1716"/>
      <c r="J2370" s="1716"/>
      <c r="K2370" s="3055" t="s">
        <v>488</v>
      </c>
      <c r="L2370" s="3055"/>
      <c r="M2370" s="3055"/>
      <c r="N2370" s="1489" t="str">
        <f t="shared" si="646"/>
        <v>NIO</v>
      </c>
      <c r="O2370" s="3"/>
      <c r="P2370" s="3"/>
      <c r="Q2370" s="1345">
        <v>44152</v>
      </c>
      <c r="R2370" s="1529">
        <f>B2370*RIGHT(K2370,6)</f>
        <v>11630.499999999998</v>
      </c>
      <c r="S2370" s="1510">
        <f t="shared" si="653"/>
        <v>14570.5</v>
      </c>
      <c r="T2370" s="1859">
        <f t="shared" si="648"/>
        <v>2940.0000000000018</v>
      </c>
      <c r="U2370" s="1530">
        <f t="shared" si="649"/>
        <v>0.25278362925067732</v>
      </c>
      <c r="V2370" s="7" t="str">
        <f t="shared" si="650"/>
        <v>NIO</v>
      </c>
      <c r="W2370" s="1702">
        <f t="shared" ca="1" si="651"/>
        <v>-1020</v>
      </c>
      <c r="Y2370" s="105"/>
      <c r="AB2370" s="85"/>
      <c r="AC2370" s="1555"/>
      <c r="AD2370" s="1860"/>
    </row>
    <row r="2371" spans="1:30" hidden="1" outlineLevel="1" x14ac:dyDescent="0.35">
      <c r="A2371" s="1084" t="s">
        <v>49</v>
      </c>
      <c r="B2371" s="1822">
        <v>300.03199999999998</v>
      </c>
      <c r="C2371" s="1166">
        <v>582.48</v>
      </c>
      <c r="D2371" s="1823">
        <f>C2371*B2371</f>
        <v>174762.63936</v>
      </c>
      <c r="E2371" s="32">
        <f>(C2371-C2357)/C2357</f>
        <v>0.16179990426041169</v>
      </c>
      <c r="F2371" s="1486">
        <f t="shared" si="652"/>
        <v>0.58697693060423217</v>
      </c>
      <c r="G2371" s="1494">
        <v>89</v>
      </c>
      <c r="H2371" s="1820" t="s">
        <v>468</v>
      </c>
      <c r="I2371" s="1716">
        <v>169</v>
      </c>
      <c r="J2371" s="1716">
        <v>589</v>
      </c>
      <c r="K2371" s="3055" t="s">
        <v>469</v>
      </c>
      <c r="L2371" s="3055"/>
      <c r="M2371" s="3055"/>
      <c r="N2371" s="1489" t="str">
        <f>A2371</f>
        <v>NVDA</v>
      </c>
      <c r="O2371" s="3"/>
      <c r="P2371" s="3"/>
      <c r="Q2371" s="1345">
        <v>44153</v>
      </c>
      <c r="R2371" s="1529">
        <f>B2371*RIGHT(K2371,6)</f>
        <v>155326.56640000001</v>
      </c>
      <c r="S2371" s="1510">
        <f>D2371</f>
        <v>174762.63936</v>
      </c>
      <c r="T2371" s="1510">
        <f>S2371-R2371</f>
        <v>19436.07295999999</v>
      </c>
      <c r="U2371" s="1530">
        <f>(S2371-R2371)/R2371</f>
        <v>0.12513038439250523</v>
      </c>
      <c r="V2371" s="7" t="str">
        <f>A2371</f>
        <v>NVDA</v>
      </c>
      <c r="W2371" s="1702">
        <f t="shared" ca="1" si="651"/>
        <v>-1019</v>
      </c>
      <c r="X2371" t="s">
        <v>489</v>
      </c>
      <c r="Y2371" s="105"/>
      <c r="AB2371" s="85"/>
      <c r="AC2371" s="1555"/>
      <c r="AD2371" s="1860"/>
    </row>
    <row r="2372" spans="1:30" hidden="1" outlineLevel="1" x14ac:dyDescent="0.35">
      <c r="A2372" s="7" t="s">
        <v>65</v>
      </c>
      <c r="B2372" s="1362">
        <v>225</v>
      </c>
      <c r="C2372" s="1363">
        <v>299.58999999999997</v>
      </c>
      <c r="D2372" s="1363">
        <f>C2372*B2372</f>
        <v>67407.75</v>
      </c>
      <c r="E2372" s="32">
        <f>(C2372-C2358)/C2358</f>
        <v>0.10938715052767992</v>
      </c>
      <c r="F2372" s="1486">
        <f t="shared" si="652"/>
        <v>0.22640304780721657</v>
      </c>
      <c r="G2372" s="1494">
        <v>128</v>
      </c>
      <c r="H2372" s="1820" t="s">
        <v>450</v>
      </c>
      <c r="I2372" s="1716">
        <v>118</v>
      </c>
      <c r="J2372" s="1716">
        <v>298</v>
      </c>
      <c r="K2372" s="3055" t="s">
        <v>466</v>
      </c>
      <c r="L2372" s="3055"/>
      <c r="M2372" s="3055"/>
      <c r="N2372" s="1489" t="str">
        <f>A2372</f>
        <v>VEEV</v>
      </c>
      <c r="O2372" s="3"/>
      <c r="P2372" s="3"/>
      <c r="Q2372" s="1345">
        <v>44159</v>
      </c>
      <c r="R2372" s="1529">
        <f>B2372*RIGHT(K2372,6)</f>
        <v>62406</v>
      </c>
      <c r="S2372" s="1510">
        <f>D2372</f>
        <v>67407.75</v>
      </c>
      <c r="T2372" s="1510">
        <f>S2372-R2372</f>
        <v>5001.75</v>
      </c>
      <c r="U2372" s="1530">
        <f>(S2372-R2372)/R2372</f>
        <v>8.0148543409287565E-2</v>
      </c>
      <c r="V2372" s="7" t="str">
        <f>A2372</f>
        <v>VEEV</v>
      </c>
      <c r="W2372" s="1702">
        <f t="shared" ca="1" si="651"/>
        <v>-1013</v>
      </c>
      <c r="X2372" s="4" t="s">
        <v>490</v>
      </c>
      <c r="Y2372" s="105"/>
      <c r="AC2372" s="1555"/>
      <c r="AD2372" s="1860"/>
    </row>
    <row r="2373" spans="1:30" hidden="1" outlineLevel="1" x14ac:dyDescent="0.35">
      <c r="A2373" s="1084" t="s">
        <v>402</v>
      </c>
      <c r="B2373" s="1822">
        <v>200</v>
      </c>
      <c r="C2373" s="1823">
        <v>26.92</v>
      </c>
      <c r="D2373" s="1823">
        <f t="shared" ref="D2373" si="654">C2373*B2373</f>
        <v>5384</v>
      </c>
      <c r="E2373" s="32">
        <f>(C2373-C2359)/C2359</f>
        <v>0.15685431886549214</v>
      </c>
      <c r="F2373" s="1486">
        <f t="shared" si="652"/>
        <v>1.8083291749005925E-2</v>
      </c>
      <c r="G2373" s="1494" t="s">
        <v>228</v>
      </c>
      <c r="H2373" s="1824" t="s">
        <v>449</v>
      </c>
      <c r="I2373" s="1716">
        <v>6.66</v>
      </c>
      <c r="J2373" s="1716">
        <v>19.59</v>
      </c>
      <c r="K2373" s="3055" t="s">
        <v>390</v>
      </c>
      <c r="L2373" s="3055"/>
      <c r="M2373" s="3055"/>
      <c r="N2373" s="1489" t="str">
        <f>A2373</f>
        <v>AVTR</v>
      </c>
      <c r="O2373" s="3"/>
      <c r="P2373" s="3"/>
      <c r="Q2373" s="1345">
        <v>44132</v>
      </c>
      <c r="R2373" s="1529">
        <f>B2373*RIGHT(K2373,6)</f>
        <v>2424</v>
      </c>
      <c r="S2373" s="1510">
        <f>D2373</f>
        <v>5384</v>
      </c>
      <c r="T2373" s="1510">
        <f t="shared" ref="T2373" si="655">S2373-R2373</f>
        <v>2960</v>
      </c>
      <c r="U2373" s="1530">
        <f t="shared" ref="U2373" si="656">(S2373-R2373)/R2373</f>
        <v>1.221122112211221</v>
      </c>
      <c r="V2373" s="7" t="str">
        <f t="shared" ref="V2373" si="657">A2373</f>
        <v>AVTR</v>
      </c>
      <c r="W2373" s="1702">
        <f t="shared" ca="1" si="651"/>
        <v>-1040</v>
      </c>
      <c r="X2373" t="s">
        <v>489</v>
      </c>
      <c r="Y2373" s="105"/>
      <c r="AB2373" s="1863"/>
      <c r="AC2373" s="1555"/>
      <c r="AD2373" s="1864" t="s">
        <v>491</v>
      </c>
    </row>
    <row r="2374" spans="1:30" hidden="1" outlineLevel="1" x14ac:dyDescent="0.35">
      <c r="A2374" s="7" t="s">
        <v>463</v>
      </c>
      <c r="B2374" s="1819">
        <v>25.372</v>
      </c>
      <c r="C2374" s="1363">
        <v>399.85</v>
      </c>
      <c r="D2374" s="1363">
        <f>C2374*B2374</f>
        <v>10144.994200000001</v>
      </c>
      <c r="E2374" s="32">
        <f>(C2374-C2360)/C2360</f>
        <v>5.6909494607739558E-2</v>
      </c>
      <c r="F2374" s="1486">
        <f t="shared" si="652"/>
        <v>3.4074088022023212E-2</v>
      </c>
      <c r="G2374" s="1494">
        <v>22</v>
      </c>
      <c r="H2374" s="1820" t="s">
        <v>464</v>
      </c>
      <c r="I2374" s="1716">
        <v>227.5</v>
      </c>
      <c r="J2374" s="1716">
        <v>424</v>
      </c>
      <c r="K2374" s="3055" t="s">
        <v>465</v>
      </c>
      <c r="L2374" s="3055"/>
      <c r="M2374" s="3055"/>
      <c r="N2374" s="1489" t="str">
        <f>A2374</f>
        <v>DPZ</v>
      </c>
      <c r="O2374" s="3"/>
      <c r="P2374" s="3"/>
      <c r="Q2374" s="1345">
        <v>44204</v>
      </c>
      <c r="R2374" s="1529">
        <f>B2374*RIGHT(K2374,6)</f>
        <v>9984.6431599999996</v>
      </c>
      <c r="S2374" s="1510">
        <f>D2374</f>
        <v>10144.994200000001</v>
      </c>
      <c r="T2374" s="1510">
        <f>S2374-R2374</f>
        <v>160.35104000000138</v>
      </c>
      <c r="U2374" s="1530">
        <f>(S2374-R2374)/R2374</f>
        <v>1.6059766726806226E-2</v>
      </c>
      <c r="V2374" s="7" t="str">
        <f>A2374</f>
        <v>DPZ</v>
      </c>
      <c r="W2374" s="1702">
        <f t="shared" ca="1" si="651"/>
        <v>-968</v>
      </c>
      <c r="Y2374" s="105"/>
      <c r="Z2374" s="1865"/>
      <c r="AA2374" s="1865"/>
      <c r="AB2374" s="1866"/>
      <c r="AC2374" s="1555"/>
    </row>
    <row r="2375" spans="1:30" ht="16" hidden="1" outlineLevel="1" thickBot="1" x14ac:dyDescent="0.4">
      <c r="A2375" s="1084" t="s">
        <v>7</v>
      </c>
      <c r="B2375" s="1822"/>
      <c r="C2375" s="1823"/>
      <c r="D2375" s="1823">
        <v>2047.57</v>
      </c>
      <c r="E2375" s="1588"/>
      <c r="F2375" s="1486"/>
      <c r="G2375" s="1788"/>
      <c r="H2375" s="1789"/>
      <c r="I2375" s="1789"/>
      <c r="J2375" s="1216"/>
      <c r="K2375" s="1633"/>
      <c r="L2375" s="1634"/>
      <c r="M2375" s="1634"/>
      <c r="R2375" s="1691">
        <f>SUM(R2368:R2373)</f>
        <v>247117.06640000001</v>
      </c>
      <c r="S2375" s="1691">
        <f>SUM(S2368:S2374)</f>
        <v>293714.38356000005</v>
      </c>
      <c r="T2375" s="1809">
        <f>SUM(T2368:T2374)</f>
        <v>36612.673999999992</v>
      </c>
      <c r="U2375" s="1810">
        <f>AVERAGE(U2371:U2374)</f>
        <v>0.36061520168495503</v>
      </c>
      <c r="Y2375" s="105"/>
      <c r="AB2375" s="1867"/>
      <c r="AC2375" s="1555"/>
    </row>
    <row r="2376" spans="1:30" ht="16" hidden="1" outlineLevel="1" thickBot="1" x14ac:dyDescent="0.4">
      <c r="A2376" s="7" t="s">
        <v>60</v>
      </c>
      <c r="B2376" s="1819"/>
      <c r="C2376" s="1363"/>
      <c r="D2376" s="1143">
        <f>1728.2+133.86+109.39</f>
        <v>1971.45</v>
      </c>
      <c r="E2376" s="1794"/>
      <c r="F2376" s="1486"/>
      <c r="G2376" s="1734"/>
      <c r="H2376" s="1723"/>
      <c r="I2376" s="1796"/>
      <c r="J2376" s="61">
        <f>SUM(J2375:J2375)</f>
        <v>0</v>
      </c>
      <c r="K2376" s="1468"/>
      <c r="L2376" s="1151"/>
      <c r="M2376" s="1151"/>
      <c r="S2376" s="1470" t="str">
        <f>IF(SUM(D2368:D2374)&lt;&gt;S2375,"Out of Balance","Balances")</f>
        <v>Balances</v>
      </c>
    </row>
    <row r="2377" spans="1:30" ht="19" hidden="1" outlineLevel="1" thickBot="1" x14ac:dyDescent="0.5">
      <c r="A2377" s="1797" t="s">
        <v>62</v>
      </c>
      <c r="B2377" s="1798"/>
      <c r="C2377" s="1868">
        <f>SUM(D2368:D2374,D2376)</f>
        <v>295685.83356000006</v>
      </c>
      <c r="D2377" s="1869">
        <f>SUM(D2368:D2376)</f>
        <v>297733.40356000006</v>
      </c>
      <c r="E2377" s="1870">
        <f>D2377-D2363</f>
        <v>41225.535000000062</v>
      </c>
      <c r="F2377" s="1871">
        <f>(D2377-D2363)/D2363</f>
        <v>0.16071840303158949</v>
      </c>
      <c r="G2377" s="72" t="s">
        <v>459</v>
      </c>
      <c r="H2377" s="1801">
        <f>E2377+E2363+E2352+E2340+E2328</f>
        <v>10676.08638000011</v>
      </c>
      <c r="I2377" s="1848" t="s">
        <v>482</v>
      </c>
      <c r="J2377" s="1849"/>
    </row>
    <row r="2378" spans="1:30" ht="18.75" hidden="1" customHeight="1" outlineLevel="1" thickBot="1" x14ac:dyDescent="0.4"/>
    <row r="2379" spans="1:30" ht="16" hidden="1" outlineLevel="1" thickBot="1" x14ac:dyDescent="0.4">
      <c r="A2379" s="1619" t="s">
        <v>25</v>
      </c>
      <c r="B2379" s="1620" t="s">
        <v>26</v>
      </c>
      <c r="C2379" s="1621" t="s">
        <v>27</v>
      </c>
      <c r="D2379" s="1872">
        <f>D2365+7</f>
        <v>44148</v>
      </c>
      <c r="E2379" s="1623" t="s">
        <v>28</v>
      </c>
      <c r="F2379" s="3036" t="s">
        <v>492</v>
      </c>
      <c r="G2379" s="3037"/>
      <c r="H2379" s="3038"/>
      <c r="I2379" s="1727"/>
      <c r="J2379" s="1182"/>
      <c r="K2379" s="1183" t="s">
        <v>233</v>
      </c>
      <c r="O2379" s="3072" t="s">
        <v>31</v>
      </c>
      <c r="P2379" s="3073"/>
      <c r="T2379" s="247">
        <f>SUM(T2383:T2385)</f>
        <v>11732.000000000002</v>
      </c>
      <c r="U2379" s="1873">
        <f>T2379-T2365</f>
        <v>2677.5</v>
      </c>
    </row>
    <row r="2380" spans="1:30" ht="16" hidden="1" outlineLevel="1" thickBot="1" x14ac:dyDescent="0.4">
      <c r="A2380" s="1584" t="s">
        <v>32</v>
      </c>
      <c r="B2380" s="1585" t="str">
        <f ca="1">TEXT(TODAY(),"ddd")</f>
        <v>Sun</v>
      </c>
      <c r="C2380" s="1586">
        <v>29453</v>
      </c>
      <c r="D2380" s="1837">
        <f>C2380-C2366</f>
        <v>1130</v>
      </c>
      <c r="E2380" s="1641">
        <f t="shared" ref="E2380:E2381" si="658">(C2380-C2366)/C2366</f>
        <v>3.9896903576598523E-2</v>
      </c>
      <c r="F2380" s="3039"/>
      <c r="G2380" s="3040"/>
      <c r="H2380" s="3041"/>
      <c r="I2380" s="1602"/>
      <c r="J2380" s="1602"/>
      <c r="K2380" s="1188" t="s">
        <v>234</v>
      </c>
      <c r="L2380" s="1220" t="s">
        <v>34</v>
      </c>
      <c r="M2380" s="111" t="s">
        <v>35</v>
      </c>
      <c r="N2380" s="2995"/>
      <c r="O2380" s="3062"/>
      <c r="P2380" s="3062"/>
      <c r="Q2380" s="2996"/>
      <c r="R2380" s="2996"/>
      <c r="S2380" s="2996"/>
      <c r="T2380" s="2996"/>
      <c r="U2380" s="3044"/>
    </row>
    <row r="2381" spans="1:30" hidden="1" outlineLevel="1" x14ac:dyDescent="0.35">
      <c r="A2381" s="709" t="s">
        <v>36</v>
      </c>
      <c r="B2381" s="419"/>
      <c r="C2381" s="419">
        <v>11788</v>
      </c>
      <c r="D2381" s="1837">
        <f>C2381-C2367</f>
        <v>-107</v>
      </c>
      <c r="E2381" s="1641">
        <f t="shared" si="658"/>
        <v>-8.9953762084909634E-3</v>
      </c>
      <c r="F2381" s="1744" t="s">
        <v>37</v>
      </c>
      <c r="G2381" s="1745" t="s">
        <v>38</v>
      </c>
      <c r="H2381" s="1746" t="s">
        <v>144</v>
      </c>
      <c r="I2381" s="1874" t="s">
        <v>441</v>
      </c>
      <c r="J2381" s="1875" t="s">
        <v>400</v>
      </c>
      <c r="K2381" s="3063" t="s">
        <v>42</v>
      </c>
      <c r="L2381" s="3064"/>
      <c r="M2381" s="3064"/>
      <c r="N2381" s="1830" t="s">
        <v>244</v>
      </c>
      <c r="O2381" s="118">
        <f>C2381-11428</f>
        <v>360</v>
      </c>
      <c r="P2381" t="s">
        <v>493</v>
      </c>
      <c r="Q2381" s="1831" t="s">
        <v>44</v>
      </c>
      <c r="R2381" s="1832" t="s">
        <v>45</v>
      </c>
      <c r="S2381" s="1832" t="s">
        <v>46</v>
      </c>
      <c r="T2381" s="1832" t="s">
        <v>47</v>
      </c>
      <c r="U2381" s="1833" t="s">
        <v>48</v>
      </c>
      <c r="W2381" s="1700" t="s">
        <v>446</v>
      </c>
    </row>
    <row r="2382" spans="1:30" hidden="1" outlineLevel="1" x14ac:dyDescent="0.35">
      <c r="A2382" s="7" t="s">
        <v>494</v>
      </c>
      <c r="B2382" s="1362">
        <v>300</v>
      </c>
      <c r="C2382" s="1143">
        <v>13.75</v>
      </c>
      <c r="D2382" s="1143">
        <f t="shared" ref="D2382:D2385" si="659">C2382*B2382</f>
        <v>4125</v>
      </c>
      <c r="E2382" s="1641">
        <f>U2382</f>
        <v>3.2669921141569656E-2</v>
      </c>
      <c r="F2382" s="1486">
        <f t="shared" ref="F2382:F2389" si="660">D2382/$D$2392</f>
        <v>1.5170560477641837E-2</v>
      </c>
      <c r="G2382" s="1494"/>
      <c r="H2382" s="1820"/>
      <c r="I2382" s="1876">
        <v>12.74</v>
      </c>
      <c r="J2382" s="1876">
        <f t="shared" ref="J2382:J2389" si="661">C2382-I2382</f>
        <v>1.0099999999999998</v>
      </c>
      <c r="K2382" s="3055" t="s">
        <v>495</v>
      </c>
      <c r="L2382" s="3055"/>
      <c r="M2382" s="3055"/>
      <c r="N2382" s="1489" t="str">
        <f t="shared" ref="N2382:N2385" si="662">A2382</f>
        <v>CNK</v>
      </c>
      <c r="O2382" s="1142">
        <f t="shared" ref="O2382:O2385" si="663">J2382*B2382</f>
        <v>302.99999999999994</v>
      </c>
      <c r="P2382" s="3" t="s">
        <v>493</v>
      </c>
      <c r="Q2382" s="1345">
        <f>"11/5/2020"+90</f>
        <v>44230</v>
      </c>
      <c r="R2382" s="1845">
        <f t="shared" ref="R2382:R2389" si="664">B2382*RIGHT(K2382,6)</f>
        <v>3994.5</v>
      </c>
      <c r="S2382" s="1834">
        <f t="shared" ref="S2382:S2389" si="665">D2382</f>
        <v>4125</v>
      </c>
      <c r="T2382" s="1834">
        <f t="shared" ref="T2382:T2389" si="666">S2382-R2382</f>
        <v>130.5</v>
      </c>
      <c r="U2382" s="1835">
        <f t="shared" ref="U2382:U2389" si="667">(S2382-R2382)/R2382</f>
        <v>3.2669921141569656E-2</v>
      </c>
      <c r="V2382" s="7" t="str">
        <f t="shared" ref="V2382:V2389" si="668">A2382</f>
        <v>CNK</v>
      </c>
      <c r="W2382" s="1702">
        <f t="shared" ref="W2382:W2389" ca="1" si="669">Q2382-TODAY()</f>
        <v>-942</v>
      </c>
    </row>
    <row r="2383" spans="1:30" hidden="1" outlineLevel="1" x14ac:dyDescent="0.35">
      <c r="A2383" s="1084" t="s">
        <v>483</v>
      </c>
      <c r="B2383" s="1822">
        <v>350</v>
      </c>
      <c r="C2383" s="1823">
        <v>30.25</v>
      </c>
      <c r="D2383" s="1823">
        <f t="shared" si="659"/>
        <v>10587.5</v>
      </c>
      <c r="E2383" s="1877">
        <f>(C2383-C2368)/C2370</f>
        <v>9.104011530146526E-2</v>
      </c>
      <c r="F2383" s="1486">
        <f t="shared" si="660"/>
        <v>3.8937771892614048E-2</v>
      </c>
      <c r="G2383" s="1494"/>
      <c r="H2383" s="1820"/>
      <c r="I2383" s="1876">
        <v>23.18</v>
      </c>
      <c r="J2383" s="1876">
        <f t="shared" si="661"/>
        <v>7.07</v>
      </c>
      <c r="K2383" s="3055" t="s">
        <v>484</v>
      </c>
      <c r="L2383" s="3055"/>
      <c r="M2383" s="3055"/>
      <c r="N2383" s="1489" t="str">
        <f t="shared" si="662"/>
        <v>LI</v>
      </c>
      <c r="O2383" s="1142">
        <f t="shared" si="663"/>
        <v>2474.5</v>
      </c>
      <c r="P2383" s="3" t="s">
        <v>493</v>
      </c>
      <c r="Q2383" s="1345">
        <f>"11/3/2020"+90</f>
        <v>44228</v>
      </c>
      <c r="R2383" s="1529">
        <f t="shared" si="664"/>
        <v>8001</v>
      </c>
      <c r="S2383" s="1510">
        <f t="shared" si="665"/>
        <v>10587.5</v>
      </c>
      <c r="T2383" s="1510">
        <f t="shared" si="666"/>
        <v>2586.5</v>
      </c>
      <c r="U2383" s="1530">
        <f t="shared" si="667"/>
        <v>0.32327209098862641</v>
      </c>
      <c r="V2383" s="7" t="str">
        <f t="shared" si="668"/>
        <v>LI</v>
      </c>
      <c r="W2383" s="1702">
        <f t="shared" ca="1" si="669"/>
        <v>-944</v>
      </c>
    </row>
    <row r="2384" spans="1:30" hidden="1" outlineLevel="1" x14ac:dyDescent="0.35">
      <c r="A2384" s="7" t="s">
        <v>485</v>
      </c>
      <c r="B2384" s="1362">
        <v>350</v>
      </c>
      <c r="C2384" s="1363">
        <v>38.630000000000003</v>
      </c>
      <c r="D2384" s="1363">
        <f t="shared" si="659"/>
        <v>13520.5</v>
      </c>
      <c r="E2384" s="1877">
        <f>(C2384-C2369)/C2369</f>
        <v>0.1097385808675668</v>
      </c>
      <c r="F2384" s="1486">
        <f t="shared" si="660"/>
        <v>4.9724500106171257E-2</v>
      </c>
      <c r="G2384" s="1494"/>
      <c r="H2384" s="1820"/>
      <c r="I2384" s="1876">
        <v>31.01</v>
      </c>
      <c r="J2384" s="1876">
        <f t="shared" si="661"/>
        <v>7.620000000000001</v>
      </c>
      <c r="K2384" s="3055" t="s">
        <v>486</v>
      </c>
      <c r="L2384" s="3055"/>
      <c r="M2384" s="3055"/>
      <c r="N2384" s="1489" t="str">
        <f t="shared" si="662"/>
        <v>XPEV</v>
      </c>
      <c r="O2384" s="1142">
        <f t="shared" si="663"/>
        <v>2667.0000000000005</v>
      </c>
      <c r="P2384" s="3" t="s">
        <v>493</v>
      </c>
      <c r="Q2384" s="1345">
        <v>44147</v>
      </c>
      <c r="R2384" s="1529">
        <f t="shared" si="664"/>
        <v>7329</v>
      </c>
      <c r="S2384" s="1510">
        <f t="shared" si="665"/>
        <v>13520.5</v>
      </c>
      <c r="T2384" s="1510">
        <f t="shared" si="666"/>
        <v>6191.5</v>
      </c>
      <c r="U2384" s="1530">
        <f t="shared" si="667"/>
        <v>0.84479465138490928</v>
      </c>
      <c r="V2384" s="7" t="str">
        <f t="shared" si="668"/>
        <v>XPEV</v>
      </c>
      <c r="W2384" s="1702">
        <f t="shared" ca="1" si="669"/>
        <v>-1025</v>
      </c>
    </row>
    <row r="2385" spans="1:23" hidden="1" outlineLevel="1" x14ac:dyDescent="0.35">
      <c r="A2385" s="1084" t="s">
        <v>487</v>
      </c>
      <c r="B2385" s="1822">
        <v>350</v>
      </c>
      <c r="C2385" s="1823">
        <v>41.67</v>
      </c>
      <c r="D2385" s="1823">
        <f t="shared" si="659"/>
        <v>14584.5</v>
      </c>
      <c r="E2385" s="1877">
        <f>(C2385-C2370)/C2370</f>
        <v>9.6084554407876879E-4</v>
      </c>
      <c r="F2385" s="1486">
        <f t="shared" si="660"/>
        <v>5.363758528149512E-2</v>
      </c>
      <c r="G2385" s="1494"/>
      <c r="H2385" s="1820"/>
      <c r="I2385" s="1876">
        <v>38.11</v>
      </c>
      <c r="J2385" s="1876">
        <f t="shared" si="661"/>
        <v>3.5600000000000023</v>
      </c>
      <c r="K2385" s="3055" t="s">
        <v>488</v>
      </c>
      <c r="L2385" s="3055"/>
      <c r="M2385" s="3055"/>
      <c r="N2385" s="1489" t="str">
        <f t="shared" si="662"/>
        <v>NIO</v>
      </c>
      <c r="O2385" s="1142">
        <f t="shared" si="663"/>
        <v>1246.0000000000009</v>
      </c>
      <c r="P2385" s="3" t="s">
        <v>493</v>
      </c>
      <c r="Q2385" s="1345">
        <v>44152</v>
      </c>
      <c r="R2385" s="1529">
        <f t="shared" si="664"/>
        <v>11630.499999999998</v>
      </c>
      <c r="S2385" s="1510">
        <f t="shared" si="665"/>
        <v>14584.5</v>
      </c>
      <c r="T2385" s="1510">
        <f t="shared" si="666"/>
        <v>2954.0000000000018</v>
      </c>
      <c r="U2385" s="1530">
        <f t="shared" si="667"/>
        <v>0.25398736081853768</v>
      </c>
      <c r="V2385" s="7" t="str">
        <f t="shared" si="668"/>
        <v>NIO</v>
      </c>
      <c r="W2385" s="1702">
        <f t="shared" ca="1" si="669"/>
        <v>-1020</v>
      </c>
    </row>
    <row r="2386" spans="1:23" hidden="1" outlineLevel="1" x14ac:dyDescent="0.35">
      <c r="A2386" s="7" t="s">
        <v>49</v>
      </c>
      <c r="B2386" s="1362">
        <v>300.03199999999998</v>
      </c>
      <c r="C2386" s="1143">
        <v>525.74</v>
      </c>
      <c r="D2386" s="1363">
        <f>C2386*B2386</f>
        <v>157738.82368</v>
      </c>
      <c r="E2386" s="1641">
        <f>(C2386-C2371)/C2371</f>
        <v>-9.741106990797968E-2</v>
      </c>
      <c r="F2386" s="1878">
        <f t="shared" si="660"/>
        <v>0.58011790649927808</v>
      </c>
      <c r="G2386" s="1494">
        <v>89</v>
      </c>
      <c r="H2386" s="1820" t="s">
        <v>468</v>
      </c>
      <c r="I2386" s="1876">
        <v>505.13</v>
      </c>
      <c r="J2386" s="1876">
        <f t="shared" si="661"/>
        <v>20.610000000000014</v>
      </c>
      <c r="K2386" s="3055" t="s">
        <v>469</v>
      </c>
      <c r="L2386" s="3055"/>
      <c r="M2386" s="3055"/>
      <c r="N2386" s="1489" t="str">
        <f>A2386</f>
        <v>NVDA</v>
      </c>
      <c r="O2386" s="1435">
        <f>J2386*B2386</f>
        <v>6183.6595200000038</v>
      </c>
      <c r="P2386" s="3" t="s">
        <v>493</v>
      </c>
      <c r="Q2386" s="1345">
        <v>44153</v>
      </c>
      <c r="R2386" s="1529">
        <f t="shared" si="664"/>
        <v>155326.56640000001</v>
      </c>
      <c r="S2386" s="1510">
        <f t="shared" si="665"/>
        <v>157738.82368</v>
      </c>
      <c r="T2386" s="1510">
        <f t="shared" si="666"/>
        <v>2412.2572799999907</v>
      </c>
      <c r="U2386" s="1530">
        <f t="shared" si="667"/>
        <v>1.5530229862854874E-2</v>
      </c>
      <c r="V2386" s="7" t="str">
        <f t="shared" si="668"/>
        <v>NVDA</v>
      </c>
      <c r="W2386" s="1702">
        <f t="shared" ca="1" si="669"/>
        <v>-1019</v>
      </c>
    </row>
    <row r="2387" spans="1:23" hidden="1" outlineLevel="1" x14ac:dyDescent="0.35">
      <c r="A2387" s="1084" t="s">
        <v>65</v>
      </c>
      <c r="B2387" s="1822">
        <v>225</v>
      </c>
      <c r="C2387" s="1823">
        <v>263.24</v>
      </c>
      <c r="D2387" s="1823">
        <f>C2387*B2387</f>
        <v>59229</v>
      </c>
      <c r="E2387" s="1879">
        <f>(C2387-C2372)/C2372</f>
        <v>-0.12133248773323532</v>
      </c>
      <c r="F2387" s="1878">
        <f t="shared" si="660"/>
        <v>0.21782718218915112</v>
      </c>
      <c r="G2387" s="1494">
        <v>128</v>
      </c>
      <c r="H2387" s="1820" t="s">
        <v>450</v>
      </c>
      <c r="I2387" s="1876">
        <v>253.42</v>
      </c>
      <c r="J2387" s="1876">
        <f t="shared" si="661"/>
        <v>9.8200000000000216</v>
      </c>
      <c r="K2387" s="3055" t="s">
        <v>466</v>
      </c>
      <c r="L2387" s="3055"/>
      <c r="M2387" s="3055"/>
      <c r="N2387" s="1489" t="str">
        <f>A2387</f>
        <v>VEEV</v>
      </c>
      <c r="O2387" s="1435">
        <f>J2387*B2387</f>
        <v>2209.500000000005</v>
      </c>
      <c r="P2387" s="3" t="s">
        <v>493</v>
      </c>
      <c r="Q2387" s="1345">
        <v>44159</v>
      </c>
      <c r="R2387" s="1845">
        <f t="shared" si="664"/>
        <v>62406</v>
      </c>
      <c r="S2387" s="1834">
        <f t="shared" si="665"/>
        <v>59229</v>
      </c>
      <c r="T2387" s="1834">
        <f t="shared" si="666"/>
        <v>-3177</v>
      </c>
      <c r="U2387" s="1835">
        <f t="shared" si="667"/>
        <v>-5.0908566483991925E-2</v>
      </c>
      <c r="V2387" s="7" t="str">
        <f t="shared" si="668"/>
        <v>VEEV</v>
      </c>
      <c r="W2387" s="1702">
        <f t="shared" ca="1" si="669"/>
        <v>-1013</v>
      </c>
    </row>
    <row r="2388" spans="1:23" hidden="1" outlineLevel="1" x14ac:dyDescent="0.35">
      <c r="A2388" s="7" t="s">
        <v>496</v>
      </c>
      <c r="B2388" s="1362">
        <v>200</v>
      </c>
      <c r="C2388" s="1363">
        <v>12.1</v>
      </c>
      <c r="D2388" s="1363">
        <f>C2388*B2388</f>
        <v>2420</v>
      </c>
      <c r="E2388" s="1641">
        <f>U2388</f>
        <v>-6.8872643324355526E-2</v>
      </c>
      <c r="F2388" s="1486">
        <f t="shared" si="660"/>
        <v>8.9000621468832107E-3</v>
      </c>
      <c r="G2388" s="1494"/>
      <c r="H2388" s="1820"/>
      <c r="I2388" s="1876">
        <v>12.5</v>
      </c>
      <c r="J2388" s="1876">
        <f t="shared" si="661"/>
        <v>-0.40000000000000036</v>
      </c>
      <c r="K2388" s="3055" t="s">
        <v>497</v>
      </c>
      <c r="L2388" s="3055"/>
      <c r="M2388" s="3055"/>
      <c r="N2388" s="1489"/>
      <c r="O2388" s="1142">
        <f t="shared" ref="O2388:O2389" si="670">J2388*B2388</f>
        <v>-80.000000000000071</v>
      </c>
      <c r="P2388" s="3" t="s">
        <v>493</v>
      </c>
      <c r="Q2388" s="1345">
        <v>44217</v>
      </c>
      <c r="R2388" s="1845">
        <f t="shared" si="664"/>
        <v>2599</v>
      </c>
      <c r="S2388" s="1834">
        <f t="shared" si="665"/>
        <v>2420</v>
      </c>
      <c r="T2388" s="1834">
        <f t="shared" si="666"/>
        <v>-179</v>
      </c>
      <c r="U2388" s="1835">
        <f t="shared" si="667"/>
        <v>-6.8872643324355526E-2</v>
      </c>
      <c r="V2388" s="7" t="str">
        <f t="shared" si="668"/>
        <v>AAL</v>
      </c>
      <c r="W2388" s="1702">
        <f t="shared" ca="1" si="669"/>
        <v>-955</v>
      </c>
    </row>
    <row r="2389" spans="1:23" hidden="1" outlineLevel="1" x14ac:dyDescent="0.35">
      <c r="A2389" s="1084" t="s">
        <v>402</v>
      </c>
      <c r="B2389" s="1822">
        <v>200</v>
      </c>
      <c r="C2389" s="1823">
        <v>26.91</v>
      </c>
      <c r="D2389" s="1823">
        <f t="shared" ref="D2389" si="671">C2389*B2389</f>
        <v>5382</v>
      </c>
      <c r="E2389" s="1641">
        <f>(C2389-C2373)/C2373</f>
        <v>-3.7147102526008776E-4</v>
      </c>
      <c r="F2389" s="1486">
        <f t="shared" si="660"/>
        <v>1.9793443997737786E-2</v>
      </c>
      <c r="G2389" s="1494" t="s">
        <v>228</v>
      </c>
      <c r="H2389" s="1824" t="s">
        <v>449</v>
      </c>
      <c r="I2389" s="1876">
        <v>26.204999999999998</v>
      </c>
      <c r="J2389" s="1876">
        <f t="shared" si="661"/>
        <v>0.70500000000000185</v>
      </c>
      <c r="K2389" s="3055" t="s">
        <v>390</v>
      </c>
      <c r="L2389" s="3055"/>
      <c r="M2389" s="3055"/>
      <c r="N2389" s="1489" t="str">
        <f>A2389</f>
        <v>AVTR</v>
      </c>
      <c r="O2389" s="1142">
        <f t="shared" si="670"/>
        <v>141.00000000000037</v>
      </c>
      <c r="P2389" s="3" t="s">
        <v>493</v>
      </c>
      <c r="Q2389" s="1345">
        <f>"10/28/2020"+90</f>
        <v>44222</v>
      </c>
      <c r="R2389" s="1529">
        <f t="shared" si="664"/>
        <v>2424</v>
      </c>
      <c r="S2389" s="1510">
        <f t="shared" si="665"/>
        <v>5382</v>
      </c>
      <c r="T2389" s="1510">
        <f t="shared" si="666"/>
        <v>2958</v>
      </c>
      <c r="U2389" s="1530">
        <f t="shared" si="667"/>
        <v>1.2202970297029703</v>
      </c>
      <c r="V2389" s="7" t="str">
        <f t="shared" si="668"/>
        <v>AVTR</v>
      </c>
      <c r="W2389" s="1702">
        <f t="shared" ca="1" si="669"/>
        <v>-950</v>
      </c>
    </row>
    <row r="2390" spans="1:23" ht="16" hidden="1" outlineLevel="1" thickBot="1" x14ac:dyDescent="0.4">
      <c r="A2390" s="1880" t="s">
        <v>7</v>
      </c>
      <c r="B2390" s="56"/>
      <c r="C2390" s="1881"/>
      <c r="D2390" s="1881">
        <v>2061.14</v>
      </c>
      <c r="E2390" s="1588"/>
      <c r="F2390" s="1486"/>
      <c r="G2390" s="1788"/>
      <c r="H2390" s="1789"/>
      <c r="I2390" s="1789"/>
      <c r="J2390" s="1216"/>
      <c r="K2390" s="1633"/>
      <c r="L2390" s="1634"/>
      <c r="M2390" s="1634"/>
      <c r="O2390" s="1882">
        <f>SUM(O2382:O2389)</f>
        <v>15144.65952000001</v>
      </c>
      <c r="P2390" s="1883" t="s">
        <v>498</v>
      </c>
      <c r="R2390" s="1691">
        <f>SUM(R2383:R2389)</f>
        <v>249716.06640000001</v>
      </c>
      <c r="S2390" s="1691">
        <f>SUM(S2383:S2389)</f>
        <v>263462.32368000003</v>
      </c>
      <c r="T2390" s="1884">
        <f>SUM(T2382:T2389)</f>
        <v>13876.757279999993</v>
      </c>
      <c r="U2390" s="1810">
        <f>AVERAGE(U2382:U2389)</f>
        <v>0.32134625926139004</v>
      </c>
    </row>
    <row r="2391" spans="1:23" ht="16" hidden="1" outlineLevel="1" thickBot="1" x14ac:dyDescent="0.4">
      <c r="A2391" s="1880" t="s">
        <v>60</v>
      </c>
      <c r="B2391" s="56"/>
      <c r="C2391" s="1881"/>
      <c r="D2391" s="1881">
        <v>2259.75</v>
      </c>
      <c r="E2391" s="1794"/>
      <c r="F2391" s="1486"/>
      <c r="G2391" s="1734"/>
      <c r="H2391" s="1723"/>
      <c r="I2391" s="1796"/>
      <c r="J2391" s="61">
        <f>SUM(J2390:J2390)</f>
        <v>0</v>
      </c>
      <c r="K2391" s="1468"/>
      <c r="L2391" s="1151"/>
      <c r="M2391" s="1151"/>
      <c r="O2391" s="193">
        <f>D2392-O2390</f>
        <v>256763.55416000003</v>
      </c>
      <c r="S2391" s="1470" t="str">
        <f>IF(SUM(D2383:D2389)&lt;&gt;S2390,"Out of Balance","Balances")</f>
        <v>Balances</v>
      </c>
    </row>
    <row r="2392" spans="1:23" ht="19" hidden="1" outlineLevel="1" thickBot="1" x14ac:dyDescent="0.5">
      <c r="A2392" s="1797" t="s">
        <v>62</v>
      </c>
      <c r="B2392" s="1798"/>
      <c r="C2392" s="1868">
        <f>SUM(D2383:D2389,D2391)</f>
        <v>265722.07368000003</v>
      </c>
      <c r="D2392" s="1800">
        <f>SUM(D2382:D2391)</f>
        <v>271908.21368000004</v>
      </c>
      <c r="E2392" s="73">
        <f>D2392-D2377</f>
        <v>-25825.18988000002</v>
      </c>
      <c r="F2392" s="1537">
        <f>(D2392-D2377)/D2377</f>
        <v>-8.6739309634754014E-2</v>
      </c>
      <c r="G2392" s="72" t="s">
        <v>459</v>
      </c>
      <c r="H2392" s="1807">
        <f>E2392+E2377+E2363+E2352+E2340</f>
        <v>-16509.266039999959</v>
      </c>
      <c r="I2392" s="1848"/>
      <c r="J2392" s="1849"/>
      <c r="T2392" s="1885">
        <f>SUM(T2386:T2387)</f>
        <v>-764.74272000000929</v>
      </c>
    </row>
    <row r="2393" spans="1:23" hidden="1" outlineLevel="1" x14ac:dyDescent="0.35">
      <c r="B2393" s="106">
        <f>2259.75-D2391</f>
        <v>0</v>
      </c>
      <c r="D2393" s="1886" t="s">
        <v>499</v>
      </c>
      <c r="E2393" s="1887">
        <v>-35995.197560000059</v>
      </c>
    </row>
    <row r="2394" spans="1:23" ht="16" hidden="1" outlineLevel="1" thickBot="1" x14ac:dyDescent="0.4">
      <c r="A2394" s="1619" t="s">
        <v>25</v>
      </c>
      <c r="B2394" s="1620" t="s">
        <v>26</v>
      </c>
      <c r="C2394" s="1621" t="s">
        <v>27</v>
      </c>
      <c r="D2394" s="1622">
        <f>D2379+7</f>
        <v>44155</v>
      </c>
      <c r="E2394" s="1623" t="s">
        <v>28</v>
      </c>
      <c r="F2394" s="3036" t="s">
        <v>29</v>
      </c>
      <c r="G2394" s="3037"/>
      <c r="H2394" s="3038"/>
      <c r="I2394" s="1727"/>
      <c r="J2394" s="1182"/>
      <c r="K2394" s="1183" t="s">
        <v>233</v>
      </c>
      <c r="O2394" s="3072" t="s">
        <v>31</v>
      </c>
      <c r="P2394" s="3073"/>
      <c r="T2394" s="247">
        <f>SUM(T2397:T2399)</f>
        <v>22497.15</v>
      </c>
      <c r="U2394" s="1873">
        <f>T2394-T2379</f>
        <v>10765.15</v>
      </c>
    </row>
    <row r="2395" spans="1:23" ht="16" hidden="1" outlineLevel="1" thickBot="1" x14ac:dyDescent="0.4">
      <c r="A2395" s="1584" t="s">
        <v>32</v>
      </c>
      <c r="B2395" s="1585" t="str">
        <f ca="1">TEXT(TODAY(),"ddd")</f>
        <v>Sun</v>
      </c>
      <c r="C2395" s="1586">
        <v>29518</v>
      </c>
      <c r="D2395" s="1808">
        <f>C2395-C2380</f>
        <v>65</v>
      </c>
      <c r="E2395" s="1641">
        <f t="shared" ref="E2395:E2397" si="672">(C2395-C2380)/C2380</f>
        <v>2.2069059179030998E-3</v>
      </c>
      <c r="F2395" s="3039"/>
      <c r="G2395" s="3040"/>
      <c r="H2395" s="3041"/>
      <c r="I2395" s="1602"/>
      <c r="J2395" s="1602"/>
      <c r="K2395" s="1188" t="s">
        <v>234</v>
      </c>
      <c r="L2395" s="1220" t="s">
        <v>34</v>
      </c>
      <c r="M2395" s="111" t="s">
        <v>35</v>
      </c>
      <c r="N2395" s="2995"/>
      <c r="O2395" s="2996"/>
      <c r="P2395" s="2996"/>
      <c r="Q2395" s="2996"/>
      <c r="R2395" s="2996"/>
      <c r="S2395" s="2996"/>
      <c r="T2395" s="2996"/>
      <c r="U2395" s="3044"/>
    </row>
    <row r="2396" spans="1:23" hidden="1" outlineLevel="1" x14ac:dyDescent="0.35">
      <c r="A2396" s="709" t="s">
        <v>36</v>
      </c>
      <c r="B2396" s="419"/>
      <c r="C2396" s="419">
        <v>11907</v>
      </c>
      <c r="D2396" s="1808">
        <f>C2396-C2381</f>
        <v>119</v>
      </c>
      <c r="E2396" s="1641">
        <f t="shared" si="672"/>
        <v>1.0095011876484561E-2</v>
      </c>
      <c r="F2396" s="1744" t="s">
        <v>37</v>
      </c>
      <c r="G2396" s="1745" t="s">
        <v>38</v>
      </c>
      <c r="H2396" s="1746" t="s">
        <v>144</v>
      </c>
      <c r="I2396" s="1747" t="s">
        <v>441</v>
      </c>
      <c r="J2396" s="1748" t="s">
        <v>400</v>
      </c>
      <c r="K2396" s="3063" t="s">
        <v>42</v>
      </c>
      <c r="L2396" s="3064"/>
      <c r="M2396" s="3064"/>
      <c r="N2396" s="1830" t="s">
        <v>244</v>
      </c>
      <c r="Q2396" s="1831" t="s">
        <v>44</v>
      </c>
      <c r="R2396" s="1832" t="s">
        <v>45</v>
      </c>
      <c r="S2396" s="1832" t="s">
        <v>46</v>
      </c>
      <c r="T2396" s="1832" t="s">
        <v>47</v>
      </c>
      <c r="U2396" s="1833" t="s">
        <v>48</v>
      </c>
      <c r="W2396" s="1700" t="s">
        <v>446</v>
      </c>
    </row>
    <row r="2397" spans="1:23" hidden="1" outlineLevel="1" x14ac:dyDescent="0.35">
      <c r="A2397" s="7" t="s">
        <v>485</v>
      </c>
      <c r="B2397" s="1362">
        <v>475</v>
      </c>
      <c r="C2397" s="1363">
        <v>53.89</v>
      </c>
      <c r="D2397" s="1363">
        <f>C2397*B2397</f>
        <v>25597.75</v>
      </c>
      <c r="E2397" s="1641">
        <f t="shared" si="672"/>
        <v>2.9192727272727272</v>
      </c>
      <c r="F2397" s="1888">
        <f t="shared" ref="F2397:F2403" si="673">D2397/$D$2406</f>
        <v>9.0193236937714444E-2</v>
      </c>
      <c r="G2397" s="1494"/>
      <c r="H2397" s="1820"/>
      <c r="I2397" s="1889">
        <v>31.01</v>
      </c>
      <c r="J2397" s="1889">
        <v>7.620000000000001</v>
      </c>
      <c r="K2397" s="3055" t="s">
        <v>500</v>
      </c>
      <c r="L2397" s="3055"/>
      <c r="M2397" s="3055"/>
      <c r="N2397" s="1489" t="str">
        <f>A2397</f>
        <v>XPEV</v>
      </c>
      <c r="O2397" s="3"/>
      <c r="P2397" s="3"/>
      <c r="Q2397" s="1345">
        <f>"11/12/2020"+90</f>
        <v>44237</v>
      </c>
      <c r="R2397" s="1529">
        <f>B2397*RIGHT(K2397,6)</f>
        <v>14048.6</v>
      </c>
      <c r="S2397" s="1510">
        <f>D2397</f>
        <v>25597.75</v>
      </c>
      <c r="T2397" s="1510">
        <f>S2397-R2397</f>
        <v>11549.15</v>
      </c>
      <c r="U2397" s="1530">
        <f>(S2397-R2397)/R2397</f>
        <v>0.82208547470922366</v>
      </c>
      <c r="V2397" s="7" t="str">
        <f>A2397</f>
        <v>XPEV</v>
      </c>
      <c r="W2397" s="1702">
        <f t="shared" ref="W2397:W2403" ca="1" si="674">Q2397-TODAY()</f>
        <v>-935</v>
      </c>
    </row>
    <row r="2398" spans="1:23" hidden="1" outlineLevel="1" x14ac:dyDescent="0.35">
      <c r="A2398" s="1084" t="s">
        <v>483</v>
      </c>
      <c r="B2398" s="1822">
        <v>350</v>
      </c>
      <c r="C2398" s="1823">
        <v>38.119999999999997</v>
      </c>
      <c r="D2398" s="1823">
        <f t="shared" ref="D2398:D2399" si="675">C2398*B2398</f>
        <v>13342</v>
      </c>
      <c r="E2398" s="1890">
        <f>(C2398-C2383)/C2383</f>
        <v>0.26016528925619825</v>
      </c>
      <c r="F2398" s="1888">
        <f t="shared" si="673"/>
        <v>4.7010310172690417E-2</v>
      </c>
      <c r="G2398" s="1494"/>
      <c r="H2398" s="1820"/>
      <c r="I2398" s="1889">
        <v>23.18</v>
      </c>
      <c r="J2398" s="1889">
        <v>7.07</v>
      </c>
      <c r="K2398" s="3055" t="s">
        <v>484</v>
      </c>
      <c r="L2398" s="3055"/>
      <c r="M2398" s="3055"/>
      <c r="N2398" s="1489" t="str">
        <f t="shared" ref="N2398:N2399" si="676">A2398</f>
        <v>LI</v>
      </c>
      <c r="O2398" s="3"/>
      <c r="P2398" s="3"/>
      <c r="Q2398" s="1345">
        <f>"11/13/2020"+90</f>
        <v>44238</v>
      </c>
      <c r="R2398" s="1529">
        <f t="shared" ref="R2398:R2402" si="677">B2398*RIGHT(K2398,6)</f>
        <v>8001</v>
      </c>
      <c r="S2398" s="1510">
        <f t="shared" ref="S2398:S2403" si="678">D2398</f>
        <v>13342</v>
      </c>
      <c r="T2398" s="1510">
        <f t="shared" ref="T2398:T2403" si="679">S2398-R2398</f>
        <v>5341</v>
      </c>
      <c r="U2398" s="1530">
        <f t="shared" ref="U2398:U2403" si="680">(S2398-R2398)/R2398</f>
        <v>0.66754155730533682</v>
      </c>
      <c r="V2398" s="7" t="str">
        <f t="shared" ref="V2398:V2403" si="681">A2398</f>
        <v>LI</v>
      </c>
      <c r="W2398" s="1702">
        <f t="shared" ca="1" si="674"/>
        <v>-934</v>
      </c>
    </row>
    <row r="2399" spans="1:23" hidden="1" outlineLevel="1" x14ac:dyDescent="0.35">
      <c r="A2399" s="7" t="s">
        <v>487</v>
      </c>
      <c r="B2399" s="1362">
        <v>350</v>
      </c>
      <c r="C2399" s="1363">
        <v>49.25</v>
      </c>
      <c r="D2399" s="1363">
        <f t="shared" si="675"/>
        <v>17237.5</v>
      </c>
      <c r="E2399" s="1890">
        <f>(C2399-C2385)/C2385</f>
        <v>0.18190544756419483</v>
      </c>
      <c r="F2399" s="1888">
        <f t="shared" si="673"/>
        <v>6.0736038195304383E-2</v>
      </c>
      <c r="G2399" s="1494"/>
      <c r="H2399" s="1820"/>
      <c r="I2399" s="1889">
        <v>38.11</v>
      </c>
      <c r="J2399" s="1889">
        <v>3.5600000000000023</v>
      </c>
      <c r="K2399" s="3055" t="s">
        <v>488</v>
      </c>
      <c r="L2399" s="3055"/>
      <c r="M2399" s="3055"/>
      <c r="N2399" s="1489" t="str">
        <f t="shared" si="676"/>
        <v>NIO</v>
      </c>
      <c r="O2399" s="3"/>
      <c r="P2399" s="3"/>
      <c r="Q2399" s="1345">
        <f>"11/17/2020"+90</f>
        <v>44242</v>
      </c>
      <c r="R2399" s="1529">
        <f t="shared" si="677"/>
        <v>11630.499999999998</v>
      </c>
      <c r="S2399" s="1510">
        <f t="shared" si="678"/>
        <v>17237.5</v>
      </c>
      <c r="T2399" s="1510">
        <f t="shared" si="679"/>
        <v>5607.0000000000018</v>
      </c>
      <c r="U2399" s="1530">
        <f t="shared" si="680"/>
        <v>0.48209449292807727</v>
      </c>
      <c r="V2399" s="7" t="str">
        <f t="shared" si="681"/>
        <v>NIO</v>
      </c>
      <c r="W2399" s="1702">
        <f t="shared" ca="1" si="674"/>
        <v>-930</v>
      </c>
    </row>
    <row r="2400" spans="1:23" hidden="1" outlineLevel="1" x14ac:dyDescent="0.35">
      <c r="A2400" s="1084" t="s">
        <v>49</v>
      </c>
      <c r="B2400" s="1822">
        <v>300.03199999999998</v>
      </c>
      <c r="C2400" s="1823">
        <v>523.51</v>
      </c>
      <c r="D2400" s="1823">
        <f>C2400*B2400</f>
        <v>157069.75232</v>
      </c>
      <c r="E2400" s="1641">
        <f>(C2400-C2386)/C2386</f>
        <v>-4.2416403545479098E-3</v>
      </c>
      <c r="F2400" s="1888">
        <f t="shared" si="673"/>
        <v>0.55343260195704247</v>
      </c>
      <c r="G2400" s="1494">
        <v>89</v>
      </c>
      <c r="H2400" s="1820" t="s">
        <v>468</v>
      </c>
      <c r="I2400" s="1889">
        <v>505.13</v>
      </c>
      <c r="J2400" s="1889">
        <v>20.610000000000014</v>
      </c>
      <c r="K2400" s="3055" t="s">
        <v>469</v>
      </c>
      <c r="L2400" s="3055"/>
      <c r="M2400" s="3055"/>
      <c r="N2400" s="1489" t="str">
        <f>A2400</f>
        <v>NVDA</v>
      </c>
      <c r="O2400" s="3"/>
      <c r="P2400" s="3"/>
      <c r="Q2400" s="1345">
        <v>44238</v>
      </c>
      <c r="R2400" s="1529">
        <f t="shared" si="677"/>
        <v>155326.56640000001</v>
      </c>
      <c r="S2400" s="1510">
        <f t="shared" si="678"/>
        <v>157069.75232</v>
      </c>
      <c r="T2400" s="1510">
        <f t="shared" si="679"/>
        <v>1743.185919999989</v>
      </c>
      <c r="U2400" s="1530">
        <f t="shared" si="680"/>
        <v>1.1222715858605297E-2</v>
      </c>
      <c r="V2400" s="7" t="str">
        <f t="shared" si="681"/>
        <v>NVDA</v>
      </c>
      <c r="W2400" s="1702">
        <f t="shared" ca="1" si="674"/>
        <v>-934</v>
      </c>
    </row>
    <row r="2401" spans="1:23" hidden="1" outlineLevel="1" x14ac:dyDescent="0.35">
      <c r="A2401" s="7" t="s">
        <v>65</v>
      </c>
      <c r="B2401" s="1362">
        <v>225</v>
      </c>
      <c r="C2401" s="1363">
        <v>274.25</v>
      </c>
      <c r="D2401" s="1363">
        <f>C2401*B2401</f>
        <v>61706.25</v>
      </c>
      <c r="E2401" s="1641">
        <f>(C2401-C2387)/C2387</f>
        <v>4.1824950615407953E-2</v>
      </c>
      <c r="F2401" s="1888">
        <f t="shared" si="673"/>
        <v>0.21742092280719369</v>
      </c>
      <c r="G2401" s="1494">
        <v>128</v>
      </c>
      <c r="H2401" s="1820" t="s">
        <v>450</v>
      </c>
      <c r="I2401" s="1889">
        <v>253.42</v>
      </c>
      <c r="J2401" s="1889">
        <v>9.8200000000000216</v>
      </c>
      <c r="K2401" s="3055" t="s">
        <v>466</v>
      </c>
      <c r="L2401" s="3055"/>
      <c r="M2401" s="3055"/>
      <c r="N2401" s="1489" t="str">
        <f>A2401</f>
        <v>VEEV</v>
      </c>
      <c r="O2401" s="3"/>
      <c r="P2401" s="3"/>
      <c r="Q2401" s="1345">
        <v>44166</v>
      </c>
      <c r="R2401" s="1845">
        <f t="shared" si="677"/>
        <v>62406</v>
      </c>
      <c r="S2401" s="1834">
        <f t="shared" si="678"/>
        <v>61706.25</v>
      </c>
      <c r="T2401" s="1834">
        <f t="shared" si="679"/>
        <v>-699.75</v>
      </c>
      <c r="U2401" s="1835">
        <f t="shared" si="680"/>
        <v>-1.1212864147678107E-2</v>
      </c>
      <c r="V2401" s="7" t="str">
        <f t="shared" si="681"/>
        <v>VEEV</v>
      </c>
      <c r="W2401" s="1702">
        <f t="shared" ca="1" si="674"/>
        <v>-1006</v>
      </c>
    </row>
    <row r="2402" spans="1:23" hidden="1" outlineLevel="1" x14ac:dyDescent="0.35">
      <c r="A2402" s="1084" t="s">
        <v>402</v>
      </c>
      <c r="B2402" s="1822">
        <v>200</v>
      </c>
      <c r="C2402" s="1823">
        <v>25.92</v>
      </c>
      <c r="D2402" s="1823">
        <f t="shared" ref="D2402:D2403" si="682">C2402*B2402</f>
        <v>5184</v>
      </c>
      <c r="E2402" s="1641">
        <f>(C2402-C2389)/C2389</f>
        <v>-3.6789297658862817E-2</v>
      </c>
      <c r="F2402" s="1888">
        <f t="shared" si="673"/>
        <v>1.8265735866828597E-2</v>
      </c>
      <c r="G2402" s="1494" t="s">
        <v>228</v>
      </c>
      <c r="H2402" s="1824" t="s">
        <v>449</v>
      </c>
      <c r="I2402" s="1889">
        <v>26.204999999999998</v>
      </c>
      <c r="J2402" s="1889">
        <v>0.70500000000000185</v>
      </c>
      <c r="K2402" s="3055" t="s">
        <v>390</v>
      </c>
      <c r="L2402" s="3055"/>
      <c r="M2402" s="3055"/>
      <c r="N2402" s="1489" t="str">
        <f>A2402</f>
        <v>AVTR</v>
      </c>
      <c r="O2402" s="3"/>
      <c r="P2402" s="3"/>
      <c r="Q2402" s="1345">
        <v>44232</v>
      </c>
      <c r="R2402" s="1529">
        <f t="shared" si="677"/>
        <v>2424</v>
      </c>
      <c r="S2402" s="1510">
        <f t="shared" si="678"/>
        <v>5184</v>
      </c>
      <c r="T2402" s="1510">
        <f t="shared" si="679"/>
        <v>2760</v>
      </c>
      <c r="U2402" s="1530">
        <f t="shared" si="680"/>
        <v>1.1386138613861385</v>
      </c>
      <c r="V2402" s="7" t="str">
        <f t="shared" si="681"/>
        <v>AVTR</v>
      </c>
      <c r="W2402" s="1702">
        <f t="shared" ca="1" si="674"/>
        <v>-940</v>
      </c>
    </row>
    <row r="2403" spans="1:23" hidden="1" outlineLevel="1" x14ac:dyDescent="0.35">
      <c r="A2403" s="7" t="s">
        <v>501</v>
      </c>
      <c r="B2403" s="1362">
        <v>200</v>
      </c>
      <c r="C2403" s="1363">
        <v>5.54</v>
      </c>
      <c r="D2403" s="1363">
        <f t="shared" si="682"/>
        <v>1108</v>
      </c>
      <c r="E2403" s="1641"/>
      <c r="F2403" s="1888">
        <f t="shared" si="673"/>
        <v>3.904019162894692E-3</v>
      </c>
      <c r="G2403" s="1494"/>
      <c r="H2403" s="1820"/>
      <c r="I2403" s="1889"/>
      <c r="J2403" s="1889"/>
      <c r="K2403" s="3055" t="s">
        <v>502</v>
      </c>
      <c r="L2403" s="3055"/>
      <c r="M2403" s="3055"/>
      <c r="N2403" s="1489" t="str">
        <f>A2403</f>
        <v>FCEL</v>
      </c>
      <c r="O2403" s="3"/>
      <c r="P2403" s="3"/>
      <c r="Q2403" s="1345">
        <v>44216</v>
      </c>
      <c r="R2403" s="1529">
        <f>B2403*RIGHT(K2403,5)</f>
        <v>622</v>
      </c>
      <c r="S2403" s="1510">
        <f t="shared" si="678"/>
        <v>1108</v>
      </c>
      <c r="T2403" s="1510">
        <f t="shared" si="679"/>
        <v>486</v>
      </c>
      <c r="U2403" s="1530">
        <f t="shared" si="680"/>
        <v>0.7813504823151125</v>
      </c>
      <c r="V2403" s="7" t="str">
        <f t="shared" si="681"/>
        <v>FCEL</v>
      </c>
      <c r="W2403" s="1702">
        <f t="shared" ca="1" si="674"/>
        <v>-956</v>
      </c>
    </row>
    <row r="2404" spans="1:23" ht="16" hidden="1" outlineLevel="1" thickBot="1" x14ac:dyDescent="0.4">
      <c r="A2404" s="1880" t="s">
        <v>7</v>
      </c>
      <c r="B2404" s="56"/>
      <c r="C2404" s="1881"/>
      <c r="D2404" s="1881">
        <v>2087.44</v>
      </c>
      <c r="E2404" s="1588"/>
      <c r="F2404" s="1486"/>
      <c r="G2404" s="1788"/>
      <c r="H2404" s="1789"/>
      <c r="I2404" s="1789"/>
      <c r="J2404" s="1216"/>
      <c r="K2404" s="1633"/>
      <c r="L2404" s="1634"/>
      <c r="M2404" s="1634"/>
      <c r="R2404" s="1691">
        <f>SUM(R2398:R2402)</f>
        <v>239788.06640000001</v>
      </c>
      <c r="S2404" s="1691">
        <f>SUM(S2398:S2403)</f>
        <v>255647.50232</v>
      </c>
      <c r="T2404" s="1691">
        <f>SUM(T2397:T2403)</f>
        <v>26786.58591999999</v>
      </c>
      <c r="U2404" s="1810">
        <f>AVERAGE(U2397:U2403)</f>
        <v>0.55595653147925939</v>
      </c>
    </row>
    <row r="2405" spans="1:23" ht="16" hidden="1" outlineLevel="1" thickBot="1" x14ac:dyDescent="0.4">
      <c r="A2405" s="1880" t="s">
        <v>60</v>
      </c>
      <c r="B2405" s="56"/>
      <c r="C2405" s="1881"/>
      <c r="D2405" s="1881">
        <v>477.39</v>
      </c>
      <c r="E2405" s="1794"/>
      <c r="F2405" s="1486"/>
      <c r="G2405" s="1734"/>
      <c r="H2405" s="1723"/>
      <c r="I2405" s="1796"/>
      <c r="J2405" s="61">
        <f>SUM(J2404:J2404)</f>
        <v>0</v>
      </c>
      <c r="K2405" s="1468"/>
      <c r="L2405" s="1151"/>
      <c r="M2405" s="1151"/>
      <c r="S2405" s="1470" t="str">
        <f>IF(SUM(D2398:D2403)&lt;&gt;S2404,"Out of Balance","Balances")</f>
        <v>Balances</v>
      </c>
    </row>
    <row r="2406" spans="1:23" ht="19" hidden="1" outlineLevel="1" thickBot="1" x14ac:dyDescent="0.5">
      <c r="A2406" s="1797" t="s">
        <v>62</v>
      </c>
      <c r="B2406" s="1798"/>
      <c r="C2406" s="1868">
        <f>SUM(D2398:D2402,D2405)</f>
        <v>255016.89232000001</v>
      </c>
      <c r="D2406" s="1804">
        <f>SUM(D2397:D2405)</f>
        <v>283810.08231999999</v>
      </c>
      <c r="E2406" s="1805">
        <f>D2406-D2392</f>
        <v>11901.868639999942</v>
      </c>
      <c r="F2406" s="1871">
        <f>(D2406-D2392)/D2392</f>
        <v>4.3771640727289195E-2</v>
      </c>
      <c r="G2406" s="72" t="s">
        <v>459</v>
      </c>
      <c r="H2406" s="1807">
        <f>E2406+E2392+E2377+E2363+E2352</f>
        <v>-10947.511800000037</v>
      </c>
      <c r="I2406" s="1891">
        <f>SUM(E2406,E2392,E2377,E2363,E2352,E2340,E2328,E2316,E2304,E2292,E2280,E2268,E2254,E2240,E2226,E2212,E2198,E2184,E2173,E2160,E2149,E2135,E2121,E2105,E2089,E2074,E2059,E2044,E2029,E2014,E1999,E1984,E1969,E1954,E1939,E1924,E1910,E1896,E1882,E1871,E1859,E1847,E1835)</f>
        <v>30041.481879999978</v>
      </c>
      <c r="J2406" s="1849" t="s">
        <v>233</v>
      </c>
    </row>
    <row r="2407" spans="1:23" hidden="1" outlineLevel="1" x14ac:dyDescent="0.35">
      <c r="A2407" s="3076" t="s">
        <v>503</v>
      </c>
      <c r="B2407" s="3077"/>
      <c r="C2407" s="3077"/>
      <c r="D2407" s="3077"/>
      <c r="E2407" s="3077"/>
      <c r="F2407" s="3077"/>
      <c r="G2407" s="3077"/>
      <c r="H2407" s="3077"/>
      <c r="I2407" s="3077"/>
      <c r="J2407" s="3078"/>
    </row>
    <row r="2408" spans="1:23" ht="16" hidden="1" outlineLevel="1" thickBot="1" x14ac:dyDescent="0.4">
      <c r="A2408" s="3079"/>
      <c r="B2408" s="3080"/>
      <c r="C2408" s="3080"/>
      <c r="D2408" s="3080"/>
      <c r="E2408" s="3080"/>
      <c r="F2408" s="3080"/>
      <c r="G2408" s="3080"/>
      <c r="H2408" s="3080"/>
      <c r="I2408" s="3080"/>
      <c r="J2408" s="3081"/>
    </row>
    <row r="2409" spans="1:23" hidden="1" outlineLevel="1" x14ac:dyDescent="0.35"/>
    <row r="2410" spans="1:23" ht="16" hidden="1" outlineLevel="1" thickBot="1" x14ac:dyDescent="0.4">
      <c r="A2410" s="1619" t="s">
        <v>25</v>
      </c>
      <c r="B2410" s="1620" t="s">
        <v>26</v>
      </c>
      <c r="C2410" s="1621" t="s">
        <v>27</v>
      </c>
      <c r="D2410" s="1622">
        <f>D2394+7</f>
        <v>44162</v>
      </c>
      <c r="E2410" s="1623" t="s">
        <v>28</v>
      </c>
      <c r="F2410" s="3036" t="s">
        <v>29</v>
      </c>
      <c r="G2410" s="3037"/>
      <c r="H2410" s="3038"/>
      <c r="I2410" s="1727"/>
      <c r="J2410" s="1182"/>
      <c r="K2410" s="1183" t="s">
        <v>233</v>
      </c>
      <c r="O2410" s="3072" t="s">
        <v>31</v>
      </c>
      <c r="P2410" s="3073"/>
      <c r="T2410" s="247">
        <f>SUM(T2413:T2415)</f>
        <v>29577.9</v>
      </c>
      <c r="U2410" s="1873">
        <f>T2410-T2394</f>
        <v>7080.75</v>
      </c>
      <c r="V2410" s="247">
        <f>T2410-T2365</f>
        <v>20523.400000000001</v>
      </c>
    </row>
    <row r="2411" spans="1:23" ht="16" hidden="1" outlineLevel="1" thickBot="1" x14ac:dyDescent="0.4">
      <c r="A2411" s="1584" t="s">
        <v>32</v>
      </c>
      <c r="B2411" s="1585" t="str">
        <f ca="1">TEXT(TODAY(),"ddd")</f>
        <v>Sun</v>
      </c>
      <c r="C2411" s="1586">
        <v>30037</v>
      </c>
      <c r="D2411" s="1808">
        <f>C2411-C2395</f>
        <v>519</v>
      </c>
      <c r="E2411" s="1641">
        <f t="shared" ref="E2411:E2419" si="683">(C2411-C2395)/C2395</f>
        <v>1.7582492038756014E-2</v>
      </c>
      <c r="F2411" s="3039"/>
      <c r="G2411" s="3040"/>
      <c r="H2411" s="3041"/>
      <c r="I2411" s="1602"/>
      <c r="J2411" s="1602"/>
      <c r="K2411" s="1188" t="s">
        <v>234</v>
      </c>
      <c r="L2411" s="1220" t="s">
        <v>34</v>
      </c>
      <c r="M2411" s="111" t="s">
        <v>35</v>
      </c>
      <c r="N2411" s="2995"/>
      <c r="O2411" s="2996"/>
      <c r="P2411" s="2996"/>
      <c r="Q2411" s="2996"/>
      <c r="R2411" s="2996"/>
      <c r="S2411" s="2996"/>
      <c r="T2411" s="2996"/>
      <c r="U2411" s="3044"/>
    </row>
    <row r="2412" spans="1:23" hidden="1" outlineLevel="1" x14ac:dyDescent="0.35">
      <c r="A2412" s="709" t="s">
        <v>36</v>
      </c>
      <c r="B2412" s="419"/>
      <c r="C2412" s="419">
        <v>12030</v>
      </c>
      <c r="D2412" s="1808">
        <f>C2412-C2396</f>
        <v>123</v>
      </c>
      <c r="E2412" s="1641">
        <f t="shared" si="683"/>
        <v>1.0330057949105569E-2</v>
      </c>
      <c r="F2412" s="1744" t="s">
        <v>37</v>
      </c>
      <c r="G2412" s="1745" t="s">
        <v>38</v>
      </c>
      <c r="H2412" s="1746" t="s">
        <v>144</v>
      </c>
      <c r="I2412" s="1747" t="s">
        <v>441</v>
      </c>
      <c r="J2412" s="1748" t="s">
        <v>400</v>
      </c>
      <c r="K2412" s="3063" t="s">
        <v>42</v>
      </c>
      <c r="L2412" s="3064"/>
      <c r="M2412" s="3064"/>
      <c r="N2412" s="1830" t="s">
        <v>244</v>
      </c>
      <c r="Q2412" s="1831" t="s">
        <v>44</v>
      </c>
      <c r="R2412" s="1832" t="s">
        <v>45</v>
      </c>
      <c r="S2412" s="1832" t="s">
        <v>46</v>
      </c>
      <c r="T2412" s="1832" t="s">
        <v>47</v>
      </c>
      <c r="U2412" s="1833" t="s">
        <v>48</v>
      </c>
      <c r="W2412" s="1700" t="s">
        <v>446</v>
      </c>
    </row>
    <row r="2413" spans="1:23" hidden="1" outlineLevel="1" x14ac:dyDescent="0.35">
      <c r="A2413" s="7" t="s">
        <v>485</v>
      </c>
      <c r="B2413" s="1362">
        <v>475</v>
      </c>
      <c r="C2413" s="1363">
        <f>58.12+6.16</f>
        <v>64.28</v>
      </c>
      <c r="D2413" s="1363">
        <f>C2413*B2413</f>
        <v>30533</v>
      </c>
      <c r="E2413" s="1890">
        <f t="shared" si="683"/>
        <v>0.19280014845054741</v>
      </c>
      <c r="F2413" s="1892">
        <f t="shared" ref="F2413:F2420" si="684">D2413/$D$2423</f>
        <v>0.10384950107420905</v>
      </c>
      <c r="G2413" s="1494"/>
      <c r="H2413" s="1820"/>
      <c r="I2413" s="1889">
        <v>31.01</v>
      </c>
      <c r="J2413" s="1889">
        <v>7.620000000000001</v>
      </c>
      <c r="K2413" s="3055" t="s">
        <v>500</v>
      </c>
      <c r="L2413" s="3055"/>
      <c r="M2413" s="3055"/>
      <c r="N2413" s="1489" t="str">
        <f>A2413</f>
        <v>XPEV</v>
      </c>
      <c r="O2413" s="3"/>
      <c r="P2413" s="3"/>
      <c r="Q2413" s="1345">
        <f>"11/12/2020"+90</f>
        <v>44237</v>
      </c>
      <c r="R2413" s="1529">
        <f>B2413*RIGHT(K2413,6)</f>
        <v>14048.6</v>
      </c>
      <c r="S2413" s="1510">
        <f>D2413</f>
        <v>30533</v>
      </c>
      <c r="T2413" s="1510">
        <f>S2413-R2413</f>
        <v>16484.400000000001</v>
      </c>
      <c r="U2413" s="1530">
        <f>(S2413-R2413)/R2413</f>
        <v>1.1733838247227482</v>
      </c>
      <c r="V2413" s="7" t="str">
        <f>A2413</f>
        <v>XPEV</v>
      </c>
      <c r="W2413" s="1893">
        <f t="shared" ref="W2413:W2420" ca="1" si="685">Q2413-TODAY()</f>
        <v>-935</v>
      </c>
    </row>
    <row r="2414" spans="1:23" hidden="1" outlineLevel="1" x14ac:dyDescent="0.35">
      <c r="A2414" s="1084" t="s">
        <v>483</v>
      </c>
      <c r="B2414" s="1822">
        <v>350</v>
      </c>
      <c r="C2414" s="1823">
        <f>36.56+2.94</f>
        <v>39.5</v>
      </c>
      <c r="D2414" s="1823">
        <f t="shared" ref="D2414:D2415" si="686">C2414*B2414</f>
        <v>13825</v>
      </c>
      <c r="E2414" s="1890">
        <f t="shared" si="683"/>
        <v>3.620146904512074E-2</v>
      </c>
      <c r="F2414" s="1892">
        <f t="shared" si="684"/>
        <v>4.7021889508104021E-2</v>
      </c>
      <c r="G2414" s="1494"/>
      <c r="H2414" s="1820"/>
      <c r="I2414" s="1889">
        <v>23.18</v>
      </c>
      <c r="J2414" s="1889">
        <v>7.07</v>
      </c>
      <c r="K2414" s="3055" t="s">
        <v>484</v>
      </c>
      <c r="L2414" s="3055"/>
      <c r="M2414" s="3055"/>
      <c r="N2414" s="1489" t="str">
        <f t="shared" ref="N2414:N2415" si="687">A2414</f>
        <v>LI</v>
      </c>
      <c r="O2414" s="3"/>
      <c r="P2414" s="3"/>
      <c r="Q2414" s="1345">
        <f>"11/13/2020"+90</f>
        <v>44238</v>
      </c>
      <c r="R2414" s="1529">
        <f t="shared" ref="R2414:R2418" si="688">B2414*RIGHT(K2414,6)</f>
        <v>8001</v>
      </c>
      <c r="S2414" s="1510">
        <f t="shared" ref="S2414:S2419" si="689">D2414</f>
        <v>13825</v>
      </c>
      <c r="T2414" s="1510">
        <f t="shared" ref="T2414:T2420" si="690">S2414-R2414</f>
        <v>5824</v>
      </c>
      <c r="U2414" s="1530">
        <f t="shared" ref="U2414:U2420" si="691">(S2414-R2414)/R2414</f>
        <v>0.72790901137357833</v>
      </c>
      <c r="V2414" s="7" t="str">
        <f t="shared" ref="V2414:V2420" si="692">A2414</f>
        <v>LI</v>
      </c>
      <c r="W2414" s="1893">
        <f t="shared" ca="1" si="685"/>
        <v>-934</v>
      </c>
    </row>
    <row r="2415" spans="1:23" hidden="1" outlineLevel="1" x14ac:dyDescent="0.35">
      <c r="A2415" s="7" t="s">
        <v>487</v>
      </c>
      <c r="B2415" s="1362">
        <v>350</v>
      </c>
      <c r="C2415" s="1363">
        <f>51.61+2.39</f>
        <v>54</v>
      </c>
      <c r="D2415" s="1363">
        <f t="shared" si="686"/>
        <v>18900</v>
      </c>
      <c r="E2415" s="1890">
        <f t="shared" si="683"/>
        <v>9.6446700507614211E-2</v>
      </c>
      <c r="F2415" s="1892">
        <f t="shared" si="684"/>
        <v>6.4283089454116898E-2</v>
      </c>
      <c r="G2415" s="1494"/>
      <c r="H2415" s="1820"/>
      <c r="I2415" s="1889">
        <v>38.11</v>
      </c>
      <c r="J2415" s="1889">
        <v>3.5600000000000023</v>
      </c>
      <c r="K2415" s="3055" t="s">
        <v>488</v>
      </c>
      <c r="L2415" s="3055"/>
      <c r="M2415" s="3055"/>
      <c r="N2415" s="1489" t="str">
        <f t="shared" si="687"/>
        <v>NIO</v>
      </c>
      <c r="O2415" s="3"/>
      <c r="P2415" s="3"/>
      <c r="Q2415" s="1345">
        <f>"11/17/2020"+90</f>
        <v>44242</v>
      </c>
      <c r="R2415" s="1529">
        <f t="shared" si="688"/>
        <v>11630.499999999998</v>
      </c>
      <c r="S2415" s="1510">
        <f t="shared" si="689"/>
        <v>18900</v>
      </c>
      <c r="T2415" s="1510">
        <f t="shared" si="690"/>
        <v>7269.5000000000018</v>
      </c>
      <c r="U2415" s="1530">
        <f t="shared" si="691"/>
        <v>0.62503761661149593</v>
      </c>
      <c r="V2415" s="7" t="str">
        <f t="shared" si="692"/>
        <v>NIO</v>
      </c>
      <c r="W2415" s="1893">
        <f t="shared" ca="1" si="685"/>
        <v>-930</v>
      </c>
    </row>
    <row r="2416" spans="1:23" hidden="1" outlineLevel="1" x14ac:dyDescent="0.35">
      <c r="A2416" s="1084" t="s">
        <v>49</v>
      </c>
      <c r="B2416" s="1822">
        <v>300.03199999999998</v>
      </c>
      <c r="C2416" s="1823">
        <f>525.14+5.32</f>
        <v>530.46</v>
      </c>
      <c r="D2416" s="1823">
        <f>C2416*B2416</f>
        <v>159154.97472</v>
      </c>
      <c r="E2416" s="1641">
        <f t="shared" si="683"/>
        <v>1.327577314664485E-2</v>
      </c>
      <c r="F2416" s="1892">
        <f t="shared" si="684"/>
        <v>0.54132134798907261</v>
      </c>
      <c r="G2416" s="1494">
        <v>89</v>
      </c>
      <c r="H2416" s="1820" t="s">
        <v>468</v>
      </c>
      <c r="I2416" s="1889">
        <v>505.13</v>
      </c>
      <c r="J2416" s="1889">
        <v>20.610000000000014</v>
      </c>
      <c r="K2416" s="3055" t="s">
        <v>469</v>
      </c>
      <c r="L2416" s="3055"/>
      <c r="M2416" s="3055"/>
      <c r="N2416" s="1489" t="str">
        <f>A2416</f>
        <v>NVDA</v>
      </c>
      <c r="O2416" s="3"/>
      <c r="P2416" s="3"/>
      <c r="Q2416" s="1345">
        <v>44238</v>
      </c>
      <c r="R2416" s="1529">
        <f t="shared" si="688"/>
        <v>155326.56640000001</v>
      </c>
      <c r="S2416" s="1510">
        <f t="shared" si="689"/>
        <v>159154.97472</v>
      </c>
      <c r="T2416" s="1510">
        <f t="shared" si="690"/>
        <v>3828.4083199999877</v>
      </c>
      <c r="U2416" s="1530">
        <f t="shared" si="691"/>
        <v>2.4647479235078151E-2</v>
      </c>
      <c r="V2416" s="7" t="str">
        <f t="shared" si="692"/>
        <v>NVDA</v>
      </c>
      <c r="W2416" s="1893">
        <f t="shared" ca="1" si="685"/>
        <v>-934</v>
      </c>
    </row>
    <row r="2417" spans="1:27" hidden="1" outlineLevel="1" x14ac:dyDescent="0.35">
      <c r="A2417" s="7" t="s">
        <v>65</v>
      </c>
      <c r="B2417" s="1362">
        <v>200</v>
      </c>
      <c r="C2417" s="1363">
        <f>276.68-0.23</f>
        <v>276.45</v>
      </c>
      <c r="D2417" s="1363">
        <f>C2417*B2417</f>
        <v>55290</v>
      </c>
      <c r="E2417" s="1641">
        <f t="shared" si="683"/>
        <v>8.0218778486781713E-3</v>
      </c>
      <c r="F2417" s="1892">
        <f t="shared" si="684"/>
        <v>0.18805354581577371</v>
      </c>
      <c r="G2417" s="1494">
        <v>128</v>
      </c>
      <c r="H2417" s="1820" t="s">
        <v>450</v>
      </c>
      <c r="I2417" s="1889">
        <v>253.42</v>
      </c>
      <c r="J2417" s="1889">
        <v>9.8200000000000216</v>
      </c>
      <c r="K2417" s="3055" t="s">
        <v>466</v>
      </c>
      <c r="L2417" s="3055"/>
      <c r="M2417" s="3055"/>
      <c r="N2417" s="1489" t="str">
        <f>A2417</f>
        <v>VEEV</v>
      </c>
      <c r="O2417" s="3"/>
      <c r="P2417" s="3"/>
      <c r="Q2417" s="1345">
        <v>44166</v>
      </c>
      <c r="R2417" s="1529">
        <f t="shared" si="688"/>
        <v>55472</v>
      </c>
      <c r="S2417" s="1510">
        <f t="shared" si="689"/>
        <v>55290</v>
      </c>
      <c r="T2417" s="1510">
        <f t="shared" si="690"/>
        <v>-182</v>
      </c>
      <c r="U2417" s="1530">
        <f t="shared" si="691"/>
        <v>-3.2809345255263916E-3</v>
      </c>
      <c r="V2417" s="7" t="str">
        <f t="shared" si="692"/>
        <v>VEEV</v>
      </c>
      <c r="W2417" s="1893">
        <f t="shared" ca="1" si="685"/>
        <v>-1006</v>
      </c>
    </row>
    <row r="2418" spans="1:27" hidden="1" outlineLevel="1" x14ac:dyDescent="0.35">
      <c r="A2418" s="1084" t="s">
        <v>402</v>
      </c>
      <c r="B2418" s="1822">
        <v>200</v>
      </c>
      <c r="C2418" s="1823">
        <f>26.7-0.35</f>
        <v>26.349999999999998</v>
      </c>
      <c r="D2418" s="1823">
        <f t="shared" ref="D2418:D2420" si="693">C2418*B2418</f>
        <v>5270</v>
      </c>
      <c r="E2418" s="1641">
        <f t="shared" si="683"/>
        <v>1.6589506172839358E-2</v>
      </c>
      <c r="F2418" s="1892">
        <f t="shared" si="684"/>
        <v>1.7924438170539472E-2</v>
      </c>
      <c r="G2418" s="1494" t="s">
        <v>228</v>
      </c>
      <c r="H2418" s="1824" t="s">
        <v>449</v>
      </c>
      <c r="I2418" s="1889">
        <v>26.204999999999998</v>
      </c>
      <c r="J2418" s="1889">
        <v>0.70500000000000185</v>
      </c>
      <c r="K2418" s="3055" t="s">
        <v>390</v>
      </c>
      <c r="L2418" s="3055"/>
      <c r="M2418" s="3055"/>
      <c r="N2418" s="1489" t="str">
        <f>A2418</f>
        <v>AVTR</v>
      </c>
      <c r="O2418" s="3"/>
      <c r="P2418" s="3"/>
      <c r="Q2418" s="1345">
        <v>44232</v>
      </c>
      <c r="R2418" s="1529">
        <f t="shared" si="688"/>
        <v>2424</v>
      </c>
      <c r="S2418" s="1510">
        <f t="shared" si="689"/>
        <v>5270</v>
      </c>
      <c r="T2418" s="1510">
        <f t="shared" si="690"/>
        <v>2846</v>
      </c>
      <c r="U2418" s="1530">
        <f t="shared" si="691"/>
        <v>1.1740924092409242</v>
      </c>
      <c r="V2418" s="7" t="str">
        <f t="shared" si="692"/>
        <v>AVTR</v>
      </c>
      <c r="W2418" s="1893">
        <f t="shared" ca="1" si="685"/>
        <v>-940</v>
      </c>
    </row>
    <row r="2419" spans="1:27" hidden="1" outlineLevel="1" x14ac:dyDescent="0.35">
      <c r="A2419" s="7" t="s">
        <v>501</v>
      </c>
      <c r="B2419" s="1362">
        <v>200</v>
      </c>
      <c r="C2419" s="1363">
        <f>10.07-0.37</f>
        <v>9.7000000000000011</v>
      </c>
      <c r="D2419" s="1363">
        <f t="shared" si="693"/>
        <v>1940.0000000000002</v>
      </c>
      <c r="E2419" s="1641">
        <f t="shared" si="683"/>
        <v>0.75090252707581251</v>
      </c>
      <c r="F2419" s="1892">
        <f t="shared" si="684"/>
        <v>6.5983700286236392E-3</v>
      </c>
      <c r="G2419" s="1494"/>
      <c r="H2419" s="1820"/>
      <c r="I2419" s="1889"/>
      <c r="J2419" s="1889"/>
      <c r="K2419" s="3055" t="s">
        <v>502</v>
      </c>
      <c r="L2419" s="3055"/>
      <c r="M2419" s="3055"/>
      <c r="N2419" s="1489" t="str">
        <f>A2419</f>
        <v>FCEL</v>
      </c>
      <c r="O2419" s="3"/>
      <c r="P2419" s="3"/>
      <c r="Q2419" s="1345">
        <v>44216</v>
      </c>
      <c r="R2419" s="1529"/>
      <c r="S2419" s="1510">
        <f t="shared" si="689"/>
        <v>1940.0000000000002</v>
      </c>
      <c r="T2419" s="1510">
        <f t="shared" si="690"/>
        <v>1940.0000000000002</v>
      </c>
      <c r="U2419" s="1530"/>
      <c r="V2419" s="7" t="str">
        <f t="shared" si="692"/>
        <v>FCEL</v>
      </c>
      <c r="W2419" s="1893">
        <f t="shared" ca="1" si="685"/>
        <v>-956</v>
      </c>
    </row>
    <row r="2420" spans="1:27" hidden="1" outlineLevel="1" x14ac:dyDescent="0.35">
      <c r="A2420" s="1084" t="s">
        <v>504</v>
      </c>
      <c r="B2420" s="1822">
        <v>185</v>
      </c>
      <c r="C2420" s="1823">
        <f>34.24+1.08</f>
        <v>35.32</v>
      </c>
      <c r="D2420" s="1823">
        <f t="shared" si="693"/>
        <v>6534.2</v>
      </c>
      <c r="E2420" s="1641"/>
      <c r="F2420" s="1892">
        <f t="shared" si="684"/>
        <v>2.2224262598470403E-2</v>
      </c>
      <c r="G2420" s="1520"/>
      <c r="H2420" s="1894"/>
      <c r="I2420" s="1895"/>
      <c r="J2420" s="1896"/>
      <c r="K2420" s="3055" t="s">
        <v>505</v>
      </c>
      <c r="L2420" s="3055"/>
      <c r="M2420" s="3055"/>
      <c r="N2420" s="1489" t="str">
        <f>A2420</f>
        <v>BEEM</v>
      </c>
      <c r="O2420" s="3"/>
      <c r="P2420" s="3"/>
      <c r="Q2420" s="1345">
        <f>"11/12/2020"+90</f>
        <v>44237</v>
      </c>
      <c r="R2420" s="1529">
        <f>B2420*RIGHT(K2420,6)</f>
        <v>6276.1249999999991</v>
      </c>
      <c r="S2420" s="1510">
        <f>D2420</f>
        <v>6534.2</v>
      </c>
      <c r="T2420" s="1510">
        <f t="shared" si="690"/>
        <v>258.07500000000073</v>
      </c>
      <c r="U2420" s="1530">
        <f t="shared" si="691"/>
        <v>4.1120117907148243E-2</v>
      </c>
      <c r="V2420" s="7" t="str">
        <f t="shared" si="692"/>
        <v>BEEM</v>
      </c>
      <c r="W2420" s="1712">
        <f t="shared" ca="1" si="685"/>
        <v>-935</v>
      </c>
    </row>
    <row r="2421" spans="1:27" ht="16" hidden="1" outlineLevel="1" thickBot="1" x14ac:dyDescent="0.4">
      <c r="A2421" s="1880" t="s">
        <v>7</v>
      </c>
      <c r="B2421" s="56"/>
      <c r="C2421" s="1881"/>
      <c r="D2421" s="1881">
        <v>2087.44</v>
      </c>
      <c r="E2421" s="1588"/>
      <c r="F2421" s="1486"/>
      <c r="G2421" s="1788"/>
      <c r="H2421" s="1789"/>
      <c r="I2421" s="1789"/>
      <c r="J2421" s="1216"/>
      <c r="K2421" s="1633"/>
      <c r="L2421" s="1634"/>
      <c r="M2421" s="1634"/>
      <c r="R2421" s="1691">
        <f>SUM(R2413:R2420)</f>
        <v>253178.79140000002</v>
      </c>
      <c r="S2421" s="1691">
        <f t="shared" ref="S2421" si="694">SUM(S2413:S2420)</f>
        <v>291447.17472000001</v>
      </c>
      <c r="T2421" s="1691">
        <f>SUM(T2413:T2420)</f>
        <v>38268.383319999994</v>
      </c>
      <c r="U2421" s="1810">
        <f>AVERAGE(U2413:U2420)</f>
        <v>0.53755850350934953</v>
      </c>
    </row>
    <row r="2422" spans="1:27" ht="16" hidden="1" outlineLevel="1" thickBot="1" x14ac:dyDescent="0.4">
      <c r="A2422" s="1880" t="s">
        <v>60</v>
      </c>
      <c r="B2422" s="56"/>
      <c r="C2422" s="1881"/>
      <c r="D2422" s="1881">
        <v>477.39</v>
      </c>
      <c r="E2422" s="1794"/>
      <c r="F2422" s="1486"/>
      <c r="G2422" s="1734"/>
      <c r="H2422" s="1723"/>
      <c r="I2422" s="1796"/>
      <c r="J2422" s="61">
        <f>SUM(J2421:J2421)</f>
        <v>0</v>
      </c>
      <c r="K2422" s="1468"/>
      <c r="L2422" s="1151"/>
      <c r="M2422" s="1151"/>
      <c r="S2422" s="1470" t="str">
        <f>IF(SUM(D2413:D2420)&lt;&gt;S2421,"Out of Balance","Balances")</f>
        <v>Balances</v>
      </c>
    </row>
    <row r="2423" spans="1:27" ht="19" hidden="1" outlineLevel="1" thickBot="1" x14ac:dyDescent="0.5">
      <c r="A2423" s="1797" t="s">
        <v>62</v>
      </c>
      <c r="B2423" s="1798"/>
      <c r="C2423" s="1868">
        <f>SUM(D2413:D2420,D2422)</f>
        <v>291924.56472000002</v>
      </c>
      <c r="D2423" s="1804">
        <f>SUM(D2413:D2422)</f>
        <v>294012.00472000003</v>
      </c>
      <c r="E2423" s="1805">
        <f>D2423-D2406</f>
        <v>10201.922400000039</v>
      </c>
      <c r="F2423" s="1871">
        <f>(D2423-D2406)/D2406</f>
        <v>3.5946300133542206E-2</v>
      </c>
      <c r="G2423" s="72" t="s">
        <v>459</v>
      </c>
      <c r="H2423" s="1897">
        <f>E2423+E2406+E2392+E2377+E2368</f>
        <v>37504.293640314987</v>
      </c>
      <c r="I2423" s="1848"/>
      <c r="J2423" s="1849"/>
    </row>
    <row r="2424" spans="1:27" hidden="1" outlineLevel="1" x14ac:dyDescent="0.35">
      <c r="A2424" s="3071" t="s">
        <v>506</v>
      </c>
      <c r="B2424" s="3066"/>
      <c r="C2424" s="3066"/>
      <c r="D2424" s="3066"/>
      <c r="E2424" s="3066"/>
      <c r="F2424" s="3066"/>
      <c r="G2424" s="3066"/>
      <c r="H2424" s="3066"/>
      <c r="I2424" s="3066"/>
      <c r="J2424" s="3067"/>
    </row>
    <row r="2425" spans="1:27" ht="16" hidden="1" outlineLevel="1" thickBot="1" x14ac:dyDescent="0.4">
      <c r="A2425" s="3068"/>
      <c r="B2425" s="3069"/>
      <c r="C2425" s="3069"/>
      <c r="D2425" s="3069"/>
      <c r="E2425" s="3069"/>
      <c r="F2425" s="3069"/>
      <c r="G2425" s="3069"/>
      <c r="H2425" s="3069"/>
      <c r="I2425" s="3069"/>
      <c r="J2425" s="3070"/>
    </row>
    <row r="2426" spans="1:27" hidden="1" outlineLevel="1" x14ac:dyDescent="0.35"/>
    <row r="2427" spans="1:27" ht="16" hidden="1" outlineLevel="1" thickBot="1" x14ac:dyDescent="0.4">
      <c r="A2427" s="1619" t="s">
        <v>25</v>
      </c>
      <c r="B2427" s="1620" t="s">
        <v>26</v>
      </c>
      <c r="C2427" s="1621" t="s">
        <v>27</v>
      </c>
      <c r="D2427" s="1622">
        <f>D2410+7</f>
        <v>44169</v>
      </c>
      <c r="E2427" s="1623" t="s">
        <v>28</v>
      </c>
      <c r="F2427" s="3036" t="s">
        <v>29</v>
      </c>
      <c r="G2427" s="3037"/>
      <c r="H2427" s="3038"/>
      <c r="I2427" s="1727"/>
      <c r="J2427" s="1182"/>
      <c r="K2427" s="1183" t="s">
        <v>233</v>
      </c>
      <c r="O2427" s="3072" t="s">
        <v>31</v>
      </c>
      <c r="P2427" s="3073"/>
      <c r="T2427" s="247">
        <f>SUM(T2430:T2432)</f>
        <v>15505.900000000001</v>
      </c>
      <c r="U2427" s="1898">
        <f>T2427-T2410</f>
        <v>-14072</v>
      </c>
      <c r="V2427" s="247">
        <f>V2410+U2427</f>
        <v>6451.4000000000015</v>
      </c>
    </row>
    <row r="2428" spans="1:27" ht="16" hidden="1" outlineLevel="1" thickBot="1" x14ac:dyDescent="0.4">
      <c r="A2428" s="1584" t="s">
        <v>32</v>
      </c>
      <c r="B2428" s="1585" t="str">
        <f ca="1">TEXT(TODAY(),"ddd")</f>
        <v>Sun</v>
      </c>
      <c r="C2428" s="1586">
        <v>30218</v>
      </c>
      <c r="D2428" s="1808">
        <f>C2428-C2411</f>
        <v>181</v>
      </c>
      <c r="E2428" s="1641">
        <f>(C2428-C2411)/C2411</f>
        <v>6.0259013882877788E-3</v>
      </c>
      <c r="F2428" s="3039"/>
      <c r="G2428" s="3040"/>
      <c r="H2428" s="3041"/>
      <c r="I2428" s="1602"/>
      <c r="J2428" s="1602"/>
      <c r="K2428" s="1188" t="s">
        <v>234</v>
      </c>
      <c r="L2428" s="1220" t="s">
        <v>34</v>
      </c>
      <c r="M2428" s="111" t="s">
        <v>35</v>
      </c>
      <c r="N2428" s="2995"/>
      <c r="O2428" s="2996"/>
      <c r="P2428" s="2996"/>
      <c r="Q2428" s="2996"/>
      <c r="R2428" s="2996"/>
      <c r="S2428" s="2996"/>
      <c r="T2428" s="2996"/>
      <c r="U2428" s="3044"/>
      <c r="Y2428" s="219">
        <f>D2437</f>
        <v>58106.879999999997</v>
      </c>
    </row>
    <row r="2429" spans="1:27" hidden="1" outlineLevel="1" x14ac:dyDescent="0.35">
      <c r="A2429" s="709" t="s">
        <v>36</v>
      </c>
      <c r="B2429" s="419"/>
      <c r="C2429" s="419">
        <v>12464</v>
      </c>
      <c r="D2429" s="1808">
        <f>C2429-C2412</f>
        <v>434</v>
      </c>
      <c r="E2429" s="1641">
        <f t="shared" ref="E2429:E2436" si="695">(C2429-C2412)/C2412</f>
        <v>3.6076475477971735E-2</v>
      </c>
      <c r="F2429" s="1744" t="s">
        <v>37</v>
      </c>
      <c r="G2429" s="1745" t="s">
        <v>38</v>
      </c>
      <c r="H2429" s="1746" t="s">
        <v>144</v>
      </c>
      <c r="I2429" s="1747" t="s">
        <v>441</v>
      </c>
      <c r="J2429" s="1748" t="s">
        <v>400</v>
      </c>
      <c r="K2429" s="3063" t="s">
        <v>42</v>
      </c>
      <c r="L2429" s="3064"/>
      <c r="M2429" s="3064"/>
      <c r="N2429" s="1830" t="s">
        <v>244</v>
      </c>
      <c r="Q2429" s="1831" t="s">
        <v>44</v>
      </c>
      <c r="R2429" s="1832" t="s">
        <v>45</v>
      </c>
      <c r="S2429" s="1832" t="s">
        <v>46</v>
      </c>
      <c r="T2429" s="1832" t="s">
        <v>47</v>
      </c>
      <c r="U2429" s="1833" t="s">
        <v>48</v>
      </c>
      <c r="W2429" s="1700" t="s">
        <v>446</v>
      </c>
      <c r="Y2429" s="118" t="str">
        <f>N2433</f>
        <v>NVDA</v>
      </c>
      <c r="Z2429">
        <v>100</v>
      </c>
    </row>
    <row r="2430" spans="1:27" hidden="1" outlineLevel="1" x14ac:dyDescent="0.35">
      <c r="A2430" s="7" t="s">
        <v>485</v>
      </c>
      <c r="B2430" s="1362">
        <v>475</v>
      </c>
      <c r="C2430" s="1363">
        <v>49.34</v>
      </c>
      <c r="D2430" s="1363">
        <f>C2430*B2430</f>
        <v>23436.5</v>
      </c>
      <c r="E2430" s="1657">
        <f t="shared" si="695"/>
        <v>-0.2324206596141879</v>
      </c>
      <c r="F2430" s="1888">
        <f t="shared" ref="F2430:F2437" si="696">D2430/$D$2423</f>
        <v>7.971273153393707E-2</v>
      </c>
      <c r="G2430" s="1494"/>
      <c r="H2430" s="1820"/>
      <c r="I2430" s="1889">
        <v>31.01</v>
      </c>
      <c r="J2430" s="1889">
        <v>7.620000000000001</v>
      </c>
      <c r="K2430" s="3055" t="s">
        <v>500</v>
      </c>
      <c r="L2430" s="3055"/>
      <c r="M2430" s="3055"/>
      <c r="N2430" s="1489" t="str">
        <f>A2430</f>
        <v>XPEV</v>
      </c>
      <c r="O2430" s="3"/>
      <c r="P2430" s="3"/>
      <c r="Q2430" s="1345">
        <f>"11/12/2020"+90</f>
        <v>44237</v>
      </c>
      <c r="R2430" s="1529">
        <f>B2430*RIGHT(K2430,6)</f>
        <v>14048.6</v>
      </c>
      <c r="S2430" s="1510">
        <f>D2430</f>
        <v>23436.5</v>
      </c>
      <c r="T2430" s="1899">
        <f>S2430-R2430</f>
        <v>9387.9</v>
      </c>
      <c r="U2430" s="1530">
        <f>(S2430-R2430)/R2430</f>
        <v>0.66824452258588041</v>
      </c>
      <c r="V2430" s="7" t="str">
        <f>A2430</f>
        <v>XPEV</v>
      </c>
      <c r="W2430" s="1893">
        <f t="shared" ref="W2430:W2437" ca="1" si="697">Q2430-TODAY()</f>
        <v>-935</v>
      </c>
      <c r="Z2430" s="219">
        <f>C2433</f>
        <v>542.33000000000004</v>
      </c>
    </row>
    <row r="2431" spans="1:27" hidden="1" outlineLevel="1" x14ac:dyDescent="0.35">
      <c r="A2431" s="1084" t="s">
        <v>483</v>
      </c>
      <c r="B2431" s="1822">
        <v>350</v>
      </c>
      <c r="C2431" s="1823">
        <v>30.53</v>
      </c>
      <c r="D2431" s="1823">
        <f t="shared" ref="D2431:D2432" si="698">C2431*B2431</f>
        <v>10685.5</v>
      </c>
      <c r="E2431" s="1657">
        <f t="shared" si="695"/>
        <v>-0.22708860759493668</v>
      </c>
      <c r="F2431" s="1888">
        <f t="shared" si="696"/>
        <v>3.6343754093225718E-2</v>
      </c>
      <c r="G2431" s="1494"/>
      <c r="H2431" s="1820"/>
      <c r="I2431" s="1889">
        <v>23.18</v>
      </c>
      <c r="J2431" s="1889">
        <v>7.07</v>
      </c>
      <c r="K2431" s="3055" t="s">
        <v>484</v>
      </c>
      <c r="L2431" s="3055"/>
      <c r="M2431" s="3055"/>
      <c r="N2431" s="1489" t="str">
        <f t="shared" ref="N2431:N2432" si="699">A2431</f>
        <v>LI</v>
      </c>
      <c r="O2431" s="3"/>
      <c r="P2431" s="3"/>
      <c r="Q2431" s="1345">
        <f>"11/13/2020"+90</f>
        <v>44238</v>
      </c>
      <c r="R2431" s="1529">
        <f t="shared" ref="R2431:R2435" si="700">B2431*RIGHT(K2431,6)</f>
        <v>8001</v>
      </c>
      <c r="S2431" s="1510">
        <f t="shared" ref="S2431:S2436" si="701">D2431</f>
        <v>10685.5</v>
      </c>
      <c r="T2431" s="1899">
        <f t="shared" ref="T2431:T2437" si="702">S2431-R2431</f>
        <v>2684.5</v>
      </c>
      <c r="U2431" s="1530">
        <f t="shared" ref="U2431:U2437" si="703">(S2431-R2431)/R2431</f>
        <v>0.33552055993000873</v>
      </c>
      <c r="V2431" s="7" t="str">
        <f t="shared" ref="V2431:V2437" si="704">A2431</f>
        <v>LI</v>
      </c>
      <c r="W2431" s="1893">
        <f t="shared" ca="1" si="697"/>
        <v>-934</v>
      </c>
      <c r="Z2431" s="106">
        <f>Z2429*Z2430</f>
        <v>54233.000000000007</v>
      </c>
      <c r="AA2431" s="85">
        <f>Z2431+Y2428</f>
        <v>112339.88</v>
      </c>
    </row>
    <row r="2432" spans="1:27" hidden="1" outlineLevel="1" x14ac:dyDescent="0.35">
      <c r="A2432" s="7" t="s">
        <v>487</v>
      </c>
      <c r="B2432" s="1362">
        <v>350</v>
      </c>
      <c r="C2432" s="1363">
        <v>43.04</v>
      </c>
      <c r="D2432" s="1363">
        <f t="shared" si="698"/>
        <v>15064</v>
      </c>
      <c r="E2432" s="1657">
        <f t="shared" si="695"/>
        <v>-0.20296296296296298</v>
      </c>
      <c r="F2432" s="1888">
        <f t="shared" si="696"/>
        <v>5.1236003150096132E-2</v>
      </c>
      <c r="G2432" s="1494"/>
      <c r="H2432" s="1820"/>
      <c r="I2432" s="1889">
        <v>38.11</v>
      </c>
      <c r="J2432" s="1889">
        <v>3.5600000000000023</v>
      </c>
      <c r="K2432" s="3055" t="s">
        <v>488</v>
      </c>
      <c r="L2432" s="3055"/>
      <c r="M2432" s="3055"/>
      <c r="N2432" s="1489" t="str">
        <f t="shared" si="699"/>
        <v>NIO</v>
      </c>
      <c r="O2432" s="3"/>
      <c r="P2432" s="3"/>
      <c r="Q2432" s="1345">
        <f>"11/17/2020"+90</f>
        <v>44242</v>
      </c>
      <c r="R2432" s="1529">
        <f t="shared" si="700"/>
        <v>11630.499999999998</v>
      </c>
      <c r="S2432" s="1510">
        <f t="shared" si="701"/>
        <v>15064</v>
      </c>
      <c r="T2432" s="1899">
        <f t="shared" si="702"/>
        <v>3433.5000000000018</v>
      </c>
      <c r="U2432" s="1530">
        <f t="shared" si="703"/>
        <v>0.29521516701775524</v>
      </c>
      <c r="V2432" s="7" t="str">
        <f t="shared" si="704"/>
        <v>NIO</v>
      </c>
      <c r="W2432" s="1893">
        <f t="shared" ca="1" si="697"/>
        <v>-930</v>
      </c>
    </row>
    <row r="2433" spans="1:26" hidden="1" outlineLevel="1" x14ac:dyDescent="0.35">
      <c r="A2433" s="1084" t="s">
        <v>49</v>
      </c>
      <c r="B2433" s="1822">
        <v>200.03200000000001</v>
      </c>
      <c r="C2433" s="1823">
        <v>542.33000000000004</v>
      </c>
      <c r="D2433" s="1823">
        <f>C2433*B2433</f>
        <v>108483.35456000001</v>
      </c>
      <c r="E2433" s="1641">
        <f>(C2433-C2416)/C2416</f>
        <v>2.2376805037137584E-2</v>
      </c>
      <c r="F2433" s="1888">
        <f t="shared" si="696"/>
        <v>0.36897593573879156</v>
      </c>
      <c r="G2433" s="1494">
        <v>89</v>
      </c>
      <c r="H2433" s="1820" t="s">
        <v>468</v>
      </c>
      <c r="I2433" s="1889">
        <v>505.13</v>
      </c>
      <c r="J2433" s="1889">
        <v>20.610000000000014</v>
      </c>
      <c r="K2433" s="3055" t="s">
        <v>469</v>
      </c>
      <c r="L2433" s="3055"/>
      <c r="M2433" s="3055"/>
      <c r="N2433" s="1489" t="str">
        <f>A2433</f>
        <v>NVDA</v>
      </c>
      <c r="O2433" s="3"/>
      <c r="P2433" s="3"/>
      <c r="Q2433" s="1345">
        <v>44238</v>
      </c>
      <c r="R2433" s="1529">
        <f t="shared" si="700"/>
        <v>103556.56640000001</v>
      </c>
      <c r="S2433" s="1510">
        <f t="shared" si="701"/>
        <v>108483.35456000001</v>
      </c>
      <c r="T2433" s="1510">
        <f t="shared" si="702"/>
        <v>4926.7881599999964</v>
      </c>
      <c r="U2433" s="1530">
        <f t="shared" si="703"/>
        <v>4.7575816109716014E-2</v>
      </c>
      <c r="V2433" s="7" t="str">
        <f t="shared" si="704"/>
        <v>NVDA</v>
      </c>
      <c r="W2433" s="1893">
        <f t="shared" ca="1" si="697"/>
        <v>-934</v>
      </c>
      <c r="Y2433" t="s">
        <v>66</v>
      </c>
      <c r="Z2433">
        <v>100</v>
      </c>
    </row>
    <row r="2434" spans="1:26" hidden="1" outlineLevel="1" x14ac:dyDescent="0.35">
      <c r="A2434" s="7" t="s">
        <v>65</v>
      </c>
      <c r="B2434" s="1362">
        <v>200</v>
      </c>
      <c r="C2434" s="1363">
        <v>271.72000000000003</v>
      </c>
      <c r="D2434" s="1363">
        <f>C2434*B2434</f>
        <v>54344.000000000007</v>
      </c>
      <c r="E2434" s="1641">
        <f t="shared" si="695"/>
        <v>-1.7109784771206227E-2</v>
      </c>
      <c r="F2434" s="1888">
        <f t="shared" si="696"/>
        <v>0.18483599012140364</v>
      </c>
      <c r="G2434" s="1494">
        <v>128</v>
      </c>
      <c r="H2434" s="1820" t="s">
        <v>450</v>
      </c>
      <c r="I2434" s="1889">
        <v>253.42</v>
      </c>
      <c r="J2434" s="1889">
        <v>9.8200000000000216</v>
      </c>
      <c r="K2434" s="3055" t="s">
        <v>466</v>
      </c>
      <c r="L2434" s="3055"/>
      <c r="M2434" s="3055"/>
      <c r="N2434" s="1489" t="str">
        <f>A2434</f>
        <v>VEEV</v>
      </c>
      <c r="O2434" s="3"/>
      <c r="P2434" s="3"/>
      <c r="Q2434" s="1345">
        <v>44166</v>
      </c>
      <c r="R2434" s="1845">
        <f t="shared" si="700"/>
        <v>55472</v>
      </c>
      <c r="S2434" s="1834">
        <f t="shared" si="701"/>
        <v>54344.000000000007</v>
      </c>
      <c r="T2434" s="1834">
        <f t="shared" si="702"/>
        <v>-1127.9999999999927</v>
      </c>
      <c r="U2434" s="1835">
        <f t="shared" si="703"/>
        <v>-2.033458321315245E-2</v>
      </c>
      <c r="V2434" s="7" t="str">
        <f t="shared" si="704"/>
        <v>VEEV</v>
      </c>
      <c r="W2434" s="1893">
        <f t="shared" ca="1" si="697"/>
        <v>-1006</v>
      </c>
      <c r="Z2434">
        <v>596</v>
      </c>
    </row>
    <row r="2435" spans="1:26" hidden="1" outlineLevel="1" x14ac:dyDescent="0.35">
      <c r="A2435" s="1084" t="s">
        <v>402</v>
      </c>
      <c r="B2435" s="1822">
        <v>200</v>
      </c>
      <c r="C2435" s="1823">
        <v>27.15</v>
      </c>
      <c r="D2435" s="1823">
        <f t="shared" ref="D2435:D2437" si="705">C2435*B2435</f>
        <v>5430</v>
      </c>
      <c r="E2435" s="1641">
        <f t="shared" si="695"/>
        <v>3.0360531309297941E-2</v>
      </c>
      <c r="F2435" s="1888">
        <f t="shared" si="696"/>
        <v>1.8468633636817711E-2</v>
      </c>
      <c r="G2435" s="1494" t="s">
        <v>228</v>
      </c>
      <c r="H2435" s="1824" t="s">
        <v>449</v>
      </c>
      <c r="I2435" s="1889">
        <v>26.204999999999998</v>
      </c>
      <c r="J2435" s="1889">
        <v>0.70500000000000185</v>
      </c>
      <c r="K2435" s="3055" t="s">
        <v>390</v>
      </c>
      <c r="L2435" s="3055"/>
      <c r="M2435" s="3055"/>
      <c r="N2435" s="1489" t="str">
        <f>A2435</f>
        <v>AVTR</v>
      </c>
      <c r="O2435" s="3"/>
      <c r="P2435" s="3"/>
      <c r="Q2435" s="1345">
        <v>44232</v>
      </c>
      <c r="R2435" s="1529">
        <f t="shared" si="700"/>
        <v>2424</v>
      </c>
      <c r="S2435" s="1510">
        <f t="shared" si="701"/>
        <v>5430</v>
      </c>
      <c r="T2435" s="1510">
        <f t="shared" si="702"/>
        <v>3006</v>
      </c>
      <c r="U2435" s="1530">
        <f t="shared" si="703"/>
        <v>1.2400990099009901</v>
      </c>
      <c r="V2435" s="7" t="str">
        <f t="shared" si="704"/>
        <v>AVTR</v>
      </c>
      <c r="W2435" s="1893">
        <f t="shared" ca="1" si="697"/>
        <v>-940</v>
      </c>
      <c r="Z2435" s="106">
        <f>Z2433*Z2434</f>
        <v>59600</v>
      </c>
    </row>
    <row r="2436" spans="1:26" hidden="1" outlineLevel="1" x14ac:dyDescent="0.35">
      <c r="A2436" s="7" t="s">
        <v>501</v>
      </c>
      <c r="B2436" s="1362">
        <v>200</v>
      </c>
      <c r="C2436" s="1363">
        <v>7.95</v>
      </c>
      <c r="D2436" s="1363">
        <f t="shared" si="705"/>
        <v>1590</v>
      </c>
      <c r="E2436" s="1641">
        <f t="shared" si="695"/>
        <v>-0.1804123711340207</v>
      </c>
      <c r="F2436" s="1888">
        <f t="shared" si="696"/>
        <v>5.4079424461399928E-3</v>
      </c>
      <c r="G2436" s="1494"/>
      <c r="H2436" s="1820"/>
      <c r="I2436" s="1889"/>
      <c r="J2436" s="1889"/>
      <c r="K2436" s="3055" t="s">
        <v>502</v>
      </c>
      <c r="L2436" s="3055"/>
      <c r="M2436" s="3055"/>
      <c r="N2436" s="1489" t="str">
        <f>A2436</f>
        <v>FCEL</v>
      </c>
      <c r="O2436" s="3"/>
      <c r="P2436" s="3"/>
      <c r="Q2436" s="1345">
        <v>44216</v>
      </c>
      <c r="R2436" s="1529"/>
      <c r="S2436" s="1510">
        <f t="shared" si="701"/>
        <v>1590</v>
      </c>
      <c r="T2436" s="1510">
        <f t="shared" si="702"/>
        <v>1590</v>
      </c>
      <c r="U2436" s="1530"/>
      <c r="V2436" s="7" t="str">
        <f t="shared" si="704"/>
        <v>FCEL</v>
      </c>
      <c r="W2436" s="1893">
        <f t="shared" ca="1" si="697"/>
        <v>-956</v>
      </c>
    </row>
    <row r="2437" spans="1:26" hidden="1" outlineLevel="1" x14ac:dyDescent="0.35">
      <c r="A2437" s="1084" t="s">
        <v>66</v>
      </c>
      <c r="B2437" s="1822">
        <v>97</v>
      </c>
      <c r="C2437" s="1823">
        <v>599.04</v>
      </c>
      <c r="D2437" s="1823">
        <f t="shared" si="705"/>
        <v>58106.879999999997</v>
      </c>
      <c r="E2437" s="1641"/>
      <c r="F2437" s="1888">
        <f t="shared" si="696"/>
        <v>0.19763437909733522</v>
      </c>
      <c r="G2437" s="1520"/>
      <c r="H2437" s="1894"/>
      <c r="I2437" s="1895"/>
      <c r="J2437" s="1896"/>
      <c r="K2437" s="3055" t="s">
        <v>507</v>
      </c>
      <c r="L2437" s="3055"/>
      <c r="M2437" s="3055"/>
      <c r="N2437" s="1489" t="str">
        <f>A2437</f>
        <v>TSLA</v>
      </c>
      <c r="O2437" s="3"/>
      <c r="P2437" s="3"/>
      <c r="Q2437" s="1345">
        <f>"11/12/2020"+90</f>
        <v>44237</v>
      </c>
      <c r="R2437" s="1529">
        <f>B2437*RIGHT(K2437,6)</f>
        <v>57587.930000000008</v>
      </c>
      <c r="S2437" s="1510">
        <f>D2437</f>
        <v>58106.879999999997</v>
      </c>
      <c r="T2437" s="1510">
        <f t="shared" si="702"/>
        <v>518.94999999998981</v>
      </c>
      <c r="U2437" s="1530">
        <f t="shared" si="703"/>
        <v>9.0114369452069173E-3</v>
      </c>
      <c r="V2437" s="7" t="str">
        <f t="shared" si="704"/>
        <v>TSLA</v>
      </c>
      <c r="W2437" s="1712">
        <f t="shared" ca="1" si="697"/>
        <v>-935</v>
      </c>
    </row>
    <row r="2438" spans="1:26" ht="16" hidden="1" outlineLevel="1" thickBot="1" x14ac:dyDescent="0.4">
      <c r="A2438" s="1880" t="s">
        <v>7</v>
      </c>
      <c r="B2438" s="56"/>
      <c r="C2438" s="1881"/>
      <c r="D2438" s="1881">
        <v>2128.4699999999998</v>
      </c>
      <c r="E2438" s="1588"/>
      <c r="F2438" s="1486"/>
      <c r="G2438" s="1788"/>
      <c r="H2438" s="1789"/>
      <c r="I2438" s="1789"/>
      <c r="J2438" s="1216"/>
      <c r="K2438" s="1633"/>
      <c r="L2438" s="1634"/>
      <c r="M2438" s="1634"/>
      <c r="R2438" s="1691">
        <f>SUM(R2430:R2437)</f>
        <v>252720.59640000004</v>
      </c>
      <c r="S2438" s="1691">
        <f t="shared" ref="S2438" si="706">SUM(S2430:S2437)</f>
        <v>277140.23456000001</v>
      </c>
      <c r="T2438" s="1691">
        <f>SUM(T2430:T2437)</f>
        <v>24419.638159999995</v>
      </c>
      <c r="U2438" s="1810">
        <f>AVERAGE(U2430:U2437)</f>
        <v>0.36790456132520072</v>
      </c>
    </row>
    <row r="2439" spans="1:26" ht="16" hidden="1" outlineLevel="1" thickBot="1" x14ac:dyDescent="0.4">
      <c r="A2439" s="1880" t="s">
        <v>60</v>
      </c>
      <c r="B2439" s="56"/>
      <c r="C2439" s="1881"/>
      <c r="D2439" s="1881">
        <v>1201.33</v>
      </c>
      <c r="E2439" s="1794"/>
      <c r="F2439" s="1486"/>
      <c r="G2439" s="1734"/>
      <c r="H2439" s="1723"/>
      <c r="I2439" s="1796"/>
      <c r="J2439" s="61">
        <f>SUM(J2438:J2438)</f>
        <v>0</v>
      </c>
      <c r="K2439" s="1468"/>
      <c r="L2439" s="1151"/>
      <c r="M2439" s="1151"/>
      <c r="S2439" s="1470" t="str">
        <f>IF(SUM(D2430:D2437)&lt;&gt;S2438,"Out of Balance","Balances")</f>
        <v>Balances</v>
      </c>
    </row>
    <row r="2440" spans="1:26" ht="19" hidden="1" outlineLevel="1" thickBot="1" x14ac:dyDescent="0.5">
      <c r="A2440" s="1797" t="s">
        <v>62</v>
      </c>
      <c r="B2440" s="1798"/>
      <c r="C2440" s="1868">
        <f>SUM(D2431:D2435,D2439)</f>
        <v>195208.18455999999</v>
      </c>
      <c r="D2440" s="1800">
        <f>SUM(D2430:D2439)</f>
        <v>280470.03456</v>
      </c>
      <c r="E2440" s="73">
        <f>D2440-D2423</f>
        <v>-13541.970160000026</v>
      </c>
      <c r="F2440" s="1537">
        <f>(D2440-D2423)/D2423</f>
        <v>-4.6059242284670017E-2</v>
      </c>
      <c r="G2440" s="72" t="s">
        <v>459</v>
      </c>
      <c r="H2440" s="1897">
        <f>E2440+E2423+E2406+E2392+E2377</f>
        <v>23962.165999999997</v>
      </c>
      <c r="I2440" s="1848"/>
      <c r="J2440" s="1849"/>
    </row>
    <row r="2441" spans="1:26" hidden="1" outlineLevel="1" x14ac:dyDescent="0.35">
      <c r="A2441" s="3075" t="s">
        <v>508</v>
      </c>
      <c r="B2441" s="3066"/>
      <c r="C2441" s="3066"/>
      <c r="D2441" s="3066"/>
      <c r="E2441" s="3066"/>
      <c r="F2441" s="3066"/>
      <c r="G2441" s="3066"/>
      <c r="H2441" s="3066"/>
      <c r="I2441" s="3066"/>
      <c r="J2441" s="3067"/>
    </row>
    <row r="2442" spans="1:26" ht="20.25" hidden="1" customHeight="1" outlineLevel="1" thickBot="1" x14ac:dyDescent="0.4">
      <c r="A2442" s="3068"/>
      <c r="B2442" s="3069"/>
      <c r="C2442" s="3069"/>
      <c r="D2442" s="3069"/>
      <c r="E2442" s="3069"/>
      <c r="F2442" s="3069"/>
      <c r="G2442" s="3069"/>
      <c r="H2442" s="3069"/>
      <c r="I2442" s="3069"/>
      <c r="J2442" s="3070"/>
    </row>
    <row r="2443" spans="1:26" hidden="1" outlineLevel="1" x14ac:dyDescent="0.35">
      <c r="B2443" s="1900"/>
    </row>
    <row r="2444" spans="1:26" ht="16" hidden="1" outlineLevel="1" thickBot="1" x14ac:dyDescent="0.4">
      <c r="A2444" s="1619" t="s">
        <v>25</v>
      </c>
      <c r="B2444" s="1620" t="s">
        <v>26</v>
      </c>
      <c r="C2444" s="1621" t="s">
        <v>27</v>
      </c>
      <c r="D2444" s="1622">
        <f>D2427+7</f>
        <v>44176</v>
      </c>
      <c r="E2444" s="1623" t="s">
        <v>28</v>
      </c>
      <c r="F2444" s="3036" t="s">
        <v>29</v>
      </c>
      <c r="G2444" s="3037"/>
      <c r="H2444" s="3038"/>
      <c r="I2444" s="1727"/>
      <c r="J2444" s="1182"/>
      <c r="K2444" s="1183" t="s">
        <v>233</v>
      </c>
      <c r="O2444" s="3072" t="s">
        <v>31</v>
      </c>
      <c r="P2444" s="3073"/>
      <c r="T2444" s="247">
        <f>SUM(T2447:T2449)</f>
        <v>13032.400000000001</v>
      </c>
      <c r="U2444" s="1901">
        <f>T2444-T2427</f>
        <v>-2473.5</v>
      </c>
      <c r="V2444" s="247">
        <f>V2427+U2444</f>
        <v>3977.9000000000015</v>
      </c>
    </row>
    <row r="2445" spans="1:26" ht="16" hidden="1" outlineLevel="1" thickBot="1" x14ac:dyDescent="0.4">
      <c r="A2445" s="1584" t="s">
        <v>32</v>
      </c>
      <c r="B2445" s="1585" t="str">
        <f ca="1">TEXT(TODAY(),"ddd")</f>
        <v>Sun</v>
      </c>
      <c r="C2445" s="1586">
        <v>30005</v>
      </c>
      <c r="D2445" s="1808">
        <f>C2445-C2428</f>
        <v>-213</v>
      </c>
      <c r="E2445" s="1641">
        <f>(C2445-C2428)/C2428</f>
        <v>-7.0487788735190942E-3</v>
      </c>
      <c r="F2445" s="3039"/>
      <c r="G2445" s="3040"/>
      <c r="H2445" s="3041"/>
      <c r="I2445" s="1602"/>
      <c r="J2445" s="1602"/>
      <c r="K2445" s="1188" t="s">
        <v>234</v>
      </c>
      <c r="L2445" s="1220" t="s">
        <v>34</v>
      </c>
      <c r="M2445" s="111" t="s">
        <v>35</v>
      </c>
      <c r="N2445" s="2995"/>
      <c r="O2445" s="2996"/>
      <c r="P2445" s="2996"/>
      <c r="Q2445" s="2996"/>
      <c r="R2445" s="2996"/>
      <c r="S2445" s="2996"/>
      <c r="T2445" s="2996"/>
      <c r="U2445" s="3044"/>
    </row>
    <row r="2446" spans="1:26" hidden="1" outlineLevel="1" x14ac:dyDescent="0.35">
      <c r="A2446" s="709" t="s">
        <v>36</v>
      </c>
      <c r="B2446" s="419"/>
      <c r="C2446" s="419">
        <v>12331</v>
      </c>
      <c r="D2446" s="1808">
        <f>C2446-C2429</f>
        <v>-133</v>
      </c>
      <c r="E2446" s="1641">
        <f t="shared" ref="E2446:E2449" si="707">(C2446-C2429)/C2429</f>
        <v>-1.0670731707317074E-2</v>
      </c>
      <c r="F2446" s="1744" t="s">
        <v>37</v>
      </c>
      <c r="G2446" s="1745" t="s">
        <v>38</v>
      </c>
      <c r="H2446" s="1746" t="s">
        <v>144</v>
      </c>
      <c r="I2446" s="1747" t="s">
        <v>441</v>
      </c>
      <c r="J2446" s="1748" t="s">
        <v>400</v>
      </c>
      <c r="K2446" s="3063" t="s">
        <v>42</v>
      </c>
      <c r="L2446" s="3064"/>
      <c r="M2446" s="3064"/>
      <c r="N2446" s="1830" t="s">
        <v>244</v>
      </c>
      <c r="Q2446" s="1831" t="s">
        <v>44</v>
      </c>
      <c r="R2446" s="1832" t="s">
        <v>45</v>
      </c>
      <c r="S2446" s="1832" t="s">
        <v>46</v>
      </c>
      <c r="T2446" s="1832" t="s">
        <v>47</v>
      </c>
      <c r="U2446" s="1833" t="s">
        <v>48</v>
      </c>
      <c r="W2446" s="1700" t="s">
        <v>446</v>
      </c>
    </row>
    <row r="2447" spans="1:26" hidden="1" outlineLevel="1" x14ac:dyDescent="0.35">
      <c r="A2447" s="7" t="s">
        <v>485</v>
      </c>
      <c r="B2447" s="1362">
        <v>475</v>
      </c>
      <c r="C2447" s="1363">
        <v>44.28</v>
      </c>
      <c r="D2447" s="1363">
        <f>C2447*B2447</f>
        <v>21033</v>
      </c>
      <c r="E2447" s="1657">
        <f>(C2447-C2430)/C2430</f>
        <v>-0.10255370895824892</v>
      </c>
      <c r="F2447" s="1888">
        <f t="shared" ref="F2447:F2453" si="708">D2447/$D$2423</f>
        <v>7.1537895263938653E-2</v>
      </c>
      <c r="G2447" s="1494"/>
      <c r="H2447" s="1902"/>
      <c r="I2447" s="1889">
        <v>31.01</v>
      </c>
      <c r="J2447" s="1889">
        <v>7.620000000000001</v>
      </c>
      <c r="K2447" s="3055" t="s">
        <v>500</v>
      </c>
      <c r="L2447" s="3055"/>
      <c r="M2447" s="3055"/>
      <c r="N2447" s="1489" t="str">
        <f>A2447</f>
        <v>XPEV</v>
      </c>
      <c r="O2447" s="3"/>
      <c r="P2447" s="3"/>
      <c r="Q2447" s="1345">
        <f>"11/12/2020"+90</f>
        <v>44237</v>
      </c>
      <c r="R2447" s="1529">
        <f>B2447*RIGHT(K2447,6)</f>
        <v>14048.6</v>
      </c>
      <c r="S2447" s="1510">
        <f>D2447</f>
        <v>21033</v>
      </c>
      <c r="T2447" s="1899">
        <f>S2447-R2447</f>
        <v>6984.4</v>
      </c>
      <c r="U2447" s="1530">
        <f>(S2447-R2447)/R2447</f>
        <v>0.49715985934541518</v>
      </c>
      <c r="V2447" s="7" t="str">
        <f>A2447</f>
        <v>XPEV</v>
      </c>
      <c r="W2447" s="1893">
        <f t="shared" ref="W2447:W2453" ca="1" si="709">Q2447-TODAY()</f>
        <v>-935</v>
      </c>
    </row>
    <row r="2448" spans="1:26" hidden="1" outlineLevel="1" x14ac:dyDescent="0.35">
      <c r="A2448" s="1084" t="s">
        <v>483</v>
      </c>
      <c r="B2448" s="1822">
        <v>350</v>
      </c>
      <c r="C2448" s="1823">
        <v>31.49</v>
      </c>
      <c r="D2448" s="1823">
        <f t="shared" ref="D2448:D2449" si="710">C2448*B2448</f>
        <v>11021.5</v>
      </c>
      <c r="E2448" s="1657">
        <f t="shared" si="707"/>
        <v>3.1444480838519397E-2</v>
      </c>
      <c r="F2448" s="1888">
        <f t="shared" si="708"/>
        <v>3.7486564572410015E-2</v>
      </c>
      <c r="G2448" s="1494"/>
      <c r="H2448" s="1902"/>
      <c r="I2448" s="1889">
        <v>23.18</v>
      </c>
      <c r="J2448" s="1889">
        <v>7.07</v>
      </c>
      <c r="K2448" s="3055" t="s">
        <v>484</v>
      </c>
      <c r="L2448" s="3055"/>
      <c r="M2448" s="3055"/>
      <c r="N2448" s="1489" t="str">
        <f t="shared" ref="N2448:N2449" si="711">A2448</f>
        <v>LI</v>
      </c>
      <c r="O2448" s="3"/>
      <c r="P2448" s="3"/>
      <c r="Q2448" s="1345">
        <f>"11/13/2020"+90</f>
        <v>44238</v>
      </c>
      <c r="R2448" s="1529">
        <f t="shared" ref="R2448:R2451" si="712">B2448*RIGHT(K2448,6)</f>
        <v>8001</v>
      </c>
      <c r="S2448" s="1510">
        <f t="shared" ref="S2448:S2452" si="713">D2448</f>
        <v>11021.5</v>
      </c>
      <c r="T2448" s="1899">
        <f t="shared" ref="T2448:T2453" si="714">S2448-R2448</f>
        <v>3020.5</v>
      </c>
      <c r="U2448" s="1530">
        <f t="shared" ref="U2448:U2453" si="715">(S2448-R2448)/R2448</f>
        <v>0.37751531058617671</v>
      </c>
      <c r="V2448" s="7" t="str">
        <f t="shared" ref="V2448:V2453" si="716">A2448</f>
        <v>LI</v>
      </c>
      <c r="W2448" s="1893">
        <f t="shared" ca="1" si="709"/>
        <v>-934</v>
      </c>
    </row>
    <row r="2449" spans="1:24" hidden="1" outlineLevel="1" x14ac:dyDescent="0.35">
      <c r="A2449" s="7" t="s">
        <v>487</v>
      </c>
      <c r="B2449" s="1362">
        <v>350</v>
      </c>
      <c r="C2449" s="1363">
        <v>41.88</v>
      </c>
      <c r="D2449" s="1363">
        <f t="shared" si="710"/>
        <v>14658</v>
      </c>
      <c r="E2449" s="1657">
        <f t="shared" si="707"/>
        <v>-2.6951672862453452E-2</v>
      </c>
      <c r="F2449" s="1888">
        <f t="shared" si="708"/>
        <v>4.9855107154415101E-2</v>
      </c>
      <c r="G2449" s="1494"/>
      <c r="H2449" s="1902"/>
      <c r="I2449" s="1889">
        <v>38.11</v>
      </c>
      <c r="J2449" s="1889">
        <v>3.5600000000000023</v>
      </c>
      <c r="K2449" s="3055" t="s">
        <v>488</v>
      </c>
      <c r="L2449" s="3055"/>
      <c r="M2449" s="3055"/>
      <c r="N2449" s="1489" t="str">
        <f t="shared" si="711"/>
        <v>NIO</v>
      </c>
      <c r="O2449" s="3"/>
      <c r="P2449" s="3"/>
      <c r="Q2449" s="1345">
        <f>"11/17/2020"+90</f>
        <v>44242</v>
      </c>
      <c r="R2449" s="1529">
        <f t="shared" si="712"/>
        <v>11630.499999999998</v>
      </c>
      <c r="S2449" s="1510">
        <f t="shared" si="713"/>
        <v>14658</v>
      </c>
      <c r="T2449" s="1899">
        <f t="shared" si="714"/>
        <v>3027.5000000000018</v>
      </c>
      <c r="U2449" s="1530">
        <f t="shared" si="715"/>
        <v>0.2603069515498046</v>
      </c>
      <c r="V2449" s="7" t="str">
        <f t="shared" si="716"/>
        <v>NIO</v>
      </c>
      <c r="W2449" s="1893">
        <f t="shared" ca="1" si="709"/>
        <v>-930</v>
      </c>
    </row>
    <row r="2450" spans="1:24" hidden="1" outlineLevel="1" x14ac:dyDescent="0.35">
      <c r="A2450" s="1084" t="s">
        <v>49</v>
      </c>
      <c r="B2450" s="1822">
        <v>200.03200000000001</v>
      </c>
      <c r="C2450" s="1823">
        <v>518.25</v>
      </c>
      <c r="D2450" s="1823">
        <f>C2450*B2450</f>
        <v>103666.584</v>
      </c>
      <c r="E2450" s="1641">
        <f>(C2450-C2433)/C2433</f>
        <v>-4.4401010454889159E-2</v>
      </c>
      <c r="F2450" s="1888">
        <f t="shared" si="708"/>
        <v>0.35259303135845099</v>
      </c>
      <c r="G2450" s="1494">
        <v>89</v>
      </c>
      <c r="H2450" s="1820" t="s">
        <v>468</v>
      </c>
      <c r="I2450" s="1889">
        <v>505.13</v>
      </c>
      <c r="J2450" s="1889">
        <v>20.610000000000014</v>
      </c>
      <c r="K2450" s="3055" t="s">
        <v>469</v>
      </c>
      <c r="L2450" s="3055"/>
      <c r="M2450" s="3055"/>
      <c r="N2450" s="1489" t="str">
        <f>A2450</f>
        <v>NVDA</v>
      </c>
      <c r="O2450" s="3"/>
      <c r="P2450" s="3"/>
      <c r="Q2450" s="1345">
        <v>44238</v>
      </c>
      <c r="R2450" s="1529">
        <f t="shared" si="712"/>
        <v>103556.56640000001</v>
      </c>
      <c r="S2450" s="1510">
        <f t="shared" si="713"/>
        <v>103666.584</v>
      </c>
      <c r="T2450" s="1510">
        <f t="shared" si="714"/>
        <v>110.01759999999194</v>
      </c>
      <c r="U2450" s="1530">
        <f t="shared" si="715"/>
        <v>1.0623913463395009E-3</v>
      </c>
      <c r="V2450" s="7" t="str">
        <f t="shared" si="716"/>
        <v>NVDA</v>
      </c>
      <c r="W2450" s="1893">
        <f t="shared" ca="1" si="709"/>
        <v>-934</v>
      </c>
    </row>
    <row r="2451" spans="1:24" hidden="1" outlineLevel="1" x14ac:dyDescent="0.35">
      <c r="A2451" s="7" t="s">
        <v>402</v>
      </c>
      <c r="B2451" s="1435">
        <v>100</v>
      </c>
      <c r="C2451" s="1363">
        <v>26.8</v>
      </c>
      <c r="D2451" s="1363">
        <f t="shared" ref="D2451:D2453" si="717">C2451*B2451</f>
        <v>2680</v>
      </c>
      <c r="E2451" s="1641">
        <f>(C2451-C2435)/C2435</f>
        <v>-1.2891344383057012E-2</v>
      </c>
      <c r="F2451" s="1888">
        <f t="shared" si="708"/>
        <v>9.1152740601604908E-3</v>
      </c>
      <c r="G2451" s="1494" t="s">
        <v>228</v>
      </c>
      <c r="H2451" s="1824" t="s">
        <v>449</v>
      </c>
      <c r="I2451" s="1889">
        <v>26.204999999999998</v>
      </c>
      <c r="J2451" s="1889">
        <v>0.70500000000000185</v>
      </c>
      <c r="K2451" s="3055" t="s">
        <v>390</v>
      </c>
      <c r="L2451" s="3055"/>
      <c r="M2451" s="3055"/>
      <c r="N2451" s="1489" t="str">
        <f>A2451</f>
        <v>AVTR</v>
      </c>
      <c r="O2451" s="3"/>
      <c r="P2451" s="3"/>
      <c r="Q2451" s="1345">
        <v>44232</v>
      </c>
      <c r="R2451" s="1529">
        <f t="shared" si="712"/>
        <v>1212</v>
      </c>
      <c r="S2451" s="1510">
        <f t="shared" si="713"/>
        <v>2680</v>
      </c>
      <c r="T2451" s="1510">
        <f t="shared" si="714"/>
        <v>1468</v>
      </c>
      <c r="U2451" s="1530">
        <f t="shared" si="715"/>
        <v>1.2112211221122111</v>
      </c>
      <c r="V2451" s="7" t="str">
        <f t="shared" si="716"/>
        <v>AVTR</v>
      </c>
      <c r="W2451" s="1893">
        <f t="shared" ca="1" si="709"/>
        <v>-940</v>
      </c>
    </row>
    <row r="2452" spans="1:24" hidden="1" outlineLevel="1" x14ac:dyDescent="0.35">
      <c r="A2452" s="1084" t="s">
        <v>501</v>
      </c>
      <c r="B2452" s="1822">
        <v>200</v>
      </c>
      <c r="C2452" s="1823">
        <v>7.77</v>
      </c>
      <c r="D2452" s="1823">
        <f t="shared" si="717"/>
        <v>1554</v>
      </c>
      <c r="E2452" s="1641">
        <f>(C2452-C2436)/C2436</f>
        <v>-2.2641509433962339E-2</v>
      </c>
      <c r="F2452" s="1888">
        <f t="shared" si="708"/>
        <v>5.2854984662273887E-3</v>
      </c>
      <c r="G2452" s="1494"/>
      <c r="H2452" s="1824" t="s">
        <v>509</v>
      </c>
      <c r="I2452" s="1889"/>
      <c r="J2452" s="1889"/>
      <c r="K2452" s="3055" t="s">
        <v>502</v>
      </c>
      <c r="L2452" s="3055"/>
      <c r="M2452" s="3055"/>
      <c r="N2452" s="1489" t="str">
        <f>A2452</f>
        <v>FCEL</v>
      </c>
      <c r="O2452" s="3"/>
      <c r="P2452" s="3"/>
      <c r="Q2452" s="1345">
        <v>44216</v>
      </c>
      <c r="R2452" s="1529"/>
      <c r="S2452" s="1510">
        <f t="shared" si="713"/>
        <v>1554</v>
      </c>
      <c r="T2452" s="1510">
        <f t="shared" si="714"/>
        <v>1554</v>
      </c>
      <c r="U2452" s="1530"/>
      <c r="V2452" s="7" t="str">
        <f t="shared" si="716"/>
        <v>FCEL</v>
      </c>
      <c r="W2452" s="1893">
        <f t="shared" ca="1" si="709"/>
        <v>-956</v>
      </c>
    </row>
    <row r="2453" spans="1:24" hidden="1" outlineLevel="1" x14ac:dyDescent="0.35">
      <c r="A2453" s="7" t="s">
        <v>66</v>
      </c>
      <c r="B2453" s="1362">
        <v>180</v>
      </c>
      <c r="C2453" s="1363">
        <v>608.99</v>
      </c>
      <c r="D2453" s="1363">
        <f t="shared" si="717"/>
        <v>109618.2</v>
      </c>
      <c r="E2453" s="1641">
        <f>(C2453-C2437)/C2437</f>
        <v>1.6609909188034264E-2</v>
      </c>
      <c r="F2453" s="1888">
        <f t="shared" si="708"/>
        <v>0.37283579663488237</v>
      </c>
      <c r="G2453" s="1520"/>
      <c r="H2453" s="1903" t="s">
        <v>510</v>
      </c>
      <c r="I2453" s="1895"/>
      <c r="J2453" s="1896"/>
      <c r="K2453" s="3055" t="s">
        <v>511</v>
      </c>
      <c r="L2453" s="3055"/>
      <c r="M2453" s="3055"/>
      <c r="N2453" s="1489" t="str">
        <f>A2453</f>
        <v>TSLA</v>
      </c>
      <c r="O2453" s="3"/>
      <c r="P2453" s="3"/>
      <c r="Q2453" s="1345">
        <f>"11/12/2020"+90</f>
        <v>44237</v>
      </c>
      <c r="R2453" s="1845">
        <f>B2453*RIGHT(K2453,6)</f>
        <v>110458.79999999999</v>
      </c>
      <c r="S2453" s="1834">
        <f>D2453</f>
        <v>109618.2</v>
      </c>
      <c r="T2453" s="1834">
        <f t="shared" si="714"/>
        <v>-840.59999999999127</v>
      </c>
      <c r="U2453" s="1835">
        <f t="shared" si="715"/>
        <v>-7.6100772414691396E-3</v>
      </c>
      <c r="V2453" s="7" t="str">
        <f t="shared" si="716"/>
        <v>TSLA</v>
      </c>
      <c r="W2453" s="1712">
        <f t="shared" ca="1" si="709"/>
        <v>-935</v>
      </c>
    </row>
    <row r="2454" spans="1:24" ht="16" hidden="1" outlineLevel="1" thickBot="1" x14ac:dyDescent="0.4">
      <c r="A2454" s="1880" t="s">
        <v>7</v>
      </c>
      <c r="B2454" s="56"/>
      <c r="C2454" s="1881"/>
      <c r="D2454" s="1881">
        <v>2128.4699999999998</v>
      </c>
      <c r="E2454" s="1588"/>
      <c r="F2454" s="1486"/>
      <c r="G2454" s="1788"/>
      <c r="H2454" s="1789"/>
      <c r="I2454" s="1789"/>
      <c r="J2454" s="1216"/>
      <c r="K2454" s="1633"/>
      <c r="L2454" s="1634"/>
      <c r="M2454" s="1634"/>
      <c r="R2454" s="1691">
        <f>SUM(R2447:R2453)</f>
        <v>248907.4664</v>
      </c>
      <c r="S2454" s="1691">
        <f t="shared" ref="S2454" si="718">SUM(S2447:S2453)</f>
        <v>264231.28399999999</v>
      </c>
      <c r="T2454" s="1691">
        <f>SUM(T2447:T2453)</f>
        <v>15323.817600000002</v>
      </c>
      <c r="U2454" s="1810">
        <f>AVERAGE(U2447:U2453)</f>
        <v>0.38994259294974626</v>
      </c>
    </row>
    <row r="2455" spans="1:24" ht="16" hidden="1" outlineLevel="1" thickBot="1" x14ac:dyDescent="0.4">
      <c r="A2455" s="1880" t="s">
        <v>60</v>
      </c>
      <c r="B2455" s="56"/>
      <c r="C2455" s="1881"/>
      <c r="D2455" s="1881">
        <f>200+(100*26)</f>
        <v>2800</v>
      </c>
      <c r="E2455" s="1794"/>
      <c r="F2455" s="1486"/>
      <c r="G2455" s="1734"/>
      <c r="H2455" s="1723"/>
      <c r="I2455" s="1796"/>
      <c r="J2455" s="61">
        <f>SUM(J2454:J2454)</f>
        <v>0</v>
      </c>
      <c r="K2455" s="1468"/>
      <c r="L2455" s="1151"/>
      <c r="M2455" s="1151"/>
      <c r="S2455" s="1470" t="str">
        <f>IF(SUM(D2447:D2453)&lt;&gt;S2454,"Out of Balance","Balances")</f>
        <v>Balances</v>
      </c>
    </row>
    <row r="2456" spans="1:24" ht="19" hidden="1" outlineLevel="1" thickBot="1" x14ac:dyDescent="0.5">
      <c r="A2456" s="1797" t="s">
        <v>62</v>
      </c>
      <c r="B2456" s="1798"/>
      <c r="C2456" s="1868">
        <f>SUM(D2447:D2453,D2455)</f>
        <v>267031.28399999999</v>
      </c>
      <c r="D2456" s="1800">
        <f>SUM(D2447:D2455)</f>
        <v>269159.75399999996</v>
      </c>
      <c r="E2456" s="73">
        <f>D2456-D2440</f>
        <v>-11310.280560000043</v>
      </c>
      <c r="F2456" s="1537">
        <f>(D2456-D2440)/D2440</f>
        <v>-4.0326163819045961E-2</v>
      </c>
      <c r="G2456" s="72" t="s">
        <v>459</v>
      </c>
      <c r="H2456" s="1897">
        <f>E2456+E2440+E2423+E2406+E2392</f>
        <v>-28573.649560000107</v>
      </c>
      <c r="I2456" s="1904">
        <f>500+1000</f>
        <v>1500</v>
      </c>
      <c r="J2456" s="1905"/>
    </row>
    <row r="2457" spans="1:24" hidden="1" outlineLevel="1" x14ac:dyDescent="0.35">
      <c r="A2457" s="3071" t="s">
        <v>512</v>
      </c>
      <c r="B2457" s="3066"/>
      <c r="C2457" s="3066"/>
      <c r="D2457" s="3066"/>
      <c r="E2457" s="3066"/>
      <c r="F2457" s="3066"/>
      <c r="G2457" s="3066"/>
      <c r="H2457" s="3066"/>
      <c r="I2457" s="3066"/>
      <c r="J2457" s="3067"/>
    </row>
    <row r="2458" spans="1:24" ht="22.5" hidden="1" customHeight="1" outlineLevel="1" thickBot="1" x14ac:dyDescent="0.4">
      <c r="A2458" s="3068"/>
      <c r="B2458" s="3069"/>
      <c r="C2458" s="3069"/>
      <c r="D2458" s="3069"/>
      <c r="E2458" s="3069"/>
      <c r="F2458" s="3069"/>
      <c r="G2458" s="3069"/>
      <c r="H2458" s="3069"/>
      <c r="I2458" s="3069"/>
      <c r="J2458" s="3070"/>
    </row>
    <row r="2459" spans="1:24" hidden="1" outlineLevel="1" x14ac:dyDescent="0.35">
      <c r="A2459" s="8"/>
      <c r="B2459" s="9"/>
      <c r="C2459" s="8"/>
      <c r="D2459" s="8"/>
      <c r="E2459" s="9"/>
      <c r="F2459" s="10"/>
      <c r="G2459" s="11"/>
      <c r="H2459" s="12"/>
      <c r="I2459" s="8"/>
      <c r="J2459" s="12"/>
      <c r="K2459" s="8"/>
      <c r="L2459" s="8"/>
      <c r="M2459" s="8"/>
      <c r="N2459" s="8"/>
      <c r="O2459" s="8"/>
      <c r="P2459" s="8"/>
      <c r="Q2459" s="8"/>
      <c r="R2459" s="8"/>
      <c r="S2459" s="8"/>
      <c r="T2459" s="8"/>
      <c r="U2459" s="8"/>
      <c r="V2459" s="8"/>
      <c r="W2459" s="8"/>
      <c r="X2459" s="8"/>
    </row>
    <row r="2460" spans="1:24" ht="16" hidden="1" outlineLevel="1" thickBot="1" x14ac:dyDescent="0.4">
      <c r="A2460" s="1619" t="s">
        <v>25</v>
      </c>
      <c r="B2460" s="1620" t="s">
        <v>26</v>
      </c>
      <c r="C2460" s="1621" t="s">
        <v>27</v>
      </c>
      <c r="D2460" s="1622">
        <f>D2444+7</f>
        <v>44183</v>
      </c>
      <c r="E2460" s="1623" t="s">
        <v>28</v>
      </c>
      <c r="F2460" s="3036" t="s">
        <v>29</v>
      </c>
      <c r="G2460" s="3037"/>
      <c r="H2460" s="3038"/>
      <c r="I2460" s="1727"/>
      <c r="J2460" s="1182"/>
      <c r="K2460" s="1183" t="s">
        <v>233</v>
      </c>
      <c r="O2460" s="3072" t="s">
        <v>31</v>
      </c>
      <c r="P2460" s="3073"/>
      <c r="T2460" s="247">
        <f>SUM(T2464:T2466)</f>
        <v>12712.000000000004</v>
      </c>
      <c r="U2460" s="1898"/>
      <c r="V2460" s="247"/>
    </row>
    <row r="2461" spans="1:24" ht="16" hidden="1" outlineLevel="1" thickBot="1" x14ac:dyDescent="0.4">
      <c r="A2461" s="1584" t="s">
        <v>32</v>
      </c>
      <c r="B2461" s="1585" t="str">
        <f ca="1">TEXT(TODAY(),"ddd")</f>
        <v>Sun</v>
      </c>
      <c r="C2461" s="1586">
        <v>30179</v>
      </c>
      <c r="D2461" s="1808">
        <f>C2461-C2445</f>
        <v>174</v>
      </c>
      <c r="E2461" s="1641">
        <f>(C2461-C2445)/C2445</f>
        <v>5.7990334944175975E-3</v>
      </c>
      <c r="F2461" s="3039"/>
      <c r="G2461" s="3040"/>
      <c r="H2461" s="3041"/>
      <c r="I2461" s="1602"/>
      <c r="J2461" s="1602"/>
      <c r="K2461" s="1188" t="s">
        <v>234</v>
      </c>
      <c r="L2461" s="1220" t="s">
        <v>34</v>
      </c>
      <c r="M2461" s="111" t="s">
        <v>35</v>
      </c>
      <c r="N2461" s="2995"/>
      <c r="O2461" s="2996"/>
      <c r="P2461" s="2996"/>
      <c r="Q2461" s="2996"/>
      <c r="R2461" s="2996"/>
      <c r="S2461" s="2996"/>
      <c r="T2461" s="2996"/>
      <c r="U2461" s="3044"/>
    </row>
    <row r="2462" spans="1:24" hidden="1" outlineLevel="1" x14ac:dyDescent="0.35">
      <c r="A2462" s="709" t="s">
        <v>36</v>
      </c>
      <c r="B2462" s="419"/>
      <c r="C2462" s="419">
        <v>12755</v>
      </c>
      <c r="D2462" s="1808">
        <f>C2462-C2446</f>
        <v>424</v>
      </c>
      <c r="E2462" s="1641">
        <f>(C2462-C2446)/C2446</f>
        <v>3.4384883626632064E-2</v>
      </c>
      <c r="F2462" s="1744" t="s">
        <v>37</v>
      </c>
      <c r="G2462" s="1745" t="s">
        <v>38</v>
      </c>
      <c r="H2462" s="1746" t="s">
        <v>144</v>
      </c>
      <c r="I2462" s="1747" t="s">
        <v>441</v>
      </c>
      <c r="J2462" s="1748" t="s">
        <v>400</v>
      </c>
      <c r="K2462" s="3063" t="s">
        <v>42</v>
      </c>
      <c r="L2462" s="3064"/>
      <c r="M2462" s="3064"/>
      <c r="N2462" s="1830" t="s">
        <v>244</v>
      </c>
      <c r="Q2462" s="1831" t="s">
        <v>44</v>
      </c>
      <c r="R2462" s="1832" t="s">
        <v>45</v>
      </c>
      <c r="S2462" s="1832" t="s">
        <v>46</v>
      </c>
      <c r="T2462" s="1832" t="s">
        <v>47</v>
      </c>
      <c r="U2462" s="1833" t="s">
        <v>48</v>
      </c>
      <c r="W2462" s="1700" t="s">
        <v>446</v>
      </c>
    </row>
    <row r="2463" spans="1:24" hidden="1" outlineLevel="1" x14ac:dyDescent="0.35">
      <c r="A2463" s="1084" t="s">
        <v>501</v>
      </c>
      <c r="B2463" s="1822">
        <v>400</v>
      </c>
      <c r="C2463" s="1823">
        <v>9.3000000000000007</v>
      </c>
      <c r="D2463" s="1823">
        <f>C2463*B2463</f>
        <v>3720.0000000000005</v>
      </c>
      <c r="E2463" s="1641">
        <f>(C2463-C2452)/C2452</f>
        <v>0.19691119691119707</v>
      </c>
      <c r="F2463" s="1888">
        <f>D2463/$D$2472</f>
        <v>1.2822202289724249E-2</v>
      </c>
      <c r="G2463" s="1494"/>
      <c r="H2463" s="1824" t="s">
        <v>509</v>
      </c>
      <c r="I2463" s="1889"/>
      <c r="J2463" s="1889"/>
      <c r="K2463" s="3055" t="s">
        <v>513</v>
      </c>
      <c r="L2463" s="3055"/>
      <c r="M2463" s="3055"/>
      <c r="N2463" s="1489" t="str">
        <f>A2463</f>
        <v>FCEL</v>
      </c>
      <c r="O2463" s="3"/>
      <c r="P2463" s="3"/>
      <c r="Q2463" s="1345">
        <v>44216</v>
      </c>
      <c r="R2463" s="1529">
        <f>B2463*RIGHT(K2463,5)</f>
        <v>2384</v>
      </c>
      <c r="S2463" s="1510">
        <f>D2463</f>
        <v>3720.0000000000005</v>
      </c>
      <c r="T2463" s="1510">
        <f>S2463-R2463</f>
        <v>1336.0000000000005</v>
      </c>
      <c r="U2463" s="1530">
        <f>(S2463-R2463)/R2463</f>
        <v>0.56040268456375864</v>
      </c>
      <c r="V2463" s="7" t="str">
        <f>A2463</f>
        <v>FCEL</v>
      </c>
      <c r="W2463" s="1906">
        <f t="shared" ref="W2463:W2469" ca="1" si="719">Q2463-TODAY()</f>
        <v>-956</v>
      </c>
    </row>
    <row r="2464" spans="1:24" hidden="1" outlineLevel="1" x14ac:dyDescent="0.35">
      <c r="A2464" s="7" t="s">
        <v>485</v>
      </c>
      <c r="B2464" s="1362">
        <v>350</v>
      </c>
      <c r="C2464" s="1363">
        <v>46.38</v>
      </c>
      <c r="D2464" s="1363">
        <f>C2464*B2464</f>
        <v>16233</v>
      </c>
      <c r="E2464" s="1657">
        <f>(C2464-C2447)/C2447</f>
        <v>4.7425474254742576E-2</v>
      </c>
      <c r="F2464" s="1888">
        <f t="shared" ref="F2464:F2469" si="720">D2464/$D$2472</f>
        <v>5.5952368217498313E-2</v>
      </c>
      <c r="G2464" s="1494"/>
      <c r="H2464" s="1902"/>
      <c r="I2464" s="1889">
        <v>31.01</v>
      </c>
      <c r="J2464" s="1889">
        <v>7.620000000000001</v>
      </c>
      <c r="K2464" s="3055" t="s">
        <v>514</v>
      </c>
      <c r="L2464" s="3055"/>
      <c r="M2464" s="3055"/>
      <c r="N2464" s="1489" t="str">
        <f>A2464</f>
        <v>XPEV</v>
      </c>
      <c r="O2464" s="3"/>
      <c r="P2464" s="3"/>
      <c r="Q2464" s="1345">
        <f>"11/12/2020"+90</f>
        <v>44237</v>
      </c>
      <c r="R2464" s="1529">
        <f>B2464*RIGHT(K2464,6)</f>
        <v>11430.999999999998</v>
      </c>
      <c r="S2464" s="1510">
        <f>D2464</f>
        <v>16233</v>
      </c>
      <c r="T2464" s="1834">
        <f>S2464-R2464</f>
        <v>4802.0000000000018</v>
      </c>
      <c r="U2464" s="1530">
        <f>(S2464-R2464)/R2464</f>
        <v>0.42008573178199654</v>
      </c>
      <c r="V2464" s="7" t="str">
        <f>A2464</f>
        <v>XPEV</v>
      </c>
      <c r="W2464" s="1893">
        <f t="shared" ca="1" si="719"/>
        <v>-935</v>
      </c>
    </row>
    <row r="2465" spans="1:24" hidden="1" outlineLevel="1" x14ac:dyDescent="0.35">
      <c r="A2465" s="1084" t="s">
        <v>483</v>
      </c>
      <c r="B2465" s="1822">
        <v>350</v>
      </c>
      <c r="C2465" s="1823">
        <v>31.77</v>
      </c>
      <c r="D2465" s="1823">
        <f t="shared" ref="D2465:D2467" si="721">C2465*B2465</f>
        <v>11119.5</v>
      </c>
      <c r="E2465" s="1657">
        <f>(C2465-C2448)/C2448</f>
        <v>8.8917116544935271E-3</v>
      </c>
      <c r="F2465" s="1888">
        <f t="shared" si="720"/>
        <v>3.832701031198623E-2</v>
      </c>
      <c r="G2465" s="1494"/>
      <c r="H2465" s="1902"/>
      <c r="I2465" s="1889">
        <v>23.18</v>
      </c>
      <c r="J2465" s="1889">
        <v>7.07</v>
      </c>
      <c r="K2465" s="3055" t="s">
        <v>515</v>
      </c>
      <c r="L2465" s="3055"/>
      <c r="M2465" s="3055"/>
      <c r="N2465" s="1489" t="str">
        <f t="shared" ref="N2465:N2466" si="722">A2465</f>
        <v>LI</v>
      </c>
      <c r="O2465" s="3"/>
      <c r="P2465" s="3"/>
      <c r="Q2465" s="1345">
        <f>"11/13/2020"+90</f>
        <v>44238</v>
      </c>
      <c r="R2465" s="1529">
        <f t="shared" ref="R2465:R2468" si="723">B2465*RIGHT(K2465,6)</f>
        <v>7931</v>
      </c>
      <c r="S2465" s="1510">
        <f t="shared" ref="S2465:S2468" si="724">D2465</f>
        <v>11119.5</v>
      </c>
      <c r="T2465" s="1834">
        <f t="shared" ref="T2465:T2469" si="725">S2465-R2465</f>
        <v>3188.5</v>
      </c>
      <c r="U2465" s="1530">
        <f t="shared" ref="U2465:U2469" si="726">(S2465-R2465)/R2465</f>
        <v>0.40203000882612533</v>
      </c>
      <c r="V2465" s="7" t="str">
        <f t="shared" ref="V2465:V2469" si="727">A2465</f>
        <v>LI</v>
      </c>
      <c r="W2465" s="1893">
        <f t="shared" ca="1" si="719"/>
        <v>-934</v>
      </c>
    </row>
    <row r="2466" spans="1:24" hidden="1" outlineLevel="1" x14ac:dyDescent="0.35">
      <c r="A2466" s="7" t="s">
        <v>487</v>
      </c>
      <c r="B2466" s="1362">
        <v>350</v>
      </c>
      <c r="C2466" s="1363">
        <v>46.72</v>
      </c>
      <c r="D2466" s="1363">
        <f t="shared" si="721"/>
        <v>16352</v>
      </c>
      <c r="E2466" s="1657">
        <f>(C2466-C2449)/C2449</f>
        <v>0.11556829035339054</v>
      </c>
      <c r="F2466" s="1888">
        <f t="shared" si="720"/>
        <v>5.6362540817626587E-2</v>
      </c>
      <c r="G2466" s="1494"/>
      <c r="H2466" s="1902"/>
      <c r="I2466" s="1889">
        <v>38.11</v>
      </c>
      <c r="J2466" s="1889">
        <v>3.5600000000000023</v>
      </c>
      <c r="K2466" s="3055" t="s">
        <v>488</v>
      </c>
      <c r="L2466" s="3055"/>
      <c r="M2466" s="3055"/>
      <c r="N2466" s="1489" t="str">
        <f t="shared" si="722"/>
        <v>NIO</v>
      </c>
      <c r="O2466" s="3"/>
      <c r="P2466" s="3"/>
      <c r="Q2466" s="1345">
        <f>"11/17/2020"+90</f>
        <v>44242</v>
      </c>
      <c r="R2466" s="1529">
        <f t="shared" si="723"/>
        <v>11630.499999999998</v>
      </c>
      <c r="S2466" s="1510">
        <f t="shared" si="724"/>
        <v>16352</v>
      </c>
      <c r="T2466" s="1834">
        <f t="shared" si="725"/>
        <v>4721.5000000000018</v>
      </c>
      <c r="U2466" s="1530">
        <f t="shared" si="726"/>
        <v>0.40595847126090906</v>
      </c>
      <c r="V2466" s="7" t="str">
        <f t="shared" si="727"/>
        <v>NIO</v>
      </c>
      <c r="W2466" s="1893">
        <f t="shared" ca="1" si="719"/>
        <v>-930</v>
      </c>
    </row>
    <row r="2467" spans="1:24" hidden="1" outlineLevel="1" x14ac:dyDescent="0.35">
      <c r="A2467" s="1084" t="s">
        <v>516</v>
      </c>
      <c r="B2467" s="1822">
        <v>225</v>
      </c>
      <c r="C2467" s="1823">
        <v>36.340000000000003</v>
      </c>
      <c r="D2467" s="1823">
        <f t="shared" si="721"/>
        <v>8176.5000000000009</v>
      </c>
      <c r="E2467" s="1641"/>
      <c r="F2467" s="1888">
        <f t="shared" si="720"/>
        <v>2.818299382309955E-2</v>
      </c>
      <c r="G2467" s="1520"/>
      <c r="H2467" s="1903"/>
      <c r="I2467" s="1895"/>
      <c r="J2467" s="1896"/>
      <c r="K2467" s="3055" t="s">
        <v>517</v>
      </c>
      <c r="L2467" s="3055"/>
      <c r="M2467" s="3055"/>
      <c r="N2467" s="1673" t="str">
        <f>A2467</f>
        <v>BLNK</v>
      </c>
      <c r="Q2467" s="1345">
        <f>"11/12/2020"+90</f>
        <v>44237</v>
      </c>
      <c r="R2467" s="1529">
        <f t="shared" si="723"/>
        <v>7571.25</v>
      </c>
      <c r="S2467" s="1510">
        <f t="shared" si="724"/>
        <v>8176.5000000000009</v>
      </c>
      <c r="T2467" s="1510">
        <f t="shared" si="725"/>
        <v>605.25000000000091</v>
      </c>
      <c r="U2467" s="1530">
        <f t="shared" si="726"/>
        <v>7.9940564635958514E-2</v>
      </c>
      <c r="V2467" s="7" t="str">
        <f t="shared" si="727"/>
        <v>BLNK</v>
      </c>
      <c r="W2467" s="1893">
        <f t="shared" ca="1" si="719"/>
        <v>-935</v>
      </c>
    </row>
    <row r="2468" spans="1:24" hidden="1" outlineLevel="1" x14ac:dyDescent="0.35">
      <c r="A2468" s="7" t="s">
        <v>49</v>
      </c>
      <c r="B2468" s="1362">
        <v>200.03200000000001</v>
      </c>
      <c r="C2468" s="1363">
        <v>530.88</v>
      </c>
      <c r="D2468" s="1363">
        <f>C2468*B2468</f>
        <v>106192.98816000001</v>
      </c>
      <c r="E2468" s="1641">
        <f>(C2468-C2450)/C2450</f>
        <v>2.4370477568740945E-2</v>
      </c>
      <c r="F2468" s="1506">
        <f t="shared" si="720"/>
        <v>0.36602902578973445</v>
      </c>
      <c r="G2468" s="1494">
        <v>89</v>
      </c>
      <c r="H2468" s="1820" t="s">
        <v>468</v>
      </c>
      <c r="I2468" s="1889">
        <v>505.13</v>
      </c>
      <c r="J2468" s="1889">
        <v>20.610000000000014</v>
      </c>
      <c r="K2468" s="3055" t="s">
        <v>518</v>
      </c>
      <c r="L2468" s="3055"/>
      <c r="M2468" s="3055"/>
      <c r="N2468" s="1489" t="str">
        <f>A2468</f>
        <v>NVDA</v>
      </c>
      <c r="O2468" s="3"/>
      <c r="P2468" s="3"/>
      <c r="Q2468" s="1345">
        <v>44238</v>
      </c>
      <c r="R2468" s="1529">
        <f t="shared" si="723"/>
        <v>103686.58720000001</v>
      </c>
      <c r="S2468" s="1510">
        <f t="shared" si="724"/>
        <v>106192.98816000001</v>
      </c>
      <c r="T2468" s="1510">
        <f t="shared" si="725"/>
        <v>2506.400959999999</v>
      </c>
      <c r="U2468" s="1530">
        <f t="shared" si="726"/>
        <v>2.4172856178257922E-2</v>
      </c>
      <c r="V2468" s="7" t="str">
        <f t="shared" si="727"/>
        <v>NVDA</v>
      </c>
      <c r="W2468" s="1893">
        <f t="shared" ca="1" si="719"/>
        <v>-934</v>
      </c>
    </row>
    <row r="2469" spans="1:24" hidden="1" outlineLevel="1" x14ac:dyDescent="0.35">
      <c r="A2469" s="1084" t="s">
        <v>66</v>
      </c>
      <c r="B2469" s="1822">
        <v>180</v>
      </c>
      <c r="C2469" s="1823">
        <v>695</v>
      </c>
      <c r="D2469" s="1823">
        <f t="shared" ref="D2469" si="728">C2469*B2469</f>
        <v>125100</v>
      </c>
      <c r="E2469" s="1641">
        <f>(C2469-C2453)/C2453</f>
        <v>0.14123384620437116</v>
      </c>
      <c r="F2469" s="1506">
        <f t="shared" si="720"/>
        <v>0.43119825442056547</v>
      </c>
      <c r="G2469" s="1520"/>
      <c r="H2469" s="1903" t="s">
        <v>510</v>
      </c>
      <c r="I2469" s="1895"/>
      <c r="J2469" s="1896"/>
      <c r="K2469" s="3055" t="s">
        <v>511</v>
      </c>
      <c r="L2469" s="3055"/>
      <c r="M2469" s="3055"/>
      <c r="N2469" s="1489" t="str">
        <f>A2469</f>
        <v>TSLA</v>
      </c>
      <c r="O2469" s="3"/>
      <c r="P2469" s="3"/>
      <c r="Q2469" s="1345">
        <f>"11/12/2020"+90</f>
        <v>44237</v>
      </c>
      <c r="R2469" s="1529">
        <f>B2469*RIGHT(K2469,6)</f>
        <v>110458.79999999999</v>
      </c>
      <c r="S2469" s="1510">
        <f>D2469</f>
        <v>125100</v>
      </c>
      <c r="T2469" s="1510">
        <f t="shared" si="725"/>
        <v>14641.200000000012</v>
      </c>
      <c r="U2469" s="1530">
        <f t="shared" si="726"/>
        <v>0.13254896848417702</v>
      </c>
      <c r="V2469" s="7" t="str">
        <f t="shared" si="727"/>
        <v>TSLA</v>
      </c>
      <c r="W2469" s="1712">
        <f t="shared" ca="1" si="719"/>
        <v>-935</v>
      </c>
    </row>
    <row r="2470" spans="1:24" ht="16" hidden="1" outlineLevel="1" thickBot="1" x14ac:dyDescent="0.4">
      <c r="A2470" s="1880" t="s">
        <v>7</v>
      </c>
      <c r="B2470" s="56"/>
      <c r="C2470" s="1881"/>
      <c r="D2470" s="1881">
        <v>2150.52</v>
      </c>
      <c r="E2470" s="1588"/>
      <c r="F2470" s="1486"/>
      <c r="G2470" s="1788"/>
      <c r="H2470" s="1789"/>
      <c r="I2470" s="1789"/>
      <c r="J2470" s="1216"/>
      <c r="K2470" s="1633"/>
      <c r="L2470" s="1634"/>
      <c r="M2470" s="1634"/>
      <c r="R2470" s="1691">
        <f>SUM(R2463:R2469)</f>
        <v>255093.1372</v>
      </c>
      <c r="S2470" s="1691">
        <f>SUM(S2463:S2469)</f>
        <v>286893.98816000001</v>
      </c>
      <c r="T2470" s="1691">
        <f>SUM(T2463:T2469)</f>
        <v>31800.850960000014</v>
      </c>
      <c r="U2470" s="1810">
        <f>AVERAGE(U2463:U2469)</f>
        <v>0.28930561224731183</v>
      </c>
    </row>
    <row r="2471" spans="1:24" ht="16" hidden="1" outlineLevel="1" thickBot="1" x14ac:dyDescent="0.4">
      <c r="A2471" s="1880" t="s">
        <v>60</v>
      </c>
      <c r="B2471" s="56"/>
      <c r="C2471" s="1881"/>
      <c r="D2471" s="1881">
        <v>1077.26</v>
      </c>
      <c r="E2471" s="1794"/>
      <c r="F2471" s="1486"/>
      <c r="G2471" s="1734"/>
      <c r="H2471" s="1723"/>
      <c r="I2471" s="1796"/>
      <c r="J2471" s="61">
        <f>SUM(J2470:J2470)</f>
        <v>0</v>
      </c>
      <c r="K2471" s="1468"/>
      <c r="L2471" s="1151"/>
      <c r="M2471" s="1151"/>
      <c r="S2471" s="1470" t="str">
        <f>IF(SUM(D2463:D2469)&lt;&gt;S2470,"Out of Balance","Balances")</f>
        <v>Balances</v>
      </c>
    </row>
    <row r="2472" spans="1:24" ht="19" hidden="1" outlineLevel="1" thickBot="1" x14ac:dyDescent="0.5">
      <c r="A2472" s="1797" t="s">
        <v>62</v>
      </c>
      <c r="B2472" s="1798"/>
      <c r="C2472" s="1868">
        <f>SUM(D2463:D2469,D2471)</f>
        <v>287971.24816000002</v>
      </c>
      <c r="D2472" s="1804">
        <f>SUM(D2463:D2471)</f>
        <v>290121.76816000004</v>
      </c>
      <c r="E2472" s="1907">
        <f>D2472-D2456</f>
        <v>20962.014160000079</v>
      </c>
      <c r="F2472" s="1908">
        <f>(D2472-D2456)/D2456</f>
        <v>7.7879452066968682E-2</v>
      </c>
      <c r="G2472" s="72" t="s">
        <v>459</v>
      </c>
      <c r="H2472" s="1897">
        <f>E2472+E2456+E2440+E2423+E2406</f>
        <v>18213.554479999992</v>
      </c>
      <c r="I2472" s="1848"/>
      <c r="J2472" s="1849"/>
    </row>
    <row r="2473" spans="1:24" hidden="1" outlineLevel="1" x14ac:dyDescent="0.35">
      <c r="A2473" s="3071" t="s">
        <v>519</v>
      </c>
      <c r="B2473" s="3066"/>
      <c r="C2473" s="3066"/>
      <c r="D2473" s="3066"/>
      <c r="E2473" s="3066"/>
      <c r="F2473" s="3066"/>
      <c r="G2473" s="3066"/>
      <c r="H2473" s="3066"/>
      <c r="I2473" s="3066"/>
      <c r="J2473" s="3067"/>
    </row>
    <row r="2474" spans="1:24" ht="40.5" hidden="1" customHeight="1" outlineLevel="1" thickBot="1" x14ac:dyDescent="0.4">
      <c r="A2474" s="3068"/>
      <c r="B2474" s="3069"/>
      <c r="C2474" s="3069"/>
      <c r="D2474" s="3069"/>
      <c r="E2474" s="3069"/>
      <c r="F2474" s="3069"/>
      <c r="G2474" s="3069"/>
      <c r="H2474" s="3069"/>
      <c r="I2474" s="3069"/>
      <c r="J2474" s="3070"/>
    </row>
    <row r="2475" spans="1:24" hidden="1" outlineLevel="1" x14ac:dyDescent="0.35"/>
    <row r="2476" spans="1:24" ht="16" hidden="1" outlineLevel="1" thickBot="1" x14ac:dyDescent="0.4">
      <c r="A2476" s="1619" t="s">
        <v>25</v>
      </c>
      <c r="B2476" s="1620" t="s">
        <v>26</v>
      </c>
      <c r="C2476" s="1621" t="s">
        <v>27</v>
      </c>
      <c r="D2476" s="1622">
        <f>D2460+7</f>
        <v>44190</v>
      </c>
      <c r="E2476" s="1623" t="s">
        <v>28</v>
      </c>
      <c r="F2476" s="3036" t="s">
        <v>29</v>
      </c>
      <c r="G2476" s="3037"/>
      <c r="H2476" s="3038"/>
      <c r="I2476" s="1727"/>
      <c r="J2476" s="1182"/>
      <c r="K2476" s="1183" t="s">
        <v>233</v>
      </c>
      <c r="O2476" s="3072" t="s">
        <v>31</v>
      </c>
      <c r="P2476" s="3073"/>
      <c r="T2476" s="247">
        <f>SUM(T2480:T2482)</f>
        <v>9943.5000000000055</v>
      </c>
      <c r="U2476" s="1898"/>
      <c r="V2476" s="247"/>
    </row>
    <row r="2477" spans="1:24" ht="16" hidden="1" outlineLevel="1" thickBot="1" x14ac:dyDescent="0.4">
      <c r="A2477" s="1584" t="s">
        <v>32</v>
      </c>
      <c r="B2477" s="1585" t="str">
        <f ca="1">TEXT(TODAY(),"ddd")</f>
        <v>Sun</v>
      </c>
      <c r="C2477" s="1586">
        <v>30199</v>
      </c>
      <c r="D2477" s="1808">
        <f>C2477-C2461</f>
        <v>20</v>
      </c>
      <c r="E2477" s="1641">
        <f>(C2477-C2461)/C2461</f>
        <v>6.6271248218960203E-4</v>
      </c>
      <c r="F2477" s="3039"/>
      <c r="G2477" s="3040"/>
      <c r="H2477" s="3041"/>
      <c r="I2477" s="1602"/>
      <c r="J2477" s="1602"/>
      <c r="K2477" s="1188" t="s">
        <v>234</v>
      </c>
      <c r="L2477" s="1220" t="s">
        <v>34</v>
      </c>
      <c r="M2477" s="111" t="s">
        <v>35</v>
      </c>
      <c r="N2477" s="2995"/>
      <c r="O2477" s="2996"/>
      <c r="P2477" s="2996"/>
      <c r="Q2477" s="2996"/>
      <c r="R2477" s="2996"/>
      <c r="S2477" s="2996"/>
      <c r="T2477" s="2996"/>
      <c r="U2477" s="3044"/>
    </row>
    <row r="2478" spans="1:24" hidden="1" outlineLevel="1" x14ac:dyDescent="0.35">
      <c r="A2478" s="709" t="s">
        <v>36</v>
      </c>
      <c r="B2478" s="419"/>
      <c r="C2478" s="419">
        <v>12804</v>
      </c>
      <c r="D2478" s="1808">
        <f>C2478-C2462</f>
        <v>49</v>
      </c>
      <c r="E2478" s="1641">
        <f>(C2478-C2462)/C2462</f>
        <v>3.8416307330458644E-3</v>
      </c>
      <c r="F2478" s="1744" t="s">
        <v>37</v>
      </c>
      <c r="G2478" s="1745" t="s">
        <v>38</v>
      </c>
      <c r="H2478" s="1746" t="s">
        <v>144</v>
      </c>
      <c r="I2478" s="1747" t="s">
        <v>441</v>
      </c>
      <c r="J2478" s="1748" t="s">
        <v>400</v>
      </c>
      <c r="K2478" s="3063" t="s">
        <v>42</v>
      </c>
      <c r="L2478" s="3064"/>
      <c r="M2478" s="3064"/>
      <c r="N2478" s="1830" t="s">
        <v>244</v>
      </c>
      <c r="Q2478" s="1831" t="s">
        <v>44</v>
      </c>
      <c r="R2478" s="1832" t="s">
        <v>45</v>
      </c>
      <c r="S2478" s="1832" t="s">
        <v>46</v>
      </c>
      <c r="T2478" s="1832" t="s">
        <v>47</v>
      </c>
      <c r="U2478" s="1833" t="s">
        <v>48</v>
      </c>
      <c r="W2478" s="1700" t="s">
        <v>446</v>
      </c>
      <c r="X2478" s="1909" t="s">
        <v>44</v>
      </c>
    </row>
    <row r="2479" spans="1:24" hidden="1" outlineLevel="1" x14ac:dyDescent="0.35">
      <c r="A2479" s="1084" t="s">
        <v>501</v>
      </c>
      <c r="B2479" s="1822">
        <v>540</v>
      </c>
      <c r="C2479" s="1823">
        <v>12.3</v>
      </c>
      <c r="D2479" s="1823">
        <f>C2479*B2479</f>
        <v>6642</v>
      </c>
      <c r="E2479" s="1910">
        <f>(C2479-C2463)/C2463</f>
        <v>0.32258064516129031</v>
      </c>
      <c r="F2479" s="1506">
        <f>D2479/$D$2472</f>
        <v>2.2893835378588294E-2</v>
      </c>
      <c r="G2479" s="1494"/>
      <c r="H2479" s="1824" t="s">
        <v>509</v>
      </c>
      <c r="I2479" s="1889"/>
      <c r="J2479" s="1889"/>
      <c r="K2479" s="3055" t="s">
        <v>520</v>
      </c>
      <c r="L2479" s="3055"/>
      <c r="M2479" s="3055"/>
      <c r="N2479" s="1489" t="str">
        <f>A2479</f>
        <v>FCEL</v>
      </c>
      <c r="O2479" s="3"/>
      <c r="P2479" s="3"/>
      <c r="Q2479" s="1345">
        <v>44216</v>
      </c>
      <c r="R2479" s="1529">
        <f>B2479*RIGHT(K2479,5)</f>
        <v>3934.98</v>
      </c>
      <c r="S2479" s="1510">
        <f>D2479</f>
        <v>6642</v>
      </c>
      <c r="T2479" s="1510">
        <f>S2479-R2479</f>
        <v>2707.02</v>
      </c>
      <c r="U2479" s="1530">
        <f>(S2479-R2479)/R2479</f>
        <v>0.68793742280773984</v>
      </c>
      <c r="V2479" s="1911" t="str">
        <f>A2479</f>
        <v>FCEL</v>
      </c>
      <c r="W2479" s="1435">
        <f t="shared" ref="W2479:W2486" ca="1" si="729">Q2479-TODAY()</f>
        <v>-956</v>
      </c>
      <c r="X2479" s="110">
        <f t="shared" ref="X2479:X2486" ca="1" si="730">RANK(W2479,$W$2479:$W$2486,1)</f>
        <v>1</v>
      </c>
    </row>
    <row r="2480" spans="1:24" hidden="1" outlineLevel="1" x14ac:dyDescent="0.35">
      <c r="A2480" s="7" t="s">
        <v>485</v>
      </c>
      <c r="B2480" s="1362">
        <v>350</v>
      </c>
      <c r="C2480" s="1363">
        <v>41.87</v>
      </c>
      <c r="D2480" s="1363">
        <f>C2480*B2480</f>
        <v>14654.5</v>
      </c>
      <c r="E2480" s="1657">
        <f t="shared" ref="E2480:E2482" si="731">(C2480-C2464)/C2464</f>
        <v>-9.7240189736955696E-2</v>
      </c>
      <c r="F2480" s="1888">
        <f t="shared" ref="F2480:F2483" si="732">D2480/$D$2472</f>
        <v>5.0511549315796773E-2</v>
      </c>
      <c r="G2480" s="1494"/>
      <c r="H2480" s="1902"/>
      <c r="I2480" s="1889">
        <v>31.01</v>
      </c>
      <c r="J2480" s="1889">
        <v>7.620000000000001</v>
      </c>
      <c r="K2480" s="3055" t="s">
        <v>514</v>
      </c>
      <c r="L2480" s="3055"/>
      <c r="M2480" s="3055"/>
      <c r="N2480" s="1489" t="str">
        <f>A2480</f>
        <v>XPEV</v>
      </c>
      <c r="O2480" s="3"/>
      <c r="P2480" s="3"/>
      <c r="Q2480" s="1345">
        <f>"11/12/2020"+90</f>
        <v>44237</v>
      </c>
      <c r="R2480" s="1529">
        <f>B2480*RIGHT(K2480,6)</f>
        <v>11430.999999999998</v>
      </c>
      <c r="S2480" s="1510">
        <f>D2480</f>
        <v>14654.5</v>
      </c>
      <c r="T2480" s="1899">
        <f>S2480-R2480</f>
        <v>3223.5000000000018</v>
      </c>
      <c r="U2480" s="1530">
        <f>(S2480-R2480)/R2480</f>
        <v>0.28199632578077177</v>
      </c>
      <c r="V2480" s="55" t="str">
        <f>A2480</f>
        <v>XPEV</v>
      </c>
      <c r="W2480" s="56">
        <f t="shared" ca="1" si="729"/>
        <v>-935</v>
      </c>
      <c r="X2480" s="109">
        <f t="shared" ca="1" si="730"/>
        <v>3</v>
      </c>
    </row>
    <row r="2481" spans="1:24" hidden="1" outlineLevel="1" x14ac:dyDescent="0.35">
      <c r="A2481" s="1084" t="s">
        <v>483</v>
      </c>
      <c r="B2481" s="1822">
        <v>350</v>
      </c>
      <c r="C2481" s="1823">
        <v>29.32</v>
      </c>
      <c r="D2481" s="1823">
        <f t="shared" ref="D2481:D2484" si="733">C2481*B2481</f>
        <v>10262</v>
      </c>
      <c r="E2481" s="1657">
        <f t="shared" si="731"/>
        <v>-7.7116776833490691E-2</v>
      </c>
      <c r="F2481" s="1888">
        <f t="shared" si="732"/>
        <v>3.5371354811061892E-2</v>
      </c>
      <c r="G2481" s="1494"/>
      <c r="H2481" s="1902"/>
      <c r="I2481" s="1889">
        <v>23.18</v>
      </c>
      <c r="J2481" s="1889">
        <v>7.07</v>
      </c>
      <c r="K2481" s="3055" t="s">
        <v>515</v>
      </c>
      <c r="L2481" s="3055"/>
      <c r="M2481" s="3055"/>
      <c r="N2481" s="1489" t="str">
        <f t="shared" ref="N2481:N2482" si="734">A2481</f>
        <v>LI</v>
      </c>
      <c r="O2481" s="3"/>
      <c r="P2481" s="3"/>
      <c r="Q2481" s="1345">
        <f>"11/13/2020"+90</f>
        <v>44238</v>
      </c>
      <c r="R2481" s="1529">
        <f t="shared" ref="R2481:R2483" si="735">B2481*RIGHT(K2481,6)</f>
        <v>7931</v>
      </c>
      <c r="S2481" s="1510">
        <f t="shared" ref="S2481:S2483" si="736">D2481</f>
        <v>10262</v>
      </c>
      <c r="T2481" s="1899">
        <f t="shared" ref="T2481:T2483" si="737">S2481-R2481</f>
        <v>2331</v>
      </c>
      <c r="U2481" s="1530">
        <f t="shared" ref="U2481:U2483" si="738">(S2481-R2481)/R2481</f>
        <v>0.29390997352162401</v>
      </c>
      <c r="V2481" s="55" t="str">
        <f t="shared" ref="V2481:V2482" si="739">A2481</f>
        <v>LI</v>
      </c>
      <c r="W2481" s="56">
        <f t="shared" ca="1" si="729"/>
        <v>-934</v>
      </c>
      <c r="X2481" s="109">
        <f t="shared" ca="1" si="730"/>
        <v>6</v>
      </c>
    </row>
    <row r="2482" spans="1:24" hidden="1" outlineLevel="1" x14ac:dyDescent="0.35">
      <c r="A2482" s="7" t="s">
        <v>487</v>
      </c>
      <c r="B2482" s="1362">
        <v>350</v>
      </c>
      <c r="C2482" s="1363">
        <v>45.77</v>
      </c>
      <c r="D2482" s="1363">
        <f t="shared" si="733"/>
        <v>16019.500000000002</v>
      </c>
      <c r="E2482" s="1657">
        <f t="shared" si="731"/>
        <v>-2.0333904109588949E-2</v>
      </c>
      <c r="F2482" s="1888">
        <f t="shared" si="732"/>
        <v>5.5216470317268181E-2</v>
      </c>
      <c r="G2482" s="1494"/>
      <c r="H2482" s="1902"/>
      <c r="I2482" s="1889">
        <v>38.11</v>
      </c>
      <c r="J2482" s="1889">
        <v>3.5600000000000023</v>
      </c>
      <c r="K2482" s="3055" t="s">
        <v>488</v>
      </c>
      <c r="L2482" s="3055"/>
      <c r="M2482" s="3055"/>
      <c r="N2482" s="1489" t="str">
        <f t="shared" si="734"/>
        <v>NIO</v>
      </c>
      <c r="O2482" s="3"/>
      <c r="P2482" s="3"/>
      <c r="Q2482" s="1345">
        <f>"11/17/2020"+90</f>
        <v>44242</v>
      </c>
      <c r="R2482" s="1529">
        <f t="shared" si="735"/>
        <v>11630.499999999998</v>
      </c>
      <c r="S2482" s="1510">
        <f t="shared" si="736"/>
        <v>16019.500000000002</v>
      </c>
      <c r="T2482" s="1899">
        <f t="shared" si="737"/>
        <v>4389.0000000000036</v>
      </c>
      <c r="U2482" s="1530">
        <f t="shared" si="738"/>
        <v>0.37736984652422545</v>
      </c>
      <c r="V2482" s="55" t="str">
        <f t="shared" si="739"/>
        <v>NIO</v>
      </c>
      <c r="W2482" s="56">
        <f t="shared" ca="1" si="729"/>
        <v>-930</v>
      </c>
      <c r="X2482" s="109">
        <f t="shared" ca="1" si="730"/>
        <v>8</v>
      </c>
    </row>
    <row r="2483" spans="1:24" hidden="1" outlineLevel="1" x14ac:dyDescent="0.35">
      <c r="A2483" s="1084" t="s">
        <v>516</v>
      </c>
      <c r="B2483" s="1822">
        <v>325</v>
      </c>
      <c r="C2483" s="1823">
        <v>49.5</v>
      </c>
      <c r="D2483" s="1823">
        <f t="shared" si="733"/>
        <v>16087.5</v>
      </c>
      <c r="E2483" s="1910">
        <f>(C2483-C2467)/C2467</f>
        <v>0.3621353880022013</v>
      </c>
      <c r="F2483" s="1506">
        <f t="shared" si="732"/>
        <v>5.5450854660198612E-2</v>
      </c>
      <c r="G2483" s="1520"/>
      <c r="H2483" s="1903"/>
      <c r="I2483" s="1895"/>
      <c r="J2483" s="1896"/>
      <c r="K2483" s="3055" t="s">
        <v>521</v>
      </c>
      <c r="L2483" s="3055"/>
      <c r="M2483" s="3055"/>
      <c r="N2483" s="1673" t="str">
        <f>A2483</f>
        <v>BLNK</v>
      </c>
      <c r="Q2483" s="1912">
        <f>"11/12/2020"+90</f>
        <v>44237</v>
      </c>
      <c r="R2483" s="1913">
        <f t="shared" si="735"/>
        <v>12051</v>
      </c>
      <c r="S2483" s="1914">
        <f t="shared" si="736"/>
        <v>16087.5</v>
      </c>
      <c r="T2483" s="1914">
        <f t="shared" si="737"/>
        <v>4036.5</v>
      </c>
      <c r="U2483" s="1915">
        <f t="shared" si="738"/>
        <v>0.33495145631067963</v>
      </c>
      <c r="V2483" s="1916" t="str">
        <f>A2483</f>
        <v>BLNK</v>
      </c>
      <c r="W2483" s="56">
        <f t="shared" ca="1" si="729"/>
        <v>-935</v>
      </c>
      <c r="X2483" s="109">
        <f t="shared" ca="1" si="730"/>
        <v>3</v>
      </c>
    </row>
    <row r="2484" spans="1:24" hidden="1" outlineLevel="1" x14ac:dyDescent="0.35">
      <c r="A2484" s="7" t="s">
        <v>66</v>
      </c>
      <c r="B2484" s="1362">
        <v>180</v>
      </c>
      <c r="C2484" s="1363">
        <v>661.77</v>
      </c>
      <c r="D2484" s="1363">
        <f t="shared" si="733"/>
        <v>119118.59999999999</v>
      </c>
      <c r="E2484" s="1641">
        <f>(C2484-C2469)/C2469</f>
        <v>-4.7812949640287795E-2</v>
      </c>
      <c r="F2484" s="1917">
        <f>D2484/$D$2472</f>
        <v>0.41058139399697491</v>
      </c>
      <c r="G2484" s="1520"/>
      <c r="H2484" s="1903" t="s">
        <v>510</v>
      </c>
      <c r="I2484" s="1895"/>
      <c r="J2484" s="1896"/>
      <c r="K2484" s="3055" t="s">
        <v>511</v>
      </c>
      <c r="L2484" s="3055"/>
      <c r="M2484" s="3055"/>
      <c r="N2484" s="1489" t="str">
        <f>A2484</f>
        <v>TSLA</v>
      </c>
      <c r="O2484" s="3"/>
      <c r="P2484" s="3"/>
      <c r="Q2484" s="1345">
        <f>"11/12/2020"+90</f>
        <v>44237</v>
      </c>
      <c r="R2484" s="1529">
        <f>B2484*RIGHT(K2484,6)</f>
        <v>110458.79999999999</v>
      </c>
      <c r="S2484" s="1510">
        <f>D2484</f>
        <v>119118.59999999999</v>
      </c>
      <c r="T2484" s="1510">
        <f>S2484-R2484</f>
        <v>8659.8000000000029</v>
      </c>
      <c r="U2484" s="1530">
        <f>(S2484-R2484)/R2484</f>
        <v>7.8398461688883134E-2</v>
      </c>
      <c r="V2484" s="55" t="str">
        <f>A2484</f>
        <v>TSLA</v>
      </c>
      <c r="W2484" s="56">
        <f t="shared" ca="1" si="729"/>
        <v>-935</v>
      </c>
      <c r="X2484" s="109">
        <f t="shared" ca="1" si="730"/>
        <v>3</v>
      </c>
    </row>
    <row r="2485" spans="1:24" hidden="1" outlineLevel="1" x14ac:dyDescent="0.35">
      <c r="A2485" s="1084" t="s">
        <v>49</v>
      </c>
      <c r="B2485" s="1822">
        <v>150</v>
      </c>
      <c r="C2485" s="1823">
        <v>519.75</v>
      </c>
      <c r="D2485" s="1823">
        <f>C2485*B2485</f>
        <v>77962.5</v>
      </c>
      <c r="E2485" s="1641">
        <f>(C2485-C2468)/C2468</f>
        <v>-2.0965189873417712E-2</v>
      </c>
      <c r="F2485" s="1917">
        <f>D2485/$D$2472</f>
        <v>0.26872337258403944</v>
      </c>
      <c r="G2485" s="1494">
        <v>89</v>
      </c>
      <c r="H2485" s="1820" t="s">
        <v>468</v>
      </c>
      <c r="I2485" s="1889">
        <v>505.13</v>
      </c>
      <c r="J2485" s="1889">
        <v>20.610000000000014</v>
      </c>
      <c r="K2485" s="3055" t="s">
        <v>522</v>
      </c>
      <c r="L2485" s="3055"/>
      <c r="M2485" s="3055"/>
      <c r="N2485" s="1489" t="str">
        <f>A2485</f>
        <v>NVDA</v>
      </c>
      <c r="O2485" s="3"/>
      <c r="P2485" s="3"/>
      <c r="Q2485" s="1345">
        <v>44238</v>
      </c>
      <c r="R2485" s="1529">
        <f>B2485*RIGHT(K2485,6)</f>
        <v>77783.999999999985</v>
      </c>
      <c r="S2485" s="1510">
        <f>D2485</f>
        <v>77962.5</v>
      </c>
      <c r="T2485" s="1510">
        <f>S2485-R2485</f>
        <v>178.50000000001455</v>
      </c>
      <c r="U2485" s="1530">
        <f>(S2485-R2485)/R2485</f>
        <v>2.2948164146870125E-3</v>
      </c>
      <c r="V2485" s="55" t="str">
        <f>A2485</f>
        <v>NVDA</v>
      </c>
      <c r="W2485" s="56">
        <f t="shared" ca="1" si="729"/>
        <v>-934</v>
      </c>
      <c r="X2485" s="109">
        <f t="shared" ca="1" si="730"/>
        <v>6</v>
      </c>
    </row>
    <row r="2486" spans="1:24" hidden="1" outlineLevel="1" x14ac:dyDescent="0.35">
      <c r="A2486" s="7" t="s">
        <v>391</v>
      </c>
      <c r="B2486" s="1362">
        <v>150</v>
      </c>
      <c r="C2486" s="1363">
        <v>131.97</v>
      </c>
      <c r="D2486" s="1363">
        <f>C2486*B2486</f>
        <v>19795.5</v>
      </c>
      <c r="E2486" s="1641"/>
      <c r="F2486" s="1506">
        <f>D2486/$D$2472</f>
        <v>6.8231695007052784E-2</v>
      </c>
      <c r="G2486" s="1520"/>
      <c r="H2486" s="1903" t="s">
        <v>146</v>
      </c>
      <c r="I2486" s="1895"/>
      <c r="J2486" s="1896"/>
      <c r="K2486" s="3055" t="s">
        <v>523</v>
      </c>
      <c r="L2486" s="3055"/>
      <c r="M2486" s="3055"/>
      <c r="N2486" s="1673" t="str">
        <f>A2486</f>
        <v>APPL</v>
      </c>
      <c r="Q2486" s="1912">
        <v>44222</v>
      </c>
      <c r="R2486" s="1529">
        <f>B2486*RIGHT(K2486,6)</f>
        <v>19884</v>
      </c>
      <c r="S2486" s="1510">
        <f>D2486</f>
        <v>19795.5</v>
      </c>
      <c r="T2486" s="1510">
        <f>S2486-R2486</f>
        <v>-88.5</v>
      </c>
      <c r="U2486" s="1530">
        <f>(S2486-R2486)/R2486</f>
        <v>-4.4508147254073626E-3</v>
      </c>
      <c r="V2486" s="1918" t="str">
        <f>A2486</f>
        <v>APPL</v>
      </c>
      <c r="W2486" s="1655">
        <f t="shared" ca="1" si="729"/>
        <v>-950</v>
      </c>
      <c r="X2486" s="5">
        <f t="shared" ca="1" si="730"/>
        <v>2</v>
      </c>
    </row>
    <row r="2487" spans="1:24" ht="16" hidden="1" outlineLevel="1" thickBot="1" x14ac:dyDescent="0.4">
      <c r="A2487" s="1880" t="s">
        <v>7</v>
      </c>
      <c r="B2487" s="56"/>
      <c r="C2487" s="1881"/>
      <c r="D2487" s="1881">
        <v>2145.5500000000002</v>
      </c>
      <c r="E2487" s="1588"/>
      <c r="F2487" s="1486"/>
      <c r="G2487" s="1788"/>
      <c r="H2487" s="1789"/>
      <c r="I2487" s="1789"/>
      <c r="J2487" s="1216"/>
      <c r="K2487" s="1633"/>
      <c r="L2487" s="1634"/>
      <c r="M2487" s="1634"/>
      <c r="R2487" s="1691">
        <f>SUM(R2479:R2485)</f>
        <v>235221.27999999997</v>
      </c>
      <c r="S2487" s="1691">
        <f>SUM(S2479:S2485)</f>
        <v>260746.59999999998</v>
      </c>
      <c r="T2487" s="1691">
        <f>SUM(T2479:T2485)</f>
        <v>25525.320000000022</v>
      </c>
      <c r="U2487" s="1810">
        <f>AVERAGE(U2479:U2485)</f>
        <v>0.2938369004355158</v>
      </c>
    </row>
    <row r="2488" spans="1:24" ht="16" hidden="1" outlineLevel="1" thickBot="1" x14ac:dyDescent="0.4">
      <c r="A2488" s="1880" t="s">
        <v>60</v>
      </c>
      <c r="B2488" s="56"/>
      <c r="C2488" s="1881"/>
      <c r="D2488" s="1881">
        <v>656.15</v>
      </c>
      <c r="E2488" s="1794"/>
      <c r="F2488" s="1486"/>
      <c r="G2488" s="1734"/>
      <c r="H2488" s="1723"/>
      <c r="I2488" s="1796"/>
      <c r="J2488" s="61">
        <f>SUM(J2487:J2487)</f>
        <v>0</v>
      </c>
      <c r="K2488" s="1468"/>
      <c r="L2488" s="1151"/>
      <c r="M2488" s="1151"/>
      <c r="S2488" s="1470" t="str">
        <f>IF(SUM(D2479:D2485)&lt;&gt;S2487,"Out of Balance","Balances")</f>
        <v>Balances</v>
      </c>
    </row>
    <row r="2489" spans="1:24" ht="19" hidden="1" outlineLevel="1" thickBot="1" x14ac:dyDescent="0.5">
      <c r="A2489" s="1797" t="s">
        <v>62</v>
      </c>
      <c r="B2489" s="1798"/>
      <c r="C2489" s="1868">
        <f>SUM(D2479:D2486,D2488)</f>
        <v>281198.25</v>
      </c>
      <c r="D2489" s="1800">
        <f>SUM(D2479:D2488)</f>
        <v>283343.8</v>
      </c>
      <c r="E2489" s="73">
        <f>D2489-D2472</f>
        <v>-6777.9681600000476</v>
      </c>
      <c r="F2489" s="1537">
        <f>(D2489-D2472)/D2472</f>
        <v>-2.3362494317427596E-2</v>
      </c>
      <c r="G2489" s="72" t="s">
        <v>459</v>
      </c>
      <c r="H2489" s="1897">
        <f>E2489+E2472+E2456+E2440+E2440+E2423</f>
        <v>-14008.252480000025</v>
      </c>
      <c r="I2489" s="1848"/>
      <c r="J2489" s="1849"/>
    </row>
    <row r="2490" spans="1:24" hidden="1" outlineLevel="1" x14ac:dyDescent="0.35">
      <c r="A2490" s="3071" t="s">
        <v>524</v>
      </c>
      <c r="B2490" s="3066"/>
      <c r="C2490" s="3066"/>
      <c r="D2490" s="3066"/>
      <c r="E2490" s="3066"/>
      <c r="F2490" s="3066"/>
      <c r="G2490" s="3066"/>
      <c r="H2490" s="3066"/>
      <c r="I2490" s="3066"/>
      <c r="J2490" s="3067"/>
    </row>
    <row r="2491" spans="1:24" ht="29.25" hidden="1" customHeight="1" outlineLevel="1" thickBot="1" x14ac:dyDescent="0.4">
      <c r="A2491" s="3068"/>
      <c r="B2491" s="3069"/>
      <c r="C2491" s="3069"/>
      <c r="D2491" s="3069"/>
      <c r="E2491" s="3069"/>
      <c r="F2491" s="3069"/>
      <c r="G2491" s="3069"/>
      <c r="H2491" s="3069"/>
      <c r="I2491" s="3069"/>
      <c r="J2491" s="3070"/>
    </row>
    <row r="2492" spans="1:24" hidden="1" outlineLevel="1" x14ac:dyDescent="0.35"/>
    <row r="2493" spans="1:24" ht="16" hidden="1" outlineLevel="1" thickBot="1" x14ac:dyDescent="0.4">
      <c r="A2493" s="1619" t="s">
        <v>25</v>
      </c>
      <c r="B2493" s="1620" t="s">
        <v>26</v>
      </c>
      <c r="C2493" s="1621" t="s">
        <v>27</v>
      </c>
      <c r="D2493" s="1622">
        <f>D2476+7</f>
        <v>44197</v>
      </c>
      <c r="E2493" s="1623" t="s">
        <v>28</v>
      </c>
      <c r="F2493" s="3036" t="s">
        <v>29</v>
      </c>
      <c r="G2493" s="3037"/>
      <c r="H2493" s="3038"/>
      <c r="I2493" s="1727"/>
      <c r="J2493" s="1182"/>
      <c r="K2493" s="1183" t="s">
        <v>233</v>
      </c>
      <c r="O2493" s="3072" t="s">
        <v>31</v>
      </c>
      <c r="P2493" s="3073"/>
      <c r="T2493" s="247">
        <f>SUM(T2497:T2499)</f>
        <v>11119.500000000004</v>
      </c>
      <c r="U2493" s="1898"/>
      <c r="V2493" s="247"/>
    </row>
    <row r="2494" spans="1:24" ht="16" hidden="1" outlineLevel="1" thickBot="1" x14ac:dyDescent="0.4">
      <c r="A2494" s="1584" t="s">
        <v>32</v>
      </c>
      <c r="B2494" s="1585" t="str">
        <f ca="1">TEXT(TODAY(),"ddd")</f>
        <v>Sun</v>
      </c>
      <c r="C2494" s="1586">
        <v>30606</v>
      </c>
      <c r="D2494" s="1808">
        <f>C2494-C2477</f>
        <v>407</v>
      </c>
      <c r="E2494" s="1641">
        <f>(C2494-C2477)/C2477</f>
        <v>1.3477267459187391E-2</v>
      </c>
      <c r="F2494" s="3039"/>
      <c r="G2494" s="3040"/>
      <c r="H2494" s="3041"/>
      <c r="I2494" s="1602"/>
      <c r="J2494" s="1602"/>
      <c r="K2494" s="1188" t="s">
        <v>234</v>
      </c>
      <c r="L2494" s="1220" t="s">
        <v>34</v>
      </c>
      <c r="M2494" s="111" t="s">
        <v>35</v>
      </c>
      <c r="N2494" s="2995"/>
      <c r="O2494" s="2996"/>
      <c r="P2494" s="2996"/>
      <c r="Q2494" s="2996"/>
      <c r="R2494" s="2996"/>
      <c r="S2494" s="2996"/>
      <c r="T2494" s="2996"/>
      <c r="U2494" s="3044"/>
    </row>
    <row r="2495" spans="1:24" hidden="1" outlineLevel="1" x14ac:dyDescent="0.35">
      <c r="A2495" s="709" t="s">
        <v>36</v>
      </c>
      <c r="B2495" s="419"/>
      <c r="C2495" s="419">
        <v>12888</v>
      </c>
      <c r="D2495" s="1808">
        <f>C2495-C2478</f>
        <v>84</v>
      </c>
      <c r="E2495" s="1641">
        <f>(C2495-C2478)/C2478</f>
        <v>6.5604498594189313E-3</v>
      </c>
      <c r="F2495" s="1744" t="s">
        <v>37</v>
      </c>
      <c r="G2495" s="1745" t="s">
        <v>38</v>
      </c>
      <c r="H2495" s="1746" t="s">
        <v>144</v>
      </c>
      <c r="I2495" s="1747" t="s">
        <v>441</v>
      </c>
      <c r="J2495" s="1748" t="s">
        <v>400</v>
      </c>
      <c r="K2495" s="3063" t="s">
        <v>42</v>
      </c>
      <c r="L2495" s="3064"/>
      <c r="M2495" s="3064"/>
      <c r="N2495" s="1830" t="s">
        <v>244</v>
      </c>
      <c r="Q2495" s="1831" t="s">
        <v>44</v>
      </c>
      <c r="R2495" s="1832" t="s">
        <v>45</v>
      </c>
      <c r="S2495" s="1832" t="s">
        <v>46</v>
      </c>
      <c r="T2495" s="1832" t="s">
        <v>47</v>
      </c>
      <c r="U2495" s="1833" t="s">
        <v>48</v>
      </c>
      <c r="W2495" s="1919" t="s">
        <v>446</v>
      </c>
    </row>
    <row r="2496" spans="1:24" hidden="1" outlineLevel="1" x14ac:dyDescent="0.35">
      <c r="A2496" s="1084" t="s">
        <v>501</v>
      </c>
      <c r="B2496" s="1822">
        <v>540</v>
      </c>
      <c r="C2496" s="1823">
        <v>11.17</v>
      </c>
      <c r="D2496" s="1823">
        <f>C2496*B2496</f>
        <v>6031.8</v>
      </c>
      <c r="E2496" s="1910">
        <f t="shared" ref="E2496:E2503" si="740">(C2496-C2479)/C2479</f>
        <v>-9.186991869918705E-2</v>
      </c>
      <c r="F2496" s="1506">
        <f>D2496/$D$2472</f>
        <v>2.0790580583644819E-2</v>
      </c>
      <c r="G2496" s="1494"/>
      <c r="H2496" s="1824" t="s">
        <v>509</v>
      </c>
      <c r="I2496" s="1889"/>
      <c r="J2496" s="1889"/>
      <c r="K2496" s="3055" t="s">
        <v>520</v>
      </c>
      <c r="L2496" s="3055"/>
      <c r="M2496" s="3055"/>
      <c r="N2496" s="1489" t="str">
        <f>A2496</f>
        <v>FCEL</v>
      </c>
      <c r="O2496" s="3"/>
      <c r="P2496" s="3"/>
      <c r="Q2496" s="1345">
        <v>44216</v>
      </c>
      <c r="R2496" s="1529">
        <f>B2496*RIGHT(K2496,5)</f>
        <v>3934.98</v>
      </c>
      <c r="S2496" s="1510">
        <f>D2496</f>
        <v>6031.8</v>
      </c>
      <c r="T2496" s="1510">
        <f>S2496-R2496</f>
        <v>2096.8200000000002</v>
      </c>
      <c r="U2496" s="1530">
        <f>(S2496-R2496)/R2496</f>
        <v>0.53286674900507758</v>
      </c>
      <c r="V2496" s="1911" t="str">
        <f>A2496</f>
        <v>FCEL</v>
      </c>
      <c r="W2496" s="1920">
        <f t="shared" ref="W2496:W2503" ca="1" si="741">Q2496-TODAY()</f>
        <v>-956</v>
      </c>
      <c r="X2496">
        <f t="shared" ref="X2496:X2503" ca="1" si="742">RANK(W2496,$W$2479:$W$2486,1)</f>
        <v>1</v>
      </c>
    </row>
    <row r="2497" spans="1:24" hidden="1" outlineLevel="1" x14ac:dyDescent="0.35">
      <c r="A2497" s="7" t="s">
        <v>485</v>
      </c>
      <c r="B2497" s="1362">
        <v>350</v>
      </c>
      <c r="C2497" s="1363">
        <v>42.79</v>
      </c>
      <c r="D2497" s="1363">
        <f>C2497*B2497</f>
        <v>14976.5</v>
      </c>
      <c r="E2497" s="1657">
        <f t="shared" si="740"/>
        <v>2.1972772868402241E-2</v>
      </c>
      <c r="F2497" s="1888">
        <f t="shared" ref="F2497:F2500" si="743">D2497/$D$2472</f>
        <v>5.1621428116143869E-2</v>
      </c>
      <c r="G2497" s="1494"/>
      <c r="H2497" s="1902"/>
      <c r="I2497" s="1889">
        <v>31.01</v>
      </c>
      <c r="J2497" s="1889">
        <v>7.620000000000001</v>
      </c>
      <c r="K2497" s="3055" t="s">
        <v>514</v>
      </c>
      <c r="L2497" s="3055"/>
      <c r="M2497" s="3055"/>
      <c r="N2497" s="1489" t="str">
        <f>A2497</f>
        <v>XPEV</v>
      </c>
      <c r="O2497" s="3"/>
      <c r="P2497" s="3"/>
      <c r="Q2497" s="1345">
        <f>"11/12/2020"+90</f>
        <v>44237</v>
      </c>
      <c r="R2497" s="1529">
        <f>B2497*RIGHT(K2497,6)</f>
        <v>11430.999999999998</v>
      </c>
      <c r="S2497" s="1510">
        <f>D2497</f>
        <v>14976.5</v>
      </c>
      <c r="T2497" s="1899">
        <f>S2497-R2497</f>
        <v>3545.5000000000018</v>
      </c>
      <c r="U2497" s="1530">
        <f>(S2497-R2497)/R2497</f>
        <v>0.31016533986527883</v>
      </c>
      <c r="V2497" s="1921" t="str">
        <f>A2497</f>
        <v>XPEV</v>
      </c>
      <c r="W2497" s="1922">
        <f t="shared" ca="1" si="741"/>
        <v>-935</v>
      </c>
      <c r="X2497">
        <f t="shared" ca="1" si="742"/>
        <v>3</v>
      </c>
    </row>
    <row r="2498" spans="1:24" hidden="1" outlineLevel="1" x14ac:dyDescent="0.35">
      <c r="A2498" s="1084" t="s">
        <v>483</v>
      </c>
      <c r="B2498" s="1822">
        <v>350</v>
      </c>
      <c r="C2498" s="1823">
        <v>28.83</v>
      </c>
      <c r="D2498" s="1823">
        <f t="shared" ref="D2498:D2501" si="744">C2498*B2498</f>
        <v>10090.5</v>
      </c>
      <c r="E2498" s="1657">
        <f t="shared" si="740"/>
        <v>-1.671214188267401E-2</v>
      </c>
      <c r="F2498" s="1888">
        <f t="shared" si="743"/>
        <v>3.4780223710877023E-2</v>
      </c>
      <c r="G2498" s="1494"/>
      <c r="H2498" s="1902"/>
      <c r="I2498" s="1889">
        <v>23.18</v>
      </c>
      <c r="J2498" s="1889">
        <v>7.07</v>
      </c>
      <c r="K2498" s="3055" t="s">
        <v>515</v>
      </c>
      <c r="L2498" s="3055"/>
      <c r="M2498" s="3055"/>
      <c r="N2498" s="1489" t="str">
        <f t="shared" ref="N2498:N2499" si="745">A2498</f>
        <v>LI</v>
      </c>
      <c r="O2498" s="3"/>
      <c r="P2498" s="3"/>
      <c r="Q2498" s="1345">
        <f>"11/13/2020"+90</f>
        <v>44238</v>
      </c>
      <c r="R2498" s="1529">
        <f t="shared" ref="R2498:R2500" si="746">B2498*RIGHT(K2498,6)</f>
        <v>7931</v>
      </c>
      <c r="S2498" s="1510">
        <f t="shared" ref="S2498:S2500" si="747">D2498</f>
        <v>10090.5</v>
      </c>
      <c r="T2498" s="1899">
        <f t="shared" ref="T2498:T2500" si="748">S2498-R2498</f>
        <v>2159.5</v>
      </c>
      <c r="U2498" s="1530">
        <f t="shared" ref="U2498:U2500" si="749">(S2498-R2498)/R2498</f>
        <v>0.27228596646072373</v>
      </c>
      <c r="V2498" s="1412" t="str">
        <f t="shared" ref="V2498:V2499" si="750">A2498</f>
        <v>LI</v>
      </c>
      <c r="W2498" s="1702">
        <f t="shared" ca="1" si="741"/>
        <v>-934</v>
      </c>
      <c r="X2498">
        <f t="shared" ca="1" si="742"/>
        <v>6</v>
      </c>
    </row>
    <row r="2499" spans="1:24" hidden="1" outlineLevel="1" x14ac:dyDescent="0.35">
      <c r="A2499" s="7" t="s">
        <v>487</v>
      </c>
      <c r="B2499" s="1362">
        <v>350</v>
      </c>
      <c r="C2499" s="1363">
        <v>48.7</v>
      </c>
      <c r="D2499" s="1363">
        <f t="shared" si="744"/>
        <v>17045</v>
      </c>
      <c r="E2499" s="1657">
        <f t="shared" si="740"/>
        <v>6.4015730828053299E-2</v>
      </c>
      <c r="F2499" s="1888">
        <f t="shared" si="743"/>
        <v>5.8751193018373608E-2</v>
      </c>
      <c r="G2499" s="1494"/>
      <c r="H2499" s="1902"/>
      <c r="I2499" s="1889">
        <v>38.11</v>
      </c>
      <c r="J2499" s="1889">
        <v>3.5600000000000023</v>
      </c>
      <c r="K2499" s="3055" t="s">
        <v>488</v>
      </c>
      <c r="L2499" s="3055"/>
      <c r="M2499" s="3055"/>
      <c r="N2499" s="1489" t="str">
        <f t="shared" si="745"/>
        <v>NIO</v>
      </c>
      <c r="O2499" s="3"/>
      <c r="P2499" s="3"/>
      <c r="Q2499" s="1345">
        <f>"11/17/2020"+90</f>
        <v>44242</v>
      </c>
      <c r="R2499" s="1529">
        <f t="shared" si="746"/>
        <v>11630.499999999998</v>
      </c>
      <c r="S2499" s="1510">
        <f t="shared" si="747"/>
        <v>17045</v>
      </c>
      <c r="T2499" s="1899">
        <f t="shared" si="748"/>
        <v>5414.5000000000018</v>
      </c>
      <c r="U2499" s="1530">
        <f t="shared" si="749"/>
        <v>0.46554318386999721</v>
      </c>
      <c r="V2499" s="1412" t="str">
        <f t="shared" si="750"/>
        <v>NIO</v>
      </c>
      <c r="W2499" s="1702">
        <f t="shared" ca="1" si="741"/>
        <v>-930</v>
      </c>
      <c r="X2499">
        <f t="shared" ca="1" si="742"/>
        <v>8</v>
      </c>
    </row>
    <row r="2500" spans="1:24" hidden="1" outlineLevel="1" x14ac:dyDescent="0.35">
      <c r="A2500" s="1084" t="s">
        <v>516</v>
      </c>
      <c r="B2500" s="1822">
        <v>325</v>
      </c>
      <c r="C2500" s="1823">
        <v>42.75</v>
      </c>
      <c r="D2500" s="1823">
        <f t="shared" si="744"/>
        <v>13893.75</v>
      </c>
      <c r="E2500" s="1910">
        <f t="shared" si="740"/>
        <v>-0.13636363636363635</v>
      </c>
      <c r="F2500" s="1506">
        <f t="shared" si="743"/>
        <v>4.7889374479262441E-2</v>
      </c>
      <c r="G2500" s="1520"/>
      <c r="H2500" s="1903"/>
      <c r="I2500" s="1895"/>
      <c r="J2500" s="1896"/>
      <c r="K2500" s="3055" t="s">
        <v>521</v>
      </c>
      <c r="L2500" s="3055"/>
      <c r="M2500" s="3055"/>
      <c r="N2500" s="1673" t="str">
        <f>A2500</f>
        <v>BLNK</v>
      </c>
      <c r="Q2500" s="1912">
        <f>"11/12/2020"+90</f>
        <v>44237</v>
      </c>
      <c r="R2500" s="1913">
        <f t="shared" si="746"/>
        <v>12051</v>
      </c>
      <c r="S2500" s="1914">
        <f t="shared" si="747"/>
        <v>13893.75</v>
      </c>
      <c r="T2500" s="1914">
        <f t="shared" si="748"/>
        <v>1842.75</v>
      </c>
      <c r="U2500" s="1915">
        <f t="shared" si="749"/>
        <v>0.15291262135922329</v>
      </c>
      <c r="V2500" s="1923" t="str">
        <f>A2500</f>
        <v>BLNK</v>
      </c>
      <c r="W2500" s="1922">
        <f t="shared" ca="1" si="741"/>
        <v>-935</v>
      </c>
      <c r="X2500">
        <f t="shared" ca="1" si="742"/>
        <v>3</v>
      </c>
    </row>
    <row r="2501" spans="1:24" hidden="1" outlineLevel="1" x14ac:dyDescent="0.35">
      <c r="A2501" s="7" t="s">
        <v>66</v>
      </c>
      <c r="B2501" s="1362">
        <v>180</v>
      </c>
      <c r="C2501" s="1363">
        <v>705.67</v>
      </c>
      <c r="D2501" s="1363">
        <f t="shared" si="744"/>
        <v>127020.59999999999</v>
      </c>
      <c r="E2501" s="1641">
        <f t="shared" si="740"/>
        <v>6.6337247079801112E-2</v>
      </c>
      <c r="F2501" s="1917">
        <f>D2501/$D$2472</f>
        <v>0.43781823337692144</v>
      </c>
      <c r="G2501" s="1520"/>
      <c r="H2501" s="1903" t="s">
        <v>510</v>
      </c>
      <c r="I2501" s="1895"/>
      <c r="J2501" s="1896"/>
      <c r="K2501" s="3055" t="s">
        <v>511</v>
      </c>
      <c r="L2501" s="3055"/>
      <c r="M2501" s="3055"/>
      <c r="N2501" s="1489" t="str">
        <f>A2501</f>
        <v>TSLA</v>
      </c>
      <c r="O2501" s="3"/>
      <c r="P2501" s="3"/>
      <c r="Q2501" s="1345">
        <f>"11/12/2020"+90</f>
        <v>44237</v>
      </c>
      <c r="R2501" s="1529">
        <f>B2501*RIGHT(K2501,6)</f>
        <v>110458.79999999999</v>
      </c>
      <c r="S2501" s="1510">
        <f>D2501</f>
        <v>127020.59999999999</v>
      </c>
      <c r="T2501" s="1510">
        <f>S2501-R2501</f>
        <v>16561.800000000003</v>
      </c>
      <c r="U2501" s="1530">
        <f>(S2501-R2501)/R2501</f>
        <v>0.14993644689241603</v>
      </c>
      <c r="V2501" s="1921" t="str">
        <f>A2501</f>
        <v>TSLA</v>
      </c>
      <c r="W2501" s="1922">
        <f t="shared" ca="1" si="741"/>
        <v>-935</v>
      </c>
      <c r="X2501">
        <f t="shared" ca="1" si="742"/>
        <v>3</v>
      </c>
    </row>
    <row r="2502" spans="1:24" hidden="1" outlineLevel="1" x14ac:dyDescent="0.35">
      <c r="A2502" s="1084" t="s">
        <v>49</v>
      </c>
      <c r="B2502" s="1655">
        <v>138.124</v>
      </c>
      <c r="C2502" s="1823">
        <v>522.20000000000005</v>
      </c>
      <c r="D2502" s="1823">
        <f>C2502*B2502</f>
        <v>72128.352800000008</v>
      </c>
      <c r="E2502" s="1641">
        <f t="shared" si="740"/>
        <v>4.7138047138048011E-3</v>
      </c>
      <c r="F2502" s="1917">
        <f>D2502/$D$2472</f>
        <v>0.24861406731887056</v>
      </c>
      <c r="G2502" s="1494">
        <v>89</v>
      </c>
      <c r="H2502" s="1820" t="s">
        <v>468</v>
      </c>
      <c r="I2502" s="1889">
        <v>505.13</v>
      </c>
      <c r="J2502" s="1889">
        <v>20.610000000000014</v>
      </c>
      <c r="K2502" s="3055" t="s">
        <v>522</v>
      </c>
      <c r="L2502" s="3055"/>
      <c r="M2502" s="3055"/>
      <c r="N2502" s="1489" t="str">
        <f>A2502</f>
        <v>NVDA</v>
      </c>
      <c r="O2502" s="3"/>
      <c r="P2502" s="3"/>
      <c r="Q2502" s="1345">
        <v>44238</v>
      </c>
      <c r="R2502" s="1529">
        <f>B2502*RIGHT(K2502,6)</f>
        <v>71625.581439999994</v>
      </c>
      <c r="S2502" s="1510">
        <f>D2502</f>
        <v>72128.352800000008</v>
      </c>
      <c r="T2502" s="1510">
        <f>S2502-R2502</f>
        <v>502.77136000001337</v>
      </c>
      <c r="U2502" s="1530">
        <f>(S2502-R2502)/R2502</f>
        <v>7.0194384449245931E-3</v>
      </c>
      <c r="V2502" s="1921" t="str">
        <f>A2502</f>
        <v>NVDA</v>
      </c>
      <c r="W2502" s="1922">
        <f t="shared" ca="1" si="741"/>
        <v>-934</v>
      </c>
      <c r="X2502">
        <f t="shared" ca="1" si="742"/>
        <v>6</v>
      </c>
    </row>
    <row r="2503" spans="1:24" hidden="1" outlineLevel="1" x14ac:dyDescent="0.35">
      <c r="A2503" s="7" t="s">
        <v>391</v>
      </c>
      <c r="B2503" s="1362">
        <v>150</v>
      </c>
      <c r="C2503" s="1363">
        <v>132.69</v>
      </c>
      <c r="D2503" s="1363">
        <f>C2503*B2503</f>
        <v>19903.5</v>
      </c>
      <c r="E2503" s="1641">
        <f t="shared" si="740"/>
        <v>5.455785405774031E-3</v>
      </c>
      <c r="F2503" s="1506">
        <f>D2503/$D$2472</f>
        <v>6.8603952492883494E-2</v>
      </c>
      <c r="G2503" s="1520"/>
      <c r="H2503" s="1903"/>
      <c r="I2503" s="1895"/>
      <c r="J2503" s="1896"/>
      <c r="K2503" s="3055" t="s">
        <v>523</v>
      </c>
      <c r="L2503" s="3055"/>
      <c r="M2503" s="3055"/>
      <c r="N2503" s="1673" t="str">
        <f>A2503</f>
        <v>APPL</v>
      </c>
      <c r="Q2503" s="1912">
        <v>44222</v>
      </c>
      <c r="R2503" s="1529">
        <f>B2503*RIGHT(K2503,6)</f>
        <v>19884</v>
      </c>
      <c r="S2503" s="1510">
        <f>D2503</f>
        <v>19903.5</v>
      </c>
      <c r="T2503" s="1510">
        <f>S2503-R2503</f>
        <v>19.5</v>
      </c>
      <c r="U2503" s="1530">
        <f>(S2503-R2503)/R2503</f>
        <v>9.8068799034399523E-4</v>
      </c>
      <c r="V2503" s="1918" t="str">
        <f>A2503</f>
        <v>APPL</v>
      </c>
      <c r="W2503" s="1836">
        <f t="shared" ca="1" si="741"/>
        <v>-950</v>
      </c>
      <c r="X2503">
        <f t="shared" ca="1" si="742"/>
        <v>2</v>
      </c>
    </row>
    <row r="2504" spans="1:24" ht="16" hidden="1" outlineLevel="1" thickBot="1" x14ac:dyDescent="0.4">
      <c r="A2504" s="1880" t="s">
        <v>7</v>
      </c>
      <c r="B2504" s="56"/>
      <c r="C2504" s="1881"/>
      <c r="D2504" s="1881">
        <v>2158.58</v>
      </c>
      <c r="E2504" s="1588"/>
      <c r="F2504" s="1486"/>
      <c r="G2504" s="1788"/>
      <c r="H2504" s="1789"/>
      <c r="I2504" s="1789"/>
      <c r="J2504" s="1216"/>
      <c r="K2504" s="1633"/>
      <c r="L2504" s="1634"/>
      <c r="M2504" s="1634"/>
      <c r="R2504" s="1691">
        <f>SUM(R2496:R2502)</f>
        <v>229062.86143999995</v>
      </c>
      <c r="S2504" s="1691">
        <f>SUM(S2496:S2502)</f>
        <v>261186.50280000002</v>
      </c>
      <c r="T2504" s="1691">
        <f>SUM(T2496:T2502)</f>
        <v>32123.64136000002</v>
      </c>
      <c r="U2504" s="1810">
        <f>AVERAGE(U2496:U2502)</f>
        <v>0.27010424941394878</v>
      </c>
    </row>
    <row r="2505" spans="1:24" ht="16" hidden="1" outlineLevel="1" thickBot="1" x14ac:dyDescent="0.4">
      <c r="A2505" s="1880" t="s">
        <v>60</v>
      </c>
      <c r="B2505" s="56"/>
      <c r="C2505" s="1881"/>
      <c r="D2505" s="1881">
        <v>6259.4</v>
      </c>
      <c r="E2505" s="1794"/>
      <c r="F2505" s="1486"/>
      <c r="G2505" s="1734"/>
      <c r="H2505" s="1723"/>
      <c r="I2505" s="1796"/>
      <c r="J2505" s="61">
        <f>SUM(J2504:J2504)</f>
        <v>0</v>
      </c>
      <c r="K2505" s="1468"/>
      <c r="L2505" s="1151"/>
      <c r="M2505" s="1151"/>
      <c r="S2505" s="1470" t="str">
        <f>IF(SUM(D2496:D2502)&lt;&gt;S2504,"Out of Balance","Balances")</f>
        <v>Balances</v>
      </c>
    </row>
    <row r="2506" spans="1:24" ht="19" hidden="1" outlineLevel="1" thickBot="1" x14ac:dyDescent="0.5">
      <c r="A2506" s="1797" t="s">
        <v>62</v>
      </c>
      <c r="B2506" s="1798"/>
      <c r="C2506" s="1868">
        <f>SUM(D2496:D2503,D2505)</f>
        <v>287349.40280000004</v>
      </c>
      <c r="D2506" s="1800">
        <f>SUM(D2496:D2505)</f>
        <v>289507.98280000006</v>
      </c>
      <c r="E2506" s="73">
        <f>D2506-D2489</f>
        <v>6164.1828000000678</v>
      </c>
      <c r="F2506" s="1537">
        <f>(D2506-D2489)/D2489</f>
        <v>2.1755135633813295E-2</v>
      </c>
      <c r="G2506" s="72" t="s">
        <v>459</v>
      </c>
      <c r="H2506" s="1897">
        <f>E2506+E2489+E2472+E2456+E2440</f>
        <v>-4504.0219199999701</v>
      </c>
      <c r="I2506" s="1848"/>
      <c r="J2506" s="1849"/>
    </row>
    <row r="2507" spans="1:24" hidden="1" outlineLevel="1" x14ac:dyDescent="0.35">
      <c r="A2507" s="3071" t="s">
        <v>525</v>
      </c>
      <c r="B2507" s="3066"/>
      <c r="C2507" s="3066"/>
      <c r="D2507" s="3066"/>
      <c r="E2507" s="3066"/>
      <c r="F2507" s="3066"/>
      <c r="G2507" s="3066"/>
      <c r="H2507" s="3066"/>
      <c r="I2507" s="3066"/>
      <c r="J2507" s="3067"/>
    </row>
    <row r="2508" spans="1:24" ht="23.25" hidden="1" customHeight="1" outlineLevel="1" thickBot="1" x14ac:dyDescent="0.4">
      <c r="A2508" s="3068"/>
      <c r="B2508" s="3069"/>
      <c r="C2508" s="3069"/>
      <c r="D2508" s="3069"/>
      <c r="E2508" s="3069"/>
      <c r="F2508" s="3069"/>
      <c r="G2508" s="3069"/>
      <c r="H2508" s="3069"/>
      <c r="I2508" s="3069"/>
      <c r="J2508" s="3070"/>
    </row>
    <row r="2509" spans="1:24" hidden="1" outlineLevel="1" x14ac:dyDescent="0.35"/>
    <row r="2510" spans="1:24" ht="16" hidden="1" outlineLevel="1" thickBot="1" x14ac:dyDescent="0.4">
      <c r="A2510" s="1619" t="s">
        <v>25</v>
      </c>
      <c r="B2510" s="1620" t="s">
        <v>26</v>
      </c>
      <c r="C2510" s="1621" t="s">
        <v>27</v>
      </c>
      <c r="D2510" s="1622">
        <f>D2493+7</f>
        <v>44204</v>
      </c>
      <c r="E2510" s="1623" t="s">
        <v>28</v>
      </c>
      <c r="F2510" s="3036" t="s">
        <v>29</v>
      </c>
      <c r="G2510" s="3037"/>
      <c r="H2510" s="3038"/>
      <c r="I2510" s="1727"/>
      <c r="J2510" s="1182"/>
      <c r="K2510" s="1183" t="s">
        <v>233</v>
      </c>
      <c r="O2510" s="3072" t="s">
        <v>31</v>
      </c>
      <c r="P2510" s="3073"/>
      <c r="T2510" s="247">
        <f>SUM(T2516:T2518)</f>
        <v>17542.000000000004</v>
      </c>
      <c r="U2510" s="1898"/>
      <c r="V2510" s="247"/>
    </row>
    <row r="2511" spans="1:24" ht="16" hidden="1" outlineLevel="1" thickBot="1" x14ac:dyDescent="0.4">
      <c r="A2511" s="1584" t="s">
        <v>32</v>
      </c>
      <c r="B2511" s="1585" t="str">
        <f ca="1">TEXT(TODAY(),"ddd")</f>
        <v>Sun</v>
      </c>
      <c r="C2511" s="1586">
        <v>31097</v>
      </c>
      <c r="D2511" s="1808">
        <f>C2511-C2494</f>
        <v>491</v>
      </c>
      <c r="E2511" s="1641">
        <f>(C2511-C2494)/C2494</f>
        <v>1.6042606024962425E-2</v>
      </c>
      <c r="F2511" s="3039"/>
      <c r="G2511" s="3040"/>
      <c r="H2511" s="3041"/>
      <c r="I2511" s="1602"/>
      <c r="J2511" s="1602"/>
      <c r="K2511" s="1188" t="s">
        <v>234</v>
      </c>
      <c r="L2511" s="1220" t="s">
        <v>34</v>
      </c>
      <c r="M2511" s="111" t="s">
        <v>35</v>
      </c>
      <c r="N2511" s="2995"/>
      <c r="O2511" s="2996"/>
      <c r="P2511" s="2996"/>
      <c r="Q2511" s="2996"/>
      <c r="R2511" s="2996"/>
      <c r="S2511" s="2996"/>
      <c r="T2511" s="2996"/>
      <c r="U2511" s="3044"/>
    </row>
    <row r="2512" spans="1:24" hidden="1" outlineLevel="1" x14ac:dyDescent="0.35">
      <c r="A2512" s="709" t="s">
        <v>36</v>
      </c>
      <c r="B2512" s="419"/>
      <c r="C2512" s="419">
        <v>13201.98</v>
      </c>
      <c r="D2512" s="1808">
        <f>C2512-C2495</f>
        <v>313.97999999999956</v>
      </c>
      <c r="E2512" s="1641">
        <f>(C2512-C2495)/C2495</f>
        <v>2.4362197392923616E-2</v>
      </c>
      <c r="F2512" s="1744" t="s">
        <v>37</v>
      </c>
      <c r="G2512" s="1745" t="s">
        <v>38</v>
      </c>
      <c r="H2512" s="1746" t="s">
        <v>144</v>
      </c>
      <c r="I2512" s="1747" t="s">
        <v>441</v>
      </c>
      <c r="J2512" s="1748" t="s">
        <v>400</v>
      </c>
      <c r="K2512" s="3063" t="s">
        <v>42</v>
      </c>
      <c r="L2512" s="3064"/>
      <c r="M2512" s="3064"/>
      <c r="N2512" s="1830" t="s">
        <v>244</v>
      </c>
      <c r="Q2512" s="1831" t="s">
        <v>44</v>
      </c>
      <c r="R2512" s="1832" t="s">
        <v>45</v>
      </c>
      <c r="S2512" s="1832" t="s">
        <v>46</v>
      </c>
      <c r="T2512" s="1832" t="s">
        <v>47</v>
      </c>
      <c r="U2512" s="1833" t="s">
        <v>48</v>
      </c>
      <c r="W2512" s="1919" t="s">
        <v>446</v>
      </c>
    </row>
    <row r="2513" spans="1:24" hidden="1" outlineLevel="1" x14ac:dyDescent="0.35">
      <c r="A2513" s="7" t="s">
        <v>501</v>
      </c>
      <c r="B2513" s="1362">
        <v>2540</v>
      </c>
      <c r="C2513" s="1363">
        <v>15.32</v>
      </c>
      <c r="D2513" s="1363">
        <f>C2513*B2513</f>
        <v>38912.800000000003</v>
      </c>
      <c r="E2513" s="1924">
        <f>(C2513-C2496)/C2513</f>
        <v>0.27088772845953002</v>
      </c>
      <c r="F2513" s="1506">
        <f>D2513/$D$2524</f>
        <v>0.11841444539710973</v>
      </c>
      <c r="G2513" s="1494"/>
      <c r="H2513" s="1824" t="s">
        <v>509</v>
      </c>
      <c r="I2513" s="1889"/>
      <c r="J2513" s="1889"/>
      <c r="K2513" s="3055" t="s">
        <v>526</v>
      </c>
      <c r="L2513" s="3055"/>
      <c r="M2513" s="3055"/>
      <c r="N2513" s="1489" t="str">
        <f>A2513</f>
        <v>FCEL</v>
      </c>
      <c r="O2513" s="3"/>
      <c r="P2513" s="3"/>
      <c r="Q2513" s="1345">
        <v>44216</v>
      </c>
      <c r="R2513" s="1529">
        <f>B2513*RIGHT(K2513,5)</f>
        <v>34417</v>
      </c>
      <c r="S2513" s="1510">
        <f>D2513</f>
        <v>38912.800000000003</v>
      </c>
      <c r="T2513" s="1925">
        <f>S2513-R2513</f>
        <v>4495.8000000000029</v>
      </c>
      <c r="U2513" s="1530">
        <f>(S2513-R2513)/R2513</f>
        <v>0.13062730627306282</v>
      </c>
      <c r="V2513" s="1926" t="str">
        <f>A2513</f>
        <v>FCEL</v>
      </c>
      <c r="W2513" s="1435">
        <f t="shared" ref="W2513:W2521" ca="1" si="751">Q2513-TODAY()</f>
        <v>-956</v>
      </c>
      <c r="X2513">
        <f ca="1">RANK(W2513,$W$2479:$W$2486,1)</f>
        <v>1</v>
      </c>
    </row>
    <row r="2514" spans="1:24" hidden="1" outlineLevel="1" x14ac:dyDescent="0.35">
      <c r="A2514" s="1084" t="s">
        <v>527</v>
      </c>
      <c r="B2514" s="1822">
        <v>700</v>
      </c>
      <c r="C2514" s="1823">
        <v>53.774999999999999</v>
      </c>
      <c r="D2514" s="1823">
        <f>C2514*B2514</f>
        <v>37642.5</v>
      </c>
      <c r="E2514" s="1910"/>
      <c r="F2514" s="1506">
        <f t="shared" ref="F2514:F2521" si="752">D2514/$D$2524</f>
        <v>0.11454883125502925</v>
      </c>
      <c r="G2514" s="1494"/>
      <c r="H2514" s="1824"/>
      <c r="I2514" s="1889"/>
      <c r="J2514" s="1889"/>
      <c r="K2514" s="3055" t="s">
        <v>528</v>
      </c>
      <c r="L2514" s="3055"/>
      <c r="M2514" s="3055"/>
      <c r="N2514" s="1489"/>
      <c r="O2514" s="3"/>
      <c r="P2514" s="3"/>
      <c r="Q2514" s="1345">
        <v>44263</v>
      </c>
      <c r="R2514" s="1529">
        <f>B2514*RIGHT(K2514,5)</f>
        <v>36162</v>
      </c>
      <c r="S2514" s="1510">
        <f>D2514</f>
        <v>37642.5</v>
      </c>
      <c r="T2514" s="1925">
        <f>S2514-R2514</f>
        <v>1480.5</v>
      </c>
      <c r="U2514" s="1530">
        <f>(S2514-R2514)/R2514</f>
        <v>4.0940766550522645E-2</v>
      </c>
      <c r="V2514" s="1926" t="str">
        <f t="shared" ref="V2514:V2521" si="753">A2514</f>
        <v>PLUG</v>
      </c>
      <c r="W2514" s="1927">
        <f t="shared" ca="1" si="751"/>
        <v>-909</v>
      </c>
    </row>
    <row r="2515" spans="1:24" hidden="1" outlineLevel="1" x14ac:dyDescent="0.35">
      <c r="A2515" s="7" t="s">
        <v>504</v>
      </c>
      <c r="B2515" s="1362">
        <v>375</v>
      </c>
      <c r="C2515" s="1363">
        <v>70.099999999999994</v>
      </c>
      <c r="D2515" s="1363">
        <f>C2515*B2515</f>
        <v>26287.499999999996</v>
      </c>
      <c r="E2515" s="1641"/>
      <c r="F2515" s="1917">
        <f t="shared" si="752"/>
        <v>7.9994750657277847E-2</v>
      </c>
      <c r="G2515" s="1494"/>
      <c r="H2515" s="1820"/>
      <c r="I2515" s="1889"/>
      <c r="J2515" s="1889"/>
      <c r="K2515" s="3055" t="s">
        <v>529</v>
      </c>
      <c r="L2515" s="3055"/>
      <c r="M2515" s="3055"/>
      <c r="N2515" s="1489" t="str">
        <f>A2515</f>
        <v>BEEM</v>
      </c>
      <c r="O2515" s="3"/>
      <c r="P2515" s="3"/>
      <c r="Q2515" s="1345">
        <v>44286</v>
      </c>
      <c r="R2515" s="1529">
        <f t="shared" ref="R2515" si="754">B2515*RIGHT(K2515,5)</f>
        <v>24206.25</v>
      </c>
      <c r="S2515" s="1510">
        <f>D2515</f>
        <v>26287.499999999996</v>
      </c>
      <c r="T2515" s="1928">
        <f t="shared" ref="T2515" si="755">S2515-R2515</f>
        <v>2081.2499999999964</v>
      </c>
      <c r="U2515" s="1915">
        <f t="shared" ref="U2515" si="756">(S2515-R2515)/R2515</f>
        <v>8.5979860573198924E-2</v>
      </c>
      <c r="V2515" s="1926" t="str">
        <f t="shared" si="753"/>
        <v>BEEM</v>
      </c>
      <c r="W2515" s="1927">
        <f t="shared" ca="1" si="751"/>
        <v>-886</v>
      </c>
    </row>
    <row r="2516" spans="1:24" hidden="1" outlineLevel="1" x14ac:dyDescent="0.35">
      <c r="A2516" s="1084" t="s">
        <v>485</v>
      </c>
      <c r="B2516" s="1822">
        <v>350</v>
      </c>
      <c r="C2516" s="1823">
        <v>45.45</v>
      </c>
      <c r="D2516" s="1823">
        <f>C2516*B2516</f>
        <v>15907.500000000002</v>
      </c>
      <c r="E2516" s="1641">
        <f t="shared" ref="E2516:E2521" si="757">(C2516-C2497)/C2497</f>
        <v>6.2164057022668938E-2</v>
      </c>
      <c r="F2516" s="1888">
        <f t="shared" si="752"/>
        <v>4.8407665091037472E-2</v>
      </c>
      <c r="G2516" s="1494"/>
      <c r="H2516" s="1902"/>
      <c r="I2516" s="1889">
        <v>31.01</v>
      </c>
      <c r="J2516" s="1889">
        <v>7.620000000000001</v>
      </c>
      <c r="K2516" s="3055" t="s">
        <v>514</v>
      </c>
      <c r="L2516" s="3055"/>
      <c r="M2516" s="3055"/>
      <c r="N2516" s="1489" t="str">
        <f>A2516</f>
        <v>XPEV</v>
      </c>
      <c r="O2516" s="3"/>
      <c r="P2516" s="3"/>
      <c r="Q2516" s="1345">
        <f>"11/12/2020"+90</f>
        <v>44237</v>
      </c>
      <c r="R2516" s="1529">
        <f>B2516*RIGHT(K2516,6)</f>
        <v>11430.999999999998</v>
      </c>
      <c r="S2516" s="1510">
        <f>D2516</f>
        <v>15907.500000000002</v>
      </c>
      <c r="T2516" s="1899">
        <f>S2516-R2516</f>
        <v>4476.5000000000036</v>
      </c>
      <c r="U2516" s="1530">
        <f>(S2516-R2516)/R2516</f>
        <v>0.39161053276178848</v>
      </c>
      <c r="V2516" s="1926" t="str">
        <f t="shared" si="753"/>
        <v>XPEV</v>
      </c>
      <c r="W2516" s="1929">
        <f t="shared" ca="1" si="751"/>
        <v>-935</v>
      </c>
      <c r="X2516">
        <f t="shared" ref="X2516:X2521" ca="1" si="758">RANK(W2516,$W$2479:$W$2486,1)</f>
        <v>3</v>
      </c>
    </row>
    <row r="2517" spans="1:24" hidden="1" outlineLevel="1" x14ac:dyDescent="0.35">
      <c r="A2517" s="7" t="s">
        <v>483</v>
      </c>
      <c r="B2517" s="1362">
        <v>350</v>
      </c>
      <c r="C2517" s="1363">
        <v>34.299999999999997</v>
      </c>
      <c r="D2517" s="1363">
        <f t="shared" ref="D2517:D2520" si="759">C2517*B2517</f>
        <v>12004.999999999998</v>
      </c>
      <c r="E2517" s="1924">
        <f t="shared" si="757"/>
        <v>0.18973291710024279</v>
      </c>
      <c r="F2517" s="1888">
        <f t="shared" si="752"/>
        <v>3.6532077285425409E-2</v>
      </c>
      <c r="G2517" s="1494"/>
      <c r="H2517" s="1902"/>
      <c r="I2517" s="1889">
        <v>23.18</v>
      </c>
      <c r="J2517" s="1889">
        <v>7.07</v>
      </c>
      <c r="K2517" s="3055" t="s">
        <v>515</v>
      </c>
      <c r="L2517" s="3055"/>
      <c r="M2517" s="3055"/>
      <c r="N2517" s="1489" t="str">
        <f t="shared" ref="N2517:N2518" si="760">A2517</f>
        <v>LI</v>
      </c>
      <c r="O2517" s="3"/>
      <c r="P2517" s="3"/>
      <c r="Q2517" s="1345">
        <f>"11/13/2020"+90</f>
        <v>44238</v>
      </c>
      <c r="R2517" s="1529">
        <f t="shared" ref="R2517:R2519" si="761">B2517*RIGHT(K2517,6)</f>
        <v>7931</v>
      </c>
      <c r="S2517" s="1510">
        <f t="shared" ref="S2517:S2519" si="762">D2517</f>
        <v>12004.999999999998</v>
      </c>
      <c r="T2517" s="1899">
        <f t="shared" ref="T2517:T2519" si="763">S2517-R2517</f>
        <v>4073.9999999999982</v>
      </c>
      <c r="U2517" s="1530">
        <f t="shared" ref="U2517:U2519" si="764">(S2517-R2517)/R2517</f>
        <v>0.51368049426301832</v>
      </c>
      <c r="V2517" s="1926" t="str">
        <f t="shared" si="753"/>
        <v>LI</v>
      </c>
      <c r="W2517" s="1930">
        <f t="shared" ca="1" si="751"/>
        <v>-934</v>
      </c>
      <c r="X2517">
        <f t="shared" ca="1" si="758"/>
        <v>6</v>
      </c>
    </row>
    <row r="2518" spans="1:24" hidden="1" outlineLevel="1" x14ac:dyDescent="0.35">
      <c r="A2518" s="1084" t="s">
        <v>487</v>
      </c>
      <c r="B2518" s="1822">
        <v>350</v>
      </c>
      <c r="C2518" s="1823">
        <v>58.92</v>
      </c>
      <c r="D2518" s="1823">
        <f t="shared" si="759"/>
        <v>20622</v>
      </c>
      <c r="E2518" s="1924">
        <f t="shared" si="757"/>
        <v>0.20985626283367553</v>
      </c>
      <c r="F2518" s="1888">
        <f t="shared" si="752"/>
        <v>6.2754227220328446E-2</v>
      </c>
      <c r="G2518" s="1494"/>
      <c r="H2518" s="1902"/>
      <c r="I2518" s="1889">
        <v>38.11</v>
      </c>
      <c r="J2518" s="1889">
        <v>3.5600000000000023</v>
      </c>
      <c r="K2518" s="3055" t="s">
        <v>488</v>
      </c>
      <c r="L2518" s="3055"/>
      <c r="M2518" s="3055"/>
      <c r="N2518" s="1489" t="str">
        <f t="shared" si="760"/>
        <v>NIO</v>
      </c>
      <c r="O2518" s="3"/>
      <c r="P2518" s="3"/>
      <c r="Q2518" s="1345">
        <f>"11/17/2020"+90</f>
        <v>44242</v>
      </c>
      <c r="R2518" s="1529">
        <f t="shared" si="761"/>
        <v>11630.499999999998</v>
      </c>
      <c r="S2518" s="1510">
        <f t="shared" si="762"/>
        <v>20622</v>
      </c>
      <c r="T2518" s="1899">
        <f t="shared" si="763"/>
        <v>8991.5000000000018</v>
      </c>
      <c r="U2518" s="1530">
        <f t="shared" si="764"/>
        <v>0.7730965994583211</v>
      </c>
      <c r="V2518" s="1926" t="str">
        <f t="shared" si="753"/>
        <v>NIO</v>
      </c>
      <c r="W2518" s="1930">
        <f t="shared" ca="1" si="751"/>
        <v>-930</v>
      </c>
      <c r="X2518">
        <f t="shared" ca="1" si="758"/>
        <v>8</v>
      </c>
    </row>
    <row r="2519" spans="1:24" hidden="1" outlineLevel="1" x14ac:dyDescent="0.35">
      <c r="A2519" s="7" t="s">
        <v>516</v>
      </c>
      <c r="B2519" s="1362">
        <v>325</v>
      </c>
      <c r="C2519" s="1363">
        <v>43.91</v>
      </c>
      <c r="D2519" s="1363">
        <f t="shared" si="759"/>
        <v>14270.749999999998</v>
      </c>
      <c r="E2519" s="1641">
        <f t="shared" si="757"/>
        <v>2.7134502923976529E-2</v>
      </c>
      <c r="F2519" s="1506">
        <f t="shared" si="752"/>
        <v>4.3426917277882941E-2</v>
      </c>
      <c r="G2519" s="1520"/>
      <c r="H2519" s="1903"/>
      <c r="I2519" s="1895"/>
      <c r="J2519" s="1896"/>
      <c r="K2519" s="3055" t="s">
        <v>521</v>
      </c>
      <c r="L2519" s="3055"/>
      <c r="M2519" s="3055"/>
      <c r="N2519" s="1673" t="str">
        <f>A2519</f>
        <v>BLNK</v>
      </c>
      <c r="Q2519" s="1912">
        <f>"11/12/2020"+90</f>
        <v>44237</v>
      </c>
      <c r="R2519" s="1913">
        <f t="shared" si="761"/>
        <v>12051</v>
      </c>
      <c r="S2519" s="1914">
        <f t="shared" si="762"/>
        <v>14270.749999999998</v>
      </c>
      <c r="T2519" s="1914">
        <f t="shared" si="763"/>
        <v>2219.7499999999982</v>
      </c>
      <c r="U2519" s="1915">
        <f t="shared" si="764"/>
        <v>0.18419633225458454</v>
      </c>
      <c r="V2519" s="1926" t="str">
        <f t="shared" si="753"/>
        <v>BLNK</v>
      </c>
      <c r="W2519" s="1929">
        <f t="shared" ca="1" si="751"/>
        <v>-935</v>
      </c>
      <c r="X2519">
        <f t="shared" ca="1" si="758"/>
        <v>3</v>
      </c>
    </row>
    <row r="2520" spans="1:24" hidden="1" outlineLevel="1" x14ac:dyDescent="0.35">
      <c r="A2520" s="1084" t="s">
        <v>66</v>
      </c>
      <c r="B2520" s="1822">
        <v>180</v>
      </c>
      <c r="C2520" s="1823">
        <v>880.02</v>
      </c>
      <c r="D2520" s="1823">
        <f t="shared" si="759"/>
        <v>158403.6</v>
      </c>
      <c r="E2520" s="1924">
        <f t="shared" si="757"/>
        <v>0.24707016027321557</v>
      </c>
      <c r="F2520" s="1917">
        <f t="shared" si="752"/>
        <v>0.48203353248559883</v>
      </c>
      <c r="G2520" s="1520"/>
      <c r="H2520" s="1903" t="s">
        <v>510</v>
      </c>
      <c r="I2520" s="1895"/>
      <c r="J2520" s="1896"/>
      <c r="K2520" s="3055" t="s">
        <v>511</v>
      </c>
      <c r="L2520" s="3055"/>
      <c r="M2520" s="3055"/>
      <c r="N2520" s="1489" t="str">
        <f>A2520</f>
        <v>TSLA</v>
      </c>
      <c r="O2520" s="3"/>
      <c r="P2520" s="3"/>
      <c r="Q2520" s="1345">
        <f>"11/12/2020"+90</f>
        <v>44237</v>
      </c>
      <c r="R2520" s="1529">
        <f>B2520*RIGHT(K2520,6)</f>
        <v>110458.79999999999</v>
      </c>
      <c r="S2520" s="1510">
        <f>D2520</f>
        <v>158403.6</v>
      </c>
      <c r="T2520" s="1510">
        <f>S2520-R2520</f>
        <v>47944.800000000017</v>
      </c>
      <c r="U2520" s="1530">
        <f>(S2520-R2520)/R2520</f>
        <v>0.43405142913013739</v>
      </c>
      <c r="V2520" s="1926" t="str">
        <f t="shared" si="753"/>
        <v>TSLA</v>
      </c>
      <c r="W2520" s="1929">
        <f t="shared" ca="1" si="751"/>
        <v>-935</v>
      </c>
      <c r="X2520">
        <f t="shared" ca="1" si="758"/>
        <v>3</v>
      </c>
    </row>
    <row r="2521" spans="1:24" hidden="1" outlineLevel="1" x14ac:dyDescent="0.35">
      <c r="A2521" s="7" t="s">
        <v>49</v>
      </c>
      <c r="B2521" s="1362">
        <v>0.124</v>
      </c>
      <c r="C2521" s="1363">
        <v>531.07000000000005</v>
      </c>
      <c r="D2521" s="1363">
        <f>C2521*B2521</f>
        <v>65.852680000000007</v>
      </c>
      <c r="E2521" s="1641">
        <f t="shared" si="757"/>
        <v>1.6985829184220612E-2</v>
      </c>
      <c r="F2521" s="1917">
        <f t="shared" si="752"/>
        <v>2.0039443525301032E-4</v>
      </c>
      <c r="G2521" s="1494">
        <v>89</v>
      </c>
      <c r="H2521" s="1820" t="s">
        <v>468</v>
      </c>
      <c r="I2521" s="1889">
        <v>505.13</v>
      </c>
      <c r="J2521" s="1889">
        <v>20.610000000000014</v>
      </c>
      <c r="K2521" s="3055" t="s">
        <v>522</v>
      </c>
      <c r="L2521" s="3055"/>
      <c r="M2521" s="3055"/>
      <c r="N2521" s="1489" t="str">
        <f>A2521</f>
        <v>NVDA</v>
      </c>
      <c r="O2521" s="3"/>
      <c r="P2521" s="3"/>
      <c r="Q2521" s="1345">
        <v>44238</v>
      </c>
      <c r="R2521" s="1529">
        <f>B2521*RIGHT(K2521,6)</f>
        <v>64.301439999999999</v>
      </c>
      <c r="S2521" s="1510">
        <f>D2521</f>
        <v>65.852680000000007</v>
      </c>
      <c r="T2521" s="1510">
        <f>S2521-R2521</f>
        <v>1.5512400000000071</v>
      </c>
      <c r="U2521" s="1530">
        <f>(S2521-R2521)/R2521</f>
        <v>2.4124498611539757E-2</v>
      </c>
      <c r="V2521" s="1926" t="str">
        <f t="shared" si="753"/>
        <v>NVDA</v>
      </c>
      <c r="W2521" s="1929">
        <f t="shared" ca="1" si="751"/>
        <v>-934</v>
      </c>
      <c r="X2521">
        <f t="shared" ca="1" si="758"/>
        <v>6</v>
      </c>
    </row>
    <row r="2522" spans="1:24" ht="16" hidden="1" outlineLevel="1" thickBot="1" x14ac:dyDescent="0.4">
      <c r="A2522" s="1880" t="s">
        <v>7</v>
      </c>
      <c r="B2522" s="56"/>
      <c r="C2522" s="1881"/>
      <c r="D2522" s="1881">
        <v>2174.67</v>
      </c>
      <c r="E2522" s="1588"/>
      <c r="F2522" s="1486"/>
      <c r="G2522" s="1788"/>
      <c r="H2522" s="1789"/>
      <c r="I2522" s="1789"/>
      <c r="J2522" s="1216"/>
      <c r="K2522" s="1633"/>
      <c r="L2522" s="1634"/>
      <c r="M2522" s="1634"/>
      <c r="R2522" s="1691">
        <f>SUM(R2513:R2521)</f>
        <v>248351.85144</v>
      </c>
      <c r="S2522" s="1691">
        <f>SUM(S2513:S2521)</f>
        <v>324117.50268000003</v>
      </c>
      <c r="T2522" s="1691">
        <f>SUM(T2513:T2521)</f>
        <v>75765.651240000021</v>
      </c>
      <c r="U2522" s="1810">
        <f>AVERAGE(U2513:U2521)</f>
        <v>0.28647864665290818</v>
      </c>
    </row>
    <row r="2523" spans="1:24" ht="16" hidden="1" outlineLevel="1" thickBot="1" x14ac:dyDescent="0.4">
      <c r="A2523" s="1880" t="s">
        <v>60</v>
      </c>
      <c r="B2523" s="56"/>
      <c r="C2523" s="1881"/>
      <c r="D2523" s="1881">
        <v>2323.14</v>
      </c>
      <c r="E2523" s="1794"/>
      <c r="F2523" s="1486"/>
      <c r="G2523" s="1734"/>
      <c r="H2523" s="1723"/>
      <c r="I2523" s="1796"/>
      <c r="J2523" s="61">
        <f>SUM(J2522:J2522)</f>
        <v>0</v>
      </c>
      <c r="K2523" s="1468"/>
      <c r="L2523" s="1151"/>
      <c r="M2523" s="1151"/>
      <c r="S2523" s="1470" t="str">
        <f>IF(SUM(D2513:D2521)&lt;&gt;S2522,"Out of Balance","Balances")</f>
        <v>Balances</v>
      </c>
    </row>
    <row r="2524" spans="1:24" ht="19" hidden="1" outlineLevel="1" thickBot="1" x14ac:dyDescent="0.5">
      <c r="A2524" s="1797" t="s">
        <v>62</v>
      </c>
      <c r="B2524" s="1798"/>
      <c r="C2524" s="1868">
        <f>SUM(D2513:D2521,D2523)</f>
        <v>326440.64268000005</v>
      </c>
      <c r="D2524" s="1800">
        <f>SUM(D2513:D2523)</f>
        <v>328615.31268000003</v>
      </c>
      <c r="E2524" s="73">
        <f>D2524-D2506</f>
        <v>39107.329879999976</v>
      </c>
      <c r="F2524" s="1537">
        <f>(D2524-D2506)/D2506</f>
        <v>0.13508204334046423</v>
      </c>
      <c r="G2524" s="72" t="s">
        <v>459</v>
      </c>
      <c r="H2524" s="1897">
        <f>E2524+E2506+E2490+E2473+E2456</f>
        <v>33961.232120000001</v>
      </c>
      <c r="I2524" s="1848"/>
      <c r="J2524" s="1849"/>
    </row>
    <row r="2525" spans="1:24" hidden="1" outlineLevel="1" x14ac:dyDescent="0.35">
      <c r="A2525" s="3071" t="s">
        <v>530</v>
      </c>
      <c r="B2525" s="3066"/>
      <c r="C2525" s="3066"/>
      <c r="D2525" s="3066"/>
      <c r="E2525" s="3066"/>
      <c r="F2525" s="3066"/>
      <c r="G2525" s="3066"/>
      <c r="H2525" s="3066"/>
      <c r="I2525" s="3066"/>
      <c r="J2525" s="3067"/>
      <c r="S2525" s="1931">
        <f>SUM(T2526:T2528)</f>
        <v>68668.100000000006</v>
      </c>
      <c r="T2525" s="1932" t="s">
        <v>531</v>
      </c>
      <c r="U2525" s="1933" t="s">
        <v>37</v>
      </c>
    </row>
    <row r="2526" spans="1:24" ht="23.25" hidden="1" customHeight="1" outlineLevel="1" thickBot="1" x14ac:dyDescent="0.4">
      <c r="A2526" s="3068"/>
      <c r="B2526" s="3069"/>
      <c r="C2526" s="3069"/>
      <c r="D2526" s="3069"/>
      <c r="E2526" s="3069"/>
      <c r="F2526" s="3069"/>
      <c r="G2526" s="3069"/>
      <c r="H2526" s="3069"/>
      <c r="I2526" s="3069"/>
      <c r="J2526" s="3070"/>
      <c r="S2526" s="1934" t="s">
        <v>532</v>
      </c>
      <c r="T2526" s="1935">
        <f>SUM(T2531:T2533,T2537)</f>
        <v>13569.099999999999</v>
      </c>
      <c r="U2526" s="1936">
        <f>T2526/T2540</f>
        <v>0.19759691995606246</v>
      </c>
    </row>
    <row r="2527" spans="1:24" hidden="1" outlineLevel="1" x14ac:dyDescent="0.35">
      <c r="S2527" s="1937" t="s">
        <v>533</v>
      </c>
      <c r="T2527" s="1938">
        <f>SUM(T2534:T2536)</f>
        <v>16849.000000000004</v>
      </c>
      <c r="U2527" s="1939">
        <f>T2527/T2540</f>
        <v>0.24535971467081069</v>
      </c>
    </row>
    <row r="2528" spans="1:24" ht="16" hidden="1" outlineLevel="1" thickBot="1" x14ac:dyDescent="0.4">
      <c r="A2528" s="1619" t="s">
        <v>25</v>
      </c>
      <c r="B2528" s="1620" t="s">
        <v>26</v>
      </c>
      <c r="C2528" s="1621" t="s">
        <v>27</v>
      </c>
      <c r="D2528" s="1622">
        <f>D2510+7</f>
        <v>44211</v>
      </c>
      <c r="E2528" s="1623" t="s">
        <v>28</v>
      </c>
      <c r="F2528" s="3036" t="s">
        <v>29</v>
      </c>
      <c r="G2528" s="3037"/>
      <c r="H2528" s="3038"/>
      <c r="I2528" s="1727"/>
      <c r="J2528" s="1182"/>
      <c r="K2528" s="1183" t="s">
        <v>233</v>
      </c>
      <c r="O2528" s="3072" t="s">
        <v>31</v>
      </c>
      <c r="P2528" s="3073"/>
      <c r="S2528" s="1940" t="s">
        <v>534</v>
      </c>
      <c r="T2528" s="1941">
        <f>T2538</f>
        <v>38250</v>
      </c>
      <c r="U2528" s="1942">
        <f>T2528/T2540</f>
        <v>0.55700688979515145</v>
      </c>
    </row>
    <row r="2529" spans="1:24" ht="16" hidden="1" outlineLevel="1" thickBot="1" x14ac:dyDescent="0.4">
      <c r="A2529" s="1584" t="s">
        <v>32</v>
      </c>
      <c r="B2529" s="1585" t="str">
        <f ca="1">TEXT(TODAY(),"ddd")</f>
        <v>Sun</v>
      </c>
      <c r="C2529" s="1586">
        <v>30814</v>
      </c>
      <c r="D2529" s="1808">
        <f>C2529-C2511</f>
        <v>-283</v>
      </c>
      <c r="E2529" s="1641">
        <f>(C2529-C2511)/C2511</f>
        <v>-9.1005563237611352E-3</v>
      </c>
      <c r="F2529" s="3039"/>
      <c r="G2529" s="3040"/>
      <c r="H2529" s="3041"/>
      <c r="I2529" s="1602"/>
      <c r="J2529" s="1602"/>
      <c r="K2529" s="1188" t="s">
        <v>234</v>
      </c>
      <c r="L2529" s="1220" t="s">
        <v>34</v>
      </c>
      <c r="M2529" s="111" t="s">
        <v>35</v>
      </c>
      <c r="N2529" s="2995"/>
      <c r="O2529" s="2996"/>
      <c r="P2529" s="2996"/>
      <c r="Q2529" s="2996"/>
      <c r="R2529" s="2996"/>
      <c r="S2529" s="2996"/>
      <c r="T2529" s="2996"/>
      <c r="U2529" s="3044"/>
    </row>
    <row r="2530" spans="1:24" hidden="1" outlineLevel="1" x14ac:dyDescent="0.35">
      <c r="A2530" s="709" t="s">
        <v>36</v>
      </c>
      <c r="B2530" s="419"/>
      <c r="C2530" s="419">
        <v>12998</v>
      </c>
      <c r="D2530" s="1808">
        <f>C2530-C2512</f>
        <v>-203.97999999999956</v>
      </c>
      <c r="E2530" s="1641">
        <f t="shared" ref="E2530:E2539" si="765">(C2530-C2512)/C2512</f>
        <v>-1.5450712696125852E-2</v>
      </c>
      <c r="F2530" s="1744" t="s">
        <v>37</v>
      </c>
      <c r="G2530" s="1745" t="s">
        <v>38</v>
      </c>
      <c r="H2530" s="1746" t="s">
        <v>144</v>
      </c>
      <c r="I2530" s="1747" t="s">
        <v>441</v>
      </c>
      <c r="J2530" s="1748" t="s">
        <v>400</v>
      </c>
      <c r="K2530" s="3063" t="s">
        <v>42</v>
      </c>
      <c r="L2530" s="3064"/>
      <c r="M2530" s="3064"/>
      <c r="N2530" s="1830" t="s">
        <v>244</v>
      </c>
      <c r="Q2530" s="1831" t="s">
        <v>44</v>
      </c>
      <c r="R2530" s="1832" t="s">
        <v>45</v>
      </c>
      <c r="S2530" s="1832" t="s">
        <v>46</v>
      </c>
      <c r="T2530" s="1832" t="s">
        <v>47</v>
      </c>
      <c r="U2530" s="1833" t="s">
        <v>48</v>
      </c>
      <c r="W2530" s="1919" t="s">
        <v>446</v>
      </c>
    </row>
    <row r="2531" spans="1:24" hidden="1" outlineLevel="1" x14ac:dyDescent="0.35">
      <c r="A2531" s="7" t="s">
        <v>501</v>
      </c>
      <c r="B2531" s="1362">
        <v>2540</v>
      </c>
      <c r="C2531" s="1363">
        <v>15.84</v>
      </c>
      <c r="D2531" s="1363">
        <f>C2531*B2531</f>
        <v>40233.599999999999</v>
      </c>
      <c r="E2531" s="1641">
        <f t="shared" si="765"/>
        <v>3.3942558746736261E-2</v>
      </c>
      <c r="F2531" s="1506">
        <f>D2531/$D$2542</f>
        <v>0.12513550225156717</v>
      </c>
      <c r="G2531" s="1494"/>
      <c r="H2531" s="1824" t="s">
        <v>509</v>
      </c>
      <c r="I2531" s="1889"/>
      <c r="J2531" s="1889"/>
      <c r="K2531" s="3055" t="s">
        <v>526</v>
      </c>
      <c r="L2531" s="3055"/>
      <c r="M2531" s="3055"/>
      <c r="N2531" s="1489" t="str">
        <f>A2531</f>
        <v>FCEL</v>
      </c>
      <c r="O2531" s="3"/>
      <c r="P2531" s="3"/>
      <c r="Q2531" s="1345">
        <v>44216</v>
      </c>
      <c r="R2531" s="1529">
        <f>B2531*RIGHT(K2531,5)</f>
        <v>34417</v>
      </c>
      <c r="S2531" s="1510">
        <f>D2531</f>
        <v>40233.599999999999</v>
      </c>
      <c r="T2531" s="1925">
        <f>S2531-R2531</f>
        <v>5816.5999999999985</v>
      </c>
      <c r="U2531" s="1530">
        <f>(S2531-R2531)/R2531</f>
        <v>0.16900369003690033</v>
      </c>
      <c r="V2531" s="1926" t="str">
        <f>A2531</f>
        <v>FCEL</v>
      </c>
      <c r="W2531" s="1435">
        <f t="shared" ref="W2531:W2539" ca="1" si="766">Q2531-TODAY()</f>
        <v>-956</v>
      </c>
      <c r="X2531">
        <f t="shared" ref="X2531:X2539" ca="1" si="767">RANK(W2531,$W$2531:$W$2539,1)</f>
        <v>1</v>
      </c>
    </row>
    <row r="2532" spans="1:24" hidden="1" outlineLevel="1" x14ac:dyDescent="0.35">
      <c r="A2532" s="1084" t="s">
        <v>527</v>
      </c>
      <c r="B2532" s="1822">
        <v>700</v>
      </c>
      <c r="C2532" s="1823">
        <v>60.14</v>
      </c>
      <c r="D2532" s="1823">
        <f>C2532*B2532</f>
        <v>42098</v>
      </c>
      <c r="E2532" s="1641">
        <f t="shared" si="765"/>
        <v>0.11836355183635522</v>
      </c>
      <c r="F2532" s="1506">
        <f t="shared" ref="F2532:F2539" si="768">D2532/$D$2542</f>
        <v>0.13093420359566318</v>
      </c>
      <c r="G2532" s="1494"/>
      <c r="H2532" s="1824"/>
      <c r="I2532" s="1889"/>
      <c r="J2532" s="1889"/>
      <c r="K2532" s="3055" t="s">
        <v>528</v>
      </c>
      <c r="L2532" s="3055"/>
      <c r="M2532" s="3055"/>
      <c r="N2532" s="1489"/>
      <c r="O2532" s="3"/>
      <c r="P2532" s="3"/>
      <c r="Q2532" s="1345">
        <v>44263</v>
      </c>
      <c r="R2532" s="1529">
        <f>B2532*RIGHT(K2532,5)</f>
        <v>36162</v>
      </c>
      <c r="S2532" s="1510">
        <f>D2532</f>
        <v>42098</v>
      </c>
      <c r="T2532" s="1925">
        <f>S2532-R2532</f>
        <v>5936</v>
      </c>
      <c r="U2532" s="1530">
        <f>(S2532-R2532)/R2532</f>
        <v>0.16415021293070073</v>
      </c>
      <c r="V2532" s="1926" t="str">
        <f t="shared" ref="V2532:V2539" si="769">A2532</f>
        <v>PLUG</v>
      </c>
      <c r="W2532" s="56">
        <f t="shared" ca="1" si="766"/>
        <v>-909</v>
      </c>
      <c r="X2532">
        <f t="shared" ca="1" si="767"/>
        <v>8</v>
      </c>
    </row>
    <row r="2533" spans="1:24" hidden="1" outlineLevel="1" x14ac:dyDescent="0.35">
      <c r="A2533" s="7" t="s">
        <v>504</v>
      </c>
      <c r="B2533" s="1362">
        <v>375</v>
      </c>
      <c r="C2533" s="1363">
        <v>60.71</v>
      </c>
      <c r="D2533" s="1363">
        <f>C2533*B2533</f>
        <v>22766.25</v>
      </c>
      <c r="E2533" s="1641">
        <f t="shared" si="765"/>
        <v>-0.13395149786019964</v>
      </c>
      <c r="F2533" s="1917">
        <f t="shared" si="768"/>
        <v>7.0808133702545656E-2</v>
      </c>
      <c r="G2533" s="1494"/>
      <c r="H2533" s="1820"/>
      <c r="I2533" s="1889"/>
      <c r="J2533" s="1889"/>
      <c r="K2533" s="3055" t="s">
        <v>529</v>
      </c>
      <c r="L2533" s="3055"/>
      <c r="M2533" s="3055"/>
      <c r="N2533" s="1489" t="str">
        <f>A2533</f>
        <v>BEEM</v>
      </c>
      <c r="O2533" s="3"/>
      <c r="P2533" s="3"/>
      <c r="Q2533" s="1345">
        <v>44286</v>
      </c>
      <c r="R2533" s="1845">
        <f t="shared" ref="R2533" si="770">B2533*RIGHT(K2533,5)</f>
        <v>24206.25</v>
      </c>
      <c r="S2533" s="1834">
        <f>D2533</f>
        <v>22766.25</v>
      </c>
      <c r="T2533" s="1943">
        <f t="shared" ref="T2533" si="771">S2533-R2533</f>
        <v>-1440</v>
      </c>
      <c r="U2533" s="1944">
        <f t="shared" ref="U2533" si="772">(S2533-R2533)/R2533</f>
        <v>-5.9488768396591792E-2</v>
      </c>
      <c r="V2533" s="1926" t="str">
        <f t="shared" si="769"/>
        <v>BEEM</v>
      </c>
      <c r="W2533" s="56">
        <f t="shared" ca="1" si="766"/>
        <v>-886</v>
      </c>
      <c r="X2533">
        <f t="shared" ca="1" si="767"/>
        <v>9</v>
      </c>
    </row>
    <row r="2534" spans="1:24" hidden="1" outlineLevel="1" x14ac:dyDescent="0.35">
      <c r="A2534" s="1084" t="s">
        <v>485</v>
      </c>
      <c r="B2534" s="1822">
        <v>350</v>
      </c>
      <c r="C2534" s="1823">
        <v>47.82</v>
      </c>
      <c r="D2534" s="1823">
        <f>C2534*B2534</f>
        <v>16737</v>
      </c>
      <c r="E2534" s="1641">
        <f t="shared" si="765"/>
        <v>5.2145214521452085E-2</v>
      </c>
      <c r="F2534" s="1888">
        <f t="shared" si="768"/>
        <v>5.2055816560896362E-2</v>
      </c>
      <c r="G2534" s="1494"/>
      <c r="H2534" s="1902"/>
      <c r="I2534" s="1889">
        <v>31.01</v>
      </c>
      <c r="J2534" s="1889">
        <v>7.620000000000001</v>
      </c>
      <c r="K2534" s="3055" t="s">
        <v>514</v>
      </c>
      <c r="L2534" s="3055"/>
      <c r="M2534" s="3055"/>
      <c r="N2534" s="1489" t="str">
        <f>A2534</f>
        <v>XPEV</v>
      </c>
      <c r="O2534" s="3"/>
      <c r="P2534" s="3"/>
      <c r="Q2534" s="1345">
        <f>"11/12/2020"+90</f>
        <v>44237</v>
      </c>
      <c r="R2534" s="1529">
        <f>B2534*RIGHT(K2534,6)</f>
        <v>11430.999999999998</v>
      </c>
      <c r="S2534" s="1510">
        <f>D2534</f>
        <v>16737</v>
      </c>
      <c r="T2534" s="1899">
        <f>S2534-R2534</f>
        <v>5306.0000000000018</v>
      </c>
      <c r="U2534" s="1530">
        <f>(S2534-R2534)/R2534</f>
        <v>0.46417636252296413</v>
      </c>
      <c r="V2534" s="1926" t="str">
        <f t="shared" si="769"/>
        <v>XPEV</v>
      </c>
      <c r="W2534" s="1945">
        <f t="shared" ca="1" si="766"/>
        <v>-935</v>
      </c>
      <c r="X2534">
        <f t="shared" ca="1" si="767"/>
        <v>2</v>
      </c>
    </row>
    <row r="2535" spans="1:24" hidden="1" outlineLevel="1" x14ac:dyDescent="0.35">
      <c r="A2535" s="7" t="s">
        <v>483</v>
      </c>
      <c r="B2535" s="1362">
        <v>350</v>
      </c>
      <c r="C2535" s="1363">
        <v>32.6</v>
      </c>
      <c r="D2535" s="1363">
        <f t="shared" ref="D2535:D2538" si="773">C2535*B2535</f>
        <v>11410</v>
      </c>
      <c r="E2535" s="1641">
        <f t="shared" si="765"/>
        <v>-4.9562682215743323E-2</v>
      </c>
      <c r="F2535" s="1888">
        <f t="shared" si="768"/>
        <v>3.5487654117215002E-2</v>
      </c>
      <c r="G2535" s="1494"/>
      <c r="H2535" s="1902"/>
      <c r="I2535" s="1889">
        <v>23.18</v>
      </c>
      <c r="J2535" s="1889">
        <v>7.07</v>
      </c>
      <c r="K2535" s="3055" t="s">
        <v>515</v>
      </c>
      <c r="L2535" s="3055"/>
      <c r="M2535" s="3055"/>
      <c r="N2535" s="1489" t="str">
        <f t="shared" ref="N2535:N2536" si="774">A2535</f>
        <v>LI</v>
      </c>
      <c r="O2535" s="3"/>
      <c r="P2535" s="3"/>
      <c r="Q2535" s="1345">
        <f>"11/13/2020"+90</f>
        <v>44238</v>
      </c>
      <c r="R2535" s="1529">
        <f t="shared" ref="R2535:R2537" si="775">B2535*RIGHT(K2535,6)</f>
        <v>7931</v>
      </c>
      <c r="S2535" s="1510">
        <f t="shared" ref="S2535:S2537" si="776">D2535</f>
        <v>11410</v>
      </c>
      <c r="T2535" s="1899">
        <f t="shared" ref="T2535:T2537" si="777">S2535-R2535</f>
        <v>3479</v>
      </c>
      <c r="U2535" s="1530">
        <f t="shared" ref="U2535:U2537" si="778">(S2535-R2535)/R2535</f>
        <v>0.43865842894969109</v>
      </c>
      <c r="V2535" s="1926" t="str">
        <f t="shared" si="769"/>
        <v>LI</v>
      </c>
      <c r="W2535" s="1678">
        <f t="shared" ca="1" si="766"/>
        <v>-934</v>
      </c>
      <c r="X2535">
        <f t="shared" ca="1" si="767"/>
        <v>5</v>
      </c>
    </row>
    <row r="2536" spans="1:24" hidden="1" outlineLevel="1" x14ac:dyDescent="0.35">
      <c r="A2536" s="1084" t="s">
        <v>487</v>
      </c>
      <c r="B2536" s="1822">
        <v>350</v>
      </c>
      <c r="C2536" s="1823">
        <v>56.27</v>
      </c>
      <c r="D2536" s="1823">
        <f t="shared" si="773"/>
        <v>19694.5</v>
      </c>
      <c r="E2536" s="1641">
        <f t="shared" si="765"/>
        <v>-4.4976238968092302E-2</v>
      </c>
      <c r="F2536" s="1888">
        <f t="shared" si="768"/>
        <v>6.1254303594346263E-2</v>
      </c>
      <c r="G2536" s="1494"/>
      <c r="H2536" s="1902"/>
      <c r="I2536" s="1889">
        <v>38.11</v>
      </c>
      <c r="J2536" s="1889">
        <v>3.5600000000000023</v>
      </c>
      <c r="K2536" s="3055" t="s">
        <v>488</v>
      </c>
      <c r="L2536" s="3055"/>
      <c r="M2536" s="3055"/>
      <c r="N2536" s="1489" t="str">
        <f t="shared" si="774"/>
        <v>NIO</v>
      </c>
      <c r="O2536" s="3"/>
      <c r="P2536" s="3"/>
      <c r="Q2536" s="1345">
        <f>"11/17/2020"+90</f>
        <v>44242</v>
      </c>
      <c r="R2536" s="1529">
        <f t="shared" si="775"/>
        <v>11630.499999999998</v>
      </c>
      <c r="S2536" s="1510">
        <f t="shared" si="776"/>
        <v>19694.5</v>
      </c>
      <c r="T2536" s="1899">
        <f t="shared" si="777"/>
        <v>8064.0000000000018</v>
      </c>
      <c r="U2536" s="1530">
        <f t="shared" si="778"/>
        <v>0.69334938308757177</v>
      </c>
      <c r="V2536" s="1926" t="str">
        <f t="shared" si="769"/>
        <v>NIO</v>
      </c>
      <c r="W2536" s="1678">
        <f t="shared" ca="1" si="766"/>
        <v>-930</v>
      </c>
      <c r="X2536">
        <f t="shared" ca="1" si="767"/>
        <v>7</v>
      </c>
    </row>
    <row r="2537" spans="1:24" hidden="1" outlineLevel="1" x14ac:dyDescent="0.35">
      <c r="A2537" s="7" t="s">
        <v>516</v>
      </c>
      <c r="B2537" s="1362">
        <v>325</v>
      </c>
      <c r="C2537" s="1363">
        <v>47.1</v>
      </c>
      <c r="D2537" s="1363">
        <f t="shared" si="773"/>
        <v>15307.5</v>
      </c>
      <c r="E2537" s="1924">
        <f t="shared" si="765"/>
        <v>7.2648599407879863E-2</v>
      </c>
      <c r="F2537" s="1506">
        <f t="shared" si="768"/>
        <v>4.7609751568735197E-2</v>
      </c>
      <c r="G2537" s="1520"/>
      <c r="H2537" s="1903"/>
      <c r="I2537" s="1895"/>
      <c r="J2537" s="1896"/>
      <c r="K2537" s="3055" t="s">
        <v>521</v>
      </c>
      <c r="L2537" s="3055"/>
      <c r="M2537" s="3055"/>
      <c r="N2537" s="1673" t="str">
        <f>A2537</f>
        <v>BLNK</v>
      </c>
      <c r="Q2537" s="1912">
        <f>"11/12/2020"+90</f>
        <v>44237</v>
      </c>
      <c r="R2537" s="1913">
        <f t="shared" si="775"/>
        <v>12051</v>
      </c>
      <c r="S2537" s="1914">
        <f t="shared" si="776"/>
        <v>15307.5</v>
      </c>
      <c r="T2537" s="1914">
        <f t="shared" si="777"/>
        <v>3256.5</v>
      </c>
      <c r="U2537" s="1915">
        <f t="shared" si="778"/>
        <v>0.27022653721682849</v>
      </c>
      <c r="V2537" s="1926" t="str">
        <f t="shared" si="769"/>
        <v>BLNK</v>
      </c>
      <c r="W2537" s="1678">
        <f t="shared" ca="1" si="766"/>
        <v>-935</v>
      </c>
      <c r="X2537">
        <f t="shared" ca="1" si="767"/>
        <v>2</v>
      </c>
    </row>
    <row r="2538" spans="1:24" hidden="1" outlineLevel="1" x14ac:dyDescent="0.35">
      <c r="A2538" s="1084" t="s">
        <v>66</v>
      </c>
      <c r="B2538" s="1822">
        <v>180</v>
      </c>
      <c r="C2538" s="1823">
        <v>826.16</v>
      </c>
      <c r="D2538" s="1823">
        <f t="shared" si="773"/>
        <v>148708.79999999999</v>
      </c>
      <c r="E2538" s="1641">
        <f t="shared" si="765"/>
        <v>-6.1203154473761977E-2</v>
      </c>
      <c r="F2538" s="1917">
        <f t="shared" si="768"/>
        <v>0.46251765631780034</v>
      </c>
      <c r="G2538" s="1520"/>
      <c r="H2538" s="1903" t="s">
        <v>510</v>
      </c>
      <c r="I2538" s="1895"/>
      <c r="J2538" s="1896"/>
      <c r="K2538" s="3055" t="s">
        <v>511</v>
      </c>
      <c r="L2538" s="3055"/>
      <c r="M2538" s="3055"/>
      <c r="N2538" s="1489" t="str">
        <f>A2538</f>
        <v>TSLA</v>
      </c>
      <c r="O2538" s="3"/>
      <c r="P2538" s="3"/>
      <c r="Q2538" s="1345">
        <f>"11/12/2020"+90</f>
        <v>44237</v>
      </c>
      <c r="R2538" s="1529">
        <f>B2538*RIGHT(K2538,6)</f>
        <v>110458.79999999999</v>
      </c>
      <c r="S2538" s="1510">
        <f>D2538</f>
        <v>148708.79999999999</v>
      </c>
      <c r="T2538" s="1510">
        <f>S2538-R2538</f>
        <v>38250</v>
      </c>
      <c r="U2538" s="1530">
        <f>(S2538-R2538)/R2538</f>
        <v>0.34628295798976638</v>
      </c>
      <c r="V2538" s="1926" t="str">
        <f t="shared" si="769"/>
        <v>TSLA</v>
      </c>
      <c r="W2538" s="1678">
        <f t="shared" ca="1" si="766"/>
        <v>-935</v>
      </c>
      <c r="X2538">
        <f t="shared" ca="1" si="767"/>
        <v>2</v>
      </c>
    </row>
    <row r="2539" spans="1:24" hidden="1" outlineLevel="1" x14ac:dyDescent="0.35">
      <c r="A2539" s="7" t="s">
        <v>49</v>
      </c>
      <c r="B2539" s="1362">
        <v>0.124</v>
      </c>
      <c r="C2539" s="1363">
        <v>538.76</v>
      </c>
      <c r="D2539" s="1363">
        <f>C2539*B2539</f>
        <v>66.806240000000003</v>
      </c>
      <c r="E2539" s="1641">
        <f t="shared" si="765"/>
        <v>1.4480200350236203E-2</v>
      </c>
      <c r="F2539" s="1917">
        <f t="shared" si="768"/>
        <v>2.0778236091074966E-4</v>
      </c>
      <c r="G2539" s="1494">
        <v>89</v>
      </c>
      <c r="H2539" s="1820" t="s">
        <v>468</v>
      </c>
      <c r="I2539" s="1889">
        <v>505.13</v>
      </c>
      <c r="J2539" s="1889">
        <v>20.610000000000014</v>
      </c>
      <c r="K2539" s="3055" t="s">
        <v>522</v>
      </c>
      <c r="L2539" s="3055"/>
      <c r="M2539" s="3055"/>
      <c r="N2539" s="1489" t="str">
        <f>A2539</f>
        <v>NVDA</v>
      </c>
      <c r="O2539" s="3"/>
      <c r="P2539" s="3"/>
      <c r="Q2539" s="1345">
        <v>44238</v>
      </c>
      <c r="R2539" s="1529">
        <f>B2539*RIGHT(K2539,6)</f>
        <v>64.301439999999999</v>
      </c>
      <c r="S2539" s="1510">
        <f>D2539</f>
        <v>66.806240000000003</v>
      </c>
      <c r="T2539" s="1510">
        <f>S2539-R2539</f>
        <v>2.504800000000003</v>
      </c>
      <c r="U2539" s="1530">
        <f>(S2539-R2539)/R2539</f>
        <v>3.89540265350201E-2</v>
      </c>
      <c r="V2539" s="1926" t="str">
        <f t="shared" si="769"/>
        <v>NVDA</v>
      </c>
      <c r="W2539" s="1678">
        <f t="shared" ca="1" si="766"/>
        <v>-934</v>
      </c>
      <c r="X2539">
        <f t="shared" ca="1" si="767"/>
        <v>5</v>
      </c>
    </row>
    <row r="2540" spans="1:24" ht="16" hidden="1" outlineLevel="1" thickBot="1" x14ac:dyDescent="0.4">
      <c r="A2540" s="1880" t="s">
        <v>7</v>
      </c>
      <c r="B2540" s="56"/>
      <c r="C2540" s="1881"/>
      <c r="D2540" s="1881">
        <v>2174.67</v>
      </c>
      <c r="E2540" s="1588"/>
      <c r="F2540" s="1486"/>
      <c r="G2540" s="1788"/>
      <c r="H2540" s="1789"/>
      <c r="I2540" s="1789"/>
      <c r="J2540" s="1216"/>
      <c r="K2540" s="1633"/>
      <c r="L2540" s="1634"/>
      <c r="M2540" s="1634"/>
      <c r="R2540" s="1691">
        <f>SUM(R2531:R2539)</f>
        <v>248351.85144</v>
      </c>
      <c r="S2540" s="1691">
        <f>SUM(S2531:S2539)</f>
        <v>317022.45624000003</v>
      </c>
      <c r="T2540" s="1691">
        <f>SUM(T2531:T2539)</f>
        <v>68670.604800000001</v>
      </c>
      <c r="U2540" s="1810">
        <f>AVERAGE(U2531:U2539)</f>
        <v>0.28059031454142791</v>
      </c>
    </row>
    <row r="2541" spans="1:24" ht="16" hidden="1" outlineLevel="1" thickBot="1" x14ac:dyDescent="0.4">
      <c r="A2541" s="1880" t="s">
        <v>60</v>
      </c>
      <c r="B2541" s="56"/>
      <c r="C2541" s="1881"/>
      <c r="D2541" s="1881">
        <v>2323.14</v>
      </c>
      <c r="E2541" s="1794"/>
      <c r="F2541" s="1486"/>
      <c r="G2541" s="1734"/>
      <c r="H2541" s="1723"/>
      <c r="I2541" s="1796"/>
      <c r="J2541" s="61">
        <f>SUM(J2540:J2540)</f>
        <v>0</v>
      </c>
      <c r="K2541" s="1468"/>
      <c r="L2541" s="1151"/>
      <c r="M2541" s="1151"/>
      <c r="S2541" s="1470" t="str">
        <f>IF(SUM(D2531:D2539)&lt;&gt;S2540,"Out of Balance","Balances")</f>
        <v>Balances</v>
      </c>
    </row>
    <row r="2542" spans="1:24" ht="19" hidden="1" outlineLevel="1" thickBot="1" x14ac:dyDescent="0.5">
      <c r="A2542" s="1797" t="s">
        <v>62</v>
      </c>
      <c r="B2542" s="1798"/>
      <c r="C2542" s="1868">
        <f>SUM(D2531:D2539,D2541)</f>
        <v>319345.59624000004</v>
      </c>
      <c r="D2542" s="1800">
        <f>SUM(D2531:D2541)</f>
        <v>321520.26624000003</v>
      </c>
      <c r="E2542" s="73">
        <f>D2542-D2524</f>
        <v>-7095.0464400000055</v>
      </c>
      <c r="F2542" s="1537">
        <f>(D2542-D2524)/D2524</f>
        <v>-2.1590735934174318E-2</v>
      </c>
      <c r="G2542" s="72" t="s">
        <v>459</v>
      </c>
      <c r="H2542" s="1897">
        <f>E2542+E2524+E2508+E2491+E2474</f>
        <v>32012.28343999997</v>
      </c>
      <c r="I2542" s="1848"/>
      <c r="J2542" s="1849">
        <f>E2542+E2524</f>
        <v>32012.28343999997</v>
      </c>
    </row>
    <row r="2543" spans="1:24" hidden="1" outlineLevel="1" x14ac:dyDescent="0.35">
      <c r="A2543" s="3071" t="s">
        <v>535</v>
      </c>
      <c r="B2543" s="3066"/>
      <c r="C2543" s="3066"/>
      <c r="D2543" s="3066"/>
      <c r="E2543" s="3066"/>
      <c r="F2543" s="3066"/>
      <c r="G2543" s="3066"/>
      <c r="H2543" s="3066"/>
      <c r="I2543" s="3066"/>
      <c r="J2543" s="3067"/>
      <c r="S2543" s="1946">
        <f>SUM(T2544:T2546)</f>
        <v>86283.250000000015</v>
      </c>
      <c r="T2543" s="1932" t="s">
        <v>531</v>
      </c>
      <c r="U2543" s="1933" t="s">
        <v>37</v>
      </c>
    </row>
    <row r="2544" spans="1:24" ht="23.25" hidden="1" customHeight="1" outlineLevel="1" thickBot="1" x14ac:dyDescent="0.4">
      <c r="A2544" s="3068"/>
      <c r="B2544" s="3069"/>
      <c r="C2544" s="3069"/>
      <c r="D2544" s="3069"/>
      <c r="E2544" s="3069"/>
      <c r="F2544" s="3069"/>
      <c r="G2544" s="3069"/>
      <c r="H2544" s="3069"/>
      <c r="I2544" s="3069"/>
      <c r="J2544" s="3070"/>
      <c r="S2544" s="1934" t="s">
        <v>532</v>
      </c>
      <c r="T2544" s="1935">
        <f>SUM(T2549:T2551,T2555)</f>
        <v>23991.949999999997</v>
      </c>
      <c r="U2544" s="1936">
        <f>T2544/T2558</f>
        <v>0.27805936291882305</v>
      </c>
    </row>
    <row r="2545" spans="1:24" hidden="1" outlineLevel="1" x14ac:dyDescent="0.35">
      <c r="S2545" s="1937" t="s">
        <v>533</v>
      </c>
      <c r="T2545" s="1938">
        <f>SUM(T2552:T2554)</f>
        <v>20709.500000000004</v>
      </c>
      <c r="U2545" s="1939">
        <f>T2545/T2558</f>
        <v>0.24001677130734966</v>
      </c>
    </row>
    <row r="2546" spans="1:24" ht="16" hidden="1" outlineLevel="1" thickBot="1" x14ac:dyDescent="0.4">
      <c r="A2546" s="1947" t="s">
        <v>25</v>
      </c>
      <c r="B2546" s="1948" t="s">
        <v>26</v>
      </c>
      <c r="C2546" s="1949" t="s">
        <v>27</v>
      </c>
      <c r="D2546" s="1872">
        <f>D2528+7</f>
        <v>44218</v>
      </c>
      <c r="E2546" s="1950" t="s">
        <v>28</v>
      </c>
      <c r="F2546" s="3036" t="s">
        <v>29</v>
      </c>
      <c r="G2546" s="3037"/>
      <c r="H2546" s="3038"/>
      <c r="I2546" s="1727"/>
      <c r="J2546" s="1182"/>
      <c r="K2546" s="1183" t="s">
        <v>233</v>
      </c>
      <c r="O2546" s="3072" t="s">
        <v>31</v>
      </c>
      <c r="P2546" s="3073"/>
      <c r="S2546" s="1940" t="s">
        <v>534</v>
      </c>
      <c r="T2546" s="1941">
        <f>T2556</f>
        <v>41581.800000000017</v>
      </c>
      <c r="U2546" s="1942">
        <f>T2546/T2558</f>
        <v>0.48192034482474011</v>
      </c>
      <c r="V2546" s="1951">
        <f>SUM(U2544:U2546)</f>
        <v>0.99999647905091282</v>
      </c>
    </row>
    <row r="2547" spans="1:24" ht="16" hidden="1" outlineLevel="1" thickBot="1" x14ac:dyDescent="0.4">
      <c r="A2547" s="1584" t="s">
        <v>32</v>
      </c>
      <c r="B2547" s="1585" t="str">
        <f ca="1">TEXT(TODAY(),"ddd")</f>
        <v>Sun</v>
      </c>
      <c r="C2547" s="1586">
        <v>30930</v>
      </c>
      <c r="D2547" s="1808">
        <f>C2547-C2529</f>
        <v>116</v>
      </c>
      <c r="E2547" s="1641">
        <f>(C2547-C2529)/C2529</f>
        <v>3.7645226195884987E-3</v>
      </c>
      <c r="F2547" s="3039"/>
      <c r="G2547" s="3040"/>
      <c r="H2547" s="3041"/>
      <c r="I2547" s="1602"/>
      <c r="J2547" s="1602"/>
      <c r="K2547" s="1188" t="s">
        <v>234</v>
      </c>
      <c r="L2547" s="1220" t="s">
        <v>34</v>
      </c>
      <c r="M2547" s="111" t="s">
        <v>35</v>
      </c>
      <c r="N2547" s="2995"/>
      <c r="O2547" s="2996"/>
      <c r="P2547" s="2996"/>
      <c r="Q2547" s="2996"/>
      <c r="R2547" s="2996"/>
      <c r="S2547" s="2996"/>
      <c r="T2547" s="2996"/>
      <c r="U2547" s="3044"/>
    </row>
    <row r="2548" spans="1:24" hidden="1" outlineLevel="1" x14ac:dyDescent="0.35">
      <c r="A2548" s="709" t="s">
        <v>36</v>
      </c>
      <c r="B2548" s="419"/>
      <c r="C2548" s="419">
        <v>13000</v>
      </c>
      <c r="D2548" s="1808">
        <f>C2548-C2530</f>
        <v>2</v>
      </c>
      <c r="E2548" s="1641">
        <f t="shared" ref="E2548:E2557" si="779">(C2548-C2530)/C2530</f>
        <v>1.5386982612709647E-4</v>
      </c>
      <c r="F2548" s="1744" t="s">
        <v>37</v>
      </c>
      <c r="G2548" s="1745" t="s">
        <v>38</v>
      </c>
      <c r="H2548" s="1746" t="s">
        <v>144</v>
      </c>
      <c r="I2548" s="1747" t="s">
        <v>441</v>
      </c>
      <c r="J2548" s="1748" t="s">
        <v>400</v>
      </c>
      <c r="K2548" s="3063" t="s">
        <v>42</v>
      </c>
      <c r="L2548" s="3064"/>
      <c r="M2548" s="3064"/>
      <c r="N2548" s="1830" t="s">
        <v>244</v>
      </c>
      <c r="Q2548" s="1831" t="s">
        <v>44</v>
      </c>
      <c r="R2548" s="1832" t="s">
        <v>45</v>
      </c>
      <c r="S2548" s="1832" t="s">
        <v>46</v>
      </c>
      <c r="T2548" s="1832" t="s">
        <v>47</v>
      </c>
      <c r="U2548" s="1833" t="s">
        <v>48</v>
      </c>
      <c r="W2548" s="1919" t="s">
        <v>446</v>
      </c>
    </row>
    <row r="2549" spans="1:24" hidden="1" outlineLevel="1" x14ac:dyDescent="0.35">
      <c r="A2549" s="7" t="s">
        <v>501</v>
      </c>
      <c r="B2549" s="1362">
        <v>2540</v>
      </c>
      <c r="C2549" s="1363">
        <v>18.13</v>
      </c>
      <c r="D2549" s="1363">
        <f>C2549*B2549</f>
        <v>46050.2</v>
      </c>
      <c r="E2549" s="1641">
        <f t="shared" si="779"/>
        <v>0.14457070707070702</v>
      </c>
      <c r="F2549" s="1506">
        <f>D2549/$D$2542</f>
        <v>0.1432264302917243</v>
      </c>
      <c r="G2549" s="1494"/>
      <c r="H2549" s="1824" t="s">
        <v>509</v>
      </c>
      <c r="I2549" s="1889"/>
      <c r="J2549" s="1889"/>
      <c r="K2549" s="3055" t="s">
        <v>526</v>
      </c>
      <c r="L2549" s="3055"/>
      <c r="M2549" s="3055"/>
      <c r="N2549" s="1489" t="str">
        <f>A2549</f>
        <v>FCEL</v>
      </c>
      <c r="O2549" s="3"/>
      <c r="P2549" s="3"/>
      <c r="Q2549" s="1345">
        <v>44216</v>
      </c>
      <c r="R2549" s="1529">
        <f>B2549*RIGHT(K2549,5)</f>
        <v>34417</v>
      </c>
      <c r="S2549" s="1510">
        <f>D2549</f>
        <v>46050.2</v>
      </c>
      <c r="T2549" s="1925">
        <f>S2549-R2549</f>
        <v>11633.199999999997</v>
      </c>
      <c r="U2549" s="1530">
        <f>(S2549-R2549)/R2549</f>
        <v>0.33800738007380066</v>
      </c>
      <c r="V2549" s="1926" t="str">
        <f>A2549</f>
        <v>FCEL</v>
      </c>
      <c r="W2549" s="1435">
        <f t="shared" ref="W2549:W2557" ca="1" si="780">Q2549-TODAY()</f>
        <v>-956</v>
      </c>
      <c r="X2549">
        <f t="shared" ref="X2549:X2557" ca="1" si="781">RANK(W2549,$W$2549:$W$2557,1)</f>
        <v>1</v>
      </c>
    </row>
    <row r="2550" spans="1:24" hidden="1" outlineLevel="1" x14ac:dyDescent="0.35">
      <c r="A2550" s="1084" t="s">
        <v>527</v>
      </c>
      <c r="B2550" s="1822">
        <v>700</v>
      </c>
      <c r="C2550" s="1823">
        <v>66.47</v>
      </c>
      <c r="D2550" s="1823">
        <f>C2550*B2550</f>
        <v>46529</v>
      </c>
      <c r="E2550" s="1641">
        <f t="shared" si="779"/>
        <v>0.1052544063851014</v>
      </c>
      <c r="F2550" s="1506">
        <f t="shared" ref="F2550:F2557" si="782">D2550/$D$2542</f>
        <v>0.14471560547063075</v>
      </c>
      <c r="G2550" s="1494"/>
      <c r="H2550" s="1824"/>
      <c r="I2550" s="1889"/>
      <c r="J2550" s="1889"/>
      <c r="K2550" s="3055" t="s">
        <v>528</v>
      </c>
      <c r="L2550" s="3055"/>
      <c r="M2550" s="3055"/>
      <c r="N2550" s="1489"/>
      <c r="O2550" s="3"/>
      <c r="P2550" s="3"/>
      <c r="Q2550" s="1345">
        <v>44263</v>
      </c>
      <c r="R2550" s="1529">
        <f>B2550*RIGHT(K2550,5)</f>
        <v>36162</v>
      </c>
      <c r="S2550" s="1510">
        <f>D2550</f>
        <v>46529</v>
      </c>
      <c r="T2550" s="1925">
        <f>S2550-R2550</f>
        <v>10367</v>
      </c>
      <c r="U2550" s="1530">
        <f>(S2550-R2550)/R2550</f>
        <v>0.28668215253581109</v>
      </c>
      <c r="V2550" s="1926" t="str">
        <f t="shared" ref="V2550:V2557" si="783">A2550</f>
        <v>PLUG</v>
      </c>
      <c r="W2550" s="1929">
        <f t="shared" ca="1" si="780"/>
        <v>-909</v>
      </c>
      <c r="X2550">
        <f t="shared" ca="1" si="781"/>
        <v>8</v>
      </c>
    </row>
    <row r="2551" spans="1:24" hidden="1" outlineLevel="1" x14ac:dyDescent="0.35">
      <c r="A2551" s="7" t="s">
        <v>504</v>
      </c>
      <c r="B2551" s="1362">
        <v>375</v>
      </c>
      <c r="C2551" s="1363">
        <v>61.55</v>
      </c>
      <c r="D2551" s="1363">
        <f>C2551*B2551</f>
        <v>23081.25</v>
      </c>
      <c r="E2551" s="1641">
        <f t="shared" si="779"/>
        <v>1.383627079558551E-2</v>
      </c>
      <c r="F2551" s="1917">
        <f t="shared" si="782"/>
        <v>7.1787854214984112E-2</v>
      </c>
      <c r="G2551" s="1494"/>
      <c r="H2551" s="1820"/>
      <c r="I2551" s="1889"/>
      <c r="J2551" s="1889"/>
      <c r="K2551" s="3055" t="s">
        <v>529</v>
      </c>
      <c r="L2551" s="3055"/>
      <c r="M2551" s="3055"/>
      <c r="N2551" s="1489" t="str">
        <f>A2551</f>
        <v>BEEM</v>
      </c>
      <c r="O2551" s="3"/>
      <c r="P2551" s="3"/>
      <c r="Q2551" s="1345">
        <v>44286</v>
      </c>
      <c r="R2551" s="1845">
        <f t="shared" ref="R2551" si="784">B2551*RIGHT(K2551,5)</f>
        <v>24206.25</v>
      </c>
      <c r="S2551" s="1834">
        <f>D2551</f>
        <v>23081.25</v>
      </c>
      <c r="T2551" s="1943">
        <f t="shared" ref="T2551" si="785">S2551-R2551</f>
        <v>-1125</v>
      </c>
      <c r="U2551" s="1944">
        <f t="shared" ref="U2551" si="786">(S2551-R2551)/R2551</f>
        <v>-4.6475600309837335E-2</v>
      </c>
      <c r="V2551" s="1926" t="str">
        <f t="shared" si="783"/>
        <v>BEEM</v>
      </c>
      <c r="W2551" s="1929">
        <f t="shared" ca="1" si="780"/>
        <v>-886</v>
      </c>
      <c r="X2551">
        <f t="shared" ca="1" si="781"/>
        <v>9</v>
      </c>
    </row>
    <row r="2552" spans="1:24" hidden="1" outlineLevel="1" x14ac:dyDescent="0.35">
      <c r="A2552" s="1084" t="s">
        <v>485</v>
      </c>
      <c r="B2552" s="1822">
        <v>350</v>
      </c>
      <c r="C2552" s="1823">
        <v>53.84</v>
      </c>
      <c r="D2552" s="1823">
        <f>C2552*B2552</f>
        <v>18844</v>
      </c>
      <c r="E2552" s="1641">
        <f t="shared" si="779"/>
        <v>0.12588874947720624</v>
      </c>
      <c r="F2552" s="1888">
        <f t="shared" si="782"/>
        <v>5.8609058210762441E-2</v>
      </c>
      <c r="G2552" s="1494"/>
      <c r="H2552" s="1902"/>
      <c r="I2552" s="1889">
        <v>31.01</v>
      </c>
      <c r="J2552" s="1889">
        <v>7.620000000000001</v>
      </c>
      <c r="K2552" s="3055" t="s">
        <v>514</v>
      </c>
      <c r="L2552" s="3055"/>
      <c r="M2552" s="3055"/>
      <c r="N2552" s="1489" t="str">
        <f>A2552</f>
        <v>XPEV</v>
      </c>
      <c r="O2552" s="3"/>
      <c r="P2552" s="3"/>
      <c r="Q2552" s="1345">
        <f>"11/12/2020"+90</f>
        <v>44237</v>
      </c>
      <c r="R2552" s="1529">
        <f>B2552*RIGHT(K2552,6)</f>
        <v>11430.999999999998</v>
      </c>
      <c r="S2552" s="1510">
        <f>D2552</f>
        <v>18844</v>
      </c>
      <c r="T2552" s="1899">
        <f>S2552-R2552</f>
        <v>7413.0000000000018</v>
      </c>
      <c r="U2552" s="1530">
        <f>(S2552-R2552)/R2552</f>
        <v>0.64849969381506456</v>
      </c>
      <c r="V2552" s="1926" t="str">
        <f t="shared" si="783"/>
        <v>XPEV</v>
      </c>
      <c r="W2552" s="1929">
        <f t="shared" ca="1" si="780"/>
        <v>-935</v>
      </c>
      <c r="X2552">
        <f t="shared" ca="1" si="781"/>
        <v>3</v>
      </c>
    </row>
    <row r="2553" spans="1:24" hidden="1" outlineLevel="1" x14ac:dyDescent="0.35">
      <c r="A2553" s="7" t="s">
        <v>483</v>
      </c>
      <c r="B2553" s="1362">
        <v>350</v>
      </c>
      <c r="C2553" s="1363">
        <v>35.44</v>
      </c>
      <c r="D2553" s="1363">
        <f t="shared" ref="D2553:D2556" si="787">C2553*B2553</f>
        <v>12404</v>
      </c>
      <c r="E2553" s="1641">
        <f t="shared" si="779"/>
        <v>8.71165644171778E-2</v>
      </c>
      <c r="F2553" s="1888">
        <f t="shared" si="782"/>
        <v>3.8579216623131893E-2</v>
      </c>
      <c r="G2553" s="1494"/>
      <c r="H2553" s="1902"/>
      <c r="I2553" s="1889">
        <v>23.18</v>
      </c>
      <c r="J2553" s="1889">
        <v>7.07</v>
      </c>
      <c r="K2553" s="3055" t="s">
        <v>515</v>
      </c>
      <c r="L2553" s="3055"/>
      <c r="M2553" s="3055"/>
      <c r="N2553" s="1489" t="str">
        <f t="shared" ref="N2553:N2554" si="788">A2553</f>
        <v>LI</v>
      </c>
      <c r="O2553" s="3"/>
      <c r="P2553" s="3"/>
      <c r="Q2553" s="1345">
        <f>"11/13/2020"+90</f>
        <v>44238</v>
      </c>
      <c r="R2553" s="1529">
        <f t="shared" ref="R2553:R2555" si="789">B2553*RIGHT(K2553,6)</f>
        <v>7931</v>
      </c>
      <c r="S2553" s="1510">
        <f t="shared" ref="S2553:S2555" si="790">D2553</f>
        <v>12404</v>
      </c>
      <c r="T2553" s="1899">
        <f t="shared" ref="T2553:T2555" si="791">S2553-R2553</f>
        <v>4473</v>
      </c>
      <c r="U2553" s="1530">
        <f t="shared" ref="U2553:U2555" si="792">(S2553-R2553)/R2553</f>
        <v>0.56398940864960279</v>
      </c>
      <c r="V2553" s="1926" t="str">
        <f t="shared" si="783"/>
        <v>LI</v>
      </c>
      <c r="W2553" s="1929">
        <f t="shared" ca="1" si="780"/>
        <v>-934</v>
      </c>
      <c r="X2553">
        <f t="shared" ca="1" si="781"/>
        <v>5</v>
      </c>
    </row>
    <row r="2554" spans="1:24" hidden="1" outlineLevel="1" x14ac:dyDescent="0.35">
      <c r="A2554" s="1084" t="s">
        <v>487</v>
      </c>
      <c r="B2554" s="1822">
        <v>350</v>
      </c>
      <c r="C2554" s="1823">
        <v>58.44</v>
      </c>
      <c r="D2554" s="1823">
        <f t="shared" si="787"/>
        <v>20454</v>
      </c>
      <c r="E2554" s="1641">
        <f t="shared" si="779"/>
        <v>3.8564066109827516E-2</v>
      </c>
      <c r="F2554" s="1888">
        <f t="shared" si="782"/>
        <v>6.3616518607670078E-2</v>
      </c>
      <c r="G2554" s="1494"/>
      <c r="H2554" s="1902"/>
      <c r="I2554" s="1889">
        <v>38.11</v>
      </c>
      <c r="J2554" s="1889">
        <v>3.5600000000000023</v>
      </c>
      <c r="K2554" s="3055" t="s">
        <v>488</v>
      </c>
      <c r="L2554" s="3055"/>
      <c r="M2554" s="3055"/>
      <c r="N2554" s="1489" t="str">
        <f t="shared" si="788"/>
        <v>NIO</v>
      </c>
      <c r="O2554" s="3"/>
      <c r="P2554" s="3"/>
      <c r="Q2554" s="1345">
        <f>"11/17/2020"+90</f>
        <v>44242</v>
      </c>
      <c r="R2554" s="1529">
        <f t="shared" si="789"/>
        <v>11630.499999999998</v>
      </c>
      <c r="S2554" s="1510">
        <f t="shared" si="790"/>
        <v>20454</v>
      </c>
      <c r="T2554" s="1899">
        <f t="shared" si="791"/>
        <v>8823.5000000000018</v>
      </c>
      <c r="U2554" s="1530">
        <f t="shared" si="792"/>
        <v>0.75865182064399661</v>
      </c>
      <c r="V2554" s="1926" t="str">
        <f t="shared" si="783"/>
        <v>NIO</v>
      </c>
      <c r="W2554" s="1929">
        <f t="shared" ca="1" si="780"/>
        <v>-930</v>
      </c>
      <c r="X2554">
        <f t="shared" ca="1" si="781"/>
        <v>7</v>
      </c>
    </row>
    <row r="2555" spans="1:24" hidden="1" outlineLevel="1" x14ac:dyDescent="0.35">
      <c r="A2555" s="7" t="s">
        <v>516</v>
      </c>
      <c r="B2555" s="1362">
        <v>325</v>
      </c>
      <c r="C2555" s="1363">
        <v>46.67</v>
      </c>
      <c r="D2555" s="1363">
        <f t="shared" si="787"/>
        <v>15167.75</v>
      </c>
      <c r="E2555" s="1924">
        <f t="shared" si="779"/>
        <v>-9.1295116772823724E-3</v>
      </c>
      <c r="F2555" s="1506">
        <f t="shared" si="782"/>
        <v>4.7175097785835916E-2</v>
      </c>
      <c r="G2555" s="1520"/>
      <c r="H2555" s="1903"/>
      <c r="I2555" s="1895"/>
      <c r="J2555" s="1896"/>
      <c r="K2555" s="3055" t="s">
        <v>521</v>
      </c>
      <c r="L2555" s="3055"/>
      <c r="M2555" s="3055"/>
      <c r="N2555" s="1673" t="str">
        <f>A2555</f>
        <v>BLNK</v>
      </c>
      <c r="Q2555" s="1912">
        <f>"11/12/2020"+90</f>
        <v>44237</v>
      </c>
      <c r="R2555" s="1913">
        <f t="shared" si="789"/>
        <v>12051</v>
      </c>
      <c r="S2555" s="1914">
        <f t="shared" si="790"/>
        <v>15167.75</v>
      </c>
      <c r="T2555" s="1914">
        <f t="shared" si="791"/>
        <v>3116.75</v>
      </c>
      <c r="U2555" s="1915">
        <f t="shared" si="792"/>
        <v>0.25862998921251351</v>
      </c>
      <c r="V2555" s="1926" t="str">
        <f t="shared" si="783"/>
        <v>BLNK</v>
      </c>
      <c r="W2555" s="1929">
        <f t="shared" ca="1" si="780"/>
        <v>-935</v>
      </c>
      <c r="X2555">
        <f t="shared" ca="1" si="781"/>
        <v>3</v>
      </c>
    </row>
    <row r="2556" spans="1:24" hidden="1" outlineLevel="1" x14ac:dyDescent="0.35">
      <c r="A2556" s="1084" t="s">
        <v>66</v>
      </c>
      <c r="B2556" s="1822">
        <v>180</v>
      </c>
      <c r="C2556" s="1823">
        <v>844.67</v>
      </c>
      <c r="D2556" s="1823">
        <f t="shared" si="787"/>
        <v>152040.6</v>
      </c>
      <c r="E2556" s="1641">
        <f t="shared" si="779"/>
        <v>2.2404861043865586E-2</v>
      </c>
      <c r="F2556" s="1917">
        <f t="shared" si="782"/>
        <v>0.47288030013793508</v>
      </c>
      <c r="G2556" s="1520"/>
      <c r="H2556" s="1903" t="s">
        <v>510</v>
      </c>
      <c r="I2556" s="1895"/>
      <c r="J2556" s="1896"/>
      <c r="K2556" s="3055" t="s">
        <v>511</v>
      </c>
      <c r="L2556" s="3055"/>
      <c r="M2556" s="3055"/>
      <c r="N2556" s="1489" t="str">
        <f>A2556</f>
        <v>TSLA</v>
      </c>
      <c r="O2556" s="3"/>
      <c r="P2556" s="3"/>
      <c r="Q2556" s="1345">
        <v>44223</v>
      </c>
      <c r="R2556" s="1529">
        <f>B2556*RIGHT(K2556,6)</f>
        <v>110458.79999999999</v>
      </c>
      <c r="S2556" s="1510">
        <f>D2556</f>
        <v>152040.6</v>
      </c>
      <c r="T2556" s="1510">
        <f>S2556-R2556</f>
        <v>41581.800000000017</v>
      </c>
      <c r="U2556" s="1530">
        <f>(S2556-R2556)/R2556</f>
        <v>0.37644624058925158</v>
      </c>
      <c r="V2556" s="1926" t="str">
        <f t="shared" si="783"/>
        <v>TSLA</v>
      </c>
      <c r="W2556" s="1678">
        <f t="shared" ca="1" si="780"/>
        <v>-949</v>
      </c>
      <c r="X2556">
        <f t="shared" ca="1" si="781"/>
        <v>2</v>
      </c>
    </row>
    <row r="2557" spans="1:24" hidden="1" outlineLevel="1" x14ac:dyDescent="0.35">
      <c r="A2557" s="7" t="s">
        <v>49</v>
      </c>
      <c r="B2557" s="1362">
        <v>0.124</v>
      </c>
      <c r="C2557" s="1363">
        <v>521.01</v>
      </c>
      <c r="D2557" s="1363">
        <f>C2557*B2557</f>
        <v>64.605239999999995</v>
      </c>
      <c r="E2557" s="1641">
        <f t="shared" si="779"/>
        <v>-3.2946024203727074E-2</v>
      </c>
      <c r="F2557" s="1917">
        <f t="shared" si="782"/>
        <v>2.0093675821907653E-4</v>
      </c>
      <c r="G2557" s="1494">
        <v>89</v>
      </c>
      <c r="H2557" s="1820" t="s">
        <v>468</v>
      </c>
      <c r="I2557" s="1889">
        <v>505.13</v>
      </c>
      <c r="J2557" s="1889">
        <v>20.610000000000014</v>
      </c>
      <c r="K2557" s="3055" t="s">
        <v>522</v>
      </c>
      <c r="L2557" s="3055"/>
      <c r="M2557" s="3055"/>
      <c r="N2557" s="1489" t="str">
        <f>A2557</f>
        <v>NVDA</v>
      </c>
      <c r="O2557" s="3"/>
      <c r="P2557" s="3"/>
      <c r="Q2557" s="1345">
        <v>44238</v>
      </c>
      <c r="R2557" s="1529">
        <f>B2557*RIGHT(K2557,6)</f>
        <v>64.301439999999999</v>
      </c>
      <c r="S2557" s="1510">
        <f>D2557</f>
        <v>64.605239999999995</v>
      </c>
      <c r="T2557" s="1510">
        <f>S2557-R2557</f>
        <v>0.30379999999999541</v>
      </c>
      <c r="U2557" s="1530">
        <f>(S2557-R2557)/R2557</f>
        <v>4.7246220302375099E-3</v>
      </c>
      <c r="V2557" s="1926" t="str">
        <f t="shared" si="783"/>
        <v>NVDA</v>
      </c>
      <c r="W2557" s="1929">
        <f t="shared" ca="1" si="780"/>
        <v>-934</v>
      </c>
      <c r="X2557">
        <f t="shared" ca="1" si="781"/>
        <v>5</v>
      </c>
    </row>
    <row r="2558" spans="1:24" ht="16" hidden="1" outlineLevel="1" thickBot="1" x14ac:dyDescent="0.4">
      <c r="A2558" s="1880" t="s">
        <v>7</v>
      </c>
      <c r="B2558" s="56"/>
      <c r="C2558" s="1881"/>
      <c r="D2558" s="1881">
        <v>2174.67</v>
      </c>
      <c r="E2558" s="1588"/>
      <c r="F2558" s="1486"/>
      <c r="G2558" s="1788"/>
      <c r="H2558" s="1789"/>
      <c r="I2558" s="1789"/>
      <c r="J2558" s="1216"/>
      <c r="K2558" s="1633"/>
      <c r="L2558" s="1634"/>
      <c r="M2558" s="1634"/>
      <c r="R2558" s="1691">
        <f>SUM(R2549:R2557)</f>
        <v>248351.85144</v>
      </c>
      <c r="S2558" s="1691">
        <f>SUM(S2549:S2557)</f>
        <v>334635.40524000005</v>
      </c>
      <c r="T2558" s="1691">
        <f>SUM(T2549:T2557)</f>
        <v>86283.553800000009</v>
      </c>
      <c r="U2558" s="1810">
        <f>AVERAGE(U2549:U2557)</f>
        <v>0.3543506341378268</v>
      </c>
    </row>
    <row r="2559" spans="1:24" ht="16" hidden="1" outlineLevel="1" thickBot="1" x14ac:dyDescent="0.4">
      <c r="A2559" s="1880" t="s">
        <v>60</v>
      </c>
      <c r="B2559" s="56"/>
      <c r="C2559" s="1881"/>
      <c r="D2559" s="1881">
        <v>2323.14</v>
      </c>
      <c r="E2559" s="1794"/>
      <c r="F2559" s="1486"/>
      <c r="G2559" s="1734"/>
      <c r="H2559" s="1723"/>
      <c r="I2559" s="1796"/>
      <c r="J2559" s="61">
        <f>SUM(J2558:J2558)</f>
        <v>0</v>
      </c>
      <c r="K2559" s="1468"/>
      <c r="L2559" s="1151"/>
      <c r="M2559" s="1151"/>
      <c r="S2559" s="1470" t="str">
        <f>IF(SUM(D2549:D2557)&lt;&gt;S2558,"Out of Balance","Balances")</f>
        <v>Balances</v>
      </c>
    </row>
    <row r="2560" spans="1:24" ht="19" hidden="1" outlineLevel="1" thickBot="1" x14ac:dyDescent="0.5">
      <c r="A2560" s="1797" t="s">
        <v>62</v>
      </c>
      <c r="B2560" s="1798"/>
      <c r="C2560" s="1868">
        <f>SUM(D2549:D2557,D2559)</f>
        <v>336958.54524000006</v>
      </c>
      <c r="D2560" s="1800">
        <f>SUM(D2549:D2559)</f>
        <v>339133.21524000005</v>
      </c>
      <c r="E2560" s="73">
        <f>D2560-D2542</f>
        <v>17612.949000000022</v>
      </c>
      <c r="F2560" s="1537">
        <f>(D2560-D2542)/D2542</f>
        <v>5.4780214031213727E-2</v>
      </c>
      <c r="G2560" s="72" t="s">
        <v>459</v>
      </c>
      <c r="H2560" s="1897">
        <f>E2560+E2542+E2526+E2509+E2492</f>
        <v>10517.902560000017</v>
      </c>
      <c r="I2560" s="1848"/>
      <c r="J2560" s="1849"/>
    </row>
    <row r="2561" spans="1:24" hidden="1" outlineLevel="1" x14ac:dyDescent="0.35">
      <c r="A2561" s="3071" t="s">
        <v>536</v>
      </c>
      <c r="B2561" s="3066"/>
      <c r="C2561" s="3066"/>
      <c r="D2561" s="3066"/>
      <c r="E2561" s="3066"/>
      <c r="F2561" s="3066"/>
      <c r="G2561" s="3066"/>
      <c r="H2561" s="3066"/>
      <c r="I2561" s="3066"/>
      <c r="J2561" s="3067"/>
      <c r="S2561" s="1952">
        <f>SUM(T2562:T2564)</f>
        <v>72558.000000000015</v>
      </c>
      <c r="T2561" s="1932" t="s">
        <v>531</v>
      </c>
      <c r="U2561" s="1953" t="s">
        <v>37</v>
      </c>
    </row>
    <row r="2562" spans="1:24" ht="16" hidden="1" outlineLevel="1" thickBot="1" x14ac:dyDescent="0.4">
      <c r="A2562" s="3068"/>
      <c r="B2562" s="3069"/>
      <c r="C2562" s="3069"/>
      <c r="D2562" s="3069"/>
      <c r="E2562" s="3069"/>
      <c r="F2562" s="3069"/>
      <c r="G2562" s="3069"/>
      <c r="H2562" s="3069"/>
      <c r="I2562" s="3069"/>
      <c r="J2562" s="3070"/>
      <c r="S2562" s="1934" t="s">
        <v>537</v>
      </c>
      <c r="T2562" s="1935">
        <f>SUM(T2567:T2568)</f>
        <v>23073.4</v>
      </c>
      <c r="U2562" s="1936">
        <f>T2562/$T$2574</f>
        <v>0.30133045150463456</v>
      </c>
    </row>
    <row r="2563" spans="1:24" hidden="1" outlineLevel="1" x14ac:dyDescent="0.35">
      <c r="S2563" s="1937" t="s">
        <v>533</v>
      </c>
      <c r="T2563" s="1938">
        <f>SUM(T2569:T2571)</f>
        <v>17108.000000000004</v>
      </c>
      <c r="U2563" s="1939">
        <f t="shared" ref="U2563:U2564" si="793">T2563/$T$2574</f>
        <v>0.22342443525190431</v>
      </c>
    </row>
    <row r="2564" spans="1:24" ht="16" hidden="1" outlineLevel="1" thickBot="1" x14ac:dyDescent="0.4">
      <c r="A2564" s="1619" t="s">
        <v>25</v>
      </c>
      <c r="B2564" s="1620" t="s">
        <v>26</v>
      </c>
      <c r="C2564" s="1621" t="s">
        <v>27</v>
      </c>
      <c r="D2564" s="1622">
        <f>D2546+7</f>
        <v>44225</v>
      </c>
      <c r="E2564" s="1623" t="s">
        <v>28</v>
      </c>
      <c r="F2564" s="3036" t="s">
        <v>29</v>
      </c>
      <c r="G2564" s="3037"/>
      <c r="H2564" s="3038"/>
      <c r="I2564" s="1727"/>
      <c r="J2564" s="1182"/>
      <c r="K2564" s="1183" t="s">
        <v>233</v>
      </c>
      <c r="O2564" s="3072" t="s">
        <v>31</v>
      </c>
      <c r="P2564" s="3073"/>
      <c r="S2564" s="1940" t="s">
        <v>534</v>
      </c>
      <c r="T2564" s="1941">
        <f>T2573</f>
        <v>32376.600000000006</v>
      </c>
      <c r="U2564" s="1942">
        <f t="shared" si="793"/>
        <v>0.42282695641669421</v>
      </c>
      <c r="V2564" s="247"/>
    </row>
    <row r="2565" spans="1:24" ht="16" hidden="1" outlineLevel="1" thickBot="1" x14ac:dyDescent="0.4">
      <c r="A2565" s="1584" t="s">
        <v>32</v>
      </c>
      <c r="B2565" s="1585" t="str">
        <f ca="1">TEXT(TODAY(),"ddd")</f>
        <v>Sun</v>
      </c>
      <c r="C2565" s="1586">
        <v>30303</v>
      </c>
      <c r="D2565" s="1808">
        <f>C2565-C2547</f>
        <v>-627</v>
      </c>
      <c r="E2565" s="1641">
        <f>(C2565-C2547)/C2547</f>
        <v>-2.0271580989330747E-2</v>
      </c>
      <c r="F2565" s="3039"/>
      <c r="G2565" s="3040"/>
      <c r="H2565" s="3041"/>
      <c r="I2565" s="1602"/>
      <c r="J2565" s="1602"/>
      <c r="K2565" s="1188" t="s">
        <v>234</v>
      </c>
      <c r="L2565" s="1220" t="s">
        <v>34</v>
      </c>
      <c r="M2565" s="111" t="s">
        <v>35</v>
      </c>
      <c r="N2565" s="2995"/>
      <c r="O2565" s="2996"/>
      <c r="P2565" s="2996"/>
      <c r="Q2565" s="2996"/>
      <c r="R2565" s="2996"/>
      <c r="S2565" s="2996"/>
      <c r="T2565" s="2996"/>
      <c r="U2565" s="3074"/>
    </row>
    <row r="2566" spans="1:24" hidden="1" outlineLevel="1" x14ac:dyDescent="0.35">
      <c r="A2566" s="709" t="s">
        <v>36</v>
      </c>
      <c r="B2566" s="419"/>
      <c r="C2566" s="419">
        <v>13272</v>
      </c>
      <c r="D2566" s="1808">
        <f>C2566-C2548</f>
        <v>272</v>
      </c>
      <c r="E2566" s="1641">
        <f>(C2566-C2548)/C2548</f>
        <v>2.0923076923076923E-2</v>
      </c>
      <c r="F2566" s="1744" t="s">
        <v>37</v>
      </c>
      <c r="G2566" s="1745" t="s">
        <v>38</v>
      </c>
      <c r="H2566" s="1746" t="s">
        <v>144</v>
      </c>
      <c r="I2566" s="1747" t="s">
        <v>441</v>
      </c>
      <c r="J2566" s="1748" t="s">
        <v>400</v>
      </c>
      <c r="K2566" s="3063" t="s">
        <v>42</v>
      </c>
      <c r="L2566" s="3064"/>
      <c r="M2566" s="3064"/>
      <c r="N2566" s="1830" t="s">
        <v>244</v>
      </c>
      <c r="Q2566" s="1831" t="s">
        <v>44</v>
      </c>
      <c r="R2566" s="1832" t="s">
        <v>45</v>
      </c>
      <c r="S2566" s="1832" t="s">
        <v>46</v>
      </c>
      <c r="T2566" s="1832" t="s">
        <v>47</v>
      </c>
      <c r="U2566" s="1833" t="s">
        <v>48</v>
      </c>
      <c r="W2566" s="1919" t="s">
        <v>446</v>
      </c>
    </row>
    <row r="2567" spans="1:24" hidden="1" outlineLevel="1" x14ac:dyDescent="0.35">
      <c r="A2567" s="7" t="s">
        <v>501</v>
      </c>
      <c r="B2567" s="1362">
        <v>2540</v>
      </c>
      <c r="C2567" s="1363">
        <v>20.76</v>
      </c>
      <c r="D2567" s="1363">
        <f>C2567*B2567</f>
        <v>52730.400000000001</v>
      </c>
      <c r="E2567" s="1641">
        <f t="shared" ref="E2567:E2568" si="794">(C2567-C2549)/C2549</f>
        <v>0.14506343077771663</v>
      </c>
      <c r="F2567" s="1506">
        <f>D2567/$D$2542</f>
        <v>0.16400334764788729</v>
      </c>
      <c r="G2567" s="1494"/>
      <c r="H2567" s="1824" t="s">
        <v>509</v>
      </c>
      <c r="I2567" s="1889"/>
      <c r="J2567" s="1889"/>
      <c r="K2567" s="3055" t="s">
        <v>526</v>
      </c>
      <c r="L2567" s="3055"/>
      <c r="M2567" s="3055"/>
      <c r="N2567" s="1489" t="str">
        <f>A2567</f>
        <v>FCEL</v>
      </c>
      <c r="O2567" s="3"/>
      <c r="P2567" s="3"/>
      <c r="Q2567" s="1345">
        <f>"1/20/2021"+90</f>
        <v>44306</v>
      </c>
      <c r="R2567" s="1529">
        <f>B2567*RIGHT(K2567,5)</f>
        <v>34417</v>
      </c>
      <c r="S2567" s="1510">
        <f>D2567</f>
        <v>52730.400000000001</v>
      </c>
      <c r="T2567" s="1925">
        <f>S2567-R2567</f>
        <v>18313.400000000001</v>
      </c>
      <c r="U2567" s="1530">
        <f>(S2567-R2567)/R2567</f>
        <v>0.53210332103321034</v>
      </c>
      <c r="V2567" s="1926" t="str">
        <f>A2567</f>
        <v>FCEL</v>
      </c>
      <c r="W2567" s="1954">
        <f t="shared" ref="W2567:W2573" ca="1" si="795">Q2567-TODAY()</f>
        <v>-866</v>
      </c>
      <c r="X2567" t="s">
        <v>538</v>
      </c>
    </row>
    <row r="2568" spans="1:24" hidden="1" outlineLevel="1" x14ac:dyDescent="0.35">
      <c r="A2568" s="1084" t="s">
        <v>527</v>
      </c>
      <c r="B2568" s="1822">
        <v>1000</v>
      </c>
      <c r="C2568" s="1823">
        <v>63.17</v>
      </c>
      <c r="D2568" s="1823">
        <f>C2568*B2568</f>
        <v>63170</v>
      </c>
      <c r="E2568" s="1955">
        <f t="shared" si="794"/>
        <v>-4.9646457048292424E-2</v>
      </c>
      <c r="F2568" s="1956">
        <f t="shared" ref="F2568:F2573" si="796">D2568/$D$2542</f>
        <v>0.19647284054202205</v>
      </c>
      <c r="G2568" s="1494"/>
      <c r="H2568" s="1824"/>
      <c r="I2568" s="1889"/>
      <c r="J2568" s="1889"/>
      <c r="K2568" s="3055" t="s">
        <v>539</v>
      </c>
      <c r="L2568" s="3055"/>
      <c r="M2568" s="3055"/>
      <c r="N2568" s="1489"/>
      <c r="O2568" s="3"/>
      <c r="P2568" s="3"/>
      <c r="Q2568" s="1345">
        <v>44263</v>
      </c>
      <c r="R2568" s="1529">
        <f>B2568*RIGHT(K2568,5)</f>
        <v>58410</v>
      </c>
      <c r="S2568" s="1510">
        <f>D2568</f>
        <v>63170</v>
      </c>
      <c r="T2568" s="1925">
        <f>S2568-R2568</f>
        <v>4760</v>
      </c>
      <c r="U2568" s="1530">
        <f>(S2568-R2568)/R2568</f>
        <v>8.1492895052217088E-2</v>
      </c>
      <c r="V2568" s="1926" t="str">
        <f t="shared" ref="V2568:V2573" si="797">A2568</f>
        <v>PLUG</v>
      </c>
      <c r="W2568" s="1435">
        <f t="shared" ca="1" si="795"/>
        <v>-909</v>
      </c>
      <c r="X2568">
        <f ca="1">RANK(W2568,$W$2568:$W$2572,1)</f>
        <v>5</v>
      </c>
    </row>
    <row r="2569" spans="1:24" hidden="1" outlineLevel="1" x14ac:dyDescent="0.35">
      <c r="A2569" s="7" t="s">
        <v>485</v>
      </c>
      <c r="B2569" s="1362">
        <v>350</v>
      </c>
      <c r="C2569" s="1363">
        <v>48.18</v>
      </c>
      <c r="D2569" s="1363">
        <f>C2569*B2569</f>
        <v>16863</v>
      </c>
      <c r="E2569" s="1955">
        <f>(C2569-C2552)/C2552</f>
        <v>-0.10512630014858847</v>
      </c>
      <c r="F2569" s="1956">
        <f t="shared" si="796"/>
        <v>5.2447704765871739E-2</v>
      </c>
      <c r="G2569" s="1494"/>
      <c r="H2569" s="1902"/>
      <c r="I2569" s="1889"/>
      <c r="J2569" s="1889"/>
      <c r="K2569" s="3055" t="s">
        <v>514</v>
      </c>
      <c r="L2569" s="3055"/>
      <c r="M2569" s="3055"/>
      <c r="N2569" s="1489" t="str">
        <f>A2569</f>
        <v>XPEV</v>
      </c>
      <c r="O2569" s="3"/>
      <c r="P2569" s="3"/>
      <c r="Q2569" s="1345">
        <f>"11/12/2020"+90</f>
        <v>44237</v>
      </c>
      <c r="R2569" s="1529">
        <f>B2569*RIGHT(K2569,6)</f>
        <v>11430.999999999998</v>
      </c>
      <c r="S2569" s="1510">
        <f>D2569</f>
        <v>16863</v>
      </c>
      <c r="T2569" s="1899">
        <f>S2569-R2569</f>
        <v>5432.0000000000018</v>
      </c>
      <c r="U2569" s="1530">
        <f>(S2569-R2569)/R2569</f>
        <v>0.47519902020820598</v>
      </c>
      <c r="V2569" s="1926" t="str">
        <f t="shared" si="797"/>
        <v>XPEV</v>
      </c>
      <c r="W2569" s="1957">
        <f t="shared" ca="1" si="795"/>
        <v>-935</v>
      </c>
      <c r="X2569">
        <f ca="1">RANK(W2569,$W$2568:$W$2572,1)</f>
        <v>1</v>
      </c>
    </row>
    <row r="2570" spans="1:24" hidden="1" outlineLevel="1" x14ac:dyDescent="0.35">
      <c r="A2570" s="1084" t="s">
        <v>483</v>
      </c>
      <c r="B2570" s="1822">
        <v>350</v>
      </c>
      <c r="C2570" s="1823">
        <v>32.25</v>
      </c>
      <c r="D2570" s="1823">
        <f t="shared" ref="D2570:D2573" si="798">C2570*B2570</f>
        <v>11287.5</v>
      </c>
      <c r="E2570" s="1955">
        <f>(C2570-C2553)/C2553</f>
        <v>-9.0011286681715513E-2</v>
      </c>
      <c r="F2570" s="1956">
        <f t="shared" si="796"/>
        <v>3.5106651695711158E-2</v>
      </c>
      <c r="G2570" s="1494"/>
      <c r="H2570" s="1902"/>
      <c r="I2570" s="1889"/>
      <c r="J2570" s="1889"/>
      <c r="K2570" s="3055" t="s">
        <v>515</v>
      </c>
      <c r="L2570" s="3055"/>
      <c r="M2570" s="3055"/>
      <c r="N2570" s="1489" t="str">
        <f t="shared" ref="N2570:N2571" si="799">A2570</f>
        <v>LI</v>
      </c>
      <c r="O2570" s="3"/>
      <c r="P2570" s="3"/>
      <c r="Q2570" s="1345">
        <f>"11/13/2020"+90</f>
        <v>44238</v>
      </c>
      <c r="R2570" s="1529">
        <f t="shared" ref="R2570:R2572" si="800">B2570*RIGHT(K2570,6)</f>
        <v>7931</v>
      </c>
      <c r="S2570" s="1510">
        <f t="shared" ref="S2570:S2572" si="801">D2570</f>
        <v>11287.5</v>
      </c>
      <c r="T2570" s="1899">
        <f t="shared" ref="T2570:T2572" si="802">S2570-R2570</f>
        <v>3356.5</v>
      </c>
      <c r="U2570" s="1530">
        <f t="shared" ref="U2570:U2572" si="803">(S2570-R2570)/R2570</f>
        <v>0.42321270962047663</v>
      </c>
      <c r="V2570" s="1926" t="str">
        <f t="shared" si="797"/>
        <v>LI</v>
      </c>
      <c r="W2570" s="1957">
        <f t="shared" ca="1" si="795"/>
        <v>-934</v>
      </c>
      <c r="X2570">
        <f ca="1">RANK(W2570,$W$2568:$W$2572,1)</f>
        <v>3</v>
      </c>
    </row>
    <row r="2571" spans="1:24" hidden="1" outlineLevel="1" x14ac:dyDescent="0.35">
      <c r="A2571" s="7" t="s">
        <v>487</v>
      </c>
      <c r="B2571" s="1362">
        <v>350</v>
      </c>
      <c r="C2571" s="1363">
        <v>57</v>
      </c>
      <c r="D2571" s="1363">
        <f t="shared" si="798"/>
        <v>19950</v>
      </c>
      <c r="E2571" s="1955">
        <f>(C2571-C2554)/C2554</f>
        <v>-2.4640657084188874E-2</v>
      </c>
      <c r="F2571" s="1956">
        <f t="shared" si="796"/>
        <v>6.2048965787768556E-2</v>
      </c>
      <c r="G2571" s="1494"/>
      <c r="H2571" s="1902"/>
      <c r="I2571" s="1889"/>
      <c r="J2571" s="1889"/>
      <c r="K2571" s="3055" t="s">
        <v>488</v>
      </c>
      <c r="L2571" s="3055"/>
      <c r="M2571" s="3055"/>
      <c r="N2571" s="1489" t="str">
        <f t="shared" si="799"/>
        <v>NIO</v>
      </c>
      <c r="O2571" s="3"/>
      <c r="P2571" s="3"/>
      <c r="Q2571" s="1345">
        <f>"11/17/2020"+90</f>
        <v>44242</v>
      </c>
      <c r="R2571" s="1529">
        <f t="shared" si="800"/>
        <v>11630.499999999998</v>
      </c>
      <c r="S2571" s="1510">
        <f t="shared" si="801"/>
        <v>19950</v>
      </c>
      <c r="T2571" s="1899">
        <f t="shared" si="802"/>
        <v>8319.5000000000018</v>
      </c>
      <c r="U2571" s="1530">
        <f t="shared" si="803"/>
        <v>0.71531748420102348</v>
      </c>
      <c r="V2571" s="1926" t="str">
        <f t="shared" si="797"/>
        <v>NIO</v>
      </c>
      <c r="W2571" s="1435">
        <f t="shared" ca="1" si="795"/>
        <v>-930</v>
      </c>
      <c r="X2571">
        <f ca="1">RANK(W2571,$W$2568:$W$2572,1)</f>
        <v>4</v>
      </c>
    </row>
    <row r="2572" spans="1:24" hidden="1" outlineLevel="1" x14ac:dyDescent="0.35">
      <c r="A2572" s="1084" t="s">
        <v>516</v>
      </c>
      <c r="B2572" s="1822">
        <v>325</v>
      </c>
      <c r="C2572" s="1823">
        <v>49.43</v>
      </c>
      <c r="D2572" s="1823">
        <f t="shared" si="798"/>
        <v>16064.75</v>
      </c>
      <c r="E2572" s="1924">
        <f>(C2572-C2555)/C2555</f>
        <v>5.9138632954788897E-2</v>
      </c>
      <c r="F2572" s="1506">
        <f t="shared" si="796"/>
        <v>4.9964968578398744E-2</v>
      </c>
      <c r="G2572" s="1520"/>
      <c r="H2572" s="1903"/>
      <c r="I2572" s="1895"/>
      <c r="J2572" s="1896"/>
      <c r="K2572" s="3055" t="s">
        <v>521</v>
      </c>
      <c r="L2572" s="3055"/>
      <c r="M2572" s="3055"/>
      <c r="N2572" s="1673" t="str">
        <f>A2572</f>
        <v>BLNK</v>
      </c>
      <c r="Q2572" s="1912">
        <f>"11/12/2020"+90</f>
        <v>44237</v>
      </c>
      <c r="R2572" s="1913">
        <f t="shared" si="800"/>
        <v>12051</v>
      </c>
      <c r="S2572" s="1914">
        <f t="shared" si="801"/>
        <v>16064.75</v>
      </c>
      <c r="T2572" s="1914">
        <f t="shared" si="802"/>
        <v>4013.75</v>
      </c>
      <c r="U2572" s="1915">
        <f t="shared" si="803"/>
        <v>0.33306364617044226</v>
      </c>
      <c r="V2572" s="1926" t="str">
        <f t="shared" si="797"/>
        <v>BLNK</v>
      </c>
      <c r="W2572" s="1957">
        <f t="shared" ca="1" si="795"/>
        <v>-935</v>
      </c>
      <c r="X2572">
        <f ca="1">RANK(W2572,$W$2568:$W$2572,1)</f>
        <v>1</v>
      </c>
    </row>
    <row r="2573" spans="1:24" hidden="1" outlineLevel="1" x14ac:dyDescent="0.35">
      <c r="A2573" s="7" t="s">
        <v>66</v>
      </c>
      <c r="B2573" s="1362">
        <v>180</v>
      </c>
      <c r="C2573" s="1363">
        <v>793.53</v>
      </c>
      <c r="D2573" s="1363">
        <f t="shared" si="798"/>
        <v>142835.4</v>
      </c>
      <c r="E2573" s="1641">
        <f>(C2573-C2556)/C2556</f>
        <v>-6.0544354600021298E-2</v>
      </c>
      <c r="F2573" s="1917">
        <f t="shared" si="796"/>
        <v>0.44425006756301938</v>
      </c>
      <c r="G2573" s="1520"/>
      <c r="H2573" s="1903" t="s">
        <v>510</v>
      </c>
      <c r="I2573" s="1895"/>
      <c r="J2573" s="1896"/>
      <c r="K2573" s="3055" t="s">
        <v>511</v>
      </c>
      <c r="L2573" s="3055"/>
      <c r="M2573" s="3055"/>
      <c r="N2573" s="1489" t="str">
        <f>A2573</f>
        <v>TSLA</v>
      </c>
      <c r="O2573" s="3"/>
      <c r="P2573" s="3"/>
      <c r="Q2573" s="1345">
        <f>"1/27/2021"+90</f>
        <v>44313</v>
      </c>
      <c r="R2573" s="1529">
        <f>B2573*RIGHT(K2573,6)</f>
        <v>110458.79999999999</v>
      </c>
      <c r="S2573" s="1510">
        <f>D2573</f>
        <v>142835.4</v>
      </c>
      <c r="T2573" s="1510">
        <f>S2573-R2573</f>
        <v>32376.600000000006</v>
      </c>
      <c r="U2573" s="1530">
        <f>(S2573-R2573)/R2573</f>
        <v>0.29311019131114957</v>
      </c>
      <c r="V2573" s="1926" t="str">
        <f t="shared" si="797"/>
        <v>TSLA</v>
      </c>
      <c r="W2573" s="1954">
        <f t="shared" ca="1" si="795"/>
        <v>-859</v>
      </c>
      <c r="X2573" t="s">
        <v>540</v>
      </c>
    </row>
    <row r="2574" spans="1:24" ht="16" hidden="1" outlineLevel="1" thickBot="1" x14ac:dyDescent="0.4">
      <c r="A2574" s="1880" t="s">
        <v>7</v>
      </c>
      <c r="B2574" s="56"/>
      <c r="C2574" s="1881"/>
      <c r="D2574" s="1881">
        <v>2154.8200000000002</v>
      </c>
      <c r="E2574" s="1588"/>
      <c r="F2574" s="1486"/>
      <c r="G2574" s="1788"/>
      <c r="H2574" s="1789"/>
      <c r="I2574" s="1789"/>
      <c r="J2574" s="1216"/>
      <c r="K2574" s="1633"/>
      <c r="L2574" s="1634"/>
      <c r="M2574" s="1634"/>
      <c r="R2574" s="1691">
        <f>SUM(R2567:R2573)</f>
        <v>246329.3</v>
      </c>
      <c r="S2574" s="1691">
        <f>SUM(S2567:S2573)</f>
        <v>322901.05</v>
      </c>
      <c r="T2574" s="1691">
        <f>SUM(T2567:T2573)</f>
        <v>76571.75</v>
      </c>
      <c r="U2574" s="1810">
        <f>AVERAGE(U2567:U2573)</f>
        <v>0.40764275251381793</v>
      </c>
    </row>
    <row r="2575" spans="1:24" ht="16" hidden="1" outlineLevel="1" thickBot="1" x14ac:dyDescent="0.4">
      <c r="A2575" s="1880" t="s">
        <v>60</v>
      </c>
      <c r="B2575" s="56"/>
      <c r="C2575" s="1881"/>
      <c r="D2575" s="1881">
        <v>9235.52</v>
      </c>
      <c r="E2575" s="1794"/>
      <c r="F2575" s="1486"/>
      <c r="G2575" s="1734"/>
      <c r="H2575" s="1723"/>
      <c r="I2575" s="1796"/>
      <c r="J2575" s="61">
        <f>SUM(J2574:J2574)</f>
        <v>0</v>
      </c>
      <c r="K2575" s="1468"/>
      <c r="L2575" s="1151"/>
      <c r="M2575" s="1151"/>
      <c r="S2575" s="1470" t="str">
        <f>IF(SUM(D2567:D2573)&lt;&gt;S2574,"Out of Balance","Balances")</f>
        <v>Balances</v>
      </c>
    </row>
    <row r="2576" spans="1:24" ht="19" hidden="1" outlineLevel="1" thickBot="1" x14ac:dyDescent="0.5">
      <c r="A2576" s="1797" t="s">
        <v>62</v>
      </c>
      <c r="B2576" s="1798"/>
      <c r="C2576" s="1868">
        <f>SUM(D2567:D2573,D2575)</f>
        <v>332136.57</v>
      </c>
      <c r="D2576" s="1800">
        <f>SUM(D2567:D2575)</f>
        <v>334291.39</v>
      </c>
      <c r="E2576" s="73">
        <f>D2576-D2560-14000</f>
        <v>-18841.825240000035</v>
      </c>
      <c r="F2576" s="1537">
        <f>(D2576-D2560)/D2560</f>
        <v>-1.4277059935204341E-2</v>
      </c>
      <c r="G2576" s="72" t="s">
        <v>63</v>
      </c>
      <c r="H2576" s="1897">
        <f>E2576+E2560+E2542+E2524+E2506</f>
        <v>36947.590000000026</v>
      </c>
      <c r="I2576" s="1848"/>
      <c r="J2576" s="1849"/>
    </row>
    <row r="2577" spans="1:23" hidden="1" outlineLevel="1" x14ac:dyDescent="0.35">
      <c r="A2577" s="3071" t="s">
        <v>541</v>
      </c>
      <c r="B2577" s="3066"/>
      <c r="C2577" s="3066"/>
      <c r="D2577" s="3066"/>
      <c r="E2577" s="3066"/>
      <c r="F2577" s="3066"/>
      <c r="G2577" s="3066"/>
      <c r="H2577" s="3066"/>
      <c r="I2577" s="3066"/>
      <c r="J2577" s="3067"/>
      <c r="S2577" s="1952">
        <f>SUM(T2578:T2580)</f>
        <v>92549.900000000009</v>
      </c>
      <c r="T2577" s="1932" t="s">
        <v>531</v>
      </c>
      <c r="U2577" s="1953" t="s">
        <v>37</v>
      </c>
    </row>
    <row r="2578" spans="1:23" ht="16" hidden="1" outlineLevel="1" thickBot="1" x14ac:dyDescent="0.4">
      <c r="A2578" s="3068"/>
      <c r="B2578" s="3069"/>
      <c r="C2578" s="3069"/>
      <c r="D2578" s="3069"/>
      <c r="E2578" s="3069"/>
      <c r="F2578" s="3069"/>
      <c r="G2578" s="3069"/>
      <c r="H2578" s="3069"/>
      <c r="I2578" s="3069"/>
      <c r="J2578" s="3070"/>
      <c r="S2578" s="1934" t="s">
        <v>537</v>
      </c>
      <c r="T2578" s="1935">
        <f>SUM(T2583:T2584)</f>
        <v>33699.800000000003</v>
      </c>
      <c r="U2578" s="1936">
        <f>T2578/$T$2590</f>
        <v>0.34444613091177068</v>
      </c>
    </row>
    <row r="2579" spans="1:23" hidden="1" outlineLevel="1" x14ac:dyDescent="0.35">
      <c r="E2579" s="1958">
        <v>31139.754759999982</v>
      </c>
      <c r="S2579" s="1937" t="s">
        <v>533</v>
      </c>
      <c r="T2579" s="1938">
        <f>SUM(T2585:T2587)</f>
        <v>15907.500000000004</v>
      </c>
      <c r="U2579" s="1939">
        <f>T2579/$T$2590</f>
        <v>0.16259078176959485</v>
      </c>
    </row>
    <row r="2580" spans="1:23" ht="16" hidden="1" outlineLevel="1" thickBot="1" x14ac:dyDescent="0.4">
      <c r="A2580" s="1959" t="s">
        <v>25</v>
      </c>
      <c r="B2580" s="1960" t="s">
        <v>26</v>
      </c>
      <c r="C2580" s="1961" t="s">
        <v>27</v>
      </c>
      <c r="D2580" s="1640">
        <f>D2564+7</f>
        <v>44232</v>
      </c>
      <c r="E2580" s="1962" t="s">
        <v>28</v>
      </c>
      <c r="F2580" s="3036" t="s">
        <v>29</v>
      </c>
      <c r="G2580" s="3037"/>
      <c r="H2580" s="3038"/>
      <c r="I2580" s="1727"/>
      <c r="J2580" s="1182"/>
      <c r="K2580" s="1183" t="s">
        <v>233</v>
      </c>
      <c r="O2580" s="3072" t="s">
        <v>31</v>
      </c>
      <c r="P2580" s="3073"/>
      <c r="S2580" s="1940" t="s">
        <v>534</v>
      </c>
      <c r="T2580" s="1941">
        <f>T2589</f>
        <v>42942.600000000006</v>
      </c>
      <c r="U2580" s="1942">
        <f>T2580/$T$2590</f>
        <v>0.43891692002005367</v>
      </c>
      <c r="V2580" s="247"/>
    </row>
    <row r="2581" spans="1:23" ht="16" hidden="1" outlineLevel="1" thickBot="1" x14ac:dyDescent="0.4">
      <c r="A2581" s="1584" t="s">
        <v>32</v>
      </c>
      <c r="B2581" s="1585" t="str">
        <f ca="1">TEXT(TODAY(),"ddd")</f>
        <v>Sun</v>
      </c>
      <c r="C2581" s="1586">
        <v>31148</v>
      </c>
      <c r="D2581" s="1808">
        <f>C2581-C2565</f>
        <v>845</v>
      </c>
      <c r="E2581" s="1641">
        <f t="shared" ref="E2581:E2589" si="804">(C2581-C2565)/C2565</f>
        <v>2.7885027885027884E-2</v>
      </c>
      <c r="F2581" s="3039"/>
      <c r="G2581" s="3040"/>
      <c r="H2581" s="3041"/>
      <c r="I2581" s="1602"/>
      <c r="J2581" s="1602"/>
      <c r="K2581" s="1188" t="s">
        <v>234</v>
      </c>
      <c r="L2581" s="1220" t="s">
        <v>34</v>
      </c>
      <c r="M2581" s="111" t="s">
        <v>35</v>
      </c>
      <c r="N2581" s="2995"/>
      <c r="O2581" s="2996"/>
      <c r="P2581" s="2996"/>
      <c r="Q2581" s="2996"/>
      <c r="R2581" s="2996"/>
      <c r="S2581" s="2996"/>
      <c r="T2581" s="2996"/>
      <c r="U2581" s="3074"/>
    </row>
    <row r="2582" spans="1:23" hidden="1" outlineLevel="1" x14ac:dyDescent="0.35">
      <c r="A2582" s="709" t="s">
        <v>36</v>
      </c>
      <c r="B2582" s="419"/>
      <c r="C2582" s="419">
        <v>13856</v>
      </c>
      <c r="D2582" s="1808">
        <f>C2582-C2566</f>
        <v>584</v>
      </c>
      <c r="E2582" s="1641">
        <f t="shared" si="804"/>
        <v>4.4002411091018684E-2</v>
      </c>
      <c r="F2582" s="1744" t="s">
        <v>542</v>
      </c>
      <c r="G2582" s="1745" t="s">
        <v>38</v>
      </c>
      <c r="H2582" s="1746" t="s">
        <v>144</v>
      </c>
      <c r="I2582" s="1747" t="s">
        <v>441</v>
      </c>
      <c r="J2582" s="1748" t="s">
        <v>400</v>
      </c>
      <c r="K2582" s="3063" t="s">
        <v>42</v>
      </c>
      <c r="L2582" s="3064"/>
      <c r="M2582" s="3064"/>
      <c r="N2582" s="1830" t="s">
        <v>244</v>
      </c>
      <c r="Q2582" s="1831" t="s">
        <v>44</v>
      </c>
      <c r="R2582" s="1832" t="s">
        <v>45</v>
      </c>
      <c r="S2582" s="1832" t="s">
        <v>46</v>
      </c>
      <c r="T2582" s="1832" t="s">
        <v>47</v>
      </c>
      <c r="U2582" s="1833" t="s">
        <v>48</v>
      </c>
      <c r="W2582" s="1919" t="s">
        <v>446</v>
      </c>
    </row>
    <row r="2583" spans="1:23" hidden="1" outlineLevel="1" x14ac:dyDescent="0.35">
      <c r="A2583" s="7" t="s">
        <v>501</v>
      </c>
      <c r="B2583" s="1362">
        <v>2540</v>
      </c>
      <c r="C2583" s="1363">
        <v>23.92</v>
      </c>
      <c r="D2583" s="1363">
        <f>C2583*B2583</f>
        <v>60756.800000000003</v>
      </c>
      <c r="E2583" s="1641">
        <f t="shared" si="804"/>
        <v>0.15221579961464354</v>
      </c>
      <c r="F2583" s="1963">
        <f>D2583-D2567</f>
        <v>8026.4000000000015</v>
      </c>
      <c r="G2583" s="1494"/>
      <c r="H2583" s="1824" t="s">
        <v>509</v>
      </c>
      <c r="I2583" s="1889"/>
      <c r="J2583" s="1889"/>
      <c r="K2583" s="3055" t="s">
        <v>526</v>
      </c>
      <c r="L2583" s="3055"/>
      <c r="M2583" s="3055"/>
      <c r="N2583" s="1489" t="str">
        <f>A2583</f>
        <v>FCEL</v>
      </c>
      <c r="O2583" s="3"/>
      <c r="P2583" s="3"/>
      <c r="Q2583" s="1345">
        <v>44216</v>
      </c>
      <c r="R2583" s="1529">
        <f>B2583*RIGHT(K2583,5)</f>
        <v>34417</v>
      </c>
      <c r="S2583" s="1510">
        <f>D2583</f>
        <v>60756.800000000003</v>
      </c>
      <c r="T2583" s="1925">
        <f>S2583-R2583</f>
        <v>26339.800000000003</v>
      </c>
      <c r="U2583" s="1530">
        <f>(S2583-R2583)/R2583</f>
        <v>0.76531365313653144</v>
      </c>
      <c r="V2583" s="1926" t="str">
        <f>A2583</f>
        <v>FCEL</v>
      </c>
      <c r="W2583" s="1435">
        <f ca="1">Q2583-TODAY()</f>
        <v>-956</v>
      </c>
    </row>
    <row r="2584" spans="1:23" hidden="1" outlineLevel="1" x14ac:dyDescent="0.35">
      <c r="A2584" s="1084" t="s">
        <v>527</v>
      </c>
      <c r="B2584" s="1822">
        <v>1000</v>
      </c>
      <c r="C2584" s="1823">
        <v>65.77</v>
      </c>
      <c r="D2584" s="1823">
        <f>C2584*B2584</f>
        <v>65770</v>
      </c>
      <c r="E2584" s="1641">
        <f t="shared" si="804"/>
        <v>4.1158777900902235E-2</v>
      </c>
      <c r="F2584" s="1963">
        <f t="shared" ref="F2584:F2589" si="805">D2584-D2568</f>
        <v>2600</v>
      </c>
      <c r="G2584" s="1494"/>
      <c r="H2584" s="1824"/>
      <c r="I2584" s="1889"/>
      <c r="J2584" s="1889"/>
      <c r="K2584" s="3055" t="s">
        <v>539</v>
      </c>
      <c r="L2584" s="3055"/>
      <c r="M2584" s="3055"/>
      <c r="N2584" s="1489"/>
      <c r="O2584" s="3"/>
      <c r="P2584" s="3"/>
      <c r="Q2584" s="1345">
        <v>44263</v>
      </c>
      <c r="R2584" s="1529">
        <f>B2584*RIGHT(K2584,5)</f>
        <v>58410</v>
      </c>
      <c r="S2584" s="1510">
        <f>D2584</f>
        <v>65770</v>
      </c>
      <c r="T2584" s="1925">
        <f>S2584-R2584</f>
        <v>7360</v>
      </c>
      <c r="U2584" s="1530">
        <f>(S2584-R2584)/R2584</f>
        <v>0.12600582092107515</v>
      </c>
      <c r="V2584" s="1926" t="str">
        <f t="shared" ref="V2584:V2589" si="806">A2584</f>
        <v>PLUG</v>
      </c>
      <c r="W2584" s="1435"/>
    </row>
    <row r="2585" spans="1:23" hidden="1" outlineLevel="1" x14ac:dyDescent="0.35">
      <c r="A2585" s="7" t="s">
        <v>485</v>
      </c>
      <c r="B2585" s="1362">
        <v>350</v>
      </c>
      <c r="C2585" s="1363">
        <v>46.93</v>
      </c>
      <c r="D2585" s="1363">
        <f>C2585*B2585</f>
        <v>16425.5</v>
      </c>
      <c r="E2585" s="1955">
        <f t="shared" si="804"/>
        <v>-2.5944375259443753E-2</v>
      </c>
      <c r="F2585" s="1964">
        <f t="shared" si="805"/>
        <v>-437.5</v>
      </c>
      <c r="G2585" s="1494"/>
      <c r="H2585" s="1902"/>
      <c r="I2585" s="1889"/>
      <c r="J2585" s="1889"/>
      <c r="K2585" s="3055" t="s">
        <v>514</v>
      </c>
      <c r="L2585" s="3055"/>
      <c r="M2585" s="3055"/>
      <c r="N2585" s="1489" t="str">
        <f>A2585</f>
        <v>XPEV</v>
      </c>
      <c r="O2585" s="3"/>
      <c r="P2585" s="3"/>
      <c r="Q2585" s="1345">
        <f>"11/12/2020"+90</f>
        <v>44237</v>
      </c>
      <c r="R2585" s="1529">
        <f>B2585*RIGHT(K2585,6)</f>
        <v>11430.999999999998</v>
      </c>
      <c r="S2585" s="1510">
        <f>D2585</f>
        <v>16425.5</v>
      </c>
      <c r="T2585" s="1899">
        <f>S2585-R2585</f>
        <v>4994.5000000000018</v>
      </c>
      <c r="U2585" s="1530">
        <f>(S2585-R2585)/R2585</f>
        <v>0.43692590324556052</v>
      </c>
      <c r="V2585" s="1926" t="str">
        <f t="shared" si="806"/>
        <v>XPEV</v>
      </c>
      <c r="W2585" s="1929">
        <f ca="1">Q2585-TODAY()</f>
        <v>-935</v>
      </c>
    </row>
    <row r="2586" spans="1:23" hidden="1" outlineLevel="1" x14ac:dyDescent="0.35">
      <c r="A2586" s="1084" t="s">
        <v>483</v>
      </c>
      <c r="B2586" s="1822">
        <v>350</v>
      </c>
      <c r="C2586" s="1823">
        <v>30.4</v>
      </c>
      <c r="D2586" s="1823">
        <f t="shared" ref="D2586:D2589" si="807">C2586*B2586</f>
        <v>10640</v>
      </c>
      <c r="E2586" s="1955">
        <f t="shared" si="804"/>
        <v>-5.7364341085271359E-2</v>
      </c>
      <c r="F2586" s="1964">
        <f t="shared" si="805"/>
        <v>-647.5</v>
      </c>
      <c r="G2586" s="1494"/>
      <c r="H2586" s="1902"/>
      <c r="I2586" s="1889"/>
      <c r="J2586" s="1889"/>
      <c r="K2586" s="3055" t="s">
        <v>515</v>
      </c>
      <c r="L2586" s="3055"/>
      <c r="M2586" s="3055"/>
      <c r="N2586" s="1489" t="str">
        <f t="shared" ref="N2586:N2587" si="808">A2586</f>
        <v>LI</v>
      </c>
      <c r="O2586" s="3"/>
      <c r="P2586" s="3"/>
      <c r="Q2586" s="1345">
        <f>"11/13/2020"+90</f>
        <v>44238</v>
      </c>
      <c r="R2586" s="1529">
        <f t="shared" ref="R2586:R2588" si="809">B2586*RIGHT(K2586,6)</f>
        <v>7931</v>
      </c>
      <c r="S2586" s="1510">
        <f t="shared" ref="S2586:S2588" si="810">D2586</f>
        <v>10640</v>
      </c>
      <c r="T2586" s="1899">
        <f t="shared" ref="T2586:T2588" si="811">S2586-R2586</f>
        <v>2709</v>
      </c>
      <c r="U2586" s="1530">
        <f t="shared" ref="U2586:U2588" si="812">(S2586-R2586)/R2586</f>
        <v>0.34157105030891438</v>
      </c>
      <c r="V2586" s="1926" t="str">
        <f t="shared" si="806"/>
        <v>LI</v>
      </c>
      <c r="W2586" s="1930">
        <f ca="1">Q2586-TODAY()</f>
        <v>-934</v>
      </c>
    </row>
    <row r="2587" spans="1:23" hidden="1" outlineLevel="1" x14ac:dyDescent="0.35">
      <c r="A2587" s="7" t="s">
        <v>487</v>
      </c>
      <c r="B2587" s="1362">
        <v>350</v>
      </c>
      <c r="C2587" s="1363">
        <v>56.67</v>
      </c>
      <c r="D2587" s="1363">
        <f t="shared" si="807"/>
        <v>19834.5</v>
      </c>
      <c r="E2587" s="1955">
        <f t="shared" si="804"/>
        <v>-5.7894736842104963E-3</v>
      </c>
      <c r="F2587" s="1964">
        <f t="shared" si="805"/>
        <v>-115.5</v>
      </c>
      <c r="G2587" s="1494"/>
      <c r="H2587" s="1902"/>
      <c r="I2587" s="1889"/>
      <c r="J2587" s="1889"/>
      <c r="K2587" s="3055" t="s">
        <v>488</v>
      </c>
      <c r="L2587" s="3055"/>
      <c r="M2587" s="3055"/>
      <c r="N2587" s="1489" t="str">
        <f t="shared" si="808"/>
        <v>NIO</v>
      </c>
      <c r="O2587" s="3"/>
      <c r="P2587" s="3"/>
      <c r="Q2587" s="1345">
        <f>"11/17/2020"+90</f>
        <v>44242</v>
      </c>
      <c r="R2587" s="1529">
        <f t="shared" si="809"/>
        <v>11630.499999999998</v>
      </c>
      <c r="S2587" s="1510">
        <f t="shared" si="810"/>
        <v>19834.5</v>
      </c>
      <c r="T2587" s="1899">
        <f t="shared" si="811"/>
        <v>8204.0000000000018</v>
      </c>
      <c r="U2587" s="1530">
        <f t="shared" si="812"/>
        <v>0.70538669876617544</v>
      </c>
      <c r="V2587" s="1926" t="str">
        <f t="shared" si="806"/>
        <v>NIO</v>
      </c>
      <c r="W2587" s="1930">
        <f ca="1">Q2587-TODAY()</f>
        <v>-930</v>
      </c>
    </row>
    <row r="2588" spans="1:23" hidden="1" outlineLevel="1" x14ac:dyDescent="0.35">
      <c r="A2588" s="1084" t="s">
        <v>516</v>
      </c>
      <c r="B2588" s="1822">
        <v>325</v>
      </c>
      <c r="C2588" s="1823">
        <v>53.35</v>
      </c>
      <c r="D2588" s="1823">
        <f t="shared" si="807"/>
        <v>17338.75</v>
      </c>
      <c r="E2588" s="1641">
        <f t="shared" si="804"/>
        <v>7.9304066356463726E-2</v>
      </c>
      <c r="F2588" s="1963">
        <f t="shared" si="805"/>
        <v>1274</v>
      </c>
      <c r="G2588" s="1520"/>
      <c r="H2588" s="1903"/>
      <c r="I2588" s="1895"/>
      <c r="J2588" s="1896"/>
      <c r="K2588" s="3055" t="s">
        <v>521</v>
      </c>
      <c r="L2588" s="3055"/>
      <c r="M2588" s="3055"/>
      <c r="N2588" s="1673" t="str">
        <f>A2588</f>
        <v>BLNK</v>
      </c>
      <c r="Q2588" s="1912">
        <f>"11/12/2020"+90</f>
        <v>44237</v>
      </c>
      <c r="R2588" s="1913">
        <f t="shared" si="809"/>
        <v>12051</v>
      </c>
      <c r="S2588" s="1914">
        <f t="shared" si="810"/>
        <v>17338.75</v>
      </c>
      <c r="T2588" s="1914">
        <f t="shared" si="811"/>
        <v>5287.75</v>
      </c>
      <c r="U2588" s="1915">
        <f t="shared" si="812"/>
        <v>0.43878101402373249</v>
      </c>
      <c r="V2588" s="1926" t="str">
        <f t="shared" si="806"/>
        <v>BLNK</v>
      </c>
      <c r="W2588" s="1929">
        <f ca="1">Q2588-TODAY()</f>
        <v>-935</v>
      </c>
    </row>
    <row r="2589" spans="1:23" hidden="1" outlineLevel="1" x14ac:dyDescent="0.35">
      <c r="A2589" s="7" t="s">
        <v>66</v>
      </c>
      <c r="B2589" s="1362">
        <v>180</v>
      </c>
      <c r="C2589" s="1363">
        <v>852.23</v>
      </c>
      <c r="D2589" s="1363">
        <f t="shared" si="807"/>
        <v>153401.4</v>
      </c>
      <c r="E2589" s="1641">
        <f t="shared" si="804"/>
        <v>7.3973258729978758E-2</v>
      </c>
      <c r="F2589" s="1963">
        <f t="shared" si="805"/>
        <v>10566</v>
      </c>
      <c r="G2589" s="1520"/>
      <c r="H2589" s="1903" t="s">
        <v>510</v>
      </c>
      <c r="I2589" s="1895"/>
      <c r="J2589" s="1896"/>
      <c r="K2589" s="3055" t="s">
        <v>511</v>
      </c>
      <c r="L2589" s="3055"/>
      <c r="M2589" s="3055"/>
      <c r="N2589" s="1489" t="str">
        <f>A2589</f>
        <v>TSLA</v>
      </c>
      <c r="O2589" s="3"/>
      <c r="P2589" s="3"/>
      <c r="Q2589" s="1345">
        <f>"11/12/2020"+90</f>
        <v>44237</v>
      </c>
      <c r="R2589" s="1529">
        <f>B2589*RIGHT(K2589,6)</f>
        <v>110458.79999999999</v>
      </c>
      <c r="S2589" s="1510">
        <f>D2589</f>
        <v>153401.4</v>
      </c>
      <c r="T2589" s="1510">
        <f>S2589-R2589</f>
        <v>42942.600000000006</v>
      </c>
      <c r="U2589" s="1530">
        <f>(S2589-R2589)/R2589</f>
        <v>0.38876576605938151</v>
      </c>
      <c r="V2589" s="1926" t="str">
        <f t="shared" si="806"/>
        <v>TSLA</v>
      </c>
      <c r="W2589" s="1929">
        <f ca="1">Q2589-TODAY()</f>
        <v>-935</v>
      </c>
    </row>
    <row r="2590" spans="1:23" ht="16" hidden="1" outlineLevel="1" thickBot="1" x14ac:dyDescent="0.4">
      <c r="A2590" s="1880" t="s">
        <v>7</v>
      </c>
      <c r="B2590" s="56"/>
      <c r="C2590" s="1881"/>
      <c r="D2590" s="1881">
        <v>2193.6</v>
      </c>
      <c r="E2590" s="1588"/>
      <c r="F2590" s="1486"/>
      <c r="G2590" s="1788"/>
      <c r="H2590" s="1789"/>
      <c r="I2590" s="1789"/>
      <c r="J2590" s="1216"/>
      <c r="K2590" s="1633"/>
      <c r="L2590" s="1634"/>
      <c r="M2590" s="1634"/>
      <c r="R2590" s="1691">
        <f>SUM(R2583:R2589)</f>
        <v>246329.3</v>
      </c>
      <c r="S2590" s="1691">
        <f>SUM(S2583:S2589)</f>
        <v>344166.94999999995</v>
      </c>
      <c r="T2590" s="1691">
        <f>SUM(T2583:T2589)</f>
        <v>97837.650000000009</v>
      </c>
      <c r="U2590" s="1810">
        <f>AVERAGE(U2583:U2589)</f>
        <v>0.45753570092305301</v>
      </c>
    </row>
    <row r="2591" spans="1:23" ht="16" hidden="1" outlineLevel="1" thickBot="1" x14ac:dyDescent="0.4">
      <c r="A2591" s="1880" t="s">
        <v>60</v>
      </c>
      <c r="B2591" s="56"/>
      <c r="C2591" s="1881"/>
      <c r="D2591" s="1881">
        <f>9178.84+56.68</f>
        <v>9235.52</v>
      </c>
      <c r="E2591" s="1794"/>
      <c r="F2591" s="1486"/>
      <c r="G2591" s="1734"/>
      <c r="H2591" s="1723"/>
      <c r="I2591" s="1796"/>
      <c r="J2591" s="61">
        <f>SUM(J2590:J2590)</f>
        <v>0</v>
      </c>
      <c r="K2591" s="1468"/>
      <c r="L2591" s="1151"/>
      <c r="M2591" s="1151"/>
      <c r="S2591" s="1470" t="str">
        <f>IF(SUM(D2583:D2589)&lt;&gt;S2590,"Out of Balance","Balances")</f>
        <v>Balances</v>
      </c>
    </row>
    <row r="2592" spans="1:23" ht="19" hidden="1" outlineLevel="1" thickBot="1" x14ac:dyDescent="0.5">
      <c r="A2592" s="1797" t="s">
        <v>62</v>
      </c>
      <c r="B2592" s="1798"/>
      <c r="C2592" s="1868">
        <f>SUM(D2583:D2589,D2591)</f>
        <v>353402.47</v>
      </c>
      <c r="D2592" s="1800">
        <f>SUM(D2583:D2591)</f>
        <v>355596.06999999995</v>
      </c>
      <c r="E2592" s="73">
        <f>D2592-D2576</f>
        <v>21304.679999999935</v>
      </c>
      <c r="F2592" s="1537">
        <f>(D2592-D2576)/D2576</f>
        <v>6.3730866654986035E-2</v>
      </c>
      <c r="G2592" s="72" t="s">
        <v>63</v>
      </c>
      <c r="H2592" s="1897">
        <f>E2592+E2576+E2560+E2542+E2524</f>
        <v>52088.087199999893</v>
      </c>
      <c r="I2592" s="1848"/>
      <c r="J2592" s="1849"/>
    </row>
    <row r="2593" spans="1:23" hidden="1" outlineLevel="1" x14ac:dyDescent="0.35">
      <c r="A2593" s="3071" t="s">
        <v>536</v>
      </c>
      <c r="B2593" s="3066"/>
      <c r="C2593" s="3066"/>
      <c r="D2593" s="3066"/>
      <c r="E2593" s="3066"/>
      <c r="F2593" s="3066"/>
      <c r="G2593" s="3066"/>
      <c r="H2593" s="3066"/>
      <c r="I2593" s="3066"/>
      <c r="J2593" s="3067"/>
      <c r="S2593" s="1952">
        <f>SUM(T2594:T2596)</f>
        <v>22440.35000000002</v>
      </c>
      <c r="T2593" s="1932" t="s">
        <v>531</v>
      </c>
      <c r="U2593" s="1953" t="s">
        <v>37</v>
      </c>
    </row>
    <row r="2594" spans="1:23" ht="16" hidden="1" outlineLevel="1" thickBot="1" x14ac:dyDescent="0.4">
      <c r="A2594" s="3068"/>
      <c r="B2594" s="3069"/>
      <c r="C2594" s="3069"/>
      <c r="D2594" s="3069"/>
      <c r="E2594" s="3069"/>
      <c r="F2594" s="3069"/>
      <c r="G2594" s="3069"/>
      <c r="H2594" s="3069"/>
      <c r="I2594" s="3069"/>
      <c r="J2594" s="3070"/>
      <c r="S2594" s="1965" t="s">
        <v>543</v>
      </c>
      <c r="T2594" s="1966">
        <f>SUM(T2599:T2600)</f>
        <v>15875.300000000003</v>
      </c>
      <c r="U2594" s="1967">
        <f>T2594/$T$2574</f>
        <v>0.20732580880024296</v>
      </c>
    </row>
    <row r="2595" spans="1:23" hidden="1" outlineLevel="1" x14ac:dyDescent="0.35">
      <c r="S2595" s="1965" t="s">
        <v>447</v>
      </c>
      <c r="T2595" s="1966">
        <f>SUM(T2600)</f>
        <v>6565.0500000000175</v>
      </c>
      <c r="U2595" s="1967">
        <f>T2595/$T$2574</f>
        <v>8.5737233379151151E-2</v>
      </c>
    </row>
    <row r="2596" spans="1:23" ht="16.5" hidden="1" customHeight="1" outlineLevel="1" thickBot="1" x14ac:dyDescent="0.4">
      <c r="A2596" s="1968" t="s">
        <v>25</v>
      </c>
      <c r="B2596" s="1969" t="s">
        <v>26</v>
      </c>
      <c r="C2596" s="1970" t="s">
        <v>27</v>
      </c>
      <c r="D2596" s="1971">
        <f>D2580+7</f>
        <v>44239</v>
      </c>
      <c r="E2596" s="1972" t="s">
        <v>28</v>
      </c>
      <c r="F2596" s="3036" t="s">
        <v>29</v>
      </c>
      <c r="G2596" s="3037"/>
      <c r="H2596" s="3038"/>
      <c r="I2596" s="1727"/>
      <c r="J2596" s="1182"/>
      <c r="K2596" s="1183" t="s">
        <v>233</v>
      </c>
      <c r="O2596" s="3072" t="s">
        <v>31</v>
      </c>
      <c r="P2596" s="3073"/>
      <c r="S2596" s="1940"/>
      <c r="T2596" s="1941"/>
      <c r="U2596" s="1942"/>
      <c r="V2596" s="247"/>
    </row>
    <row r="2597" spans="1:23" ht="16" hidden="1" outlineLevel="1" thickBot="1" x14ac:dyDescent="0.4">
      <c r="A2597" s="1973" t="s">
        <v>32</v>
      </c>
      <c r="B2597" s="1974" t="str">
        <f ca="1">TEXT(TODAY(),"ddd")</f>
        <v>Sun</v>
      </c>
      <c r="C2597" s="1975">
        <v>31458</v>
      </c>
      <c r="D2597" s="1976">
        <f>C2597-C2581</f>
        <v>310</v>
      </c>
      <c r="E2597" s="1977">
        <f t="shared" ref="E2597:E2598" si="813">(C2597-C2581)/C2581</f>
        <v>9.9524849107486841E-3</v>
      </c>
      <c r="F2597" s="3039"/>
      <c r="G2597" s="3040"/>
      <c r="H2597" s="3041"/>
      <c r="I2597" s="1602"/>
      <c r="J2597" s="1602"/>
      <c r="K2597" s="1188" t="s">
        <v>234</v>
      </c>
      <c r="L2597" s="1220" t="s">
        <v>34</v>
      </c>
      <c r="M2597" s="111" t="s">
        <v>35</v>
      </c>
      <c r="N2597" s="2995"/>
      <c r="O2597" s="2996"/>
      <c r="P2597" s="2996"/>
      <c r="Q2597" s="2996"/>
      <c r="R2597" s="2996"/>
      <c r="S2597" s="2996"/>
      <c r="T2597" s="2996"/>
      <c r="U2597" s="3074"/>
    </row>
    <row r="2598" spans="1:23" hidden="1" outlineLevel="1" x14ac:dyDescent="0.35">
      <c r="A2598" s="1978" t="s">
        <v>36</v>
      </c>
      <c r="B2598" s="1979"/>
      <c r="C2598" s="1979">
        <v>14095</v>
      </c>
      <c r="D2598" s="1980">
        <f>C2598-C2582</f>
        <v>239</v>
      </c>
      <c r="E2598" s="1977">
        <f t="shared" si="813"/>
        <v>1.7248845265588914E-2</v>
      </c>
      <c r="F2598" s="1744" t="s">
        <v>37</v>
      </c>
      <c r="G2598" s="1745" t="s">
        <v>38</v>
      </c>
      <c r="H2598" s="1746" t="s">
        <v>144</v>
      </c>
      <c r="I2598" s="1747" t="s">
        <v>441</v>
      </c>
      <c r="J2598" s="1748" t="s">
        <v>400</v>
      </c>
      <c r="K2598" s="3063" t="s">
        <v>42</v>
      </c>
      <c r="L2598" s="3064"/>
      <c r="M2598" s="3064"/>
      <c r="N2598" s="1830" t="s">
        <v>244</v>
      </c>
      <c r="Q2598" s="1831" t="s">
        <v>44</v>
      </c>
      <c r="R2598" s="1832" t="s">
        <v>45</v>
      </c>
      <c r="S2598" s="1832" t="s">
        <v>46</v>
      </c>
      <c r="T2598" s="1832" t="s">
        <v>47</v>
      </c>
      <c r="U2598" s="1833" t="s">
        <v>48</v>
      </c>
      <c r="W2598" s="1919" t="s">
        <v>446</v>
      </c>
    </row>
    <row r="2599" spans="1:23" hidden="1" outlineLevel="1" x14ac:dyDescent="0.35">
      <c r="A2599" s="1412" t="s">
        <v>543</v>
      </c>
      <c r="B2599" s="1362">
        <v>1115</v>
      </c>
      <c r="C2599" s="1363">
        <v>76.239999999999995</v>
      </c>
      <c r="D2599" s="1363">
        <f>C2599*B2599</f>
        <v>85007.599999999991</v>
      </c>
      <c r="E2599" s="1977">
        <v>0.27510000000000001</v>
      </c>
      <c r="F2599" s="1506">
        <f>D2599/$D$608</f>
        <v>0.27927455721756433</v>
      </c>
      <c r="G2599" s="1494"/>
      <c r="H2599" s="1902"/>
      <c r="I2599" s="1889"/>
      <c r="J2599" s="1889"/>
      <c r="K2599" s="3055" t="s">
        <v>544</v>
      </c>
      <c r="L2599" s="3055"/>
      <c r="M2599" s="3055"/>
      <c r="N2599" s="1489" t="str">
        <f>A2599</f>
        <v>DMTK</v>
      </c>
      <c r="O2599" s="3"/>
      <c r="P2599" s="3"/>
      <c r="Q2599" s="1345">
        <v>44236</v>
      </c>
      <c r="R2599" s="1529">
        <f>B2599*RIGHT(K2599,6)</f>
        <v>75697.350000000006</v>
      </c>
      <c r="S2599" s="1510">
        <f>D2599</f>
        <v>85007.599999999991</v>
      </c>
      <c r="T2599" s="1510">
        <f>S2599-R2599</f>
        <v>9310.2499999999854</v>
      </c>
      <c r="U2599" s="1530">
        <f>(S2599-R2599)/R2599</f>
        <v>0.12299307703638218</v>
      </c>
      <c r="V2599" s="1926" t="str">
        <f>A2599</f>
        <v>DMTK</v>
      </c>
      <c r="W2599" s="1929">
        <f ca="1">Q2599-TODAY()</f>
        <v>-936</v>
      </c>
    </row>
    <row r="2600" spans="1:23" hidden="1" outlineLevel="1" x14ac:dyDescent="0.35">
      <c r="A2600" s="1981" t="s">
        <v>447</v>
      </c>
      <c r="B2600" s="1822">
        <v>405</v>
      </c>
      <c r="C2600" s="1823">
        <v>323.10000000000002</v>
      </c>
      <c r="D2600" s="1823">
        <f>C2600*B2600</f>
        <v>130855.50000000001</v>
      </c>
      <c r="E2600" s="1977">
        <v>0.1636</v>
      </c>
      <c r="F2600" s="1506">
        <f>D2600/$D$608</f>
        <v>0.42989817171621125</v>
      </c>
      <c r="G2600" s="1494"/>
      <c r="H2600" s="1902"/>
      <c r="I2600" s="1889"/>
      <c r="J2600" s="1889"/>
      <c r="K2600" s="3055" t="s">
        <v>545</v>
      </c>
      <c r="L2600" s="3055"/>
      <c r="M2600" s="3055"/>
      <c r="N2600" s="1489" t="str">
        <f>A2600</f>
        <v>FVRR</v>
      </c>
      <c r="O2600" s="3"/>
      <c r="P2600" s="3"/>
      <c r="Q2600" s="1345">
        <v>44245</v>
      </c>
      <c r="R2600" s="1529">
        <f>B2600*RIGHT(K2600,6)</f>
        <v>124290.45</v>
      </c>
      <c r="S2600" s="1510">
        <f>D2600</f>
        <v>130855.50000000001</v>
      </c>
      <c r="T2600" s="1510">
        <f>S2600-R2600</f>
        <v>6565.0500000000175</v>
      </c>
      <c r="U2600" s="1530">
        <f>(S2600-R2600)/R2600</f>
        <v>5.2820228746456525E-2</v>
      </c>
      <c r="V2600" s="1926" t="str">
        <f>A2600</f>
        <v>FVRR</v>
      </c>
      <c r="W2600" s="1930"/>
    </row>
    <row r="2601" spans="1:23" hidden="1" outlineLevel="1" x14ac:dyDescent="0.35">
      <c r="A2601" s="1412"/>
      <c r="B2601" s="1362"/>
      <c r="C2601" s="1363"/>
      <c r="D2601" s="1363"/>
      <c r="E2601" s="1977"/>
      <c r="F2601" s="1506"/>
      <c r="G2601" s="1520"/>
      <c r="H2601" s="1903"/>
      <c r="I2601" s="1895"/>
      <c r="J2601" s="1896"/>
      <c r="K2601" s="3055"/>
      <c r="L2601" s="3055"/>
      <c r="M2601" s="3055"/>
      <c r="N2601" s="1673"/>
      <c r="Q2601" s="1912"/>
      <c r="R2601" s="1913"/>
      <c r="S2601" s="1914"/>
      <c r="T2601" s="1510"/>
      <c r="U2601" s="1915"/>
      <c r="V2601" s="1926"/>
      <c r="W2601" s="1929"/>
    </row>
    <row r="2602" spans="1:23" hidden="1" outlineLevel="1" x14ac:dyDescent="0.35">
      <c r="A2602" s="1981"/>
      <c r="B2602" s="1822"/>
      <c r="C2602" s="1823"/>
      <c r="D2602" s="1823"/>
      <c r="E2602" s="1977"/>
      <c r="F2602" s="1506"/>
      <c r="G2602" s="1494"/>
      <c r="H2602" s="1902"/>
      <c r="I2602" s="1889"/>
      <c r="J2602" s="1889"/>
      <c r="K2602" s="3055"/>
      <c r="L2602" s="3055"/>
      <c r="M2602" s="3055"/>
      <c r="N2602" s="1489"/>
      <c r="O2602" s="3"/>
      <c r="P2602" s="3"/>
      <c r="Q2602" s="1345"/>
      <c r="R2602" s="1529"/>
      <c r="S2602" s="1510"/>
      <c r="T2602" s="1510"/>
      <c r="U2602" s="1530"/>
      <c r="V2602" s="1926"/>
      <c r="W2602" s="1930"/>
    </row>
    <row r="2603" spans="1:23" hidden="1" outlineLevel="1" x14ac:dyDescent="0.35">
      <c r="A2603" s="1412"/>
      <c r="B2603" s="1362"/>
      <c r="C2603" s="1363"/>
      <c r="D2603" s="1363"/>
      <c r="E2603" s="1977"/>
      <c r="F2603" s="1506"/>
      <c r="G2603" s="1520"/>
      <c r="H2603" s="1903"/>
      <c r="I2603" s="1895"/>
      <c r="J2603" s="1896"/>
      <c r="K2603" s="3055"/>
      <c r="L2603" s="3055"/>
      <c r="M2603" s="3055"/>
      <c r="N2603" s="1673"/>
      <c r="Q2603" s="1912"/>
      <c r="R2603" s="1913"/>
      <c r="S2603" s="1914"/>
      <c r="T2603" s="1510"/>
      <c r="U2603" s="1915"/>
      <c r="V2603" s="1926"/>
      <c r="W2603" s="1929"/>
    </row>
    <row r="2604" spans="1:23" hidden="1" outlineLevel="1" x14ac:dyDescent="0.35">
      <c r="A2604" s="1981"/>
      <c r="B2604" s="1822"/>
      <c r="C2604" s="1823"/>
      <c r="D2604" s="1823"/>
      <c r="E2604" s="1977"/>
      <c r="F2604" s="1506"/>
      <c r="G2604" s="1520"/>
      <c r="H2604" s="1903"/>
      <c r="I2604" s="1895"/>
      <c r="J2604" s="1896"/>
      <c r="K2604" s="3055"/>
      <c r="L2604" s="3055"/>
      <c r="M2604" s="3055"/>
      <c r="N2604" s="1489"/>
      <c r="O2604" s="3"/>
      <c r="P2604" s="3"/>
      <c r="Q2604" s="1345"/>
      <c r="R2604" s="1529"/>
      <c r="S2604" s="1510"/>
      <c r="T2604" s="1510"/>
      <c r="U2604" s="1530"/>
      <c r="V2604" s="1926"/>
      <c r="W2604" s="1929"/>
    </row>
    <row r="2605" spans="1:23" hidden="1" outlineLevel="1" x14ac:dyDescent="0.35">
      <c r="A2605" s="1412"/>
      <c r="B2605" s="1362"/>
      <c r="C2605" s="1363"/>
      <c r="D2605" s="1363"/>
      <c r="E2605" s="1977"/>
      <c r="F2605" s="1506"/>
      <c r="G2605" s="1520"/>
      <c r="H2605" s="1903"/>
      <c r="I2605" s="1895"/>
      <c r="J2605" s="1896"/>
      <c r="K2605" s="3055"/>
      <c r="L2605" s="3055"/>
      <c r="M2605" s="3055"/>
      <c r="N2605" s="1673"/>
      <c r="Q2605" s="1912"/>
      <c r="R2605" s="1913"/>
      <c r="S2605" s="1914"/>
      <c r="T2605" s="1914"/>
      <c r="U2605" s="1915"/>
      <c r="V2605" s="1926"/>
      <c r="W2605" s="1929"/>
    </row>
    <row r="2606" spans="1:23" ht="16" hidden="1" outlineLevel="1" thickBot="1" x14ac:dyDescent="0.4">
      <c r="A2606" s="55" t="s">
        <v>7</v>
      </c>
      <c r="B2606" s="56"/>
      <c r="C2606" s="1881"/>
      <c r="D2606" s="1881">
        <v>2218.64</v>
      </c>
      <c r="E2606" s="1982"/>
      <c r="F2606" s="1486"/>
      <c r="G2606" s="1788"/>
      <c r="H2606" s="1789"/>
      <c r="I2606" s="1789"/>
      <c r="J2606" s="1216"/>
      <c r="K2606" s="1633"/>
      <c r="L2606" s="1634"/>
      <c r="M2606" s="1634"/>
      <c r="R2606" s="1691">
        <f>SUM(R2599:R2604)</f>
        <v>199987.8</v>
      </c>
      <c r="S2606" s="1691">
        <f>SUM(S2599:S2604)</f>
        <v>215863.1</v>
      </c>
      <c r="T2606" s="1691">
        <f>SUM(T2599:T2604)</f>
        <v>15875.300000000003</v>
      </c>
      <c r="U2606" s="1810">
        <f>AVERAGE(U2599:U2604)</f>
        <v>8.7906652891419357E-2</v>
      </c>
    </row>
    <row r="2607" spans="1:23" ht="16" hidden="1" outlineLevel="1" thickBot="1" x14ac:dyDescent="0.4">
      <c r="A2607" s="55" t="s">
        <v>60</v>
      </c>
      <c r="B2607" s="56"/>
      <c r="C2607" s="1881"/>
      <c r="D2607" s="1881">
        <v>148249.93</v>
      </c>
      <c r="E2607" s="1983"/>
      <c r="F2607" s="1486">
        <f>D2607/$D$2608</f>
        <v>0.40468772465127018</v>
      </c>
      <c r="G2607" s="1734"/>
      <c r="H2607" s="1723"/>
      <c r="I2607" s="1796"/>
      <c r="J2607" s="61">
        <f>SUM(J2606:J2606)</f>
        <v>0</v>
      </c>
      <c r="K2607" s="1468"/>
      <c r="L2607" s="1151"/>
      <c r="M2607" s="1151"/>
      <c r="S2607" s="1470" t="str">
        <f>IF(SUM(D2599:D2604)&lt;&gt;S2606,"Out of Balance","Balances")</f>
        <v>Balances</v>
      </c>
    </row>
    <row r="2608" spans="1:23" ht="19" hidden="1" outlineLevel="1" thickBot="1" x14ac:dyDescent="0.5">
      <c r="A2608" s="1797" t="s">
        <v>62</v>
      </c>
      <c r="B2608" s="1984"/>
      <c r="C2608" s="1985">
        <f>SUM(D2599:D2604)</f>
        <v>215863.1</v>
      </c>
      <c r="D2608" s="1986">
        <f>SUM(D2599:D2607)</f>
        <v>366331.67000000004</v>
      </c>
      <c r="E2608" s="73">
        <f>D2608-D2592</f>
        <v>10735.600000000093</v>
      </c>
      <c r="F2608" s="1537">
        <f>(D2608-D2592)/D2592</f>
        <v>3.0190434894289173E-2</v>
      </c>
      <c r="G2608" s="72" t="s">
        <v>63</v>
      </c>
      <c r="H2608" s="1897">
        <f>E2608+E2592+E2576+E2560+E2542</f>
        <v>23716.35732000001</v>
      </c>
      <c r="I2608" s="1848"/>
      <c r="J2608" s="1849"/>
    </row>
    <row r="2609" spans="1:23" hidden="1" outlineLevel="1" x14ac:dyDescent="0.35">
      <c r="A2609" s="3065" t="s">
        <v>546</v>
      </c>
      <c r="B2609" s="3066"/>
      <c r="C2609" s="3066"/>
      <c r="D2609" s="3066"/>
      <c r="E2609" s="3066"/>
      <c r="F2609" s="3066"/>
      <c r="G2609" s="3066"/>
      <c r="H2609" s="3066"/>
      <c r="I2609" s="3066"/>
      <c r="J2609" s="3067"/>
    </row>
    <row r="2610" spans="1:23" ht="30.65" hidden="1" customHeight="1" outlineLevel="1" thickBot="1" x14ac:dyDescent="0.4">
      <c r="A2610" s="3068"/>
      <c r="B2610" s="3069"/>
      <c r="C2610" s="3069"/>
      <c r="D2610" s="3069"/>
      <c r="E2610" s="3069"/>
      <c r="F2610" s="3069"/>
      <c r="G2610" s="3069"/>
      <c r="H2610" s="3069"/>
      <c r="I2610" s="3069"/>
      <c r="J2610" s="3070"/>
    </row>
    <row r="2611" spans="1:23" hidden="1" outlineLevel="1" x14ac:dyDescent="0.35"/>
    <row r="2612" spans="1:23" ht="16.5" hidden="1" customHeight="1" outlineLevel="1" thickBot="1" x14ac:dyDescent="0.4">
      <c r="A2612" s="1619" t="s">
        <v>25</v>
      </c>
      <c r="B2612" s="1987" t="s">
        <v>26</v>
      </c>
      <c r="C2612" s="19" t="s">
        <v>27</v>
      </c>
      <c r="D2612" s="20">
        <f>D2596+7</f>
        <v>44246</v>
      </c>
      <c r="E2612" s="1623" t="s">
        <v>28</v>
      </c>
      <c r="F2612" s="3036" t="s">
        <v>29</v>
      </c>
      <c r="G2612" s="3037"/>
      <c r="H2612" s="3038"/>
      <c r="I2612" s="1727"/>
      <c r="J2612" s="1182"/>
      <c r="K2612" s="1183" t="s">
        <v>233</v>
      </c>
      <c r="O2612" s="3042" t="s">
        <v>31</v>
      </c>
      <c r="P2612" s="3043"/>
      <c r="T2612" s="247"/>
      <c r="U2612" s="1988"/>
      <c r="V2612" s="247"/>
    </row>
    <row r="2613" spans="1:23" ht="16" hidden="1" outlineLevel="1" thickBot="1" x14ac:dyDescent="0.4">
      <c r="A2613" s="1973" t="s">
        <v>32</v>
      </c>
      <c r="B2613" s="1974" t="str">
        <f ca="1">TEXT(TODAY(),"ddd")</f>
        <v>Sun</v>
      </c>
      <c r="C2613" s="1975">
        <v>31494</v>
      </c>
      <c r="D2613" s="1976">
        <f>C2613-C2597</f>
        <v>36</v>
      </c>
      <c r="E2613" s="1977">
        <f>(C2613-C2597)/C2597</f>
        <v>1.1443829868395957E-3</v>
      </c>
      <c r="F2613" s="3039"/>
      <c r="G2613" s="3040"/>
      <c r="H2613" s="3041"/>
      <c r="I2613" s="1602"/>
      <c r="J2613" s="1602"/>
      <c r="K2613" s="1188" t="s">
        <v>234</v>
      </c>
      <c r="L2613" s="1220" t="s">
        <v>34</v>
      </c>
      <c r="M2613" s="111" t="s">
        <v>35</v>
      </c>
      <c r="N2613" s="2995"/>
      <c r="O2613" s="2996"/>
      <c r="P2613" s="2996"/>
      <c r="Q2613" s="2996"/>
      <c r="R2613" s="2996"/>
      <c r="S2613" s="2996"/>
      <c r="T2613" s="2996"/>
      <c r="U2613" s="3044"/>
    </row>
    <row r="2614" spans="1:23" hidden="1" outlineLevel="1" x14ac:dyDescent="0.35">
      <c r="A2614" s="1978" t="s">
        <v>36</v>
      </c>
      <c r="B2614" s="1979"/>
      <c r="C2614" s="1979">
        <v>13874</v>
      </c>
      <c r="D2614" s="1980">
        <f>C2614-C2598</f>
        <v>-221</v>
      </c>
      <c r="E2614" s="1977">
        <f t="shared" ref="E2614" si="814">(C2614-C2598)/C2598</f>
        <v>-1.5679318907413975E-2</v>
      </c>
      <c r="F2614" s="1744" t="s">
        <v>37</v>
      </c>
      <c r="G2614" s="1745" t="s">
        <v>38</v>
      </c>
      <c r="H2614" s="1746" t="s">
        <v>144</v>
      </c>
      <c r="I2614" s="1747" t="s">
        <v>441</v>
      </c>
      <c r="J2614" s="1748" t="s">
        <v>400</v>
      </c>
      <c r="K2614" s="3063" t="s">
        <v>42</v>
      </c>
      <c r="L2614" s="3064"/>
      <c r="M2614" s="3064"/>
      <c r="N2614" s="1830" t="s">
        <v>244</v>
      </c>
      <c r="Q2614" s="1831" t="s">
        <v>44</v>
      </c>
      <c r="R2614" s="1832" t="s">
        <v>45</v>
      </c>
      <c r="S2614" s="1832" t="s">
        <v>46</v>
      </c>
      <c r="T2614" s="1832" t="s">
        <v>47</v>
      </c>
      <c r="U2614" s="1833" t="s">
        <v>48</v>
      </c>
      <c r="W2614" s="1919" t="s">
        <v>446</v>
      </c>
    </row>
    <row r="2615" spans="1:23" hidden="1" outlineLevel="1" x14ac:dyDescent="0.35">
      <c r="A2615" s="1412" t="s">
        <v>543</v>
      </c>
      <c r="B2615" s="1362">
        <v>1115</v>
      </c>
      <c r="C2615" s="1363">
        <v>79.760000000000005</v>
      </c>
      <c r="D2615" s="1363">
        <f>C2615*B2615</f>
        <v>88932.400000000009</v>
      </c>
      <c r="E2615" s="1989">
        <f>(D2615-D2599)/D2599</f>
        <v>4.6169989506820774E-2</v>
      </c>
      <c r="F2615" s="1506">
        <f>D2615/$D$2624</f>
        <v>0.24483647261860284</v>
      </c>
      <c r="G2615" s="1494"/>
      <c r="H2615" s="1902"/>
      <c r="I2615" s="1889"/>
      <c r="J2615" s="1889"/>
      <c r="K2615" s="3055" t="s">
        <v>544</v>
      </c>
      <c r="L2615" s="3055"/>
      <c r="M2615" s="3055"/>
      <c r="N2615" s="1489" t="str">
        <f>A2615</f>
        <v>DMTK</v>
      </c>
      <c r="O2615" s="3"/>
      <c r="P2615" s="3"/>
      <c r="Q2615" s="1345">
        <f>"11/12/2020"+90</f>
        <v>44237</v>
      </c>
      <c r="R2615" s="1529">
        <f>B2615*RIGHT(K2615,6)</f>
        <v>75697.350000000006</v>
      </c>
      <c r="S2615" s="1510">
        <f>D2615</f>
        <v>88932.400000000009</v>
      </c>
      <c r="T2615" s="1510">
        <f>S2615-R2615</f>
        <v>13235.050000000003</v>
      </c>
      <c r="U2615" s="1530">
        <f>(S2615-R2615)/R2615</f>
        <v>0.17484165561938433</v>
      </c>
      <c r="V2615" s="1926" t="str">
        <f>A2615</f>
        <v>DMTK</v>
      </c>
      <c r="W2615" s="1655">
        <f ca="1">Q2615-TODAY()</f>
        <v>-935</v>
      </c>
    </row>
    <row r="2616" spans="1:23" hidden="1" outlineLevel="1" x14ac:dyDescent="0.35">
      <c r="A2616" s="1981" t="s">
        <v>447</v>
      </c>
      <c r="B2616" s="1822">
        <v>405</v>
      </c>
      <c r="C2616" s="1823">
        <v>318.7</v>
      </c>
      <c r="D2616" s="1823">
        <f>C2616*B2616</f>
        <v>129073.5</v>
      </c>
      <c r="E2616" s="1989">
        <f>(D2616-D2600)/D2600</f>
        <v>-1.3618074899412056E-2</v>
      </c>
      <c r="F2616" s="1506">
        <f t="shared" ref="F2616:F2618" si="815">D2616/$D$2624</f>
        <v>0.35534743747539965</v>
      </c>
      <c r="G2616" s="1494"/>
      <c r="H2616" s="1902"/>
      <c r="I2616" s="1889"/>
      <c r="J2616" s="1889"/>
      <c r="K2616" s="3055" t="s">
        <v>545</v>
      </c>
      <c r="L2616" s="3055"/>
      <c r="M2616" s="3055"/>
      <c r="N2616" s="1489" t="str">
        <f>A2616</f>
        <v>FVRR</v>
      </c>
      <c r="O2616" s="3"/>
      <c r="P2616" s="3"/>
      <c r="Q2616" s="1345">
        <v>44245</v>
      </c>
      <c r="R2616" s="1529">
        <f>B2616*RIGHT(K2616,6)</f>
        <v>124290.45</v>
      </c>
      <c r="S2616" s="1510">
        <f>D2616</f>
        <v>129073.5</v>
      </c>
      <c r="T2616" s="1510">
        <f>S2616-R2616</f>
        <v>4783.0500000000029</v>
      </c>
      <c r="U2616" s="1530">
        <f>(S2616-R2616)/R2616</f>
        <v>3.848284401577115E-2</v>
      </c>
      <c r="V2616" s="1926" t="str">
        <f>A2616</f>
        <v>FVRR</v>
      </c>
      <c r="W2616" s="1929">
        <f ca="1">Q2616-TODAY()</f>
        <v>-927</v>
      </c>
    </row>
    <row r="2617" spans="1:23" hidden="1" outlineLevel="1" x14ac:dyDescent="0.35">
      <c r="A2617" s="1412" t="s">
        <v>547</v>
      </c>
      <c r="B2617" s="1362">
        <v>400</v>
      </c>
      <c r="C2617" s="1363">
        <v>170.45</v>
      </c>
      <c r="D2617" s="1143">
        <f t="shared" ref="D2617:D2618" si="816">C2617*B2617</f>
        <v>68180</v>
      </c>
      <c r="E2617" s="1989"/>
      <c r="F2617" s="1506">
        <f t="shared" si="815"/>
        <v>0.18770381439313838</v>
      </c>
      <c r="G2617" s="1520"/>
      <c r="H2617" s="1990"/>
      <c r="I2617" s="1895"/>
      <c r="J2617" s="1896"/>
      <c r="K2617" s="3055" t="s">
        <v>548</v>
      </c>
      <c r="L2617" s="3055"/>
      <c r="M2617" s="3055"/>
      <c r="N2617" s="1489" t="str">
        <f t="shared" ref="N2617:N2618" si="817">A2617</f>
        <v>GH</v>
      </c>
      <c r="O2617" s="3"/>
      <c r="P2617" s="3"/>
      <c r="Q2617" s="1345">
        <v>44251</v>
      </c>
      <c r="R2617" s="1845">
        <f t="shared" ref="R2617" si="818">B2617*RIGHT(K2617,6)</f>
        <v>70732</v>
      </c>
      <c r="S2617" s="1834">
        <f t="shared" ref="S2617:S2618" si="819">D2617</f>
        <v>68180</v>
      </c>
      <c r="T2617" s="1834">
        <f t="shared" ref="T2617:T2618" si="820">S2617-R2617</f>
        <v>-2552</v>
      </c>
      <c r="U2617" s="1835">
        <f t="shared" ref="U2617:U2618" si="821">(S2617-R2617)/R2617</f>
        <v>-3.6079850704066052E-2</v>
      </c>
      <c r="V2617" s="1926" t="str">
        <f t="shared" ref="V2617:V2618" si="822">A2617</f>
        <v>GH</v>
      </c>
      <c r="W2617" s="1929">
        <f ca="1">Q2617-TODAY()</f>
        <v>-921</v>
      </c>
    </row>
    <row r="2618" spans="1:23" hidden="1" outlineLevel="1" x14ac:dyDescent="0.35">
      <c r="A2618" s="1981" t="s">
        <v>549</v>
      </c>
      <c r="B2618" s="1822">
        <v>400</v>
      </c>
      <c r="C2618" s="1823">
        <v>119.46</v>
      </c>
      <c r="D2618" s="1823">
        <f t="shared" si="816"/>
        <v>47784</v>
      </c>
      <c r="E2618" s="1989"/>
      <c r="F2618" s="1506">
        <f t="shared" si="815"/>
        <v>0.13155234771137761</v>
      </c>
      <c r="G2618" s="1494"/>
      <c r="H2618" s="1820" t="s">
        <v>468</v>
      </c>
      <c r="I2618" s="1889"/>
      <c r="J2618" s="1889"/>
      <c r="K2618" s="3055" t="s">
        <v>550</v>
      </c>
      <c r="L2618" s="3055"/>
      <c r="M2618" s="3055"/>
      <c r="N2618" s="1489" t="str">
        <f t="shared" si="817"/>
        <v>AMAT</v>
      </c>
      <c r="O2618" s="3"/>
      <c r="P2618" s="3"/>
      <c r="Q2618" s="1345">
        <v>44245</v>
      </c>
      <c r="R2618" s="1529">
        <f>B2618*RIGHT(K2618,6)</f>
        <v>47964</v>
      </c>
      <c r="S2618" s="1510">
        <f t="shared" si="819"/>
        <v>47784</v>
      </c>
      <c r="T2618" s="1510">
        <f t="shared" si="820"/>
        <v>-180</v>
      </c>
      <c r="U2618" s="1530">
        <f t="shared" si="821"/>
        <v>-3.7528146109582186E-3</v>
      </c>
      <c r="V2618" s="1926" t="str">
        <f t="shared" si="822"/>
        <v>AMAT</v>
      </c>
      <c r="W2618" s="1929">
        <f ca="1">Q2618-TODAY()</f>
        <v>-927</v>
      </c>
    </row>
    <row r="2619" spans="1:23" hidden="1" outlineLevel="1" x14ac:dyDescent="0.35">
      <c r="A2619" s="1412"/>
      <c r="B2619" s="1362"/>
      <c r="C2619" s="1363"/>
      <c r="D2619" s="1363"/>
      <c r="E2619" s="1977"/>
      <c r="F2619" s="1506"/>
      <c r="G2619" s="1520"/>
      <c r="H2619" s="1903"/>
      <c r="I2619" s="1895"/>
      <c r="J2619" s="1896"/>
      <c r="K2619" s="3055"/>
      <c r="L2619" s="3055"/>
      <c r="M2619" s="3055"/>
      <c r="N2619" s="1673"/>
      <c r="Q2619" s="1912"/>
      <c r="R2619" s="1913"/>
      <c r="S2619" s="1914"/>
      <c r="T2619" s="1914"/>
      <c r="U2619" s="1915"/>
      <c r="V2619" s="1926"/>
      <c r="W2619" s="1929"/>
    </row>
    <row r="2620" spans="1:23" hidden="1" outlineLevel="1" x14ac:dyDescent="0.35">
      <c r="A2620" s="1981"/>
      <c r="B2620" s="1822"/>
      <c r="C2620" s="1823"/>
      <c r="D2620" s="1823"/>
      <c r="E2620" s="1977"/>
      <c r="F2620" s="1506"/>
      <c r="G2620" s="1520"/>
      <c r="H2620" s="1903"/>
      <c r="I2620" s="1895"/>
      <c r="J2620" s="1896"/>
      <c r="K2620" s="3055"/>
      <c r="L2620" s="3055"/>
      <c r="M2620" s="3055"/>
      <c r="N2620" s="1489"/>
      <c r="O2620" s="3"/>
      <c r="P2620" s="3"/>
      <c r="Q2620" s="1345"/>
      <c r="R2620" s="1529"/>
      <c r="S2620" s="1510"/>
      <c r="T2620" s="1510"/>
      <c r="U2620" s="1530"/>
      <c r="V2620" s="1926"/>
      <c r="W2620" s="1929"/>
    </row>
    <row r="2621" spans="1:23" hidden="1" outlineLevel="1" x14ac:dyDescent="0.35">
      <c r="A2621" s="1412"/>
      <c r="B2621" s="1362"/>
      <c r="C2621" s="1363"/>
      <c r="D2621" s="1363"/>
      <c r="E2621" s="1977"/>
      <c r="F2621" s="1506"/>
      <c r="G2621" s="1520"/>
      <c r="H2621" s="1903"/>
      <c r="I2621" s="1895"/>
      <c r="J2621" s="1896"/>
      <c r="K2621" s="3055"/>
      <c r="L2621" s="3055"/>
      <c r="M2621" s="3055"/>
      <c r="N2621" s="1673"/>
      <c r="Q2621" s="1912"/>
      <c r="R2621" s="1913"/>
      <c r="S2621" s="1914"/>
      <c r="T2621" s="1914"/>
      <c r="U2621" s="1915"/>
      <c r="V2621" s="1926"/>
      <c r="W2621" s="1929"/>
    </row>
    <row r="2622" spans="1:23" ht="16" hidden="1" outlineLevel="1" thickBot="1" x14ac:dyDescent="0.4">
      <c r="A2622" s="55" t="s">
        <v>7</v>
      </c>
      <c r="B2622" s="56"/>
      <c r="C2622" s="1881"/>
      <c r="D2622" s="1881">
        <v>2208.23</v>
      </c>
      <c r="E2622" s="1982"/>
      <c r="F2622" s="1486"/>
      <c r="G2622" s="1788"/>
      <c r="H2622" s="1789"/>
      <c r="I2622" s="1789"/>
      <c r="J2622" s="1216"/>
      <c r="K2622" s="1633"/>
      <c r="L2622" s="1634"/>
      <c r="M2622" s="1634"/>
      <c r="R2622" s="1991">
        <f>SUM(R2615:R2620)</f>
        <v>318683.8</v>
      </c>
      <c r="S2622" s="1991">
        <f>SUM(S2615:S2620)</f>
        <v>333969.90000000002</v>
      </c>
      <c r="T2622" s="1991">
        <f>SUM(T2615:T2620)</f>
        <v>15286.100000000006</v>
      </c>
      <c r="U2622" s="1992">
        <f>AVERAGE(U2615:U2620)</f>
        <v>4.3372958580032803E-2</v>
      </c>
    </row>
    <row r="2623" spans="1:23" ht="16" hidden="1" outlineLevel="1" thickBot="1" x14ac:dyDescent="0.4">
      <c r="A2623" s="55" t="s">
        <v>60</v>
      </c>
      <c r="B2623" s="56"/>
      <c r="C2623" s="1881"/>
      <c r="D2623" s="1881">
        <v>27053.7</v>
      </c>
      <c r="E2623" s="1983"/>
      <c r="F2623" s="1486">
        <f>D2623/$D$2624</f>
        <v>7.4480532171423405E-2</v>
      </c>
      <c r="G2623" s="1734"/>
      <c r="H2623" s="1723"/>
      <c r="I2623" s="1796"/>
      <c r="J2623" s="61">
        <f>SUM(J2622:J2622)</f>
        <v>0</v>
      </c>
      <c r="K2623" s="1468"/>
      <c r="L2623" s="1151"/>
      <c r="M2623" s="1151"/>
      <c r="S2623" s="1470" t="str">
        <f>IF(SUM(D2615:D2620)&lt;&gt;S2622,"Out of Balance","Balances")</f>
        <v>Balances</v>
      </c>
    </row>
    <row r="2624" spans="1:23" ht="19" hidden="1" outlineLevel="1" thickBot="1" x14ac:dyDescent="0.5">
      <c r="A2624" s="1797" t="s">
        <v>62</v>
      </c>
      <c r="B2624" s="1984"/>
      <c r="C2624" s="1985">
        <f>SUM(D2615:D2620)</f>
        <v>333969.90000000002</v>
      </c>
      <c r="D2624" s="1993">
        <f>SUM(D2615:D2623)</f>
        <v>363231.83</v>
      </c>
      <c r="E2624" s="1994">
        <f>D2624-D2608</f>
        <v>-3099.8400000000256</v>
      </c>
      <c r="F2624" s="1995">
        <f>(D2624-D2608)/D2608</f>
        <v>-8.4618400587643024E-3</v>
      </c>
      <c r="G2624" s="72" t="s">
        <v>63</v>
      </c>
      <c r="H2624" s="1897">
        <f>E2624+E2608+E2592+E2576+E2560</f>
        <v>27711.56375999999</v>
      </c>
      <c r="I2624" s="1848"/>
      <c r="J2624" s="1849"/>
    </row>
    <row r="2625" spans="1:23" hidden="1" outlineLevel="1" x14ac:dyDescent="0.35">
      <c r="A2625" s="3065" t="s">
        <v>551</v>
      </c>
      <c r="B2625" s="3066"/>
      <c r="C2625" s="3066"/>
      <c r="D2625" s="3066"/>
      <c r="E2625" s="3066"/>
      <c r="F2625" s="3066"/>
      <c r="G2625" s="3066"/>
      <c r="H2625" s="3066"/>
      <c r="I2625" s="3066"/>
      <c r="J2625" s="3067"/>
    </row>
    <row r="2626" spans="1:23" ht="16" hidden="1" customHeight="1" outlineLevel="1" thickBot="1" x14ac:dyDescent="0.4">
      <c r="A2626" s="3068"/>
      <c r="B2626" s="3069"/>
      <c r="C2626" s="3069"/>
      <c r="D2626" s="3069"/>
      <c r="E2626" s="3069"/>
      <c r="F2626" s="3069"/>
      <c r="G2626" s="3069"/>
      <c r="H2626" s="3069"/>
      <c r="I2626" s="3069"/>
      <c r="J2626" s="3070"/>
    </row>
    <row r="2627" spans="1:23" hidden="1" outlineLevel="1" x14ac:dyDescent="0.35"/>
    <row r="2628" spans="1:23" ht="16.5" hidden="1" customHeight="1" outlineLevel="1" thickBot="1" x14ac:dyDescent="0.4">
      <c r="A2628" s="1619" t="s">
        <v>25</v>
      </c>
      <c r="B2628" s="1996" t="s">
        <v>26</v>
      </c>
      <c r="C2628" s="1621" t="s">
        <v>27</v>
      </c>
      <c r="D2628" s="1622">
        <f>D2612+7</f>
        <v>44253</v>
      </c>
      <c r="E2628" s="1623" t="s">
        <v>28</v>
      </c>
      <c r="F2628" s="3036" t="s">
        <v>29</v>
      </c>
      <c r="G2628" s="3037"/>
      <c r="H2628" s="3038"/>
      <c r="I2628" s="1727"/>
      <c r="J2628" s="1182"/>
      <c r="K2628" s="1183" t="s">
        <v>233</v>
      </c>
      <c r="O2628" s="3042" t="s">
        <v>31</v>
      </c>
      <c r="P2628" s="3043"/>
      <c r="T2628" s="247"/>
      <c r="U2628" s="1988"/>
      <c r="V2628" s="247"/>
    </row>
    <row r="2629" spans="1:23" ht="16" hidden="1" outlineLevel="1" thickBot="1" x14ac:dyDescent="0.4">
      <c r="A2629" s="1973" t="s">
        <v>32</v>
      </c>
      <c r="B2629" s="1997" t="str">
        <f ca="1">TEXT(TODAY(),"ddd")</f>
        <v>Sun</v>
      </c>
      <c r="C2629" s="1998">
        <v>30932</v>
      </c>
      <c r="D2629" s="1980">
        <f>C2629-C2613</f>
        <v>-562</v>
      </c>
      <c r="E2629" s="1977">
        <f>(C2629-C2613)/C2613</f>
        <v>-1.784466882580809E-2</v>
      </c>
      <c r="F2629" s="3039"/>
      <c r="G2629" s="3040"/>
      <c r="H2629" s="3041"/>
      <c r="I2629" s="1602"/>
      <c r="J2629" s="1602"/>
      <c r="K2629" s="1188" t="s">
        <v>234</v>
      </c>
      <c r="L2629" s="1220" t="s">
        <v>34</v>
      </c>
      <c r="M2629" s="111" t="s">
        <v>35</v>
      </c>
      <c r="N2629" s="2995"/>
      <c r="O2629" s="2996"/>
      <c r="P2629" s="2996"/>
      <c r="Q2629" s="2996"/>
      <c r="R2629" s="2996"/>
      <c r="S2629" s="2996"/>
      <c r="T2629" s="2996"/>
      <c r="U2629" s="3044"/>
    </row>
    <row r="2630" spans="1:23" hidden="1" outlineLevel="1" x14ac:dyDescent="0.35">
      <c r="A2630" s="1978" t="s">
        <v>36</v>
      </c>
      <c r="B2630" s="1979"/>
      <c r="C2630" s="1979">
        <v>13192</v>
      </c>
      <c r="D2630" s="1980">
        <f>C2630-C2614</f>
        <v>-682</v>
      </c>
      <c r="E2630" s="1977">
        <f t="shared" ref="E2630" si="823">(C2630-C2614)/C2614</f>
        <v>-4.9156695978088513E-2</v>
      </c>
      <c r="F2630" s="1744" t="s">
        <v>37</v>
      </c>
      <c r="G2630" s="1745" t="s">
        <v>38</v>
      </c>
      <c r="H2630" s="1746" t="s">
        <v>144</v>
      </c>
      <c r="I2630" s="1747" t="s">
        <v>441</v>
      </c>
      <c r="J2630" s="1748" t="s">
        <v>400</v>
      </c>
      <c r="K2630" s="3063" t="s">
        <v>42</v>
      </c>
      <c r="L2630" s="3064"/>
      <c r="M2630" s="3064"/>
      <c r="N2630" s="1830" t="s">
        <v>244</v>
      </c>
      <c r="Q2630" s="1831" t="s">
        <v>44</v>
      </c>
      <c r="R2630" s="1832" t="s">
        <v>45</v>
      </c>
      <c r="S2630" s="1832" t="s">
        <v>46</v>
      </c>
      <c r="T2630" s="1832" t="s">
        <v>47</v>
      </c>
      <c r="U2630" s="1833" t="s">
        <v>48</v>
      </c>
      <c r="W2630" s="1919" t="s">
        <v>446</v>
      </c>
    </row>
    <row r="2631" spans="1:23" hidden="1" outlineLevel="1" x14ac:dyDescent="0.35">
      <c r="A2631" s="1981" t="s">
        <v>552</v>
      </c>
      <c r="B2631" s="1822">
        <v>2000</v>
      </c>
      <c r="C2631" s="1823">
        <v>28.5</v>
      </c>
      <c r="D2631" s="1823">
        <f>C2631*B2631</f>
        <v>57000</v>
      </c>
      <c r="E2631" s="1989"/>
      <c r="F2631" s="1506">
        <f>D2631/$D$2638</f>
        <v>0.17605604438391412</v>
      </c>
      <c r="G2631" s="1520"/>
      <c r="H2631" s="1990"/>
      <c r="I2631" s="1895"/>
      <c r="J2631" s="1896"/>
      <c r="K2631" s="3055" t="s">
        <v>553</v>
      </c>
      <c r="L2631" s="3055"/>
      <c r="M2631" s="3055"/>
      <c r="N2631" s="1489" t="str">
        <f>A2631</f>
        <v>FSR</v>
      </c>
      <c r="O2631" s="3"/>
      <c r="P2631" s="3"/>
      <c r="Q2631" s="1345">
        <v>44251</v>
      </c>
      <c r="R2631" s="1529">
        <f t="shared" ref="R2631" si="824">B2631*RIGHT(K2631,6)</f>
        <v>47460</v>
      </c>
      <c r="S2631" s="1510">
        <f>D2631</f>
        <v>57000</v>
      </c>
      <c r="T2631" s="1510">
        <f>S2631-R2631</f>
        <v>9540</v>
      </c>
      <c r="U2631" s="1530">
        <f>(S2631-R2631)/R2631</f>
        <v>0.20101137800252844</v>
      </c>
      <c r="V2631" s="1926" t="str">
        <f>A2631</f>
        <v>FSR</v>
      </c>
      <c r="W2631" s="1929">
        <f ca="1">Q2631-TODAY()</f>
        <v>-921</v>
      </c>
    </row>
    <row r="2632" spans="1:23" hidden="1" outlineLevel="1" x14ac:dyDescent="0.35">
      <c r="A2632" s="1412" t="s">
        <v>543</v>
      </c>
      <c r="B2632" s="1362">
        <v>500</v>
      </c>
      <c r="C2632" s="1363">
        <v>66.73</v>
      </c>
      <c r="D2632" s="1363">
        <f>C2632*B2632</f>
        <v>33365</v>
      </c>
      <c r="E2632" s="1989">
        <f>(C2632-C2615)/D2615</f>
        <v>-1.4651578052543281E-4</v>
      </c>
      <c r="F2632" s="1506">
        <f>D2632/$D$2638</f>
        <v>0.10305456001525079</v>
      </c>
      <c r="G2632" s="1494"/>
      <c r="H2632" s="1902"/>
      <c r="I2632" s="1889"/>
      <c r="J2632" s="1889"/>
      <c r="K2632" s="3055" t="s">
        <v>544</v>
      </c>
      <c r="L2632" s="3055"/>
      <c r="M2632" s="3055"/>
      <c r="N2632" s="1489" t="str">
        <f>A2632</f>
        <v>DMTK</v>
      </c>
      <c r="O2632" s="3"/>
      <c r="P2632" s="3"/>
      <c r="Q2632" s="1345">
        <f>"11/12/2020"+90</f>
        <v>44237</v>
      </c>
      <c r="R2632" s="1845">
        <f>B2632*RIGHT(K2632,6)</f>
        <v>33945</v>
      </c>
      <c r="S2632" s="1834">
        <f>D2632</f>
        <v>33365</v>
      </c>
      <c r="T2632" s="1834">
        <f>S2632-R2632</f>
        <v>-580</v>
      </c>
      <c r="U2632" s="1835">
        <f>(S2632-R2632)/R2632</f>
        <v>-1.7086463396671085E-2</v>
      </c>
      <c r="V2632" s="1926" t="str">
        <f>A2632</f>
        <v>DMTK</v>
      </c>
      <c r="W2632" s="1655">
        <f ca="1">Q2632-TODAY()</f>
        <v>-935</v>
      </c>
    </row>
    <row r="2633" spans="1:23" hidden="1" outlineLevel="1" x14ac:dyDescent="0.35">
      <c r="A2633" s="1981" t="s">
        <v>447</v>
      </c>
      <c r="B2633" s="1822">
        <v>405</v>
      </c>
      <c r="C2633" s="1823">
        <v>269.97000000000003</v>
      </c>
      <c r="D2633" s="1823">
        <f>C2633*B2633</f>
        <v>109337.85</v>
      </c>
      <c r="E2633" s="1989">
        <f>(D2633-D2616)/D2616</f>
        <v>-0.15290241606526508</v>
      </c>
      <c r="F2633" s="1506">
        <f>D2633/$D$2638</f>
        <v>0.33771209425336396</v>
      </c>
      <c r="G2633" s="1494"/>
      <c r="H2633" s="1902"/>
      <c r="I2633" s="1889"/>
      <c r="J2633" s="1889"/>
      <c r="K2633" s="3055" t="s">
        <v>545</v>
      </c>
      <c r="L2633" s="3055"/>
      <c r="M2633" s="3055"/>
      <c r="N2633" s="1489" t="str">
        <f>A2633</f>
        <v>FVRR</v>
      </c>
      <c r="O2633" s="3"/>
      <c r="P2633" s="3"/>
      <c r="Q2633" s="1345">
        <v>44245</v>
      </c>
      <c r="R2633" s="1845">
        <f>B2633*RIGHT(K2633,6)</f>
        <v>124290.45</v>
      </c>
      <c r="S2633" s="1834">
        <f>D2633</f>
        <v>109337.85</v>
      </c>
      <c r="T2633" s="1834">
        <f>S2633-R2633</f>
        <v>-14952.599999999991</v>
      </c>
      <c r="U2633" s="1835">
        <f>(S2633-R2633)/R2633</f>
        <v>-0.12030369187656809</v>
      </c>
      <c r="V2633" s="1926" t="str">
        <f>A2633</f>
        <v>FVRR</v>
      </c>
      <c r="W2633" s="1929">
        <f ca="1">Q2633-TODAY()</f>
        <v>-927</v>
      </c>
    </row>
    <row r="2634" spans="1:23" hidden="1" outlineLevel="1" x14ac:dyDescent="0.35">
      <c r="A2634" s="1412" t="s">
        <v>549</v>
      </c>
      <c r="B2634" s="1362">
        <v>400</v>
      </c>
      <c r="C2634" s="1363">
        <v>118.19</v>
      </c>
      <c r="D2634" s="1363">
        <f t="shared" ref="D2634" si="825">C2634*B2634</f>
        <v>47276</v>
      </c>
      <c r="E2634" s="1989" cm="1">
        <f t="array" ref="E2634:E2635">(D2634:D2635-D2618)/D2618</f>
        <v>-1.0631173614599029E-2</v>
      </c>
      <c r="F2634" s="1506">
        <f>D2634/$D$2638</f>
        <v>0.14602150095252497</v>
      </c>
      <c r="G2634" s="1494"/>
      <c r="H2634" s="1820" t="s">
        <v>468</v>
      </c>
      <c r="I2634" s="1889"/>
      <c r="J2634" s="1889"/>
      <c r="K2634" s="3055" t="s">
        <v>550</v>
      </c>
      <c r="L2634" s="3055"/>
      <c r="M2634" s="3055"/>
      <c r="N2634" s="1489" t="str">
        <f t="shared" ref="N2634" si="826">A2634</f>
        <v>AMAT</v>
      </c>
      <c r="O2634" s="3"/>
      <c r="P2634" s="3"/>
      <c r="Q2634" s="1345">
        <v>44245</v>
      </c>
      <c r="R2634" s="1845">
        <f>B2634*RIGHT(K2634,6)</f>
        <v>47964</v>
      </c>
      <c r="S2634" s="1834">
        <f t="shared" ref="S2634" si="827">D2634</f>
        <v>47276</v>
      </c>
      <c r="T2634" s="1834">
        <f t="shared" ref="T2634" si="828">S2634-R2634</f>
        <v>-688</v>
      </c>
      <c r="U2634" s="1835">
        <f t="shared" ref="U2634" si="829">(S2634-R2634)/R2634</f>
        <v>-1.4344091401884747E-2</v>
      </c>
      <c r="V2634" s="1926" t="str">
        <f t="shared" ref="V2634" si="830">A2634</f>
        <v>AMAT</v>
      </c>
      <c r="W2634" s="1929">
        <f ca="1">Q2634-TODAY()</f>
        <v>-927</v>
      </c>
    </row>
    <row r="2635" spans="1:23" hidden="1" outlineLevel="1" x14ac:dyDescent="0.35">
      <c r="A2635" s="1981" t="s">
        <v>66</v>
      </c>
      <c r="B2635" s="1822">
        <v>75</v>
      </c>
      <c r="C2635" s="1823">
        <v>675.5</v>
      </c>
      <c r="D2635" s="1823">
        <f>C2635*B2635</f>
        <v>50662.5</v>
      </c>
      <c r="E2635" s="1977">
        <v>6.023982923154194E-2</v>
      </c>
      <c r="F2635" s="1506">
        <f>D2635/$D$2638</f>
        <v>0.15648139208070261</v>
      </c>
      <c r="G2635" s="1520"/>
      <c r="H2635" s="1903"/>
      <c r="I2635" s="1895"/>
      <c r="J2635" s="1896"/>
      <c r="K2635" s="3055" t="s">
        <v>554</v>
      </c>
      <c r="L2635" s="3055"/>
      <c r="M2635" s="3055"/>
      <c r="N2635" s="1673"/>
      <c r="Q2635" s="1912"/>
      <c r="R2635" s="1845">
        <f>B2635*RIGHT(K2635,6)</f>
        <v>52041</v>
      </c>
      <c r="S2635" s="1834">
        <f>D2635</f>
        <v>50662.5</v>
      </c>
      <c r="T2635" s="1834">
        <f>S2635-R2635</f>
        <v>-1378.5</v>
      </c>
      <c r="U2635" s="1835">
        <f>(S2635-R2635)/R2635</f>
        <v>-2.648873003977633E-2</v>
      </c>
      <c r="V2635" s="1926"/>
      <c r="W2635" s="1929"/>
    </row>
    <row r="2636" spans="1:23" hidden="1" outlineLevel="1" x14ac:dyDescent="0.35">
      <c r="A2636" s="55" t="s">
        <v>7</v>
      </c>
      <c r="B2636" s="56"/>
      <c r="C2636" s="1881"/>
      <c r="D2636" s="1881">
        <v>2171.8200000000002</v>
      </c>
      <c r="E2636" s="1982"/>
      <c r="F2636" s="1486"/>
      <c r="G2636" s="1788"/>
      <c r="H2636" s="1789"/>
      <c r="I2636" s="1789"/>
      <c r="J2636" s="1216"/>
      <c r="K2636" s="1633"/>
      <c r="L2636" s="1634"/>
      <c r="M2636" s="1634"/>
      <c r="R2636" s="1845">
        <f>SUM(R2632:R2635)</f>
        <v>258240.45</v>
      </c>
      <c r="S2636" s="1834">
        <f>SUM(S2632:S2635)</f>
        <v>240641.35</v>
      </c>
      <c r="T2636" s="1834">
        <f>SUM(T2632:T2635)</f>
        <v>-17599.099999999991</v>
      </c>
      <c r="U2636" s="1835">
        <f>AVERAGE(U2632:U2635)</f>
        <v>-4.4555744178725064E-2</v>
      </c>
    </row>
    <row r="2637" spans="1:23" ht="16" hidden="1" outlineLevel="1" thickBot="1" x14ac:dyDescent="0.4">
      <c r="A2637" s="55" t="s">
        <v>60</v>
      </c>
      <c r="B2637" s="56"/>
      <c r="C2637" s="1881"/>
      <c r="D2637" s="1881">
        <v>23947.37</v>
      </c>
      <c r="E2637" s="1983"/>
      <c r="F2637" s="1486">
        <f>D2637/$D$2624</f>
        <v>6.5928610936987542E-2</v>
      </c>
      <c r="G2637" s="1734"/>
      <c r="H2637" s="1723"/>
      <c r="I2637" s="1796"/>
      <c r="J2637" s="61">
        <f>SUM(J2636:J2636)</f>
        <v>0</v>
      </c>
      <c r="K2637" s="1468"/>
      <c r="L2637" s="1151"/>
      <c r="M2637" s="1151"/>
      <c r="S2637" s="1470" t="str">
        <f>IF(SUM(D2632:D2635)&lt;&gt;S2636,"Out of Balance","Balances")</f>
        <v>Balances</v>
      </c>
    </row>
    <row r="2638" spans="1:23" ht="19" hidden="1" outlineLevel="1" thickBot="1" x14ac:dyDescent="0.5">
      <c r="A2638" s="66" t="s">
        <v>62</v>
      </c>
      <c r="B2638" s="67"/>
      <c r="C2638" s="68">
        <f>SUM(D2632:D2635)</f>
        <v>240641.35</v>
      </c>
      <c r="D2638" s="1999">
        <f>SUM(D2631:D2637)</f>
        <v>323760.53999999998</v>
      </c>
      <c r="E2638" s="1994">
        <f>D2638-D2624</f>
        <v>-39471.290000000037</v>
      </c>
      <c r="F2638" s="1995">
        <f>(D2638-D2624)/D2624</f>
        <v>-0.10866693593455187</v>
      </c>
      <c r="G2638" s="72" t="s">
        <v>63</v>
      </c>
      <c r="H2638" s="73">
        <f>E2638+E2624+E2608+E2592+E2576</f>
        <v>-29372.67524000007</v>
      </c>
      <c r="I2638" s="1848"/>
      <c r="J2638" s="1849"/>
    </row>
    <row r="2639" spans="1:23" ht="15" hidden="1" customHeight="1" outlineLevel="1" x14ac:dyDescent="0.35">
      <c r="A2639" s="3065" t="s">
        <v>555</v>
      </c>
      <c r="B2639" s="3066"/>
      <c r="C2639" s="3066"/>
      <c r="D2639" s="3066"/>
      <c r="E2639" s="3066"/>
      <c r="F2639" s="3066"/>
      <c r="G2639" s="3066"/>
      <c r="H2639" s="3066"/>
      <c r="I2639" s="3066"/>
      <c r="J2639" s="3067"/>
    </row>
    <row r="2640" spans="1:23" ht="30.65" hidden="1" customHeight="1" outlineLevel="1" thickBot="1" x14ac:dyDescent="0.4">
      <c r="A2640" s="3068"/>
      <c r="B2640" s="3069"/>
      <c r="C2640" s="3069"/>
      <c r="D2640" s="3069"/>
      <c r="E2640" s="3069"/>
      <c r="F2640" s="3069"/>
      <c r="G2640" s="3069"/>
      <c r="H2640" s="3069"/>
      <c r="I2640" s="3069"/>
      <c r="J2640" s="3070"/>
    </row>
    <row r="2641" spans="1:23" hidden="1" outlineLevel="1" x14ac:dyDescent="0.35"/>
    <row r="2642" spans="1:23" ht="16.5" hidden="1" customHeight="1" outlineLevel="1" thickBot="1" x14ac:dyDescent="0.4">
      <c r="A2642" s="1959" t="s">
        <v>25</v>
      </c>
      <c r="B2642" s="2000" t="s">
        <v>26</v>
      </c>
      <c r="C2642" s="1961" t="s">
        <v>27</v>
      </c>
      <c r="D2642" s="1640">
        <f>D2628+7</f>
        <v>44260</v>
      </c>
      <c r="E2642" s="1962" t="s">
        <v>28</v>
      </c>
      <c r="F2642" s="3036" t="s">
        <v>29</v>
      </c>
      <c r="G2642" s="3037"/>
      <c r="H2642" s="3038"/>
      <c r="I2642" s="1727"/>
      <c r="J2642" s="1182"/>
      <c r="K2642" s="1183" t="s">
        <v>233</v>
      </c>
      <c r="O2642" s="3042" t="s">
        <v>31</v>
      </c>
      <c r="P2642" s="3043"/>
      <c r="T2642" s="247"/>
      <c r="U2642" s="1988"/>
      <c r="V2642" s="247"/>
    </row>
    <row r="2643" spans="1:23" ht="16" hidden="1" outlineLevel="1" thickBot="1" x14ac:dyDescent="0.4">
      <c r="A2643" s="1973" t="s">
        <v>32</v>
      </c>
      <c r="B2643" s="1997" t="str">
        <f ca="1">TEXT(TODAY(),"ddd")</f>
        <v>Sun</v>
      </c>
      <c r="C2643" s="1998">
        <v>30924</v>
      </c>
      <c r="D2643" s="1980">
        <f>C2643-C2629</f>
        <v>-8</v>
      </c>
      <c r="E2643" s="1977">
        <f>(C2643-C2629)/C2629</f>
        <v>-2.5863183757920602E-4</v>
      </c>
      <c r="F2643" s="3039"/>
      <c r="G2643" s="3040"/>
      <c r="H2643" s="3041"/>
      <c r="I2643" s="1602"/>
      <c r="J2643" s="1602"/>
      <c r="K2643" s="1188" t="s">
        <v>234</v>
      </c>
      <c r="L2643" s="1220" t="s">
        <v>34</v>
      </c>
      <c r="M2643" s="111" t="s">
        <v>35</v>
      </c>
      <c r="N2643" s="2995"/>
      <c r="O2643" s="2996"/>
      <c r="P2643" s="2996"/>
      <c r="Q2643" s="2996"/>
      <c r="R2643" s="2996"/>
      <c r="S2643" s="2996"/>
      <c r="T2643" s="2996"/>
      <c r="U2643" s="3044"/>
    </row>
    <row r="2644" spans="1:23" hidden="1" outlineLevel="1" x14ac:dyDescent="0.35">
      <c r="A2644" s="1978" t="s">
        <v>36</v>
      </c>
      <c r="B2644" s="1979"/>
      <c r="C2644" s="1979">
        <v>12723</v>
      </c>
      <c r="D2644" s="1980">
        <f>C2644-C2630</f>
        <v>-469</v>
      </c>
      <c r="E2644" s="1977">
        <f>(C2644-C2630)/C2630</f>
        <v>-3.5551849605821709E-2</v>
      </c>
      <c r="F2644" s="1744" t="s">
        <v>37</v>
      </c>
      <c r="G2644" s="1745" t="s">
        <v>38</v>
      </c>
      <c r="H2644" s="1746" t="s">
        <v>144</v>
      </c>
      <c r="I2644" s="1747" t="s">
        <v>441</v>
      </c>
      <c r="J2644" s="1748" t="s">
        <v>400</v>
      </c>
      <c r="K2644" s="3063" t="s">
        <v>42</v>
      </c>
      <c r="L2644" s="3064"/>
      <c r="M2644" s="3064"/>
      <c r="N2644" s="1830" t="s">
        <v>244</v>
      </c>
      <c r="Q2644" s="1831" t="s">
        <v>44</v>
      </c>
      <c r="R2644" s="1832" t="s">
        <v>45</v>
      </c>
      <c r="S2644" s="1832" t="s">
        <v>46</v>
      </c>
      <c r="T2644" s="1832" t="s">
        <v>47</v>
      </c>
      <c r="U2644" s="1833" t="s">
        <v>48</v>
      </c>
      <c r="W2644" s="1919" t="s">
        <v>446</v>
      </c>
    </row>
    <row r="2645" spans="1:23" hidden="1" outlineLevel="1" x14ac:dyDescent="0.35">
      <c r="A2645" s="1981" t="s">
        <v>552</v>
      </c>
      <c r="B2645" s="1822">
        <v>2000</v>
      </c>
      <c r="C2645" s="1823">
        <v>21.3</v>
      </c>
      <c r="D2645" s="1823">
        <f>C2645*B2645</f>
        <v>42600</v>
      </c>
      <c r="E2645" s="1989">
        <f>(D2645-D2631)/D2631</f>
        <v>-0.25263157894736843</v>
      </c>
      <c r="F2645" s="1506">
        <f>D2645/$D$2638</f>
        <v>0.13157872790797792</v>
      </c>
      <c r="G2645" s="1520"/>
      <c r="H2645" s="1990"/>
      <c r="I2645" s="1895"/>
      <c r="J2645" s="1896"/>
      <c r="K2645" s="3055" t="s">
        <v>553</v>
      </c>
      <c r="L2645" s="3055"/>
      <c r="M2645" s="3055"/>
      <c r="N2645" s="1489" t="str">
        <f>A2645</f>
        <v>FSR</v>
      </c>
      <c r="O2645" s="3"/>
      <c r="P2645" s="3"/>
      <c r="Q2645" s="1345">
        <v>44251</v>
      </c>
      <c r="R2645" s="1845">
        <f t="shared" ref="R2645" si="831">B2645*RIGHT(K2645,6)</f>
        <v>47460</v>
      </c>
      <c r="S2645" s="1834">
        <f>D2645</f>
        <v>42600</v>
      </c>
      <c r="T2645" s="1834">
        <f>S2645-R2645</f>
        <v>-4860</v>
      </c>
      <c r="U2645" s="1835">
        <f>(S2645-R2645)/R2645</f>
        <v>-0.10240202275600506</v>
      </c>
      <c r="V2645" s="1926" t="str">
        <f>A2645</f>
        <v>FSR</v>
      </c>
      <c r="W2645" s="1929">
        <f ca="1">Q2645-TODAY()</f>
        <v>-921</v>
      </c>
    </row>
    <row r="2646" spans="1:23" hidden="1" outlineLevel="1" x14ac:dyDescent="0.35">
      <c r="A2646" s="1412" t="s">
        <v>543</v>
      </c>
      <c r="B2646" s="1362">
        <v>500</v>
      </c>
      <c r="C2646" s="1363">
        <v>48.7</v>
      </c>
      <c r="D2646" s="1363">
        <f>C2646*B2646</f>
        <v>24350</v>
      </c>
      <c r="E2646" s="1989">
        <f t="shared" ref="E2646:E2649" si="832">(D2646-D2632)/D2632</f>
        <v>-0.27019331634946803</v>
      </c>
      <c r="F2646" s="1506">
        <f>D2646/$D$2638</f>
        <v>7.5209906679794894E-2</v>
      </c>
      <c r="G2646" s="1494"/>
      <c r="H2646" s="1902"/>
      <c r="I2646" s="1889"/>
      <c r="J2646" s="1889"/>
      <c r="K2646" s="3055" t="s">
        <v>544</v>
      </c>
      <c r="L2646" s="3055"/>
      <c r="M2646" s="3055"/>
      <c r="N2646" s="1489" t="str">
        <f>A2646</f>
        <v>DMTK</v>
      </c>
      <c r="O2646" s="3"/>
      <c r="P2646" s="3"/>
      <c r="Q2646" s="1345">
        <f>"11/12/2020"+90</f>
        <v>44237</v>
      </c>
      <c r="R2646" s="1845">
        <f>B2646*RIGHT(K2646,6)</f>
        <v>33945</v>
      </c>
      <c r="S2646" s="1834">
        <f>D2646</f>
        <v>24350</v>
      </c>
      <c r="T2646" s="1834">
        <f>S2646-R2646</f>
        <v>-9595</v>
      </c>
      <c r="U2646" s="1835">
        <f>(S2646-R2646)/R2646</f>
        <v>-0.28266313153630873</v>
      </c>
      <c r="V2646" s="1926" t="str">
        <f>A2646</f>
        <v>DMTK</v>
      </c>
      <c r="W2646" s="1655">
        <f ca="1">Q2646-TODAY()</f>
        <v>-935</v>
      </c>
    </row>
    <row r="2647" spans="1:23" hidden="1" outlineLevel="1" x14ac:dyDescent="0.35">
      <c r="A2647" s="1981" t="s">
        <v>447</v>
      </c>
      <c r="B2647" s="1822">
        <v>405</v>
      </c>
      <c r="C2647" s="1823">
        <v>218.08</v>
      </c>
      <c r="D2647" s="1823">
        <f>C2647*B2647</f>
        <v>88322.400000000009</v>
      </c>
      <c r="E2647" s="1989">
        <f t="shared" si="832"/>
        <v>-0.19220654146757044</v>
      </c>
      <c r="F2647" s="1506">
        <f>D2647/$D$2638</f>
        <v>0.27280162060515473</v>
      </c>
      <c r="G2647" s="1494"/>
      <c r="H2647" s="1902"/>
      <c r="I2647" s="1889"/>
      <c r="J2647" s="1889"/>
      <c r="K2647" s="3055" t="s">
        <v>545</v>
      </c>
      <c r="L2647" s="3055"/>
      <c r="M2647" s="3055"/>
      <c r="N2647" s="1489" t="str">
        <f>A2647</f>
        <v>FVRR</v>
      </c>
      <c r="O2647" s="3"/>
      <c r="P2647" s="3"/>
      <c r="Q2647" s="1345">
        <v>44245</v>
      </c>
      <c r="R2647" s="1845">
        <f>B2647*RIGHT(K2647,6)</f>
        <v>124290.45</v>
      </c>
      <c r="S2647" s="1834">
        <f>D2647</f>
        <v>88322.400000000009</v>
      </c>
      <c r="T2647" s="1834">
        <f>S2647-R2647</f>
        <v>-35968.049999999988</v>
      </c>
      <c r="U2647" s="1835">
        <f>(S2647-R2647)/R2647</f>
        <v>-0.2893870768027631</v>
      </c>
      <c r="V2647" s="1926" t="str">
        <f>A2647</f>
        <v>FVRR</v>
      </c>
      <c r="W2647" s="1929">
        <f ca="1">Q2647-TODAY()</f>
        <v>-927</v>
      </c>
    </row>
    <row r="2648" spans="1:23" hidden="1" outlineLevel="1" x14ac:dyDescent="0.35">
      <c r="A2648" s="1412" t="s">
        <v>549</v>
      </c>
      <c r="B2648" s="1362">
        <v>400</v>
      </c>
      <c r="C2648" s="1363">
        <v>108.24</v>
      </c>
      <c r="D2648" s="1363">
        <f t="shared" ref="D2648" si="833">C2648*B2648</f>
        <v>43296</v>
      </c>
      <c r="E2648" s="1989">
        <f t="shared" si="832"/>
        <v>-8.4186479397580172E-2</v>
      </c>
      <c r="F2648" s="1506">
        <f>D2648/$D$2638</f>
        <v>0.1337284648709815</v>
      </c>
      <c r="G2648" s="1494"/>
      <c r="H2648" s="1820" t="s">
        <v>468</v>
      </c>
      <c r="I2648" s="1889"/>
      <c r="J2648" s="1889"/>
      <c r="K2648" s="3055" t="s">
        <v>550</v>
      </c>
      <c r="L2648" s="3055"/>
      <c r="M2648" s="3055"/>
      <c r="N2648" s="1489" t="str">
        <f t="shared" ref="N2648" si="834">A2648</f>
        <v>AMAT</v>
      </c>
      <c r="O2648" s="3"/>
      <c r="P2648" s="3"/>
      <c r="Q2648" s="1345">
        <v>44245</v>
      </c>
      <c r="R2648" s="1845">
        <f>B2648*RIGHT(K2648,6)</f>
        <v>47964</v>
      </c>
      <c r="S2648" s="1834">
        <f t="shared" ref="S2648" si="835">D2648</f>
        <v>43296</v>
      </c>
      <c r="T2648" s="1834">
        <f t="shared" ref="T2648" si="836">S2648-R2648</f>
        <v>-4668</v>
      </c>
      <c r="U2648" s="1835">
        <f t="shared" ref="U2648" si="837">(S2648-R2648)/R2648</f>
        <v>-9.7322992244183143E-2</v>
      </c>
      <c r="V2648" s="1926" t="str">
        <f t="shared" ref="V2648" si="838">A2648</f>
        <v>AMAT</v>
      </c>
      <c r="W2648" s="1929">
        <f ca="1">Q2648-TODAY()</f>
        <v>-927</v>
      </c>
    </row>
    <row r="2649" spans="1:23" hidden="1" outlineLevel="1" x14ac:dyDescent="0.35">
      <c r="A2649" s="1981" t="s">
        <v>66</v>
      </c>
      <c r="B2649" s="1822">
        <v>75</v>
      </c>
      <c r="C2649" s="1823">
        <v>597.04999999999995</v>
      </c>
      <c r="D2649" s="1823">
        <f>C2649*B2649</f>
        <v>44778.75</v>
      </c>
      <c r="E2649" s="1989">
        <f t="shared" si="832"/>
        <v>-0.1161361954108068</v>
      </c>
      <c r="F2649" s="1506">
        <f>D2649/$D$2638</f>
        <v>0.13830823855186306</v>
      </c>
      <c r="G2649" s="1520"/>
      <c r="H2649" s="1903"/>
      <c r="I2649" s="1895"/>
      <c r="J2649" s="1896"/>
      <c r="K2649" s="3055" t="s">
        <v>554</v>
      </c>
      <c r="L2649" s="3055"/>
      <c r="M2649" s="3055"/>
      <c r="N2649" s="46"/>
      <c r="Q2649" s="1912"/>
      <c r="R2649" s="1845">
        <f>B2649*RIGHT(K2649,6)</f>
        <v>52041</v>
      </c>
      <c r="S2649" s="1834">
        <f>D2649</f>
        <v>44778.75</v>
      </c>
      <c r="T2649" s="1834">
        <f>S2649-R2649</f>
        <v>-7262.25</v>
      </c>
      <c r="U2649" s="1835">
        <f>(S2649-R2649)/R2649</f>
        <v>-0.13954862512249958</v>
      </c>
      <c r="V2649" s="1926"/>
      <c r="W2649" s="1929"/>
    </row>
    <row r="2650" spans="1:23" hidden="1" outlineLevel="1" x14ac:dyDescent="0.35">
      <c r="A2650" s="55" t="s">
        <v>7</v>
      </c>
      <c r="B2650" s="56"/>
      <c r="C2650" s="1881"/>
      <c r="D2650" s="1881">
        <v>2171.8200000000002</v>
      </c>
      <c r="E2650" s="1982"/>
      <c r="F2650" s="1486"/>
      <c r="G2650" s="1788"/>
      <c r="H2650" s="1789"/>
      <c r="I2650" s="1789"/>
      <c r="J2650" s="1216"/>
      <c r="K2650" s="1633"/>
      <c r="L2650" s="1634"/>
      <c r="M2650" s="1634"/>
      <c r="R2650" s="1845">
        <f>SUM(R2646:R2649)</f>
        <v>258240.45</v>
      </c>
      <c r="S2650" s="1834">
        <f>SUM(S2646:S2649)</f>
        <v>200747.15000000002</v>
      </c>
      <c r="T2650" s="1834">
        <f>SUM(T2645:T2649)</f>
        <v>-62353.299999999988</v>
      </c>
      <c r="U2650" s="1835">
        <f>AVERAGE(U2646:U2649)</f>
        <v>-0.20223045642643864</v>
      </c>
    </row>
    <row r="2651" spans="1:23" ht="16" hidden="1" outlineLevel="1" thickBot="1" x14ac:dyDescent="0.4">
      <c r="A2651" s="55" t="s">
        <v>60</v>
      </c>
      <c r="B2651" s="56"/>
      <c r="C2651" s="1881"/>
      <c r="D2651" s="1881">
        <f>23947.37-1400-1400</f>
        <v>21147.37</v>
      </c>
      <c r="E2651" s="1983"/>
      <c r="F2651" s="1486">
        <f>D2651/$D$2624</f>
        <v>5.8220035397228261E-2</v>
      </c>
      <c r="G2651" s="1734"/>
      <c r="H2651" s="1723"/>
      <c r="I2651" s="1796"/>
      <c r="J2651" s="61">
        <f>SUM(J2650:J2650)</f>
        <v>0</v>
      </c>
      <c r="K2651" s="1468"/>
      <c r="L2651" s="1151"/>
      <c r="M2651" s="1151"/>
      <c r="S2651" s="1470" t="str">
        <f>IF(SUM(D2646:D2649)&lt;&gt;S2650,"Out of Balance","Balances")</f>
        <v>Balances</v>
      </c>
    </row>
    <row r="2652" spans="1:23" ht="19" hidden="1" outlineLevel="1" thickBot="1" x14ac:dyDescent="0.5">
      <c r="A2652" s="66" t="s">
        <v>62</v>
      </c>
      <c r="B2652" s="67"/>
      <c r="C2652" s="68">
        <f>SUM(D2646:D2649)</f>
        <v>200747.15000000002</v>
      </c>
      <c r="D2652" s="1999">
        <f>SUM(D2645:D2651)</f>
        <v>266666.34000000003</v>
      </c>
      <c r="E2652" s="1994">
        <f>D2652-D2638</f>
        <v>-57094.199999999953</v>
      </c>
      <c r="F2652" s="1995">
        <f>(D2652-D2638)/D2638</f>
        <v>-0.17634700016252738</v>
      </c>
      <c r="G2652" s="72" t="s">
        <v>63</v>
      </c>
      <c r="H2652" s="73">
        <f>E2652+E2638+E2624</f>
        <v>-99665.330000000016</v>
      </c>
      <c r="I2652" s="74" t="s">
        <v>556</v>
      </c>
      <c r="J2652" s="1849"/>
    </row>
    <row r="2653" spans="1:23" ht="15" hidden="1" customHeight="1" outlineLevel="1" x14ac:dyDescent="0.35">
      <c r="A2653" s="3065" t="s">
        <v>557</v>
      </c>
      <c r="B2653" s="3066"/>
      <c r="C2653" s="3066"/>
      <c r="D2653" s="3066"/>
      <c r="E2653" s="3066"/>
      <c r="F2653" s="3066"/>
      <c r="G2653" s="3066"/>
      <c r="H2653" s="3066"/>
      <c r="I2653" s="3066"/>
      <c r="J2653" s="3067"/>
    </row>
    <row r="2654" spans="1:23" ht="30.65" hidden="1" customHeight="1" outlineLevel="1" thickBot="1" x14ac:dyDescent="0.4">
      <c r="A2654" s="3068"/>
      <c r="B2654" s="3069"/>
      <c r="C2654" s="3069"/>
      <c r="D2654" s="3069"/>
      <c r="E2654" s="3069"/>
      <c r="F2654" s="3069"/>
      <c r="G2654" s="3069"/>
      <c r="H2654" s="3069"/>
      <c r="I2654" s="3069"/>
      <c r="J2654" s="3070"/>
    </row>
    <row r="2655" spans="1:23" hidden="1" outlineLevel="1" x14ac:dyDescent="0.35"/>
    <row r="2656" spans="1:23" ht="16.5" hidden="1" customHeight="1" outlineLevel="1" thickBot="1" x14ac:dyDescent="0.4">
      <c r="A2656" s="1959" t="s">
        <v>25</v>
      </c>
      <c r="B2656" s="2000" t="s">
        <v>26</v>
      </c>
      <c r="C2656" s="1961" t="s">
        <v>27</v>
      </c>
      <c r="D2656" s="1640">
        <f>D2642</f>
        <v>44260</v>
      </c>
      <c r="E2656" s="1962" t="s">
        <v>28</v>
      </c>
      <c r="F2656" s="3036" t="s">
        <v>29</v>
      </c>
      <c r="G2656" s="3037"/>
      <c r="H2656" s="3038"/>
      <c r="I2656" s="1727"/>
      <c r="J2656" s="1182"/>
      <c r="K2656" s="1183" t="s">
        <v>233</v>
      </c>
      <c r="O2656" s="3042" t="s">
        <v>31</v>
      </c>
      <c r="P2656" s="3043"/>
      <c r="T2656" s="247"/>
      <c r="U2656" s="1988"/>
      <c r="V2656" s="247"/>
    </row>
    <row r="2657" spans="1:23" ht="16" hidden="1" outlineLevel="1" thickBot="1" x14ac:dyDescent="0.4">
      <c r="A2657" s="1973" t="s">
        <v>32</v>
      </c>
      <c r="B2657" s="1997" t="str">
        <f ca="1">TEXT(TODAY(),"ddd")</f>
        <v>Sun</v>
      </c>
      <c r="C2657" s="1998">
        <v>30924</v>
      </c>
      <c r="D2657" s="1980">
        <f>C2657-C2643</f>
        <v>0</v>
      </c>
      <c r="E2657" s="1977">
        <f>(C2657-C2643)/C2643</f>
        <v>0</v>
      </c>
      <c r="F2657" s="3039"/>
      <c r="G2657" s="3040"/>
      <c r="H2657" s="3041"/>
      <c r="I2657" s="1602"/>
      <c r="J2657" s="1602"/>
      <c r="K2657" s="1188" t="s">
        <v>234</v>
      </c>
      <c r="L2657" s="1220" t="s">
        <v>34</v>
      </c>
      <c r="M2657" s="111" t="s">
        <v>35</v>
      </c>
      <c r="N2657" s="2995"/>
      <c r="O2657" s="2996"/>
      <c r="P2657" s="2996"/>
      <c r="Q2657" s="2996"/>
      <c r="R2657" s="2996"/>
      <c r="S2657" s="2996"/>
      <c r="T2657" s="2996"/>
      <c r="U2657" s="3044"/>
    </row>
    <row r="2658" spans="1:23" hidden="1" outlineLevel="1" x14ac:dyDescent="0.35">
      <c r="A2658" s="1978" t="s">
        <v>36</v>
      </c>
      <c r="B2658" s="1979"/>
      <c r="C2658" s="1979">
        <v>12723</v>
      </c>
      <c r="D2658" s="1980">
        <f>C2658-C2644</f>
        <v>0</v>
      </c>
      <c r="E2658" s="1977">
        <f>(C2658-C2644)/C2644</f>
        <v>0</v>
      </c>
      <c r="F2658" s="1744" t="s">
        <v>37</v>
      </c>
      <c r="G2658" s="1745" t="s">
        <v>38</v>
      </c>
      <c r="H2658" s="1746" t="s">
        <v>144</v>
      </c>
      <c r="I2658" s="1747" t="s">
        <v>441</v>
      </c>
      <c r="J2658" s="1748" t="s">
        <v>400</v>
      </c>
      <c r="K2658" s="3063" t="s">
        <v>42</v>
      </c>
      <c r="L2658" s="3064"/>
      <c r="M2658" s="3064"/>
      <c r="N2658" s="1830" t="s">
        <v>244</v>
      </c>
      <c r="Q2658" s="1831" t="s">
        <v>44</v>
      </c>
      <c r="R2658" s="1832" t="s">
        <v>45</v>
      </c>
      <c r="S2658" s="1832" t="s">
        <v>46</v>
      </c>
      <c r="T2658" s="1832" t="s">
        <v>47</v>
      </c>
      <c r="U2658" s="1833" t="s">
        <v>48</v>
      </c>
      <c r="W2658" s="1919" t="s">
        <v>446</v>
      </c>
    </row>
    <row r="2659" spans="1:23" hidden="1" outlineLevel="1" x14ac:dyDescent="0.35">
      <c r="A2659" s="1412" t="s">
        <v>549</v>
      </c>
      <c r="B2659" s="1362">
        <v>400</v>
      </c>
      <c r="C2659" s="1363">
        <v>113.45</v>
      </c>
      <c r="D2659" s="1363">
        <f t="shared" ref="D2659" si="839">C2659*B2659</f>
        <v>45380</v>
      </c>
      <c r="E2659" s="1989">
        <f t="shared" ref="E2659" si="840">(D2659-D2645)/D2645</f>
        <v>6.5258215962441316E-2</v>
      </c>
      <c r="F2659" s="1506">
        <f>D2659/$D$2638</f>
        <v>0.14016532094986006</v>
      </c>
      <c r="G2659" s="1494"/>
      <c r="H2659" s="1820" t="s">
        <v>468</v>
      </c>
      <c r="I2659" s="1889"/>
      <c r="J2659" s="1889"/>
      <c r="K2659" s="3055" t="s">
        <v>550</v>
      </c>
      <c r="L2659" s="3055"/>
      <c r="M2659" s="3055"/>
      <c r="N2659" s="1489" t="str">
        <f t="shared" ref="N2659" si="841">A2659</f>
        <v>AMAT</v>
      </c>
      <c r="O2659" s="3"/>
      <c r="P2659" s="3"/>
      <c r="Q2659" s="1345">
        <v>44328</v>
      </c>
      <c r="R2659" s="1845">
        <f>B2659*RIGHT(K2659,6)</f>
        <v>47964</v>
      </c>
      <c r="S2659" s="1834">
        <f t="shared" ref="S2659" si="842">D2659</f>
        <v>45380</v>
      </c>
      <c r="T2659" s="1834">
        <f t="shared" ref="T2659" si="843">S2659-R2659</f>
        <v>-2584</v>
      </c>
      <c r="U2659" s="1835">
        <f t="shared" ref="U2659" si="844">(S2659-R2659)/R2659</f>
        <v>-5.3873738637311319E-2</v>
      </c>
      <c r="V2659" s="1926" t="str">
        <f t="shared" ref="V2659" si="845">A2659</f>
        <v>AMAT</v>
      </c>
      <c r="W2659" s="1929">
        <f ca="1">Q2659-TODAY()</f>
        <v>-844</v>
      </c>
    </row>
    <row r="2660" spans="1:23" hidden="1" outlineLevel="1" x14ac:dyDescent="0.35">
      <c r="A2660" s="1412" t="s">
        <v>558</v>
      </c>
      <c r="B2660" s="1362">
        <v>400</v>
      </c>
      <c r="C2660" s="1363">
        <v>145.44</v>
      </c>
      <c r="D2660" s="1363">
        <f>C2660*B2660</f>
        <v>58176</v>
      </c>
      <c r="E2660" s="1989"/>
      <c r="F2660" s="1506">
        <f>D2660/$D$2638</f>
        <v>0.17968835856278226</v>
      </c>
      <c r="G2660" s="1494"/>
      <c r="H2660" s="1902"/>
      <c r="I2660" s="1889"/>
      <c r="J2660" s="1889"/>
      <c r="K2660" s="3055" t="s">
        <v>559</v>
      </c>
      <c r="L2660" s="3055"/>
      <c r="M2660" s="3055"/>
      <c r="N2660" s="1489" t="str">
        <f>A2660</f>
        <v>MCHP</v>
      </c>
      <c r="O2660" s="3"/>
      <c r="P2660" s="3"/>
      <c r="Q2660" s="1345">
        <v>44321</v>
      </c>
      <c r="R2660" s="1529">
        <f>B2660*RIGHT(K2660,6)</f>
        <v>55448</v>
      </c>
      <c r="S2660" s="1510">
        <f>D2660</f>
        <v>58176</v>
      </c>
      <c r="T2660" s="1510">
        <f>S2660-R2660</f>
        <v>2728</v>
      </c>
      <c r="U2660" s="1530">
        <f>(S2660-R2660)/R2660</f>
        <v>4.9199249747511178E-2</v>
      </c>
      <c r="V2660" s="1926" t="str">
        <f>A2660</f>
        <v>MCHP</v>
      </c>
      <c r="W2660" s="1929">
        <f ca="1">Q2660-TODAY()</f>
        <v>-851</v>
      </c>
    </row>
    <row r="2661" spans="1:23" hidden="1" outlineLevel="1" x14ac:dyDescent="0.35">
      <c r="A2661" s="1412" t="s">
        <v>135</v>
      </c>
      <c r="B2661" s="1531">
        <v>190</v>
      </c>
      <c r="C2661" s="1143">
        <v>547.70000000000005</v>
      </c>
      <c r="D2661" s="1143">
        <f>C2661*B2661</f>
        <v>104063.00000000001</v>
      </c>
      <c r="E2661" s="1989"/>
      <c r="F2661" s="1506">
        <f>D2661/$D$2638</f>
        <v>0.32141965169689929</v>
      </c>
      <c r="G2661" s="1494"/>
      <c r="H2661" s="1902"/>
      <c r="I2661" s="1889"/>
      <c r="J2661" s="1889"/>
      <c r="K2661" s="3055" t="s">
        <v>560</v>
      </c>
      <c r="L2661" s="3055"/>
      <c r="M2661" s="3055"/>
      <c r="N2661" s="1489" t="str">
        <f>A2661</f>
        <v>LRCX</v>
      </c>
      <c r="O2661" s="3"/>
      <c r="P2661" s="3"/>
      <c r="Q2661" s="1345">
        <v>44306</v>
      </c>
      <c r="R2661" s="1529">
        <f>B2661*RIGHT(K2661,6)</f>
        <v>100314.3</v>
      </c>
      <c r="S2661" s="1510">
        <f>D2661</f>
        <v>104063.00000000001</v>
      </c>
      <c r="T2661" s="1510">
        <f>S2661-R2661</f>
        <v>3748.7000000000116</v>
      </c>
      <c r="U2661" s="1530">
        <f>(S2661-R2661)/R2661</f>
        <v>3.7369547512169365E-2</v>
      </c>
      <c r="V2661" s="1926" t="str">
        <f>A2661</f>
        <v>LRCX</v>
      </c>
      <c r="W2661" s="1929">
        <f ca="1">Q2661-TODAY()</f>
        <v>-866</v>
      </c>
    </row>
    <row r="2662" spans="1:23" hidden="1" outlineLevel="1" x14ac:dyDescent="0.35">
      <c r="A2662" s="1412" t="s">
        <v>66</v>
      </c>
      <c r="B2662" s="1531">
        <v>75</v>
      </c>
      <c r="C2662" s="1143">
        <v>597.95000000000005</v>
      </c>
      <c r="D2662" s="1143">
        <f>C2662*B2662</f>
        <v>44846.25</v>
      </c>
      <c r="E2662" s="1989">
        <f>(D2662-D2649)/D2649</f>
        <v>1.5074114395779248E-3</v>
      </c>
      <c r="F2662" s="1506">
        <f>D2662/$D$2638</f>
        <v>0.13851672597284401</v>
      </c>
      <c r="G2662" s="1520"/>
      <c r="H2662" s="1903"/>
      <c r="I2662" s="1895"/>
      <c r="J2662" s="1896"/>
      <c r="K2662" s="3055" t="s">
        <v>554</v>
      </c>
      <c r="L2662" s="3055"/>
      <c r="M2662" s="3055"/>
      <c r="N2662" s="1489" t="str">
        <f>A2662</f>
        <v>TSLA</v>
      </c>
      <c r="O2662" s="3"/>
      <c r="P2662" s="3"/>
      <c r="Q2662" s="1345">
        <v>44313</v>
      </c>
      <c r="R2662" s="1845">
        <f>B2662*RIGHT(K2662,6)</f>
        <v>52041</v>
      </c>
      <c r="S2662" s="1834">
        <f>D2662</f>
        <v>44846.25</v>
      </c>
      <c r="T2662" s="1834">
        <f>S2662-R2662</f>
        <v>-7194.75</v>
      </c>
      <c r="U2662" s="1835">
        <f>(S2662-R2662)/R2662</f>
        <v>-0.13825157087680867</v>
      </c>
      <c r="V2662" s="1926" t="str">
        <f>A2662</f>
        <v>TSLA</v>
      </c>
      <c r="W2662" s="1929">
        <f ca="1">Q2662-TODAY()</f>
        <v>-859</v>
      </c>
    </row>
    <row r="2663" spans="1:23" hidden="1" outlineLevel="1" x14ac:dyDescent="0.35">
      <c r="A2663" s="55" t="s">
        <v>7</v>
      </c>
      <c r="B2663" s="56"/>
      <c r="C2663" s="1881"/>
      <c r="D2663" s="1881">
        <v>2154.14</v>
      </c>
      <c r="E2663" s="1982"/>
      <c r="F2663" s="1486"/>
      <c r="G2663" s="1788"/>
      <c r="H2663" s="1789"/>
      <c r="I2663" s="1789"/>
      <c r="J2663" s="1216"/>
      <c r="K2663" s="1633"/>
      <c r="L2663" s="1634"/>
      <c r="M2663" s="1634"/>
      <c r="R2663" s="1845">
        <f>SUM(R2660:R2662)</f>
        <v>207803.3</v>
      </c>
      <c r="S2663" s="1834">
        <f>SUM(S2660:S2662)</f>
        <v>207085.25</v>
      </c>
      <c r="T2663" s="1834">
        <f>SUM(T2659:T2662)</f>
        <v>-3302.0499999999884</v>
      </c>
      <c r="U2663" s="1835">
        <f>AVERAGE(U2660:U2662)</f>
        <v>-1.7227591205709377E-2</v>
      </c>
    </row>
    <row r="2664" spans="1:23" ht="16" hidden="1" outlineLevel="1" thickBot="1" x14ac:dyDescent="0.4">
      <c r="A2664" s="55" t="s">
        <v>60</v>
      </c>
      <c r="B2664" s="56"/>
      <c r="C2664" s="1881"/>
      <c r="D2664" s="1881">
        <v>11646.16</v>
      </c>
      <c r="E2664" s="1983"/>
      <c r="F2664" s="1486">
        <f>D2664/$D$2624</f>
        <v>3.206260861004389E-2</v>
      </c>
      <c r="G2664" s="1734"/>
      <c r="H2664" s="1723"/>
      <c r="I2664" s="1796"/>
      <c r="J2664" s="61">
        <f>SUM(J2663:J2663)</f>
        <v>0</v>
      </c>
      <c r="K2664" s="1468"/>
      <c r="L2664" s="1151"/>
      <c r="M2664" s="1151"/>
      <c r="S2664" s="1470" t="str">
        <f>IF(SUM(D2660:D2662)&lt;&gt;S2663,"Out of Balance","Balances")</f>
        <v>Balances</v>
      </c>
    </row>
    <row r="2665" spans="1:23" ht="19" hidden="1" outlineLevel="1" thickBot="1" x14ac:dyDescent="0.5">
      <c r="A2665" s="66" t="s">
        <v>62</v>
      </c>
      <c r="B2665" s="67"/>
      <c r="C2665" s="68">
        <f>SUM(D2660:D2662)</f>
        <v>207085.25</v>
      </c>
      <c r="D2665" s="1999">
        <f>SUM(D2659:D2664)</f>
        <v>266265.55</v>
      </c>
      <c r="E2665" s="1994">
        <f>D2665-D2652</f>
        <v>-400.79000000003725</v>
      </c>
      <c r="F2665" s="2001">
        <f>(D2665-D2652)/D2652</f>
        <v>-1.5029643411314574E-3</v>
      </c>
      <c r="G2665" s="2002" t="s">
        <v>63</v>
      </c>
      <c r="H2665" s="73">
        <f>E2665+E2652+E2638+E2624+E2608</f>
        <v>-89330.51999999996</v>
      </c>
      <c r="I2665" s="74" t="s">
        <v>556</v>
      </c>
      <c r="J2665" s="1849"/>
    </row>
    <row r="2666" spans="1:23" ht="15" hidden="1" customHeight="1" outlineLevel="1" x14ac:dyDescent="0.35">
      <c r="A2666" s="3065" t="s">
        <v>561</v>
      </c>
      <c r="B2666" s="3066"/>
      <c r="C2666" s="3066"/>
      <c r="D2666" s="3066"/>
      <c r="E2666" s="3066"/>
      <c r="F2666" s="3066"/>
      <c r="G2666" s="3066"/>
      <c r="H2666" s="3066"/>
      <c r="I2666" s="3066"/>
      <c r="J2666" s="3067"/>
    </row>
    <row r="2667" spans="1:23" ht="30.65" hidden="1" customHeight="1" outlineLevel="1" thickBot="1" x14ac:dyDescent="0.4">
      <c r="A2667" s="3068"/>
      <c r="B2667" s="3069"/>
      <c r="C2667" s="3069"/>
      <c r="D2667" s="3069"/>
      <c r="E2667" s="3069"/>
      <c r="F2667" s="3069"/>
      <c r="G2667" s="3069"/>
      <c r="H2667" s="3069"/>
      <c r="I2667" s="3069"/>
      <c r="J2667" s="3070"/>
    </row>
    <row r="2668" spans="1:23" hidden="1" outlineLevel="1" x14ac:dyDescent="0.35"/>
    <row r="2669" spans="1:23" ht="16.5" hidden="1" customHeight="1" outlineLevel="1" thickBot="1" x14ac:dyDescent="0.4">
      <c r="A2669" s="1959" t="s">
        <v>25</v>
      </c>
      <c r="B2669" s="2000" t="s">
        <v>26</v>
      </c>
      <c r="C2669" s="1961" t="s">
        <v>27</v>
      </c>
      <c r="D2669" s="1640">
        <f>D2656+7</f>
        <v>44267</v>
      </c>
      <c r="E2669" s="1962" t="s">
        <v>28</v>
      </c>
      <c r="F2669" s="3036" t="s">
        <v>29</v>
      </c>
      <c r="G2669" s="3037"/>
      <c r="H2669" s="3038"/>
      <c r="I2669" s="1727"/>
      <c r="J2669" s="1182"/>
      <c r="K2669" s="1183" t="s">
        <v>233</v>
      </c>
      <c r="O2669" s="3042" t="s">
        <v>31</v>
      </c>
      <c r="P2669" s="3043"/>
      <c r="T2669" s="247"/>
      <c r="U2669" s="1988"/>
      <c r="V2669" s="247"/>
    </row>
    <row r="2670" spans="1:23" ht="16" hidden="1" outlineLevel="1" thickBot="1" x14ac:dyDescent="0.4">
      <c r="A2670" s="1973" t="s">
        <v>32</v>
      </c>
      <c r="B2670" s="1997" t="str">
        <f ca="1">TEXT(TODAY(),"ddd")</f>
        <v>Sun</v>
      </c>
      <c r="C2670" s="1998">
        <v>32778</v>
      </c>
      <c r="D2670" s="1980">
        <f>C2670-C2657</f>
        <v>1854</v>
      </c>
      <c r="E2670" s="1977">
        <f>(C2670-C2657)/C2657</f>
        <v>5.9953434225844003E-2</v>
      </c>
      <c r="F2670" s="3039"/>
      <c r="G2670" s="3040"/>
      <c r="H2670" s="3041"/>
      <c r="I2670" s="1602"/>
      <c r="J2670" s="1602"/>
      <c r="K2670" s="1188" t="s">
        <v>234</v>
      </c>
      <c r="L2670" s="1220" t="s">
        <v>34</v>
      </c>
      <c r="M2670" s="111" t="s">
        <v>35</v>
      </c>
      <c r="N2670" s="2995"/>
      <c r="O2670" s="2996"/>
      <c r="P2670" s="2996"/>
      <c r="Q2670" s="2996"/>
      <c r="R2670" s="2996"/>
      <c r="S2670" s="2996"/>
      <c r="T2670" s="2996"/>
      <c r="U2670" s="3044"/>
    </row>
    <row r="2671" spans="1:23" hidden="1" outlineLevel="1" x14ac:dyDescent="0.35">
      <c r="A2671" s="1978" t="s">
        <v>36</v>
      </c>
      <c r="B2671" s="1979"/>
      <c r="C2671" s="1979">
        <v>13319</v>
      </c>
      <c r="D2671" s="1980">
        <f>C2671-C2658</f>
        <v>596</v>
      </c>
      <c r="E2671" s="1977">
        <f t="shared" ref="E2671" si="846">(C2671-C2658)/C2658</f>
        <v>4.6844297728523145E-2</v>
      </c>
      <c r="F2671" s="1744" t="s">
        <v>37</v>
      </c>
      <c r="G2671" s="1745" t="s">
        <v>38</v>
      </c>
      <c r="H2671" s="1746" t="s">
        <v>144</v>
      </c>
      <c r="I2671" s="1747" t="s">
        <v>441</v>
      </c>
      <c r="J2671" s="1748" t="s">
        <v>400</v>
      </c>
      <c r="K2671" s="3063" t="s">
        <v>42</v>
      </c>
      <c r="L2671" s="3064"/>
      <c r="M2671" s="3064"/>
      <c r="N2671" s="1830" t="s">
        <v>244</v>
      </c>
      <c r="Q2671" s="1831" t="s">
        <v>44</v>
      </c>
      <c r="R2671" s="1832" t="s">
        <v>45</v>
      </c>
      <c r="S2671" s="1832" t="s">
        <v>46</v>
      </c>
      <c r="T2671" s="1832" t="s">
        <v>47</v>
      </c>
      <c r="U2671" s="1833" t="s">
        <v>48</v>
      </c>
      <c r="W2671" s="1919" t="s">
        <v>446</v>
      </c>
    </row>
    <row r="2672" spans="1:23" hidden="1" outlineLevel="1" x14ac:dyDescent="0.35">
      <c r="A2672" s="1412" t="s">
        <v>501</v>
      </c>
      <c r="B2672" s="1362">
        <v>450</v>
      </c>
      <c r="C2672" s="1363">
        <v>18.16</v>
      </c>
      <c r="D2672" s="1363">
        <f>C2672*B2672</f>
        <v>8172</v>
      </c>
      <c r="E2672" s="1977"/>
      <c r="F2672" s="1506">
        <f t="shared" ref="F2672" si="847">D2672/$D$2638</f>
        <v>2.5240877100093793E-2</v>
      </c>
      <c r="G2672" s="1494"/>
      <c r="H2672" s="1820" t="s">
        <v>562</v>
      </c>
      <c r="I2672" s="1889"/>
      <c r="J2672" s="1889"/>
      <c r="K2672" s="3055" t="s">
        <v>563</v>
      </c>
      <c r="L2672" s="3055"/>
      <c r="M2672" s="3055"/>
      <c r="N2672" s="1489"/>
      <c r="O2672" s="3"/>
      <c r="P2672" s="3"/>
      <c r="Q2672" s="1345">
        <v>44271</v>
      </c>
      <c r="R2672" s="1529">
        <f t="shared" ref="R2672" si="848">B2672*RIGHT(K2672,6)</f>
        <v>8028</v>
      </c>
      <c r="S2672" s="1510">
        <f>D2672</f>
        <v>8172</v>
      </c>
      <c r="T2672" s="1510">
        <f>S2672-R2672</f>
        <v>144</v>
      </c>
      <c r="U2672" s="1530">
        <f>(S2672-R2672)/R2672</f>
        <v>1.7937219730941704E-2</v>
      </c>
      <c r="V2672" s="1926" t="str">
        <f>A2672</f>
        <v>FCEL</v>
      </c>
      <c r="W2672" s="1929">
        <f t="shared" ref="W2672:W2680" ca="1" si="849">Q2672-TODAY()</f>
        <v>-901</v>
      </c>
    </row>
    <row r="2673" spans="1:23" hidden="1" outlineLevel="1" x14ac:dyDescent="0.35">
      <c r="A2673" s="1412" t="s">
        <v>549</v>
      </c>
      <c r="B2673" s="1362">
        <v>400</v>
      </c>
      <c r="C2673" s="1363">
        <v>114.29</v>
      </c>
      <c r="D2673" s="1363">
        <f t="shared" ref="D2673:D2676" si="850">C2673*B2673</f>
        <v>45716</v>
      </c>
      <c r="E2673" s="1977">
        <f>(C2673-C2659)/C2659</f>
        <v>7.4041427941824887E-3</v>
      </c>
      <c r="F2673" s="1506">
        <f>D2673/$D$2638</f>
        <v>0.14120312500096524</v>
      </c>
      <c r="G2673" s="1494"/>
      <c r="H2673" s="1820" t="s">
        <v>564</v>
      </c>
      <c r="I2673" s="1889"/>
      <c r="J2673" s="1889"/>
      <c r="K2673" s="3055" t="s">
        <v>550</v>
      </c>
      <c r="L2673" s="3055"/>
      <c r="M2673" s="3055"/>
      <c r="N2673" s="1489" t="str">
        <f t="shared" ref="N2673" si="851">A2673</f>
        <v>AMAT</v>
      </c>
      <c r="O2673" s="3"/>
      <c r="P2673" s="3"/>
      <c r="Q2673" s="1345">
        <v>44328</v>
      </c>
      <c r="R2673" s="1845">
        <f>B2673*RIGHT(K2673,6)</f>
        <v>47964</v>
      </c>
      <c r="S2673" s="1834">
        <f t="shared" ref="S2673:S2676" si="852">D2673</f>
        <v>45716</v>
      </c>
      <c r="T2673" s="1834">
        <f t="shared" ref="T2673:T2676" si="853">S2673-R2673</f>
        <v>-2248</v>
      </c>
      <c r="U2673" s="1835">
        <f t="shared" ref="U2673:U2676" si="854">(S2673-R2673)/R2673</f>
        <v>-4.6868484696855978E-2</v>
      </c>
      <c r="V2673" s="1926" t="str">
        <f t="shared" ref="V2673:V2676" si="855">A2673</f>
        <v>AMAT</v>
      </c>
      <c r="W2673" s="1929">
        <f t="shared" ca="1" si="849"/>
        <v>-844</v>
      </c>
    </row>
    <row r="2674" spans="1:23" hidden="1" outlineLevel="1" x14ac:dyDescent="0.35">
      <c r="A2674" s="1412" t="s">
        <v>552</v>
      </c>
      <c r="B2674" s="1362">
        <v>300</v>
      </c>
      <c r="C2674" s="1363">
        <v>23</v>
      </c>
      <c r="D2674" s="1363">
        <f t="shared" si="850"/>
        <v>6900</v>
      </c>
      <c r="E2674" s="1977"/>
      <c r="F2674" s="1506">
        <f t="shared" ref="F2674:F2676" si="856">D2674/$D$2638</f>
        <v>2.1312047478052761E-2</v>
      </c>
      <c r="G2674" s="1494"/>
      <c r="H2674" s="1820"/>
      <c r="I2674" s="1889"/>
      <c r="J2674" s="1889"/>
      <c r="K2674" s="3055" t="s">
        <v>565</v>
      </c>
      <c r="L2674" s="3055"/>
      <c r="M2674" s="3055"/>
      <c r="N2674" s="1489"/>
      <c r="O2674" s="3"/>
      <c r="P2674" s="3"/>
      <c r="Q2674" s="1345">
        <f>"2/25/2021"+90</f>
        <v>44342</v>
      </c>
      <c r="R2674" s="1845">
        <f t="shared" ref="R2674:R2676" si="857">B2674*RIGHT(K2674,6)</f>
        <v>7548</v>
      </c>
      <c r="S2674" s="1834">
        <f t="shared" si="852"/>
        <v>6900</v>
      </c>
      <c r="T2674" s="1834">
        <f t="shared" si="853"/>
        <v>-648</v>
      </c>
      <c r="U2674" s="1835">
        <f t="shared" si="854"/>
        <v>-8.5850556438791734E-2</v>
      </c>
      <c r="V2674" s="1926" t="str">
        <f t="shared" si="855"/>
        <v>FSR</v>
      </c>
      <c r="W2674" s="1929">
        <f t="shared" ca="1" si="849"/>
        <v>-830</v>
      </c>
    </row>
    <row r="2675" spans="1:23" hidden="1" outlineLevel="1" x14ac:dyDescent="0.35">
      <c r="A2675" s="1412" t="s">
        <v>447</v>
      </c>
      <c r="B2675" s="1362">
        <v>200</v>
      </c>
      <c r="C2675" s="1363">
        <v>243.88</v>
      </c>
      <c r="D2675" s="1363">
        <f t="shared" si="850"/>
        <v>48776</v>
      </c>
      <c r="E2675" s="1977"/>
      <c r="F2675" s="1506">
        <f t="shared" si="856"/>
        <v>0.15065455475210168</v>
      </c>
      <c r="G2675" s="1494"/>
      <c r="H2675" s="1820"/>
      <c r="I2675" s="1889"/>
      <c r="J2675" s="1889"/>
      <c r="K2675" s="3055" t="s">
        <v>566</v>
      </c>
      <c r="L2675" s="3055"/>
      <c r="M2675" s="3055"/>
      <c r="N2675" s="1489"/>
      <c r="O2675" s="3"/>
      <c r="P2675" s="3"/>
      <c r="Q2675" s="1345">
        <f>"2/18/2021"+90</f>
        <v>44335</v>
      </c>
      <c r="R2675" s="1529">
        <f t="shared" si="857"/>
        <v>46896</v>
      </c>
      <c r="S2675" s="1510">
        <f t="shared" si="852"/>
        <v>48776</v>
      </c>
      <c r="T2675" s="1510">
        <f t="shared" si="853"/>
        <v>1880</v>
      </c>
      <c r="U2675" s="1530">
        <f t="shared" si="854"/>
        <v>4.0088706925963835E-2</v>
      </c>
      <c r="V2675" s="1926" t="str">
        <f t="shared" si="855"/>
        <v>FVRR</v>
      </c>
      <c r="W2675" s="1929">
        <f t="shared" ca="1" si="849"/>
        <v>-837</v>
      </c>
    </row>
    <row r="2676" spans="1:23" hidden="1" outlineLevel="1" x14ac:dyDescent="0.35">
      <c r="A2676" s="1412" t="s">
        <v>543</v>
      </c>
      <c r="B2676" s="1362">
        <v>200</v>
      </c>
      <c r="C2676" s="1363">
        <v>53.55</v>
      </c>
      <c r="D2676" s="1363">
        <f t="shared" si="850"/>
        <v>10710</v>
      </c>
      <c r="E2676" s="1977"/>
      <c r="F2676" s="1506">
        <f t="shared" si="856"/>
        <v>3.3080004128977547E-2</v>
      </c>
      <c r="G2676" s="1494"/>
      <c r="H2676" s="1820"/>
      <c r="I2676" s="1889"/>
      <c r="J2676" s="1889"/>
      <c r="K2676" s="3055" t="s">
        <v>567</v>
      </c>
      <c r="L2676" s="3055"/>
      <c r="M2676" s="3055"/>
      <c r="N2676" s="1489"/>
      <c r="O2676" s="3"/>
      <c r="P2676" s="3"/>
      <c r="Q2676" s="1345">
        <f>"3/4/2021"+90</f>
        <v>44349</v>
      </c>
      <c r="R2676" s="1529">
        <f t="shared" si="857"/>
        <v>10610</v>
      </c>
      <c r="S2676" s="1510">
        <f t="shared" si="852"/>
        <v>10710</v>
      </c>
      <c r="T2676" s="1510">
        <f t="shared" si="853"/>
        <v>100</v>
      </c>
      <c r="U2676" s="1530">
        <f t="shared" si="854"/>
        <v>9.4250706880301596E-3</v>
      </c>
      <c r="V2676" s="1926" t="str">
        <f t="shared" si="855"/>
        <v>DMTK</v>
      </c>
      <c r="W2676" s="1929">
        <f t="shared" ca="1" si="849"/>
        <v>-823</v>
      </c>
    </row>
    <row r="2677" spans="1:23" hidden="1" outlineLevel="1" x14ac:dyDescent="0.35">
      <c r="A2677" s="1412" t="s">
        <v>558</v>
      </c>
      <c r="B2677" s="1362">
        <v>200</v>
      </c>
      <c r="C2677" s="1363">
        <v>147.44999999999999</v>
      </c>
      <c r="D2677" s="1363">
        <f>C2677*B2677</f>
        <v>29489.999999999996</v>
      </c>
      <c r="E2677" s="1977">
        <f>(C2677-C2660)/C2660</f>
        <v>1.3820132013201258E-2</v>
      </c>
      <c r="F2677" s="1506">
        <f>D2677/$D$2638</f>
        <v>9.1085837699677666E-2</v>
      </c>
      <c r="G2677" s="1494"/>
      <c r="H2677" s="1820" t="s">
        <v>568</v>
      </c>
      <c r="I2677" s="1889"/>
      <c r="J2677" s="1889"/>
      <c r="K2677" s="3055" t="s">
        <v>559</v>
      </c>
      <c r="L2677" s="3055"/>
      <c r="M2677" s="3055"/>
      <c r="N2677" s="1489" t="str">
        <f>A2677</f>
        <v>MCHP</v>
      </c>
      <c r="O2677" s="3"/>
      <c r="P2677" s="3"/>
      <c r="Q2677" s="1345">
        <v>44321</v>
      </c>
      <c r="R2677" s="1529">
        <f>B2677*RIGHT(K2677,6)</f>
        <v>27724</v>
      </c>
      <c r="S2677" s="1510">
        <f>D2677</f>
        <v>29489.999999999996</v>
      </c>
      <c r="T2677" s="1510">
        <f>S2677-R2677</f>
        <v>1765.9999999999964</v>
      </c>
      <c r="U2677" s="1530">
        <f>(S2677-R2677)/R2677</f>
        <v>6.3699321887173435E-2</v>
      </c>
      <c r="V2677" s="1926" t="str">
        <f>A2677</f>
        <v>MCHP</v>
      </c>
      <c r="W2677" s="1929">
        <f t="shared" ca="1" si="849"/>
        <v>-851</v>
      </c>
    </row>
    <row r="2678" spans="1:23" hidden="1" outlineLevel="1" x14ac:dyDescent="0.35">
      <c r="A2678" s="1412" t="s">
        <v>569</v>
      </c>
      <c r="B2678" s="1362">
        <v>150</v>
      </c>
      <c r="C2678" s="1363">
        <v>58.31</v>
      </c>
      <c r="D2678" s="1363">
        <f>C2678*B2678</f>
        <v>8746.5</v>
      </c>
      <c r="E2678" s="1977"/>
      <c r="F2678" s="1506">
        <f>D2678/$D$2638</f>
        <v>2.7015336705331666E-2</v>
      </c>
      <c r="G2678" s="1494"/>
      <c r="H2678" s="1820"/>
      <c r="I2678" s="1889"/>
      <c r="J2678" s="1889"/>
      <c r="K2678" s="3055" t="s">
        <v>570</v>
      </c>
      <c r="L2678" s="3055"/>
      <c r="M2678" s="3055"/>
      <c r="N2678" s="1489"/>
      <c r="O2678" s="3"/>
      <c r="P2678" s="3"/>
      <c r="Q2678" s="1345">
        <f>"2/16/2021"+90</f>
        <v>44333</v>
      </c>
      <c r="R2678" s="1529">
        <f>B2678*RIGHT(K2678,6)</f>
        <v>8758.5</v>
      </c>
      <c r="S2678" s="1510">
        <f>D2678</f>
        <v>8746.5</v>
      </c>
      <c r="T2678" s="1510">
        <f>S2678-R2678</f>
        <v>-12</v>
      </c>
      <c r="U2678" s="1530">
        <f>(S2678-R2678)/R2678</f>
        <v>-1.3700976194553861E-3</v>
      </c>
      <c r="V2678" s="1926" t="str">
        <f>A2678</f>
        <v>QS</v>
      </c>
      <c r="W2678" s="1929">
        <f t="shared" ca="1" si="849"/>
        <v>-839</v>
      </c>
    </row>
    <row r="2679" spans="1:23" hidden="1" outlineLevel="1" x14ac:dyDescent="0.35">
      <c r="A2679" s="1412" t="s">
        <v>135</v>
      </c>
      <c r="B2679" s="1531">
        <v>100</v>
      </c>
      <c r="C2679" s="1143">
        <v>524.82000000000005</v>
      </c>
      <c r="D2679" s="1143">
        <f>C2679*B2679</f>
        <v>52482.000000000007</v>
      </c>
      <c r="E2679" s="1977">
        <f>(C2679-C2661)/C2661</f>
        <v>-4.1774694175643591E-2</v>
      </c>
      <c r="F2679" s="1506">
        <f>D2679/$D$2638</f>
        <v>0.16210128633958917</v>
      </c>
      <c r="G2679" s="1494"/>
      <c r="H2679" s="1820" t="s">
        <v>564</v>
      </c>
      <c r="I2679" s="1889"/>
      <c r="J2679" s="1889"/>
      <c r="K2679" s="3055" t="s">
        <v>560</v>
      </c>
      <c r="L2679" s="3055"/>
      <c r="M2679" s="3055"/>
      <c r="N2679" s="1489" t="str">
        <f>A2679</f>
        <v>LRCX</v>
      </c>
      <c r="O2679" s="3"/>
      <c r="P2679" s="3"/>
      <c r="Q2679" s="1345">
        <v>44306</v>
      </c>
      <c r="R2679" s="1529">
        <f>B2679*RIGHT(K2679,6)</f>
        <v>52797</v>
      </c>
      <c r="S2679" s="1510">
        <f>D2679</f>
        <v>52482.000000000007</v>
      </c>
      <c r="T2679" s="1510">
        <f>S2679-R2679</f>
        <v>-314.99999999999272</v>
      </c>
      <c r="U2679" s="1530">
        <f>(S2679-R2679)/R2679</f>
        <v>-5.9662480822772644E-3</v>
      </c>
      <c r="V2679" s="1926" t="str">
        <f>A2679</f>
        <v>LRCX</v>
      </c>
      <c r="W2679" s="1929">
        <f t="shared" ca="1" si="849"/>
        <v>-866</v>
      </c>
    </row>
    <row r="2680" spans="1:23" hidden="1" outlineLevel="1" x14ac:dyDescent="0.35">
      <c r="A2680" s="1412" t="s">
        <v>66</v>
      </c>
      <c r="B2680" s="1531">
        <v>75</v>
      </c>
      <c r="C2680" s="1143">
        <v>693.73</v>
      </c>
      <c r="D2680" s="1143">
        <f>C2680*B2680</f>
        <v>52029.75</v>
      </c>
      <c r="E2680" s="1977">
        <f>(C2680-C2662)/C2662</f>
        <v>0.16018061710845383</v>
      </c>
      <c r="F2680" s="1506">
        <f>D2680/$D$2638</f>
        <v>0.16070442061901677</v>
      </c>
      <c r="G2680" s="1520"/>
      <c r="H2680" s="1820" t="s">
        <v>571</v>
      </c>
      <c r="I2680" s="1895"/>
      <c r="J2680" s="1896"/>
      <c r="K2680" s="3055" t="s">
        <v>554</v>
      </c>
      <c r="L2680" s="3055"/>
      <c r="M2680" s="3055"/>
      <c r="N2680" s="1489" t="str">
        <f>A2680</f>
        <v>TSLA</v>
      </c>
      <c r="O2680" s="3"/>
      <c r="P2680" s="3"/>
      <c r="Q2680" s="1345">
        <v>44313</v>
      </c>
      <c r="R2680" s="1845">
        <f>B2680*RIGHT(K2680,6)</f>
        <v>52041</v>
      </c>
      <c r="S2680" s="1834">
        <f>D2680</f>
        <v>52029.75</v>
      </c>
      <c r="T2680" s="1834">
        <f>S2680-R2680</f>
        <v>-11.25</v>
      </c>
      <c r="U2680" s="1835">
        <f>(S2680-R2680)/R2680</f>
        <v>-2.1617570761514959E-4</v>
      </c>
      <c r="V2680" s="1926" t="str">
        <f>A2680</f>
        <v>TSLA</v>
      </c>
      <c r="W2680" s="1929">
        <f t="shared" ca="1" si="849"/>
        <v>-859</v>
      </c>
    </row>
    <row r="2681" spans="1:23" hidden="1" outlineLevel="1" x14ac:dyDescent="0.35">
      <c r="A2681" s="55" t="s">
        <v>7</v>
      </c>
      <c r="B2681" s="56"/>
      <c r="C2681" s="1881"/>
      <c r="D2681" s="1881">
        <v>2198.16</v>
      </c>
      <c r="E2681" s="1982"/>
      <c r="F2681" s="1486"/>
      <c r="G2681" s="1788"/>
      <c r="H2681" s="1789"/>
      <c r="I2681" s="1789"/>
      <c r="J2681" s="1216"/>
      <c r="K2681" s="1633"/>
      <c r="L2681" s="1634"/>
      <c r="M2681" s="1634"/>
      <c r="R2681" s="1529">
        <f>SUM(R2672:R2680)</f>
        <v>262366.5</v>
      </c>
      <c r="S2681" s="1510">
        <f>SUM(S2672:S2680)</f>
        <v>263022.25</v>
      </c>
      <c r="T2681" s="1510">
        <f>SUM(T2672:T2680)</f>
        <v>655.75000000000364</v>
      </c>
      <c r="U2681" s="1530">
        <f>AVERAGE(U2672:U2680)</f>
        <v>-1.0134714792095984E-3</v>
      </c>
    </row>
    <row r="2682" spans="1:23" ht="16" hidden="1" outlineLevel="1" thickBot="1" x14ac:dyDescent="0.4">
      <c r="A2682" s="55" t="s">
        <v>60</v>
      </c>
      <c r="B2682" s="56"/>
      <c r="C2682" s="1881"/>
      <c r="D2682" s="1881">
        <v>5862.27</v>
      </c>
      <c r="E2682" s="1983"/>
      <c r="F2682" s="1486">
        <f>D2682/$D$2624</f>
        <v>1.6139196831951648E-2</v>
      </c>
      <c r="G2682" s="1734"/>
      <c r="H2682" s="1723"/>
      <c r="I2682" s="1796"/>
      <c r="J2682" s="61">
        <f>SUM(J2681:J2681)</f>
        <v>0</v>
      </c>
      <c r="K2682" s="1468"/>
      <c r="L2682" s="1151"/>
      <c r="M2682" s="1151"/>
      <c r="S2682" s="1470" t="str">
        <f>IF(SUM(D2672:D2680)&lt;&gt;S2681,"Out of Balance","Balances")</f>
        <v>Balances</v>
      </c>
    </row>
    <row r="2683" spans="1:23" ht="19" hidden="1" outlineLevel="1" thickBot="1" x14ac:dyDescent="0.5">
      <c r="A2683" s="66" t="s">
        <v>62</v>
      </c>
      <c r="B2683" s="67"/>
      <c r="C2683" s="68">
        <f>SUM(D2672:D2680)</f>
        <v>263022.25</v>
      </c>
      <c r="D2683" s="84">
        <f>SUM(D2672:D2682)</f>
        <v>271082.68</v>
      </c>
      <c r="E2683" s="73">
        <f>D2683-D2665</f>
        <v>4817.1300000000047</v>
      </c>
      <c r="F2683" s="71">
        <f>(D2683-D2665)/D2665</f>
        <v>1.8091450433599107E-2</v>
      </c>
      <c r="G2683" s="72" t="s">
        <v>63</v>
      </c>
      <c r="H2683" s="73">
        <f>E2683+E2665+E2652+E2638+E2624</f>
        <v>-95248.990000000049</v>
      </c>
      <c r="I2683" s="74"/>
      <c r="J2683" s="1849"/>
    </row>
    <row r="2684" spans="1:23" ht="15" hidden="1" customHeight="1" outlineLevel="1" x14ac:dyDescent="0.35">
      <c r="A2684" s="3065" t="s">
        <v>572</v>
      </c>
      <c r="B2684" s="3066"/>
      <c r="C2684" s="3066"/>
      <c r="D2684" s="3066"/>
      <c r="E2684" s="3066"/>
      <c r="F2684" s="3066"/>
      <c r="G2684" s="3066"/>
      <c r="H2684" s="3066"/>
      <c r="I2684" s="3066"/>
      <c r="J2684" s="3067"/>
    </row>
    <row r="2685" spans="1:23" ht="30.65" hidden="1" customHeight="1" outlineLevel="1" thickBot="1" x14ac:dyDescent="0.4">
      <c r="A2685" s="3068"/>
      <c r="B2685" s="3069"/>
      <c r="C2685" s="3069"/>
      <c r="D2685" s="3069"/>
      <c r="E2685" s="3069"/>
      <c r="F2685" s="3069"/>
      <c r="G2685" s="3069"/>
      <c r="H2685" s="3069"/>
      <c r="I2685" s="3069"/>
      <c r="J2685" s="3070"/>
    </row>
    <row r="2686" spans="1:23" hidden="1" outlineLevel="1" x14ac:dyDescent="0.35"/>
    <row r="2687" spans="1:23" ht="16" hidden="1" outlineLevel="1" thickBot="1" x14ac:dyDescent="0.4">
      <c r="A2687" s="1619" t="s">
        <v>25</v>
      </c>
      <c r="B2687" s="1996" t="s">
        <v>26</v>
      </c>
      <c r="C2687" s="1621" t="s">
        <v>27</v>
      </c>
      <c r="D2687" s="1622">
        <f>D2669+7</f>
        <v>44274</v>
      </c>
      <c r="E2687" s="1623" t="s">
        <v>28</v>
      </c>
      <c r="F2687" s="3036" t="s">
        <v>29</v>
      </c>
      <c r="G2687" s="3037"/>
      <c r="H2687" s="3038"/>
      <c r="I2687" s="1727"/>
      <c r="J2687" s="1182"/>
      <c r="K2687" s="1183" t="s">
        <v>233</v>
      </c>
      <c r="O2687" s="3042" t="s">
        <v>31</v>
      </c>
      <c r="P2687" s="3043"/>
      <c r="T2687" s="247"/>
      <c r="U2687" s="1988"/>
      <c r="V2687" s="247"/>
    </row>
    <row r="2688" spans="1:23" ht="16" hidden="1" outlineLevel="1" thickBot="1" x14ac:dyDescent="0.4">
      <c r="A2688" s="1973" t="s">
        <v>32</v>
      </c>
      <c r="B2688" s="1997" t="str">
        <f ca="1">TEXT(TODAY(),"ddd")</f>
        <v>Sun</v>
      </c>
      <c r="C2688" s="1998">
        <v>32627</v>
      </c>
      <c r="D2688" s="1980">
        <f>C2688-C2670</f>
        <v>-151</v>
      </c>
      <c r="E2688" s="1977">
        <f>(C2688-C2670)/C2670</f>
        <v>-4.6067484288242113E-3</v>
      </c>
      <c r="F2688" s="3039"/>
      <c r="G2688" s="3040"/>
      <c r="H2688" s="3041"/>
      <c r="I2688" s="1602"/>
      <c r="J2688" s="1602"/>
      <c r="K2688" s="1188" t="s">
        <v>234</v>
      </c>
      <c r="L2688" s="1220" t="s">
        <v>34</v>
      </c>
      <c r="M2688" s="111" t="s">
        <v>573</v>
      </c>
      <c r="N2688" s="2995"/>
      <c r="O2688" s="2996"/>
      <c r="P2688" s="2996"/>
      <c r="Q2688" s="2996"/>
      <c r="R2688" s="2996"/>
      <c r="S2688" s="2996"/>
      <c r="T2688" s="2996"/>
      <c r="U2688" s="3044"/>
    </row>
    <row r="2689" spans="1:23" hidden="1" outlineLevel="1" x14ac:dyDescent="0.35">
      <c r="A2689" s="1978" t="s">
        <v>36</v>
      </c>
      <c r="B2689" s="1979"/>
      <c r="C2689" s="1979">
        <v>13215</v>
      </c>
      <c r="D2689" s="1980">
        <f>C2689-C2671</f>
        <v>-104</v>
      </c>
      <c r="E2689" s="1977">
        <f t="shared" ref="E2689:E2696" si="858">(C2689-C2671)/C2671</f>
        <v>-7.8083940235753437E-3</v>
      </c>
      <c r="F2689" s="1744" t="s">
        <v>37</v>
      </c>
      <c r="G2689" s="1745" t="s">
        <v>38</v>
      </c>
      <c r="H2689" s="1746" t="s">
        <v>144</v>
      </c>
      <c r="I2689" s="1747" t="s">
        <v>441</v>
      </c>
      <c r="J2689" s="1748" t="s">
        <v>400</v>
      </c>
      <c r="K2689" s="3063" t="s">
        <v>42</v>
      </c>
      <c r="L2689" s="3064"/>
      <c r="M2689" s="3064"/>
      <c r="N2689" s="1830" t="s">
        <v>244</v>
      </c>
      <c r="Q2689" s="1831" t="s">
        <v>44</v>
      </c>
      <c r="R2689" s="1832" t="s">
        <v>45</v>
      </c>
      <c r="S2689" s="1832" t="s">
        <v>46</v>
      </c>
      <c r="T2689" s="1832" t="s">
        <v>47</v>
      </c>
      <c r="U2689" s="1833" t="s">
        <v>48</v>
      </c>
      <c r="W2689" s="1919" t="s">
        <v>446</v>
      </c>
    </row>
    <row r="2690" spans="1:23" hidden="1" outlineLevel="1" x14ac:dyDescent="0.35">
      <c r="A2690" s="1412" t="s">
        <v>501</v>
      </c>
      <c r="B2690" s="1362">
        <v>450</v>
      </c>
      <c r="C2690" s="1363">
        <v>14.97</v>
      </c>
      <c r="D2690" s="1363">
        <f>C2690*B2690</f>
        <v>6736.5</v>
      </c>
      <c r="E2690" s="1977">
        <f t="shared" si="858"/>
        <v>-0.17566079295154183</v>
      </c>
      <c r="F2690" s="1506">
        <f t="shared" ref="F2690:F2699" si="859">D2690/$D$2704</f>
        <v>2.5448016543304315E-2</v>
      </c>
      <c r="G2690" s="1494"/>
      <c r="H2690" s="1820" t="s">
        <v>562</v>
      </c>
      <c r="I2690" s="1876">
        <v>1.18</v>
      </c>
      <c r="J2690" s="1876">
        <v>29.44</v>
      </c>
      <c r="K2690" s="3055" t="s">
        <v>574</v>
      </c>
      <c r="L2690" s="3055"/>
      <c r="M2690" s="3055"/>
      <c r="N2690" s="1489"/>
      <c r="O2690" s="3"/>
      <c r="P2690" s="3"/>
      <c r="Q2690" s="2003">
        <f>"3/16/2021"+90</f>
        <v>44361</v>
      </c>
      <c r="R2690" s="2004">
        <f t="shared" ref="R2690" si="860">B2690*RIGHT(K2690,6)</f>
        <v>8131.5</v>
      </c>
      <c r="S2690" s="1495">
        <f>D2690</f>
        <v>6736.5</v>
      </c>
      <c r="T2690" s="1495">
        <f>S2690-R2690</f>
        <v>-1395</v>
      </c>
      <c r="U2690" s="2005">
        <f>(S2690-R2690)/R2690</f>
        <v>-0.17155506364139458</v>
      </c>
      <c r="V2690" s="1926" t="str">
        <f>A2690</f>
        <v>FCEL</v>
      </c>
      <c r="W2690" s="1929">
        <f t="shared" ref="W2690:W2701" ca="1" si="861">Q2690-TODAY()</f>
        <v>-811</v>
      </c>
    </row>
    <row r="2691" spans="1:23" hidden="1" outlineLevel="1" x14ac:dyDescent="0.35">
      <c r="A2691" s="1412" t="s">
        <v>549</v>
      </c>
      <c r="B2691" s="1362">
        <v>300.73500000000001</v>
      </c>
      <c r="C2691" s="1363">
        <v>114.86</v>
      </c>
      <c r="D2691" s="1363">
        <f t="shared" ref="D2691:D2694" si="862">C2691*B2691</f>
        <v>34542.422100000003</v>
      </c>
      <c r="E2691" s="1977">
        <f t="shared" si="858"/>
        <v>4.9873129757633493E-3</v>
      </c>
      <c r="F2691" s="1506">
        <f t="shared" si="859"/>
        <v>0.13048855177712471</v>
      </c>
      <c r="G2691" s="1494">
        <v>28</v>
      </c>
      <c r="H2691" s="1820" t="s">
        <v>564</v>
      </c>
      <c r="I2691" s="1876">
        <v>36.64</v>
      </c>
      <c r="J2691" s="1876">
        <v>124.5</v>
      </c>
      <c r="K2691" s="3055" t="s">
        <v>550</v>
      </c>
      <c r="L2691" s="3055"/>
      <c r="M2691" s="3055"/>
      <c r="N2691" s="1489" t="str">
        <f t="shared" ref="N2691" si="863">A2691</f>
        <v>AMAT</v>
      </c>
      <c r="O2691" s="3"/>
      <c r="P2691" s="3"/>
      <c r="Q2691" s="2003">
        <v>44328</v>
      </c>
      <c r="R2691" s="2006">
        <f>B2691*RIGHT(K2691,6)</f>
        <v>36061.133849999998</v>
      </c>
      <c r="S2691" s="2007">
        <f t="shared" ref="S2691:S2694" si="864">D2691</f>
        <v>34542.422100000003</v>
      </c>
      <c r="T2691" s="2007">
        <f t="shared" ref="T2691:T2694" si="865">S2691-R2691</f>
        <v>-1518.7117499999949</v>
      </c>
      <c r="U2691" s="2008">
        <f t="shared" ref="U2691:U2694" si="866">(S2691-R2691)/R2691</f>
        <v>-4.2114919522975428E-2</v>
      </c>
      <c r="V2691" s="1926" t="str">
        <f t="shared" ref="V2691:V2701" si="867">A2691</f>
        <v>AMAT</v>
      </c>
      <c r="W2691" s="1929">
        <f t="shared" ca="1" si="861"/>
        <v>-844</v>
      </c>
    </row>
    <row r="2692" spans="1:23" hidden="1" outlineLevel="1" x14ac:dyDescent="0.35">
      <c r="A2692" s="1412" t="s">
        <v>552</v>
      </c>
      <c r="B2692" s="1362">
        <v>300</v>
      </c>
      <c r="C2692" s="1363">
        <v>20.7</v>
      </c>
      <c r="D2692" s="1363">
        <f t="shared" si="862"/>
        <v>6210</v>
      </c>
      <c r="E2692" s="1977">
        <f t="shared" si="858"/>
        <v>-0.10000000000000003</v>
      </c>
      <c r="F2692" s="1506">
        <f t="shared" si="859"/>
        <v>2.3459093406653274E-2</v>
      </c>
      <c r="G2692" s="1494"/>
      <c r="H2692" s="1820"/>
      <c r="I2692" s="1876">
        <v>8.6999999999999993</v>
      </c>
      <c r="J2692" s="1876">
        <v>31.96</v>
      </c>
      <c r="K2692" s="3055" t="s">
        <v>565</v>
      </c>
      <c r="L2692" s="3055"/>
      <c r="M2692" s="3055"/>
      <c r="N2692" s="1489"/>
      <c r="O2692" s="3"/>
      <c r="P2692" s="3"/>
      <c r="Q2692" s="2003">
        <f>"2/25/2021"+90</f>
        <v>44342</v>
      </c>
      <c r="R2692" s="2006">
        <f t="shared" ref="R2692:R2694" si="868">B2692*RIGHT(K2692,6)</f>
        <v>7548</v>
      </c>
      <c r="S2692" s="2007">
        <f t="shared" si="864"/>
        <v>6210</v>
      </c>
      <c r="T2692" s="2007">
        <f t="shared" si="865"/>
        <v>-1338</v>
      </c>
      <c r="U2692" s="2008">
        <f t="shared" si="866"/>
        <v>-0.17726550079491257</v>
      </c>
      <c r="V2692" s="1926" t="str">
        <f t="shared" si="867"/>
        <v>FSR</v>
      </c>
      <c r="W2692" s="1929">
        <f t="shared" ca="1" si="861"/>
        <v>-830</v>
      </c>
    </row>
    <row r="2693" spans="1:23" hidden="1" outlineLevel="1" x14ac:dyDescent="0.35">
      <c r="A2693" s="1412" t="s">
        <v>447</v>
      </c>
      <c r="B2693" s="1362">
        <v>200</v>
      </c>
      <c r="C2693" s="1363">
        <v>224.93</v>
      </c>
      <c r="D2693" s="1363">
        <f t="shared" si="862"/>
        <v>44986</v>
      </c>
      <c r="E2693" s="1977">
        <f t="shared" si="858"/>
        <v>-7.7702148597670939E-2</v>
      </c>
      <c r="F2693" s="1506">
        <f t="shared" si="859"/>
        <v>0.1699405436379556</v>
      </c>
      <c r="G2693" s="1494"/>
      <c r="H2693" s="1820"/>
      <c r="I2693" s="1876">
        <v>20.420000000000002</v>
      </c>
      <c r="J2693" s="1876">
        <v>336</v>
      </c>
      <c r="K2693" s="3055" t="s">
        <v>566</v>
      </c>
      <c r="L2693" s="3055"/>
      <c r="M2693" s="3055"/>
      <c r="N2693" s="1489"/>
      <c r="O2693" s="3"/>
      <c r="P2693" s="3"/>
      <c r="Q2693" s="2003">
        <f>"2/18/2021"+90</f>
        <v>44335</v>
      </c>
      <c r="R2693" s="2004">
        <f t="shared" si="868"/>
        <v>46896</v>
      </c>
      <c r="S2693" s="1495">
        <f t="shared" si="864"/>
        <v>44986</v>
      </c>
      <c r="T2693" s="1495">
        <f t="shared" si="865"/>
        <v>-1910</v>
      </c>
      <c r="U2693" s="2005">
        <f t="shared" si="866"/>
        <v>-4.0728420334356877E-2</v>
      </c>
      <c r="V2693" s="1926" t="str">
        <f t="shared" si="867"/>
        <v>FVRR</v>
      </c>
      <c r="W2693" s="1929">
        <f t="shared" ca="1" si="861"/>
        <v>-837</v>
      </c>
    </row>
    <row r="2694" spans="1:23" hidden="1" outlineLevel="1" x14ac:dyDescent="0.35">
      <c r="A2694" s="1412" t="s">
        <v>543</v>
      </c>
      <c r="B2694" s="1362">
        <v>200</v>
      </c>
      <c r="C2694" s="1363">
        <v>57.6</v>
      </c>
      <c r="D2694" s="1363">
        <f t="shared" si="862"/>
        <v>11520</v>
      </c>
      <c r="E2694" s="1977">
        <f t="shared" si="858"/>
        <v>7.5630252100840414E-2</v>
      </c>
      <c r="F2694" s="1506">
        <f t="shared" si="859"/>
        <v>4.3518318203646655E-2</v>
      </c>
      <c r="G2694" s="1494"/>
      <c r="H2694" s="1820"/>
      <c r="I2694" s="1876">
        <v>8.69</v>
      </c>
      <c r="J2694" s="1876">
        <v>84.49</v>
      </c>
      <c r="K2694" s="3055" t="s">
        <v>567</v>
      </c>
      <c r="L2694" s="3055"/>
      <c r="M2694" s="3055"/>
      <c r="N2694" s="1489"/>
      <c r="O2694" s="3"/>
      <c r="P2694" s="3"/>
      <c r="Q2694" s="2003">
        <f>"3/4/2021"+90</f>
        <v>44349</v>
      </c>
      <c r="R2694" s="2004">
        <f t="shared" si="868"/>
        <v>10610</v>
      </c>
      <c r="S2694" s="1495">
        <f t="shared" si="864"/>
        <v>11520</v>
      </c>
      <c r="T2694" s="1495">
        <f t="shared" si="865"/>
        <v>910</v>
      </c>
      <c r="U2694" s="2005">
        <f t="shared" si="866"/>
        <v>8.5768143261074459E-2</v>
      </c>
      <c r="V2694" s="1926" t="str">
        <f t="shared" si="867"/>
        <v>DMTK</v>
      </c>
      <c r="W2694" s="1929">
        <f t="shared" ca="1" si="861"/>
        <v>-823</v>
      </c>
    </row>
    <row r="2695" spans="1:23" hidden="1" outlineLevel="1" x14ac:dyDescent="0.35">
      <c r="A2695" s="1412" t="s">
        <v>558</v>
      </c>
      <c r="B2695" s="1362">
        <v>200</v>
      </c>
      <c r="C2695" s="1363">
        <v>150.06</v>
      </c>
      <c r="D2695" s="1363">
        <f>C2695*B2695</f>
        <v>30012</v>
      </c>
      <c r="E2695" s="1977">
        <f t="shared" si="858"/>
        <v>1.7700915564598262E-2</v>
      </c>
      <c r="F2695" s="1506">
        <f t="shared" si="859"/>
        <v>0.11337428523679197</v>
      </c>
      <c r="G2695" s="1494">
        <v>119</v>
      </c>
      <c r="H2695" s="1820" t="s">
        <v>568</v>
      </c>
      <c r="I2695" s="1876">
        <v>53.15</v>
      </c>
      <c r="J2695" s="1876">
        <v>166.67</v>
      </c>
      <c r="K2695" s="3055" t="s">
        <v>559</v>
      </c>
      <c r="L2695" s="3055"/>
      <c r="M2695" s="3055"/>
      <c r="N2695" s="1489" t="str">
        <f>A2695</f>
        <v>MCHP</v>
      </c>
      <c r="O2695" s="3"/>
      <c r="P2695" s="3"/>
      <c r="Q2695" s="2003">
        <v>44321</v>
      </c>
      <c r="R2695" s="2004">
        <f>B2695*RIGHT(K2695,6)</f>
        <v>27724</v>
      </c>
      <c r="S2695" s="1495">
        <f>D2695</f>
        <v>30012</v>
      </c>
      <c r="T2695" s="1495">
        <f>S2695-R2695</f>
        <v>2288</v>
      </c>
      <c r="U2695" s="2005">
        <f>(S2695-R2695)/R2695</f>
        <v>8.2527773770018756E-2</v>
      </c>
      <c r="V2695" s="1926" t="str">
        <f t="shared" si="867"/>
        <v>MCHP</v>
      </c>
      <c r="W2695" s="1929">
        <f t="shared" ca="1" si="861"/>
        <v>-851</v>
      </c>
    </row>
    <row r="2696" spans="1:23" hidden="1" outlineLevel="1" x14ac:dyDescent="0.35">
      <c r="A2696" s="1412" t="s">
        <v>569</v>
      </c>
      <c r="B2696" s="1362">
        <v>150</v>
      </c>
      <c r="C2696" s="1363">
        <v>59.34</v>
      </c>
      <c r="D2696" s="1363">
        <f>C2696*B2696</f>
        <v>8901</v>
      </c>
      <c r="E2696" s="1977">
        <f t="shared" si="858"/>
        <v>1.7664208540559098E-2</v>
      </c>
      <c r="F2696" s="1506">
        <f t="shared" si="859"/>
        <v>3.3624700549536361E-2</v>
      </c>
      <c r="G2696" s="1494"/>
      <c r="H2696" s="1820" t="s">
        <v>575</v>
      </c>
      <c r="I2696" s="1876">
        <v>9.74</v>
      </c>
      <c r="J2696" s="1876">
        <v>132.72999999999999</v>
      </c>
      <c r="K2696" s="3055" t="s">
        <v>570</v>
      </c>
      <c r="L2696" s="3055"/>
      <c r="M2696" s="3055"/>
      <c r="N2696" s="1489"/>
      <c r="O2696" s="3"/>
      <c r="P2696" s="3"/>
      <c r="Q2696" s="2003">
        <f>"2/16/2021"+90</f>
        <v>44333</v>
      </c>
      <c r="R2696" s="2004">
        <f>B2696*RIGHT(K2696,6)</f>
        <v>8758.5</v>
      </c>
      <c r="S2696" s="1495">
        <f>D2696</f>
        <v>8901</v>
      </c>
      <c r="T2696" s="1495">
        <f>S2696-R2696</f>
        <v>142.5</v>
      </c>
      <c r="U2696" s="2005">
        <f>(S2696-R2696)/R2696</f>
        <v>1.6269909231032709E-2</v>
      </c>
      <c r="V2696" s="1926" t="str">
        <f t="shared" si="867"/>
        <v>QS</v>
      </c>
      <c r="W2696" s="1929">
        <f t="shared" ca="1" si="861"/>
        <v>-839</v>
      </c>
    </row>
    <row r="2697" spans="1:23" hidden="1" outlineLevel="1" x14ac:dyDescent="0.35">
      <c r="A2697" s="1412" t="s">
        <v>576</v>
      </c>
      <c r="B2697" s="1362">
        <v>150</v>
      </c>
      <c r="C2697" s="1363">
        <v>15.66</v>
      </c>
      <c r="D2697" s="1363">
        <f t="shared" ref="D2697:D2699" si="869">C2697*B2697</f>
        <v>2349</v>
      </c>
      <c r="E2697" s="1977"/>
      <c r="F2697" s="1506">
        <f t="shared" si="859"/>
        <v>8.873657071212326E-3</v>
      </c>
      <c r="G2697" s="1494"/>
      <c r="H2697" s="1820"/>
      <c r="I2697" s="1876">
        <v>1.22</v>
      </c>
      <c r="J2697" s="1876">
        <v>19.79</v>
      </c>
      <c r="K2697" s="3055" t="s">
        <v>577</v>
      </c>
      <c r="L2697" s="3055"/>
      <c r="M2697" s="3055"/>
      <c r="N2697" s="1489"/>
      <c r="O2697" s="3"/>
      <c r="P2697" s="3"/>
      <c r="Q2697" s="2003">
        <v>44321</v>
      </c>
      <c r="R2697" s="2006">
        <f t="shared" ref="R2697:R2699" si="870">B2697*RIGHT(K2697,6)</f>
        <v>2310</v>
      </c>
      <c r="S2697" s="2007">
        <f t="shared" ref="S2697:S2699" si="871">D2697</f>
        <v>2349</v>
      </c>
      <c r="T2697" s="2007">
        <f t="shared" ref="T2697:T2699" si="872">S2697-R2697</f>
        <v>39</v>
      </c>
      <c r="U2697" s="2008">
        <f t="shared" ref="U2697:U2699" si="873">(S2697-R2697)/R2697</f>
        <v>1.6883116883116882E-2</v>
      </c>
      <c r="V2697" s="1926" t="str">
        <f t="shared" si="867"/>
        <v>CLNE</v>
      </c>
      <c r="W2697" s="1929">
        <f t="shared" ca="1" si="861"/>
        <v>-851</v>
      </c>
    </row>
    <row r="2698" spans="1:23" hidden="1" outlineLevel="1" x14ac:dyDescent="0.35">
      <c r="A2698" s="1412" t="s">
        <v>578</v>
      </c>
      <c r="B2698" s="1362">
        <v>150</v>
      </c>
      <c r="C2698" s="1363">
        <v>20.82</v>
      </c>
      <c r="D2698" s="1363">
        <f t="shared" si="869"/>
        <v>3123</v>
      </c>
      <c r="E2698" s="1977"/>
      <c r="F2698" s="1506">
        <f t="shared" si="859"/>
        <v>1.1797544075519835E-2</v>
      </c>
      <c r="G2698" s="1494"/>
      <c r="H2698" s="1820" t="s">
        <v>579</v>
      </c>
      <c r="I2698" s="1876">
        <v>1.71</v>
      </c>
      <c r="J2698" s="1876">
        <v>23.42</v>
      </c>
      <c r="K2698" s="3055" t="s">
        <v>580</v>
      </c>
      <c r="L2698" s="3055"/>
      <c r="M2698" s="3055"/>
      <c r="N2698" s="1489"/>
      <c r="O2698" s="3"/>
      <c r="P2698" s="3"/>
      <c r="Q2698" s="2003">
        <v>44322</v>
      </c>
      <c r="R2698" s="2006">
        <f t="shared" si="870"/>
        <v>3328.5</v>
      </c>
      <c r="S2698" s="2007">
        <f t="shared" si="871"/>
        <v>3123</v>
      </c>
      <c r="T2698" s="2007">
        <f t="shared" si="872"/>
        <v>-205.5</v>
      </c>
      <c r="U2698" s="2008">
        <f t="shared" si="873"/>
        <v>-6.1739522307345654E-2</v>
      </c>
      <c r="V2698" s="1926" t="str">
        <f t="shared" si="867"/>
        <v>AMRS</v>
      </c>
      <c r="W2698" s="1929">
        <f t="shared" ca="1" si="861"/>
        <v>-850</v>
      </c>
    </row>
    <row r="2699" spans="1:23" hidden="1" outlineLevel="1" x14ac:dyDescent="0.35">
      <c r="A2699" s="1412" t="s">
        <v>581</v>
      </c>
      <c r="B2699" s="1362">
        <v>100</v>
      </c>
      <c r="C2699" s="1363">
        <v>44.29</v>
      </c>
      <c r="D2699" s="1363">
        <f t="shared" si="869"/>
        <v>4429</v>
      </c>
      <c r="E2699" s="1977"/>
      <c r="F2699" s="1506">
        <f t="shared" si="859"/>
        <v>1.6731131191315193E-2</v>
      </c>
      <c r="G2699" s="1494"/>
      <c r="H2699" s="1820" t="s">
        <v>582</v>
      </c>
      <c r="I2699" s="1876">
        <v>11.15</v>
      </c>
      <c r="J2699" s="1876">
        <v>47.34</v>
      </c>
      <c r="K2699" s="3055" t="s">
        <v>583</v>
      </c>
      <c r="L2699" s="3055"/>
      <c r="M2699" s="3055"/>
      <c r="N2699" s="1489"/>
      <c r="O2699" s="3"/>
      <c r="P2699" s="3"/>
      <c r="Q2699" s="2003">
        <f>"3/2/2021"+90</f>
        <v>44347</v>
      </c>
      <c r="R2699" s="2004">
        <f t="shared" si="870"/>
        <v>4288</v>
      </c>
      <c r="S2699" s="1495">
        <f t="shared" si="871"/>
        <v>4429</v>
      </c>
      <c r="T2699" s="1495">
        <f t="shared" si="872"/>
        <v>141</v>
      </c>
      <c r="U2699" s="2005">
        <f t="shared" si="873"/>
        <v>3.2882462686567165E-2</v>
      </c>
      <c r="V2699" s="1926" t="str">
        <f t="shared" si="867"/>
        <v>TMDX</v>
      </c>
      <c r="W2699" s="1929">
        <f t="shared" ca="1" si="861"/>
        <v>-825</v>
      </c>
    </row>
    <row r="2700" spans="1:23" hidden="1" outlineLevel="1" x14ac:dyDescent="0.35">
      <c r="A2700" s="1412" t="s">
        <v>135</v>
      </c>
      <c r="B2700" s="1531">
        <v>100</v>
      </c>
      <c r="C2700" s="1143">
        <v>542.30999999999995</v>
      </c>
      <c r="D2700" s="1143">
        <f>C2700*B2700</f>
        <v>54230.999999999993</v>
      </c>
      <c r="E2700" s="1977">
        <f>(C2700-C2679)/C2679</f>
        <v>3.3325711672573248E-2</v>
      </c>
      <c r="F2700" s="1506">
        <f>D2700/$D$2704</f>
        <v>0.20486474952273973</v>
      </c>
      <c r="G2700" s="1494">
        <v>27</v>
      </c>
      <c r="H2700" s="1820" t="s">
        <v>564</v>
      </c>
      <c r="I2700" s="1876">
        <v>181.38</v>
      </c>
      <c r="J2700" s="1876">
        <v>603.6</v>
      </c>
      <c r="K2700" s="3055" t="s">
        <v>560</v>
      </c>
      <c r="L2700" s="3055"/>
      <c r="M2700" s="3055"/>
      <c r="N2700" s="1489" t="str">
        <f>A2700</f>
        <v>LRCX</v>
      </c>
      <c r="O2700" s="3"/>
      <c r="P2700" s="3"/>
      <c r="Q2700" s="2003">
        <v>44306</v>
      </c>
      <c r="R2700" s="2004">
        <f>B2700*RIGHT(K2700,6)</f>
        <v>52797</v>
      </c>
      <c r="S2700" s="1495">
        <f>D2700</f>
        <v>54230.999999999993</v>
      </c>
      <c r="T2700" s="1495">
        <f>S2700-R2700</f>
        <v>1433.9999999999927</v>
      </c>
      <c r="U2700" s="2005">
        <f>(S2700-R2700)/R2700</f>
        <v>2.7160634126938893E-2</v>
      </c>
      <c r="V2700" s="1926" t="str">
        <f t="shared" si="867"/>
        <v>LRCX</v>
      </c>
      <c r="W2700" s="1929">
        <f t="shared" ca="1" si="861"/>
        <v>-866</v>
      </c>
    </row>
    <row r="2701" spans="1:23" hidden="1" outlineLevel="1" x14ac:dyDescent="0.35">
      <c r="A2701" s="1412" t="s">
        <v>66</v>
      </c>
      <c r="B2701" s="1531">
        <v>75</v>
      </c>
      <c r="C2701" s="1143">
        <v>654.87</v>
      </c>
      <c r="D2701" s="1143">
        <f>C2701*B2701</f>
        <v>49115.25</v>
      </c>
      <c r="E2701" s="1977">
        <f>(C2701-C2680)/C2680</f>
        <v>-5.6016029290934528E-2</v>
      </c>
      <c r="F2701" s="1506">
        <f>D2701/$D$2704</f>
        <v>0.18553932970066461</v>
      </c>
      <c r="G2701" s="2009">
        <v>1057</v>
      </c>
      <c r="H2701" s="1820" t="s">
        <v>571</v>
      </c>
      <c r="I2701" s="2010">
        <v>70.099999999999994</v>
      </c>
      <c r="J2701" s="2011">
        <v>900.4</v>
      </c>
      <c r="K2701" s="3055" t="s">
        <v>554</v>
      </c>
      <c r="L2701" s="3055"/>
      <c r="M2701" s="3055"/>
      <c r="N2701" s="1489" t="str">
        <f>A2701</f>
        <v>TSLA</v>
      </c>
      <c r="O2701" s="3"/>
      <c r="P2701" s="3"/>
      <c r="Q2701" s="2003">
        <v>44313</v>
      </c>
      <c r="R2701" s="2006">
        <f>B2701*RIGHT(K2701,6)</f>
        <v>52041</v>
      </c>
      <c r="S2701" s="2007">
        <f>D2701</f>
        <v>49115.25</v>
      </c>
      <c r="T2701" s="2007">
        <f>S2701-R2701</f>
        <v>-2925.75</v>
      </c>
      <c r="U2701" s="2008">
        <f>(S2701-R2701)/R2701</f>
        <v>-5.6220095693779906E-2</v>
      </c>
      <c r="V2701" s="1926" t="str">
        <f t="shared" si="867"/>
        <v>TSLA</v>
      </c>
      <c r="W2701" s="1929">
        <f t="shared" ca="1" si="861"/>
        <v>-859</v>
      </c>
    </row>
    <row r="2702" spans="1:23" ht="16" hidden="1" outlineLevel="1" thickBot="1" x14ac:dyDescent="0.4">
      <c r="A2702" s="55" t="s">
        <v>7</v>
      </c>
      <c r="B2702" s="56"/>
      <c r="C2702" s="1881"/>
      <c r="D2702" s="1881">
        <v>2182.3200000000002</v>
      </c>
      <c r="E2702" s="1982"/>
      <c r="F2702" s="1506">
        <f>D2702/$D$2704</f>
        <v>8.2440014047033133E-3</v>
      </c>
      <c r="G2702" s="1788"/>
      <c r="H2702" s="1789"/>
      <c r="I2702" s="1789"/>
      <c r="J2702" s="1216"/>
      <c r="K2702" s="1633"/>
      <c r="L2702" s="1634"/>
      <c r="M2702" s="1634"/>
      <c r="R2702" s="2012">
        <f>SUM(R2690:R2701)</f>
        <v>260493.63384999998</v>
      </c>
      <c r="S2702" s="2013">
        <f>SUM(S2690:S2701)</f>
        <v>256155.1721</v>
      </c>
      <c r="T2702" s="2014">
        <f>SUM(T2690:T2701)</f>
        <v>-4338.4617500000022</v>
      </c>
      <c r="U2702" s="2015">
        <f>(S2702-R2702)/R2702</f>
        <v>-1.6654770736156278E-2</v>
      </c>
    </row>
    <row r="2703" spans="1:23" hidden="1" outlineLevel="1" x14ac:dyDescent="0.35">
      <c r="A2703" s="55" t="s">
        <v>60</v>
      </c>
      <c r="B2703" s="56"/>
      <c r="C2703" s="1881"/>
      <c r="D2703" s="1881">
        <v>6378.62</v>
      </c>
      <c r="E2703" s="1983"/>
      <c r="F2703" s="1506">
        <f>D2703/$D$2704</f>
        <v>2.4096077678831998E-2</v>
      </c>
      <c r="G2703" s="1788"/>
      <c r="H2703" s="1789"/>
      <c r="I2703" s="1789"/>
      <c r="J2703" s="61">
        <f>SUM(J2702:J2702)</f>
        <v>0</v>
      </c>
      <c r="K2703" s="1468"/>
      <c r="L2703" s="1151"/>
      <c r="M2703" s="1151"/>
      <c r="S2703" s="1470" t="str">
        <f>IF(SUM(D2690:D2701)&lt;&gt;S2702,"Out of Balance","Balances")</f>
        <v>Balances</v>
      </c>
    </row>
    <row r="2704" spans="1:23" ht="19" hidden="1" outlineLevel="1" thickBot="1" x14ac:dyDescent="0.5">
      <c r="A2704" s="66" t="s">
        <v>62</v>
      </c>
      <c r="B2704" s="67"/>
      <c r="C2704" s="68">
        <f>SUM(D2690:D2701)</f>
        <v>256155.1721</v>
      </c>
      <c r="D2704" s="84">
        <f>SUM(D2690:D2703)</f>
        <v>264716.11210000003</v>
      </c>
      <c r="E2704" s="73">
        <f>D2704-D2683</f>
        <v>-6366.5678999999654</v>
      </c>
      <c r="F2704" s="71">
        <f>(D2704-D2683)/D2683</f>
        <v>-2.3485705173048921E-2</v>
      </c>
      <c r="G2704" s="72" t="s">
        <v>63</v>
      </c>
      <c r="H2704" s="73">
        <f>E2704+E2683+E2665+E2652+E2638</f>
        <v>-98515.717899999989</v>
      </c>
      <c r="I2704" s="74"/>
      <c r="J2704" s="1849"/>
    </row>
    <row r="2705" spans="1:23" hidden="1" outlineLevel="1" x14ac:dyDescent="0.35">
      <c r="A2705" s="3065" t="s">
        <v>584</v>
      </c>
      <c r="B2705" s="3066"/>
      <c r="C2705" s="3066"/>
      <c r="D2705" s="3066"/>
      <c r="E2705" s="3066"/>
      <c r="F2705" s="3066"/>
      <c r="G2705" s="3066"/>
      <c r="H2705" s="3066"/>
      <c r="I2705" s="3066"/>
      <c r="J2705" s="3067"/>
    </row>
    <row r="2706" spans="1:23" ht="16" hidden="1" outlineLevel="1" thickBot="1" x14ac:dyDescent="0.4">
      <c r="A2706" s="3068"/>
      <c r="B2706" s="3069"/>
      <c r="C2706" s="3069"/>
      <c r="D2706" s="3069"/>
      <c r="E2706" s="3069"/>
      <c r="F2706" s="3069"/>
      <c r="G2706" s="3069"/>
      <c r="H2706" s="3069"/>
      <c r="I2706" s="3069"/>
      <c r="J2706" s="3070"/>
    </row>
    <row r="2707" spans="1:23" hidden="1" outlineLevel="1" x14ac:dyDescent="0.35"/>
    <row r="2708" spans="1:23" ht="16" hidden="1" outlineLevel="1" thickBot="1" x14ac:dyDescent="0.4">
      <c r="A2708" s="1619" t="s">
        <v>25</v>
      </c>
      <c r="B2708" s="1996" t="s">
        <v>26</v>
      </c>
      <c r="C2708" s="1621" t="s">
        <v>27</v>
      </c>
      <c r="D2708" s="1622">
        <f>D2687+7</f>
        <v>44281</v>
      </c>
      <c r="E2708" s="1623" t="s">
        <v>28</v>
      </c>
      <c r="F2708" s="3036" t="s">
        <v>29</v>
      </c>
      <c r="G2708" s="3037"/>
      <c r="H2708" s="3038"/>
      <c r="I2708" s="1727"/>
      <c r="J2708" s="1182"/>
      <c r="K2708" s="1183" t="s">
        <v>233</v>
      </c>
      <c r="O2708" s="3042" t="s">
        <v>31</v>
      </c>
      <c r="P2708" s="3043"/>
      <c r="T2708" s="247"/>
      <c r="U2708" s="1988"/>
      <c r="V2708" s="247"/>
    </row>
    <row r="2709" spans="1:23" ht="16" hidden="1" outlineLevel="1" thickBot="1" x14ac:dyDescent="0.4">
      <c r="A2709" s="1973" t="s">
        <v>32</v>
      </c>
      <c r="B2709" s="1997" t="str">
        <f ca="1">TEXT(TODAY(),"ddd")</f>
        <v>Sun</v>
      </c>
      <c r="C2709" s="1998">
        <v>33072</v>
      </c>
      <c r="D2709" s="1980">
        <f>C2709-C2688</f>
        <v>445</v>
      </c>
      <c r="E2709" s="1977">
        <f>(C2709-C2688)/C2688</f>
        <v>1.3639010635363349E-2</v>
      </c>
      <c r="F2709" s="3039"/>
      <c r="G2709" s="3040"/>
      <c r="H2709" s="3041"/>
      <c r="I2709" s="1602"/>
      <c r="J2709" s="1602"/>
      <c r="K2709" s="1188" t="s">
        <v>234</v>
      </c>
      <c r="L2709" s="1220" t="s">
        <v>34</v>
      </c>
      <c r="M2709" s="111" t="s">
        <v>35</v>
      </c>
      <c r="N2709" s="2995"/>
      <c r="O2709" s="2996"/>
      <c r="P2709" s="2996"/>
      <c r="Q2709" s="2996"/>
      <c r="R2709" s="2996"/>
      <c r="S2709" s="2996"/>
      <c r="T2709" s="2996"/>
      <c r="U2709" s="3044"/>
    </row>
    <row r="2710" spans="1:23" hidden="1" outlineLevel="1" x14ac:dyDescent="0.35">
      <c r="A2710" s="1978" t="s">
        <v>36</v>
      </c>
      <c r="B2710" s="1979"/>
      <c r="C2710" s="1979">
        <v>13138</v>
      </c>
      <c r="D2710" s="1980">
        <f>C2710-C2689</f>
        <v>-77</v>
      </c>
      <c r="E2710" s="1977">
        <f t="shared" ref="E2710:E2722" si="874">(C2710-C2689)/C2689</f>
        <v>-5.8267120696178587E-3</v>
      </c>
      <c r="F2710" s="1744" t="s">
        <v>37</v>
      </c>
      <c r="G2710" s="1745" t="s">
        <v>38</v>
      </c>
      <c r="H2710" s="1746" t="s">
        <v>144</v>
      </c>
      <c r="I2710" s="1747" t="s">
        <v>441</v>
      </c>
      <c r="J2710" s="1748" t="s">
        <v>400</v>
      </c>
      <c r="K2710" s="3063" t="s">
        <v>42</v>
      </c>
      <c r="L2710" s="3064"/>
      <c r="M2710" s="3064"/>
      <c r="N2710" s="1830" t="s">
        <v>244</v>
      </c>
      <c r="Q2710" s="1831" t="s">
        <v>44</v>
      </c>
      <c r="R2710" s="1832" t="s">
        <v>45</v>
      </c>
      <c r="S2710" s="1832" t="s">
        <v>46</v>
      </c>
      <c r="T2710" s="1832" t="s">
        <v>47</v>
      </c>
      <c r="U2710" s="1833" t="s">
        <v>48</v>
      </c>
      <c r="W2710" s="1919" t="s">
        <v>446</v>
      </c>
    </row>
    <row r="2711" spans="1:23" hidden="1" outlineLevel="1" x14ac:dyDescent="0.35">
      <c r="A2711" s="1412" t="s">
        <v>501</v>
      </c>
      <c r="B2711" s="1362">
        <v>450</v>
      </c>
      <c r="C2711" s="1363">
        <v>13.26</v>
      </c>
      <c r="D2711" s="1363">
        <f>C2711*B2711</f>
        <v>5967</v>
      </c>
      <c r="E2711" s="1977">
        <f t="shared" si="874"/>
        <v>-0.11422845691382771</v>
      </c>
      <c r="F2711" s="1506">
        <f>D2711/$D$2725</f>
        <v>2.3104701044869624E-2</v>
      </c>
      <c r="G2711" s="1494"/>
      <c r="H2711" s="1820" t="s">
        <v>562</v>
      </c>
      <c r="I2711" s="1889"/>
      <c r="J2711" s="1889"/>
      <c r="K2711" s="3055" t="s">
        <v>574</v>
      </c>
      <c r="L2711" s="3055"/>
      <c r="M2711" s="3055"/>
      <c r="N2711" s="1489"/>
      <c r="O2711" s="3"/>
      <c r="P2711" s="3"/>
      <c r="Q2711" s="2003">
        <v>44361</v>
      </c>
      <c r="R2711" s="2006">
        <f t="shared" ref="R2711" si="875">B2711*RIGHT(K2711,6)</f>
        <v>8131.5</v>
      </c>
      <c r="S2711" s="2007">
        <f>D2711</f>
        <v>5967</v>
      </c>
      <c r="T2711" s="2007">
        <f>S2711-R2711</f>
        <v>-2164.5</v>
      </c>
      <c r="U2711" s="2008">
        <f>(S2711-R2711)/R2711</f>
        <v>-0.26618705035971224</v>
      </c>
      <c r="V2711" s="1926" t="str">
        <f>A2711</f>
        <v>FCEL</v>
      </c>
      <c r="W2711" s="1929">
        <f t="shared" ref="W2711:W2722" ca="1" si="876">Q2711-TODAY()</f>
        <v>-811</v>
      </c>
    </row>
    <row r="2712" spans="1:23" hidden="1" outlineLevel="1" x14ac:dyDescent="0.35">
      <c r="A2712" s="1412" t="s">
        <v>549</v>
      </c>
      <c r="B2712" s="1362">
        <v>300.73500000000001</v>
      </c>
      <c r="C2712" s="1363">
        <v>128.63999999999999</v>
      </c>
      <c r="D2712" s="1363">
        <f t="shared" ref="D2712:D2715" si="877">C2712*B2712</f>
        <v>38686.5504</v>
      </c>
      <c r="E2712" s="1977">
        <f t="shared" si="874"/>
        <v>0.11997213999651739</v>
      </c>
      <c r="F2712" s="1506">
        <f t="shared" ref="F2712:F2724" si="878">D2712/$D$2725</f>
        <v>0.14979741602971031</v>
      </c>
      <c r="G2712" s="1494">
        <v>28</v>
      </c>
      <c r="H2712" s="1820" t="s">
        <v>564</v>
      </c>
      <c r="I2712" s="1889"/>
      <c r="J2712" s="1889"/>
      <c r="K2712" s="3055" t="s">
        <v>550</v>
      </c>
      <c r="L2712" s="3055"/>
      <c r="M2712" s="3055"/>
      <c r="N2712" s="1489" t="str">
        <f t="shared" ref="N2712" si="879">A2712</f>
        <v>AMAT</v>
      </c>
      <c r="O2712" s="3"/>
      <c r="P2712" s="3"/>
      <c r="Q2712" s="2003">
        <v>44328</v>
      </c>
      <c r="R2712" s="2004">
        <f>B2712*RIGHT(K2712,6)</f>
        <v>36061.133849999998</v>
      </c>
      <c r="S2712" s="1495">
        <f t="shared" ref="S2712:S2715" si="880">D2712</f>
        <v>38686.5504</v>
      </c>
      <c r="T2712" s="1495">
        <f t="shared" ref="T2712:T2715" si="881">S2712-R2712</f>
        <v>2625.4165500000017</v>
      </c>
      <c r="U2712" s="2005">
        <f t="shared" ref="U2712:U2715" si="882">(S2712-R2712)/R2712</f>
        <v>7.2804603452589489E-2</v>
      </c>
      <c r="V2712" s="1926" t="str">
        <f t="shared" ref="V2712:V2722" si="883">A2712</f>
        <v>AMAT</v>
      </c>
      <c r="W2712" s="1929">
        <f t="shared" ca="1" si="876"/>
        <v>-844</v>
      </c>
    </row>
    <row r="2713" spans="1:23" hidden="1" outlineLevel="1" x14ac:dyDescent="0.35">
      <c r="A2713" s="1412" t="s">
        <v>552</v>
      </c>
      <c r="B2713" s="1362">
        <v>300</v>
      </c>
      <c r="C2713" s="1363">
        <v>17.61</v>
      </c>
      <c r="D2713" s="1363">
        <f t="shared" si="877"/>
        <v>5283</v>
      </c>
      <c r="E2713" s="1977">
        <f t="shared" si="874"/>
        <v>-0.14927536231884059</v>
      </c>
      <c r="F2713" s="1506">
        <f t="shared" si="878"/>
        <v>2.0456198360993164E-2</v>
      </c>
      <c r="G2713" s="1494"/>
      <c r="H2713" s="1820"/>
      <c r="I2713" s="1889"/>
      <c r="J2713" s="1889"/>
      <c r="K2713" s="3055" t="s">
        <v>565</v>
      </c>
      <c r="L2713" s="3055"/>
      <c r="M2713" s="3055"/>
      <c r="N2713" s="1489"/>
      <c r="O2713" s="3"/>
      <c r="P2713" s="3"/>
      <c r="Q2713" s="2003">
        <v>44342</v>
      </c>
      <c r="R2713" s="2006">
        <f t="shared" ref="R2713:R2715" si="884">B2713*RIGHT(K2713,6)</f>
        <v>7548</v>
      </c>
      <c r="S2713" s="2007">
        <f t="shared" si="880"/>
        <v>5283</v>
      </c>
      <c r="T2713" s="2007">
        <f t="shared" si="881"/>
        <v>-2265</v>
      </c>
      <c r="U2713" s="2008">
        <f t="shared" si="882"/>
        <v>-0.30007949125596184</v>
      </c>
      <c r="V2713" s="1926" t="str">
        <f t="shared" si="883"/>
        <v>FSR</v>
      </c>
      <c r="W2713" s="1929">
        <f t="shared" ca="1" si="876"/>
        <v>-830</v>
      </c>
    </row>
    <row r="2714" spans="1:23" hidden="1" outlineLevel="1" x14ac:dyDescent="0.35">
      <c r="A2714" s="1412" t="s">
        <v>447</v>
      </c>
      <c r="B2714" s="1362">
        <v>200</v>
      </c>
      <c r="C2714" s="1363">
        <v>201.88</v>
      </c>
      <c r="D2714" s="1363">
        <f t="shared" si="877"/>
        <v>40376</v>
      </c>
      <c r="E2714" s="1977">
        <f t="shared" si="874"/>
        <v>-0.102476325968079</v>
      </c>
      <c r="F2714" s="1506">
        <f t="shared" si="878"/>
        <v>0.15633909994765474</v>
      </c>
      <c r="G2714" s="1494"/>
      <c r="H2714" s="1820"/>
      <c r="I2714" s="1889"/>
      <c r="J2714" s="1889"/>
      <c r="K2714" s="3055" t="s">
        <v>566</v>
      </c>
      <c r="L2714" s="3055"/>
      <c r="M2714" s="3055"/>
      <c r="N2714" s="1489"/>
      <c r="O2714" s="3"/>
      <c r="P2714" s="3"/>
      <c r="Q2714" s="2003">
        <v>44335</v>
      </c>
      <c r="R2714" s="2006">
        <f t="shared" si="884"/>
        <v>46896</v>
      </c>
      <c r="S2714" s="2007">
        <f t="shared" si="880"/>
        <v>40376</v>
      </c>
      <c r="T2714" s="2007">
        <f t="shared" si="881"/>
        <v>-6520</v>
      </c>
      <c r="U2714" s="2008">
        <f t="shared" si="882"/>
        <v>-0.13903104742408734</v>
      </c>
      <c r="V2714" s="1926" t="str">
        <f t="shared" si="883"/>
        <v>FVRR</v>
      </c>
      <c r="W2714" s="1929">
        <f t="shared" ca="1" si="876"/>
        <v>-837</v>
      </c>
    </row>
    <row r="2715" spans="1:23" hidden="1" outlineLevel="1" x14ac:dyDescent="0.35">
      <c r="A2715" s="1412" t="s">
        <v>543</v>
      </c>
      <c r="B2715" s="1362">
        <v>200</v>
      </c>
      <c r="C2715" s="1363">
        <v>45.95</v>
      </c>
      <c r="D2715" s="1363">
        <f t="shared" si="877"/>
        <v>9190</v>
      </c>
      <c r="E2715" s="1977">
        <f t="shared" si="874"/>
        <v>-0.20225694444444442</v>
      </c>
      <c r="F2715" s="1506">
        <f t="shared" si="878"/>
        <v>3.5584414714655913E-2</v>
      </c>
      <c r="G2715" s="1494"/>
      <c r="H2715" s="1820"/>
      <c r="I2715" s="1889"/>
      <c r="J2715" s="1889"/>
      <c r="K2715" s="3055" t="s">
        <v>567</v>
      </c>
      <c r="L2715" s="3055"/>
      <c r="M2715" s="3055"/>
      <c r="N2715" s="1489"/>
      <c r="O2715" s="3"/>
      <c r="P2715" s="3"/>
      <c r="Q2715" s="2003">
        <v>44349</v>
      </c>
      <c r="R2715" s="2006">
        <f t="shared" si="884"/>
        <v>10610</v>
      </c>
      <c r="S2715" s="2007">
        <f t="shared" si="880"/>
        <v>9190</v>
      </c>
      <c r="T2715" s="2007">
        <f t="shared" si="881"/>
        <v>-1420</v>
      </c>
      <c r="U2715" s="2008">
        <f t="shared" si="882"/>
        <v>-0.13383600377002827</v>
      </c>
      <c r="V2715" s="1926" t="str">
        <f t="shared" si="883"/>
        <v>DMTK</v>
      </c>
      <c r="W2715" s="1929">
        <f t="shared" ca="1" si="876"/>
        <v>-823</v>
      </c>
    </row>
    <row r="2716" spans="1:23" hidden="1" outlineLevel="1" x14ac:dyDescent="0.35">
      <c r="A2716" s="1412" t="s">
        <v>558</v>
      </c>
      <c r="B2716" s="1362">
        <v>200</v>
      </c>
      <c r="C2716" s="1363">
        <v>155.41999999999999</v>
      </c>
      <c r="D2716" s="1363">
        <f>C2716*B2716</f>
        <v>31083.999999999996</v>
      </c>
      <c r="E2716" s="1977">
        <f t="shared" si="874"/>
        <v>3.5719045715047214E-2</v>
      </c>
      <c r="F2716" s="1506">
        <f t="shared" si="878"/>
        <v>0.12035973307838567</v>
      </c>
      <c r="G2716" s="1494">
        <v>119</v>
      </c>
      <c r="H2716" s="1820" t="s">
        <v>568</v>
      </c>
      <c r="I2716" s="1889"/>
      <c r="J2716" s="1889"/>
      <c r="K2716" s="3055" t="s">
        <v>559</v>
      </c>
      <c r="L2716" s="3055"/>
      <c r="M2716" s="3055"/>
      <c r="N2716" s="1489" t="str">
        <f>A2716</f>
        <v>MCHP</v>
      </c>
      <c r="O2716" s="3"/>
      <c r="P2716" s="3"/>
      <c r="Q2716" s="2003">
        <v>44321</v>
      </c>
      <c r="R2716" s="2004">
        <f>B2716*RIGHT(K2716,6)</f>
        <v>27724</v>
      </c>
      <c r="S2716" s="1495">
        <f>D2716</f>
        <v>31083.999999999996</v>
      </c>
      <c r="T2716" s="1495">
        <f>S2716-R2716</f>
        <v>3359.9999999999964</v>
      </c>
      <c r="U2716" s="2005">
        <f>(S2716-R2716)/R2716</f>
        <v>0.12119463280911832</v>
      </c>
      <c r="V2716" s="1926" t="str">
        <f t="shared" si="883"/>
        <v>MCHP</v>
      </c>
      <c r="W2716" s="1929">
        <f t="shared" ca="1" si="876"/>
        <v>-851</v>
      </c>
    </row>
    <row r="2717" spans="1:23" hidden="1" outlineLevel="1" x14ac:dyDescent="0.35">
      <c r="A2717" s="1412" t="s">
        <v>569</v>
      </c>
      <c r="B2717" s="1362">
        <v>150</v>
      </c>
      <c r="C2717" s="1363">
        <v>44.37</v>
      </c>
      <c r="D2717" s="1363">
        <f>C2717*B2717</f>
        <v>6655.5</v>
      </c>
      <c r="E2717" s="1977">
        <f t="shared" si="874"/>
        <v>-0.25227502527805873</v>
      </c>
      <c r="F2717" s="1506">
        <f t="shared" si="878"/>
        <v>2.5770628088508427E-2</v>
      </c>
      <c r="G2717" s="1494"/>
      <c r="H2717" s="1820" t="s">
        <v>575</v>
      </c>
      <c r="I2717" s="1889"/>
      <c r="J2717" s="1889"/>
      <c r="K2717" s="3055" t="s">
        <v>570</v>
      </c>
      <c r="L2717" s="3055"/>
      <c r="M2717" s="3055"/>
      <c r="N2717" s="1489"/>
      <c r="O2717" s="3"/>
      <c r="P2717" s="3"/>
      <c r="Q2717" s="2003">
        <v>44333</v>
      </c>
      <c r="R2717" s="2006">
        <f>B2717*RIGHT(K2717,6)</f>
        <v>8758.5</v>
      </c>
      <c r="S2717" s="2007">
        <f>D2717</f>
        <v>6655.5</v>
      </c>
      <c r="T2717" s="2007">
        <f>S2717-R2717</f>
        <v>-2103</v>
      </c>
      <c r="U2717" s="2008">
        <f>(S2717-R2717)/R2717</f>
        <v>-0.24010960780955642</v>
      </c>
      <c r="V2717" s="1926" t="str">
        <f t="shared" si="883"/>
        <v>QS</v>
      </c>
      <c r="W2717" s="1929">
        <f t="shared" ca="1" si="876"/>
        <v>-839</v>
      </c>
    </row>
    <row r="2718" spans="1:23" hidden="1" outlineLevel="1" x14ac:dyDescent="0.35">
      <c r="A2718" s="1412" t="s">
        <v>576</v>
      </c>
      <c r="B2718" s="1362">
        <v>150</v>
      </c>
      <c r="C2718" s="1363">
        <v>13.5</v>
      </c>
      <c r="D2718" s="1363">
        <f t="shared" ref="D2718:D2720" si="885">C2718*B2718</f>
        <v>2025</v>
      </c>
      <c r="E2718" s="1977">
        <f t="shared" si="874"/>
        <v>-0.13793103448275862</v>
      </c>
      <c r="F2718" s="1506">
        <f t="shared" si="878"/>
        <v>7.840961893055302E-3</v>
      </c>
      <c r="G2718" s="1494"/>
      <c r="H2718" s="1820"/>
      <c r="I2718" s="1889"/>
      <c r="J2718" s="1889"/>
      <c r="K2718" s="3055" t="s">
        <v>577</v>
      </c>
      <c r="L2718" s="3055"/>
      <c r="M2718" s="3055"/>
      <c r="N2718" s="1489"/>
      <c r="O2718" s="3"/>
      <c r="P2718" s="3"/>
      <c r="Q2718" s="2003">
        <v>44321</v>
      </c>
      <c r="R2718" s="2006">
        <f t="shared" ref="R2718:R2720" si="886">B2718*RIGHT(K2718,6)</f>
        <v>2310</v>
      </c>
      <c r="S2718" s="2007">
        <f t="shared" ref="S2718:S2720" si="887">D2718</f>
        <v>2025</v>
      </c>
      <c r="T2718" s="2007">
        <f t="shared" ref="T2718:T2720" si="888">S2718-R2718</f>
        <v>-285</v>
      </c>
      <c r="U2718" s="2008">
        <f t="shared" ref="U2718:U2720" si="889">(S2718-R2718)/R2718</f>
        <v>-0.12337662337662338</v>
      </c>
      <c r="V2718" s="1926" t="str">
        <f t="shared" si="883"/>
        <v>CLNE</v>
      </c>
      <c r="W2718" s="1929">
        <f t="shared" ca="1" si="876"/>
        <v>-851</v>
      </c>
    </row>
    <row r="2719" spans="1:23" hidden="1" outlineLevel="1" x14ac:dyDescent="0.35">
      <c r="A2719" s="1412" t="s">
        <v>578</v>
      </c>
      <c r="B2719" s="1362">
        <v>150</v>
      </c>
      <c r="C2719" s="1363">
        <v>19.46</v>
      </c>
      <c r="D2719" s="1363">
        <f t="shared" si="885"/>
        <v>2919</v>
      </c>
      <c r="E2719" s="1977">
        <f t="shared" si="874"/>
        <v>-6.532180595581169E-2</v>
      </c>
      <c r="F2719" s="1506">
        <f t="shared" si="878"/>
        <v>1.1302601365841198E-2</v>
      </c>
      <c r="G2719" s="1494"/>
      <c r="H2719" s="1820" t="s">
        <v>579</v>
      </c>
      <c r="I2719" s="1889"/>
      <c r="J2719" s="1889"/>
      <c r="K2719" s="3055" t="s">
        <v>580</v>
      </c>
      <c r="L2719" s="3055"/>
      <c r="M2719" s="3055"/>
      <c r="N2719" s="1489"/>
      <c r="O2719" s="3"/>
      <c r="P2719" s="3"/>
      <c r="Q2719" s="2003">
        <v>44322</v>
      </c>
      <c r="R2719" s="2006">
        <f t="shared" si="886"/>
        <v>3328.5</v>
      </c>
      <c r="S2719" s="2007">
        <f t="shared" si="887"/>
        <v>2919</v>
      </c>
      <c r="T2719" s="2007">
        <f t="shared" si="888"/>
        <v>-409.5</v>
      </c>
      <c r="U2719" s="2008">
        <f t="shared" si="889"/>
        <v>-0.12302839116719243</v>
      </c>
      <c r="V2719" s="1926" t="str">
        <f t="shared" si="883"/>
        <v>AMRS</v>
      </c>
      <c r="W2719" s="1929">
        <f t="shared" ca="1" si="876"/>
        <v>-850</v>
      </c>
    </row>
    <row r="2720" spans="1:23" hidden="1" outlineLevel="1" x14ac:dyDescent="0.35">
      <c r="A2720" s="1412" t="s">
        <v>581</v>
      </c>
      <c r="B2720" s="1362">
        <v>100</v>
      </c>
      <c r="C2720" s="1363">
        <v>39.76</v>
      </c>
      <c r="D2720" s="1363">
        <f t="shared" si="885"/>
        <v>3976</v>
      </c>
      <c r="E2720" s="1977">
        <f t="shared" si="874"/>
        <v>-0.10228042447505083</v>
      </c>
      <c r="F2720" s="1506">
        <f t="shared" si="878"/>
        <v>1.5395389870018705E-2</v>
      </c>
      <c r="G2720" s="1494"/>
      <c r="H2720" s="1820" t="s">
        <v>582</v>
      </c>
      <c r="I2720" s="1889"/>
      <c r="J2720" s="1889"/>
      <c r="K2720" s="3055" t="s">
        <v>583</v>
      </c>
      <c r="L2720" s="3055"/>
      <c r="M2720" s="3055"/>
      <c r="N2720" s="1489"/>
      <c r="O2720" s="3"/>
      <c r="P2720" s="3"/>
      <c r="Q2720" s="2003">
        <v>44347</v>
      </c>
      <c r="R2720" s="2006">
        <f t="shared" si="886"/>
        <v>4288</v>
      </c>
      <c r="S2720" s="2007">
        <f t="shared" si="887"/>
        <v>3976</v>
      </c>
      <c r="T2720" s="2007">
        <f t="shared" si="888"/>
        <v>-312</v>
      </c>
      <c r="U2720" s="2008">
        <f t="shared" si="889"/>
        <v>-7.2761194029850748E-2</v>
      </c>
      <c r="V2720" s="1926" t="str">
        <f t="shared" si="883"/>
        <v>TMDX</v>
      </c>
      <c r="W2720" s="1929">
        <f t="shared" ca="1" si="876"/>
        <v>-825</v>
      </c>
    </row>
    <row r="2721" spans="1:24" hidden="1" outlineLevel="1" x14ac:dyDescent="0.35">
      <c r="A2721" s="1412" t="s">
        <v>135</v>
      </c>
      <c r="B2721" s="1531">
        <v>100</v>
      </c>
      <c r="C2721" s="1143">
        <v>584.23</v>
      </c>
      <c r="D2721" s="1143">
        <f>C2721*B2721</f>
        <v>58423</v>
      </c>
      <c r="E2721" s="1977">
        <f t="shared" si="874"/>
        <v>7.7298961848389441E-2</v>
      </c>
      <c r="F2721" s="1506">
        <f t="shared" si="878"/>
        <v>0.22621852675455303</v>
      </c>
      <c r="G2721" s="1494">
        <v>27</v>
      </c>
      <c r="H2721" s="1820" t="s">
        <v>564</v>
      </c>
      <c r="I2721" s="1889"/>
      <c r="J2721" s="1889"/>
      <c r="K2721" s="3055" t="s">
        <v>560</v>
      </c>
      <c r="L2721" s="3055"/>
      <c r="M2721" s="3055"/>
      <c r="N2721" s="1489" t="str">
        <f>A2721</f>
        <v>LRCX</v>
      </c>
      <c r="O2721" s="3"/>
      <c r="P2721" s="3"/>
      <c r="Q2721" s="2003">
        <v>44306</v>
      </c>
      <c r="R2721" s="2004">
        <f>B2721*RIGHT(K2721,6)</f>
        <v>52797</v>
      </c>
      <c r="S2721" s="1495">
        <f>D2721</f>
        <v>58423</v>
      </c>
      <c r="T2721" s="1495">
        <f>S2721-R2721</f>
        <v>5626</v>
      </c>
      <c r="U2721" s="2005">
        <f>(S2721-R2721)/R2721</f>
        <v>0.10655908479648465</v>
      </c>
      <c r="V2721" s="1926" t="str">
        <f t="shared" si="883"/>
        <v>LRCX</v>
      </c>
      <c r="W2721" s="1929">
        <f t="shared" ca="1" si="876"/>
        <v>-866</v>
      </c>
    </row>
    <row r="2722" spans="1:24" hidden="1" outlineLevel="1" x14ac:dyDescent="0.35">
      <c r="A2722" s="1412" t="s">
        <v>66</v>
      </c>
      <c r="B2722" s="1531">
        <v>75</v>
      </c>
      <c r="C2722" s="1143">
        <v>618.71</v>
      </c>
      <c r="D2722" s="1143">
        <f>C2722*B2722</f>
        <v>46403.25</v>
      </c>
      <c r="E2722" s="1977">
        <f t="shared" si="874"/>
        <v>-5.5217065982561375E-2</v>
      </c>
      <c r="F2722" s="1506">
        <f t="shared" si="878"/>
        <v>0.17967709380934244</v>
      </c>
      <c r="G2722" s="1520">
        <v>1057</v>
      </c>
      <c r="H2722" s="1820" t="s">
        <v>571</v>
      </c>
      <c r="I2722" s="1895"/>
      <c r="J2722" s="1896"/>
      <c r="K2722" s="3055" t="s">
        <v>554</v>
      </c>
      <c r="L2722" s="3055"/>
      <c r="M2722" s="3055"/>
      <c r="N2722" s="1489" t="str">
        <f>A2722</f>
        <v>TSLA</v>
      </c>
      <c r="O2722" s="3"/>
      <c r="P2722" s="3"/>
      <c r="Q2722" s="2003">
        <v>44313</v>
      </c>
      <c r="R2722" s="2006">
        <f>B2722*RIGHT(K2722,6)</f>
        <v>52041</v>
      </c>
      <c r="S2722" s="2007">
        <f>D2722</f>
        <v>46403.25</v>
      </c>
      <c r="T2722" s="2007">
        <f>S2722-R2722</f>
        <v>-5637.75</v>
      </c>
      <c r="U2722" s="2008">
        <f>(S2722-R2722)/R2722</f>
        <v>-0.10833285294287197</v>
      </c>
      <c r="V2722" s="1926" t="str">
        <f t="shared" si="883"/>
        <v>TSLA</v>
      </c>
      <c r="W2722" s="1929">
        <f t="shared" ca="1" si="876"/>
        <v>-859</v>
      </c>
      <c r="X2722">
        <v>1</v>
      </c>
    </row>
    <row r="2723" spans="1:24" ht="16" hidden="1" outlineLevel="1" thickBot="1" x14ac:dyDescent="0.4">
      <c r="A2723" s="55" t="s">
        <v>7</v>
      </c>
      <c r="B2723" s="56"/>
      <c r="C2723" s="1881"/>
      <c r="D2723" s="1881">
        <v>2192.21</v>
      </c>
      <c r="E2723" s="1982"/>
      <c r="F2723" s="1506">
        <f t="shared" si="878"/>
        <v>8.4884123810245737E-3</v>
      </c>
      <c r="G2723" s="1788"/>
      <c r="H2723" s="1789"/>
      <c r="I2723" s="1789"/>
      <c r="J2723" s="1216"/>
      <c r="K2723" s="1633"/>
      <c r="L2723" s="1634"/>
      <c r="M2723" s="1634"/>
      <c r="R2723" s="2012">
        <f>SUM(R2711:R2722)</f>
        <v>260493.63384999998</v>
      </c>
      <c r="S2723" s="2013">
        <f>SUM(S2711:S2722)</f>
        <v>250988.30040000001</v>
      </c>
      <c r="T2723" s="2014">
        <f>SUM(T2711:T2722)</f>
        <v>-9505.3334500000019</v>
      </c>
      <c r="U2723" s="2015">
        <f>AVERAGE(U2711:U2722)</f>
        <v>-0.100515328423141</v>
      </c>
    </row>
    <row r="2724" spans="1:24" ht="16" hidden="1" outlineLevel="1" thickBot="1" x14ac:dyDescent="0.4">
      <c r="A2724" s="55" t="s">
        <v>60</v>
      </c>
      <c r="B2724" s="56"/>
      <c r="C2724" s="1881"/>
      <c r="D2724" s="1881">
        <v>5078.62</v>
      </c>
      <c r="E2724" s="1983"/>
      <c r="F2724" s="1506">
        <f t="shared" si="878"/>
        <v>1.9664822661386923E-2</v>
      </c>
      <c r="G2724" s="1734"/>
      <c r="H2724" s="1723"/>
      <c r="I2724" s="1796"/>
      <c r="J2724" s="61">
        <f>SUM(J2723:J2723)</f>
        <v>0</v>
      </c>
      <c r="K2724" s="1468"/>
      <c r="L2724" s="1151"/>
      <c r="M2724" s="1151"/>
      <c r="S2724" s="1470" t="str">
        <f>IF(SUM(D2711:D2722)&lt;&gt;S2723,"Out of Balance","Balances")</f>
        <v>Balances</v>
      </c>
    </row>
    <row r="2725" spans="1:24" ht="19" hidden="1" outlineLevel="1" thickBot="1" x14ac:dyDescent="0.5">
      <c r="A2725" s="66" t="s">
        <v>62</v>
      </c>
      <c r="B2725" s="67"/>
      <c r="C2725" s="68">
        <f>SUM(D2711:D2722)</f>
        <v>250988.30040000001</v>
      </c>
      <c r="D2725" s="84">
        <f>SUM(D2711:D2724)</f>
        <v>258259.13039999999</v>
      </c>
      <c r="E2725" s="73">
        <f>D2725-D2704</f>
        <v>-6456.981700000033</v>
      </c>
      <c r="F2725" s="71">
        <f>(D2725-D2704)/D2704</f>
        <v>-2.4392099327753887E-2</v>
      </c>
      <c r="G2725" s="72" t="s">
        <v>63</v>
      </c>
      <c r="H2725" s="73">
        <f>E2725+E2704+E2683+E2665+E2652</f>
        <v>-65501.409599999984</v>
      </c>
      <c r="I2725" s="74"/>
      <c r="J2725" s="1849"/>
    </row>
    <row r="2726" spans="1:24" hidden="1" outlineLevel="1" x14ac:dyDescent="0.35">
      <c r="A2726" s="3065" t="s">
        <v>585</v>
      </c>
      <c r="B2726" s="3066"/>
      <c r="C2726" s="3066"/>
      <c r="D2726" s="3066"/>
      <c r="E2726" s="3066"/>
      <c r="F2726" s="3066"/>
      <c r="G2726" s="3066"/>
      <c r="H2726" s="3066"/>
      <c r="I2726" s="3066"/>
      <c r="J2726" s="3067"/>
    </row>
    <row r="2727" spans="1:24" ht="16" hidden="1" outlineLevel="1" thickBot="1" x14ac:dyDescent="0.4">
      <c r="A2727" s="3068"/>
      <c r="B2727" s="3069"/>
      <c r="C2727" s="3069"/>
      <c r="D2727" s="3069"/>
      <c r="E2727" s="3069"/>
      <c r="F2727" s="3069"/>
      <c r="G2727" s="3069"/>
      <c r="H2727" s="3069"/>
      <c r="I2727" s="3069"/>
      <c r="J2727" s="3070"/>
    </row>
    <row r="2728" spans="1:24" hidden="1" outlineLevel="1" x14ac:dyDescent="0.35"/>
    <row r="2729" spans="1:24" ht="16.5" hidden="1" customHeight="1" outlineLevel="1" thickBot="1" x14ac:dyDescent="0.4">
      <c r="A2729" s="1619" t="s">
        <v>25</v>
      </c>
      <c r="B2729" s="1996" t="s">
        <v>26</v>
      </c>
      <c r="C2729" s="1621" t="s">
        <v>27</v>
      </c>
      <c r="D2729" s="1622">
        <f>D2708+7</f>
        <v>44288</v>
      </c>
      <c r="E2729" s="1623" t="s">
        <v>28</v>
      </c>
      <c r="F2729" s="3036" t="s">
        <v>29</v>
      </c>
      <c r="G2729" s="3037"/>
      <c r="H2729" s="3038"/>
      <c r="I2729" s="1727"/>
      <c r="J2729" s="1182"/>
      <c r="K2729" s="1183" t="s">
        <v>233</v>
      </c>
      <c r="O2729" s="3042" t="s">
        <v>31</v>
      </c>
      <c r="P2729" s="3043"/>
      <c r="T2729" s="247"/>
      <c r="U2729" s="1123"/>
      <c r="V2729" s="247"/>
    </row>
    <row r="2730" spans="1:24" ht="16" hidden="1" outlineLevel="1" thickBot="1" x14ac:dyDescent="0.4">
      <c r="A2730" s="1973" t="s">
        <v>32</v>
      </c>
      <c r="B2730" s="1997" t="str">
        <f ca="1">TEXT(TODAY(),"ddd")</f>
        <v>Sun</v>
      </c>
      <c r="C2730" s="1998">
        <v>33153</v>
      </c>
      <c r="D2730" s="1980">
        <f>C2730-C2709</f>
        <v>81</v>
      </c>
      <c r="E2730" s="1977">
        <f t="shared" ref="E2730:E2731" si="890">(C2730-C2709)/C2709</f>
        <v>2.4492017416545718E-3</v>
      </c>
      <c r="F2730" s="3039"/>
      <c r="G2730" s="3040"/>
      <c r="H2730" s="3041"/>
      <c r="I2730" s="1602"/>
      <c r="J2730" s="1602"/>
      <c r="K2730" s="1188" t="s">
        <v>234</v>
      </c>
      <c r="L2730" s="1220" t="s">
        <v>34</v>
      </c>
      <c r="M2730" s="111" t="s">
        <v>35</v>
      </c>
      <c r="N2730" s="2995"/>
      <c r="O2730" s="2996"/>
      <c r="P2730" s="2996"/>
      <c r="Q2730" s="2996"/>
      <c r="R2730" s="2996"/>
      <c r="S2730" s="2996"/>
      <c r="T2730" s="2996"/>
      <c r="U2730" s="3044"/>
    </row>
    <row r="2731" spans="1:24" hidden="1" outlineLevel="1" x14ac:dyDescent="0.35">
      <c r="A2731" s="1978" t="s">
        <v>36</v>
      </c>
      <c r="B2731" s="1979"/>
      <c r="C2731" s="1979">
        <v>13480</v>
      </c>
      <c r="D2731" s="1980">
        <f>C2731-C2710</f>
        <v>342</v>
      </c>
      <c r="E2731" s="1977">
        <f t="shared" si="890"/>
        <v>2.6031359415436141E-2</v>
      </c>
      <c r="F2731" s="1744" t="s">
        <v>37</v>
      </c>
      <c r="G2731" s="1745" t="s">
        <v>38</v>
      </c>
      <c r="H2731" s="1746" t="s">
        <v>144</v>
      </c>
      <c r="I2731" s="1747" t="s">
        <v>441</v>
      </c>
      <c r="J2731" s="1748" t="s">
        <v>400</v>
      </c>
      <c r="K2731" s="3063" t="s">
        <v>42</v>
      </c>
      <c r="L2731" s="3064"/>
      <c r="M2731" s="3064"/>
      <c r="N2731" s="1830" t="s">
        <v>244</v>
      </c>
      <c r="Q2731" s="1831" t="s">
        <v>44</v>
      </c>
      <c r="R2731" s="1832" t="s">
        <v>45</v>
      </c>
      <c r="S2731" s="1832" t="s">
        <v>46</v>
      </c>
      <c r="T2731" s="1832" t="s">
        <v>47</v>
      </c>
      <c r="U2731" s="1833" t="s">
        <v>48</v>
      </c>
      <c r="W2731" s="1919" t="s">
        <v>446</v>
      </c>
    </row>
    <row r="2732" spans="1:24" hidden="1" outlineLevel="1" x14ac:dyDescent="0.35">
      <c r="A2732" s="1412" t="s">
        <v>549</v>
      </c>
      <c r="B2732" s="1362">
        <v>300.73500000000001</v>
      </c>
      <c r="C2732" s="1363">
        <v>141.52000000000001</v>
      </c>
      <c r="D2732" s="1363">
        <f t="shared" ref="D2732:D2737" si="891">C2732*B2732</f>
        <v>42560.017200000002</v>
      </c>
      <c r="E2732" s="1977">
        <f>(C2732-C2712)/C2712</f>
        <v>0.10012437810945293</v>
      </c>
      <c r="F2732" s="1506">
        <f t="shared" ref="F2732:F2739" si="892">D2732/$D$2725</f>
        <v>0.16479578915208801</v>
      </c>
      <c r="G2732" s="1494">
        <v>28</v>
      </c>
      <c r="H2732" s="1820" t="s">
        <v>564</v>
      </c>
      <c r="I2732" s="1889"/>
      <c r="J2732" s="1889"/>
      <c r="K2732" s="3055" t="s">
        <v>550</v>
      </c>
      <c r="L2732" s="3055"/>
      <c r="M2732" s="3055"/>
      <c r="N2732" s="1489" t="str">
        <f>A2732</f>
        <v>AMAT</v>
      </c>
      <c r="O2732" s="3"/>
      <c r="P2732" s="3"/>
      <c r="Q2732" s="2003">
        <v>44328</v>
      </c>
      <c r="R2732" s="2004">
        <f t="shared" ref="R2732:R2737" si="893">B2732*RIGHT(K2732,6)</f>
        <v>36061.133849999998</v>
      </c>
      <c r="S2732" s="1495">
        <f t="shared" ref="S2732:S2737" si="894">D2732</f>
        <v>42560.017200000002</v>
      </c>
      <c r="T2732" s="1495">
        <f t="shared" ref="T2732:T2737" si="895">S2732-R2732</f>
        <v>6498.8833500000037</v>
      </c>
      <c r="U2732" s="2005">
        <f t="shared" ref="U2732:U2737" si="896">(S2732-R2732)/R2732</f>
        <v>0.18021849720623812</v>
      </c>
      <c r="V2732" s="1926" t="str">
        <f t="shared" ref="V2732:V2737" si="897">A2732</f>
        <v>AMAT</v>
      </c>
      <c r="W2732" s="1929">
        <f t="shared" ref="W2732:W2737" ca="1" si="898">Q2732-TODAY()</f>
        <v>-844</v>
      </c>
    </row>
    <row r="2733" spans="1:24" hidden="1" outlineLevel="1" x14ac:dyDescent="0.35">
      <c r="A2733" s="1412" t="s">
        <v>447</v>
      </c>
      <c r="B2733" s="1362">
        <v>200</v>
      </c>
      <c r="C2733" s="1363">
        <v>225.08</v>
      </c>
      <c r="D2733" s="1363">
        <f t="shared" si="891"/>
        <v>45016</v>
      </c>
      <c r="E2733" s="1977">
        <f>(C2733-C2714)/C2714</f>
        <v>0.11491975430949088</v>
      </c>
      <c r="F2733" s="1506">
        <f t="shared" si="892"/>
        <v>0.17430555090260616</v>
      </c>
      <c r="G2733" s="1494"/>
      <c r="H2733" s="1820"/>
      <c r="I2733" s="1889"/>
      <c r="J2733" s="1889"/>
      <c r="K2733" s="3055" t="s">
        <v>566</v>
      </c>
      <c r="L2733" s="3055"/>
      <c r="M2733" s="3055"/>
      <c r="N2733" s="1489"/>
      <c r="O2733" s="3"/>
      <c r="P2733" s="3"/>
      <c r="Q2733" s="2003">
        <v>44335</v>
      </c>
      <c r="R2733" s="2006">
        <f t="shared" si="893"/>
        <v>46896</v>
      </c>
      <c r="S2733" s="2007">
        <f t="shared" si="894"/>
        <v>45016</v>
      </c>
      <c r="T2733" s="2007">
        <f t="shared" si="895"/>
        <v>-1880</v>
      </c>
      <c r="U2733" s="2008">
        <f t="shared" si="896"/>
        <v>-4.0088706925963835E-2</v>
      </c>
      <c r="V2733" s="1926" t="str">
        <f t="shared" si="897"/>
        <v>FVRR</v>
      </c>
      <c r="W2733" s="1929">
        <f t="shared" ca="1" si="898"/>
        <v>-837</v>
      </c>
    </row>
    <row r="2734" spans="1:24" hidden="1" outlineLevel="1" x14ac:dyDescent="0.35">
      <c r="A2734" s="1412" t="s">
        <v>543</v>
      </c>
      <c r="B2734" s="1362">
        <v>200</v>
      </c>
      <c r="C2734" s="1363">
        <v>51.58</v>
      </c>
      <c r="D2734" s="1363">
        <f t="shared" si="891"/>
        <v>10316</v>
      </c>
      <c r="E2734" s="1977">
        <f>(C2734-C2715)/C2715</f>
        <v>0.12252448313384103</v>
      </c>
      <c r="F2734" s="1506">
        <f t="shared" si="892"/>
        <v>3.9944376735189378E-2</v>
      </c>
      <c r="G2734" s="1494"/>
      <c r="H2734" s="1820"/>
      <c r="I2734" s="1889"/>
      <c r="J2734" s="1889"/>
      <c r="K2734" s="3055" t="s">
        <v>567</v>
      </c>
      <c r="L2734" s="3055"/>
      <c r="M2734" s="3055"/>
      <c r="N2734" s="1489"/>
      <c r="O2734" s="3"/>
      <c r="P2734" s="3"/>
      <c r="Q2734" s="2003">
        <v>44349</v>
      </c>
      <c r="R2734" s="2006">
        <f t="shared" si="893"/>
        <v>10610</v>
      </c>
      <c r="S2734" s="2007">
        <f t="shared" si="894"/>
        <v>10316</v>
      </c>
      <c r="T2734" s="2007">
        <f t="shared" si="895"/>
        <v>-294</v>
      </c>
      <c r="U2734" s="2008">
        <f t="shared" si="896"/>
        <v>-2.7709707822808672E-2</v>
      </c>
      <c r="V2734" s="1926" t="str">
        <f t="shared" si="897"/>
        <v>DMTK</v>
      </c>
      <c r="W2734" s="1929">
        <f t="shared" ca="1" si="898"/>
        <v>-823</v>
      </c>
    </row>
    <row r="2735" spans="1:24" hidden="1" outlineLevel="1" x14ac:dyDescent="0.35">
      <c r="A2735" s="1412" t="s">
        <v>558</v>
      </c>
      <c r="B2735" s="1362">
        <v>200</v>
      </c>
      <c r="C2735" s="1363">
        <v>160.16999999999999</v>
      </c>
      <c r="D2735" s="1363">
        <f t="shared" si="891"/>
        <v>32033.999999999996</v>
      </c>
      <c r="E2735" s="1977">
        <f>(C2735-C2716)/C2716</f>
        <v>3.0562347188264061E-2</v>
      </c>
      <c r="F2735" s="1506">
        <f t="shared" si="892"/>
        <v>0.12403820902821408</v>
      </c>
      <c r="G2735" s="1494">
        <v>119</v>
      </c>
      <c r="H2735" s="1820" t="s">
        <v>568</v>
      </c>
      <c r="I2735" s="1889"/>
      <c r="J2735" s="1889"/>
      <c r="K2735" s="3055" t="s">
        <v>559</v>
      </c>
      <c r="L2735" s="3055"/>
      <c r="M2735" s="3055"/>
      <c r="N2735" s="1489" t="str">
        <f>A2735</f>
        <v>MCHP</v>
      </c>
      <c r="O2735" s="3"/>
      <c r="P2735" s="3"/>
      <c r="Q2735" s="2003">
        <v>44321</v>
      </c>
      <c r="R2735" s="2004">
        <f t="shared" si="893"/>
        <v>27724</v>
      </c>
      <c r="S2735" s="1495">
        <f t="shared" si="894"/>
        <v>32033.999999999996</v>
      </c>
      <c r="T2735" s="1495">
        <f t="shared" si="895"/>
        <v>4309.9999999999964</v>
      </c>
      <c r="U2735" s="2005">
        <f t="shared" si="896"/>
        <v>0.15546097244264884</v>
      </c>
      <c r="V2735" s="1926" t="str">
        <f t="shared" si="897"/>
        <v>MCHP</v>
      </c>
      <c r="W2735" s="1929">
        <f t="shared" ca="1" si="898"/>
        <v>-851</v>
      </c>
    </row>
    <row r="2736" spans="1:24" hidden="1" outlineLevel="1" x14ac:dyDescent="0.35">
      <c r="A2736" s="1412" t="s">
        <v>135</v>
      </c>
      <c r="B2736" s="1142">
        <v>100</v>
      </c>
      <c r="C2736" s="1143">
        <v>639.29999999999995</v>
      </c>
      <c r="D2736" s="1143">
        <f t="shared" si="891"/>
        <v>63929.999999999993</v>
      </c>
      <c r="E2736" s="1977">
        <f>(C2736-C2721)/C2721</f>
        <v>9.4260821936565972E-2</v>
      </c>
      <c r="F2736" s="1506">
        <f t="shared" si="892"/>
        <v>0.24754207102371625</v>
      </c>
      <c r="G2736" s="1494">
        <v>27</v>
      </c>
      <c r="H2736" s="1820" t="s">
        <v>564</v>
      </c>
      <c r="I2736" s="1889"/>
      <c r="J2736" s="1889"/>
      <c r="K2736" s="3055" t="s">
        <v>560</v>
      </c>
      <c r="L2736" s="3055"/>
      <c r="M2736" s="3055"/>
      <c r="N2736" s="1489" t="str">
        <f>A2736</f>
        <v>LRCX</v>
      </c>
      <c r="O2736" s="3"/>
      <c r="P2736" s="3"/>
      <c r="Q2736" s="2003">
        <v>44306</v>
      </c>
      <c r="R2736" s="2004">
        <f t="shared" si="893"/>
        <v>52797</v>
      </c>
      <c r="S2736" s="1495">
        <f t="shared" si="894"/>
        <v>63929.999999999993</v>
      </c>
      <c r="T2736" s="1495">
        <f t="shared" si="895"/>
        <v>11132.999999999993</v>
      </c>
      <c r="U2736" s="2005">
        <f t="shared" si="896"/>
        <v>0.21086425365077546</v>
      </c>
      <c r="V2736" s="1926" t="str">
        <f t="shared" si="897"/>
        <v>LRCX</v>
      </c>
      <c r="W2736" s="1929">
        <f t="shared" ca="1" si="898"/>
        <v>-866</v>
      </c>
    </row>
    <row r="2737" spans="1:23" hidden="1" outlineLevel="1" x14ac:dyDescent="0.35">
      <c r="A2737" s="1412" t="s">
        <v>66</v>
      </c>
      <c r="B2737" s="1142">
        <v>75</v>
      </c>
      <c r="C2737" s="1143">
        <v>661.75</v>
      </c>
      <c r="D2737" s="1143">
        <f t="shared" si="891"/>
        <v>49631.25</v>
      </c>
      <c r="E2737" s="1977">
        <f>(C2737-C2722)/C2722</f>
        <v>6.9564093032276772E-2</v>
      </c>
      <c r="F2737" s="1506">
        <f t="shared" si="892"/>
        <v>0.19217616787886466</v>
      </c>
      <c r="G2737" s="1520">
        <v>1057</v>
      </c>
      <c r="H2737" s="1820" t="s">
        <v>571</v>
      </c>
      <c r="I2737" s="1895"/>
      <c r="J2737" s="1896"/>
      <c r="K2737" s="3055" t="s">
        <v>554</v>
      </c>
      <c r="L2737" s="3055"/>
      <c r="M2737" s="3055"/>
      <c r="N2737" s="1489" t="str">
        <f>A2737</f>
        <v>TSLA</v>
      </c>
      <c r="O2737" s="3"/>
      <c r="P2737" s="3"/>
      <c r="Q2737" s="2003">
        <v>44313</v>
      </c>
      <c r="R2737" s="2006">
        <f t="shared" si="893"/>
        <v>52041</v>
      </c>
      <c r="S2737" s="2007">
        <f t="shared" si="894"/>
        <v>49631.25</v>
      </c>
      <c r="T2737" s="2007">
        <f t="shared" si="895"/>
        <v>-2409.75</v>
      </c>
      <c r="U2737" s="2008">
        <f t="shared" si="896"/>
        <v>-4.6304836571165041E-2</v>
      </c>
      <c r="V2737" s="1926" t="str">
        <f t="shared" si="897"/>
        <v>TSLA</v>
      </c>
      <c r="W2737" s="1929">
        <f t="shared" ca="1" si="898"/>
        <v>-859</v>
      </c>
    </row>
    <row r="2738" spans="1:23" ht="16" hidden="1" outlineLevel="1" thickBot="1" x14ac:dyDescent="0.4">
      <c r="A2738" s="1412" t="s">
        <v>7</v>
      </c>
      <c r="B2738" s="56"/>
      <c r="C2738" s="1881"/>
      <c r="D2738" s="1881">
        <v>2188.25</v>
      </c>
      <c r="E2738" s="1982"/>
      <c r="F2738" s="1506">
        <f t="shared" si="892"/>
        <v>8.4730789444337103E-3</v>
      </c>
      <c r="G2738" s="1788"/>
      <c r="H2738" s="1789"/>
      <c r="I2738" s="1789"/>
      <c r="J2738" s="1216"/>
      <c r="K2738" s="1633"/>
      <c r="L2738" s="1634"/>
      <c r="M2738" s="1634"/>
      <c r="R2738" s="2012">
        <f>SUM(R2732:R2737)</f>
        <v>226129.13384999998</v>
      </c>
      <c r="S2738" s="2013">
        <f>SUM(S2732:S2737)</f>
        <v>243487.2672</v>
      </c>
      <c r="T2738" s="2013">
        <f>SUM(T2732:T2737)</f>
        <v>17358.133349999993</v>
      </c>
      <c r="U2738" s="2015">
        <f>AVERAGE(U2732:U2737)</f>
        <v>7.2073411996620818E-2</v>
      </c>
    </row>
    <row r="2739" spans="1:23" ht="16" hidden="1" outlineLevel="1" thickBot="1" x14ac:dyDescent="0.4">
      <c r="A2739" s="55" t="s">
        <v>60</v>
      </c>
      <c r="B2739" s="56"/>
      <c r="C2739" s="1881"/>
      <c r="D2739" s="1881">
        <v>30161.68</v>
      </c>
      <c r="E2739" s="1983"/>
      <c r="F2739" s="1506">
        <f t="shared" si="892"/>
        <v>0.11678843630149542</v>
      </c>
      <c r="G2739" s="1734"/>
      <c r="H2739" s="1723"/>
      <c r="I2739" s="1796"/>
      <c r="J2739" s="61">
        <f>SUM(J2738:J2738)</f>
        <v>0</v>
      </c>
      <c r="K2739" s="1468"/>
      <c r="L2739" s="1151"/>
      <c r="M2739" s="1151"/>
      <c r="S2739" s="1470" t="str">
        <f>IF(SUM(D2732:D2737)&lt;&gt;S2738,"Out of Balance","Balances")</f>
        <v>Balances</v>
      </c>
    </row>
    <row r="2740" spans="1:23" ht="19" hidden="1" outlineLevel="1" thickBot="1" x14ac:dyDescent="0.5">
      <c r="A2740" s="66" t="s">
        <v>62</v>
      </c>
      <c r="B2740" s="67"/>
      <c r="C2740" s="68">
        <f>SUM(D2732:D2737)</f>
        <v>243487.2672</v>
      </c>
      <c r="D2740" s="84">
        <f>SUM(D2732:D2739)</f>
        <v>275837.1972</v>
      </c>
      <c r="E2740" s="73">
        <f>D2740-D2725</f>
        <v>17578.066800000001</v>
      </c>
      <c r="F2740" s="71">
        <f>(D2740-D2725)/D2725</f>
        <v>6.8063679966607685E-2</v>
      </c>
      <c r="G2740" s="72" t="s">
        <v>63</v>
      </c>
      <c r="H2740" s="73">
        <f>E2740+E2725+E2704+E2683+E2665</f>
        <v>9170.8571999999695</v>
      </c>
      <c r="I2740" s="74"/>
      <c r="J2740" s="1849"/>
    </row>
    <row r="2741" spans="1:23" hidden="1" outlineLevel="1" x14ac:dyDescent="0.35">
      <c r="A2741" s="3065" t="s">
        <v>586</v>
      </c>
      <c r="B2741" s="3066"/>
      <c r="C2741" s="3066"/>
      <c r="D2741" s="3066"/>
      <c r="E2741" s="3066"/>
      <c r="F2741" s="3066"/>
      <c r="G2741" s="3066"/>
      <c r="H2741" s="3066"/>
      <c r="I2741" s="3066"/>
      <c r="J2741" s="3067"/>
    </row>
    <row r="2742" spans="1:23" ht="16" hidden="1" outlineLevel="1" thickBot="1" x14ac:dyDescent="0.4">
      <c r="A2742" s="3068"/>
      <c r="B2742" s="3069"/>
      <c r="C2742" s="3069"/>
      <c r="D2742" s="3069"/>
      <c r="E2742" s="3069"/>
      <c r="F2742" s="3069"/>
      <c r="G2742" s="3069"/>
      <c r="H2742" s="3069"/>
      <c r="I2742" s="3069"/>
      <c r="J2742" s="3070"/>
    </row>
    <row r="2743" spans="1:23" hidden="1" outlineLevel="1" x14ac:dyDescent="0.35"/>
    <row r="2744" spans="1:23" ht="16.5" hidden="1" customHeight="1" outlineLevel="1" thickBot="1" x14ac:dyDescent="0.4">
      <c r="A2744" s="1619" t="s">
        <v>25</v>
      </c>
      <c r="B2744" s="1996" t="s">
        <v>26</v>
      </c>
      <c r="C2744" s="1621" t="s">
        <v>27</v>
      </c>
      <c r="D2744" s="1622">
        <f>D2729+7</f>
        <v>44295</v>
      </c>
      <c r="E2744" s="1623" t="s">
        <v>28</v>
      </c>
      <c r="F2744" s="3036" t="s">
        <v>29</v>
      </c>
      <c r="G2744" s="3037"/>
      <c r="H2744" s="3038"/>
      <c r="I2744" s="1727"/>
      <c r="J2744" s="1182"/>
      <c r="K2744" s="1183" t="s">
        <v>233</v>
      </c>
      <c r="O2744" s="3042" t="s">
        <v>31</v>
      </c>
      <c r="P2744" s="3043"/>
      <c r="T2744" s="247"/>
      <c r="U2744" s="1123"/>
      <c r="V2744" s="247"/>
    </row>
    <row r="2745" spans="1:23" ht="16" hidden="1" outlineLevel="1" thickBot="1" x14ac:dyDescent="0.4">
      <c r="A2745" s="1973" t="s">
        <v>32</v>
      </c>
      <c r="B2745" s="1997" t="str">
        <f ca="1">TEXT(TODAY(),"ddd")</f>
        <v>Sun</v>
      </c>
      <c r="C2745" s="1998">
        <v>33800</v>
      </c>
      <c r="D2745" s="1980">
        <f>C2745-C2730</f>
        <v>647</v>
      </c>
      <c r="E2745" s="1977">
        <f t="shared" ref="E2745:E2747" si="899">(C2745-C2730)/C2730</f>
        <v>1.9515579283926041E-2</v>
      </c>
      <c r="F2745" s="3039"/>
      <c r="G2745" s="3040"/>
      <c r="H2745" s="3041"/>
      <c r="I2745" s="1602"/>
      <c r="J2745" s="1602"/>
      <c r="K2745" s="1188" t="s">
        <v>234</v>
      </c>
      <c r="L2745" s="1220" t="s">
        <v>34</v>
      </c>
      <c r="M2745" s="111" t="s">
        <v>35</v>
      </c>
      <c r="N2745" s="2995"/>
      <c r="O2745" s="2996"/>
      <c r="P2745" s="2996"/>
      <c r="Q2745" s="2996"/>
      <c r="R2745" s="2996"/>
      <c r="S2745" s="2996"/>
      <c r="T2745" s="2996"/>
      <c r="U2745" s="3044"/>
    </row>
    <row r="2746" spans="1:23" hidden="1" outlineLevel="1" x14ac:dyDescent="0.35">
      <c r="A2746" s="1978" t="s">
        <v>36</v>
      </c>
      <c r="B2746" s="1979"/>
      <c r="C2746" s="1979">
        <v>13900</v>
      </c>
      <c r="D2746" s="1980">
        <f>C2746-C2731</f>
        <v>420</v>
      </c>
      <c r="E2746" s="1977">
        <f t="shared" si="899"/>
        <v>3.1157270029673591E-2</v>
      </c>
      <c r="F2746" s="1744" t="s">
        <v>37</v>
      </c>
      <c r="G2746" s="1745" t="s">
        <v>38</v>
      </c>
      <c r="H2746" s="1746" t="s">
        <v>144</v>
      </c>
      <c r="I2746" s="1747" t="s">
        <v>441</v>
      </c>
      <c r="J2746" s="1748" t="s">
        <v>400</v>
      </c>
      <c r="K2746" s="3063" t="s">
        <v>42</v>
      </c>
      <c r="L2746" s="3064"/>
      <c r="M2746" s="3064"/>
      <c r="N2746" s="1830" t="s">
        <v>244</v>
      </c>
      <c r="Q2746" s="1831" t="s">
        <v>44</v>
      </c>
      <c r="R2746" s="1832" t="s">
        <v>45</v>
      </c>
      <c r="S2746" s="1832" t="s">
        <v>46</v>
      </c>
      <c r="T2746" s="1832" t="s">
        <v>47</v>
      </c>
      <c r="U2746" s="1833" t="s">
        <v>48</v>
      </c>
      <c r="W2746" s="1919" t="s">
        <v>446</v>
      </c>
    </row>
    <row r="2747" spans="1:23" hidden="1" outlineLevel="1" x14ac:dyDescent="0.35">
      <c r="A2747" s="1412" t="s">
        <v>549</v>
      </c>
      <c r="B2747" s="1362">
        <v>300.73500000000001</v>
      </c>
      <c r="C2747" s="1363">
        <v>138.91</v>
      </c>
      <c r="D2747" s="1363">
        <f t="shared" ref="D2747:D2753" si="900">C2747*B2747</f>
        <v>41775.098850000002</v>
      </c>
      <c r="E2747" s="1977">
        <f t="shared" si="899"/>
        <v>-1.8442622950819765E-2</v>
      </c>
      <c r="F2747" s="1506">
        <f>D2747/$D$2756</f>
        <v>0.15112277179014705</v>
      </c>
      <c r="G2747" s="1494">
        <v>28</v>
      </c>
      <c r="H2747" s="1820" t="s">
        <v>564</v>
      </c>
      <c r="I2747" s="1889"/>
      <c r="J2747" s="1889"/>
      <c r="K2747" s="3055" t="s">
        <v>550</v>
      </c>
      <c r="L2747" s="3055"/>
      <c r="M2747" s="3055"/>
      <c r="N2747" s="1489" t="str">
        <f>A2747</f>
        <v>AMAT</v>
      </c>
      <c r="O2747" s="3"/>
      <c r="P2747" s="3"/>
      <c r="Q2747" s="2003">
        <v>44328</v>
      </c>
      <c r="R2747" s="2004">
        <f t="shared" ref="R2747:R2753" si="901">B2747*RIGHT(K2747,6)</f>
        <v>36061.133849999998</v>
      </c>
      <c r="S2747" s="1495">
        <f t="shared" ref="S2747:S2753" si="902">D2747</f>
        <v>41775.098850000002</v>
      </c>
      <c r="T2747" s="1495">
        <f t="shared" ref="T2747:T2753" si="903">S2747-R2747</f>
        <v>5713.9650000000038</v>
      </c>
      <c r="U2747" s="2005">
        <f t="shared" ref="U2747:U2753" si="904">(S2747-R2747)/R2747</f>
        <v>0.15845217246268045</v>
      </c>
      <c r="V2747" s="1926" t="str">
        <f t="shared" ref="V2747:V2753" si="905">A2747</f>
        <v>AMAT</v>
      </c>
      <c r="W2747" s="1929">
        <f ca="1">Q2747-TODAY()</f>
        <v>-844</v>
      </c>
    </row>
    <row r="2748" spans="1:23" hidden="1" outlineLevel="1" x14ac:dyDescent="0.35">
      <c r="A2748" s="1412" t="s">
        <v>587</v>
      </c>
      <c r="B2748" s="1362">
        <v>300</v>
      </c>
      <c r="C2748" s="1363">
        <v>12.06</v>
      </c>
      <c r="D2748" s="1363">
        <f t="shared" si="900"/>
        <v>3618</v>
      </c>
      <c r="E2748" s="1977"/>
      <c r="F2748" s="1506">
        <f t="shared" ref="F2748:F2753" si="906">D2748/$D$2756</f>
        <v>1.3088232066188206E-2</v>
      </c>
      <c r="G2748" s="1494"/>
      <c r="H2748" s="1820" t="s">
        <v>588</v>
      </c>
      <c r="I2748" s="1889"/>
      <c r="J2748" s="1889"/>
      <c r="K2748" s="3055" t="s">
        <v>589</v>
      </c>
      <c r="L2748" s="3055"/>
      <c r="M2748" s="3055"/>
      <c r="N2748" s="1489"/>
      <c r="O2748" s="3"/>
      <c r="P2748" s="3"/>
      <c r="Q2748" s="2003" t="s">
        <v>58</v>
      </c>
      <c r="R2748" s="2004">
        <f t="shared" si="901"/>
        <v>3684</v>
      </c>
      <c r="S2748" s="1495">
        <f t="shared" si="902"/>
        <v>3618</v>
      </c>
      <c r="T2748" s="1495">
        <f t="shared" si="903"/>
        <v>-66</v>
      </c>
      <c r="U2748" s="2005">
        <f t="shared" si="904"/>
        <v>-1.7915309446254073E-2</v>
      </c>
      <c r="V2748" s="1926" t="str">
        <f t="shared" si="905"/>
        <v>INVZ</v>
      </c>
      <c r="W2748" s="1929"/>
    </row>
    <row r="2749" spans="1:23" hidden="1" outlineLevel="1" x14ac:dyDescent="0.35">
      <c r="A2749" s="1412" t="s">
        <v>447</v>
      </c>
      <c r="B2749" s="1362">
        <v>200</v>
      </c>
      <c r="C2749" s="1143">
        <v>226.65</v>
      </c>
      <c r="D2749" s="1363">
        <f t="shared" si="900"/>
        <v>45330</v>
      </c>
      <c r="E2749" s="1977">
        <f>(C2749-C2733)/C2733</f>
        <v>6.9752976719388354E-3</v>
      </c>
      <c r="F2749" s="1506">
        <f t="shared" si="906"/>
        <v>0.16398274172479585</v>
      </c>
      <c r="G2749" s="1494"/>
      <c r="H2749" s="1820"/>
      <c r="I2749" s="1889"/>
      <c r="J2749" s="1889"/>
      <c r="K2749" s="3055" t="s">
        <v>566</v>
      </c>
      <c r="L2749" s="3055"/>
      <c r="M2749" s="3055"/>
      <c r="N2749" s="1489"/>
      <c r="O2749" s="3"/>
      <c r="P2749" s="3"/>
      <c r="Q2749" s="2003">
        <v>44335</v>
      </c>
      <c r="R2749" s="2006">
        <f t="shared" si="901"/>
        <v>46896</v>
      </c>
      <c r="S2749" s="2007">
        <f t="shared" si="902"/>
        <v>45330</v>
      </c>
      <c r="T2749" s="2007">
        <f t="shared" si="903"/>
        <v>-1566</v>
      </c>
      <c r="U2749" s="2008">
        <f t="shared" si="904"/>
        <v>-3.3393039918116686E-2</v>
      </c>
      <c r="V2749" s="1926" t="str">
        <f t="shared" si="905"/>
        <v>FVRR</v>
      </c>
      <c r="W2749" s="1929">
        <f ca="1">Q2749-TODAY()</f>
        <v>-837</v>
      </c>
    </row>
    <row r="2750" spans="1:23" hidden="1" outlineLevel="1" x14ac:dyDescent="0.35">
      <c r="A2750" s="1412" t="s">
        <v>543</v>
      </c>
      <c r="B2750" s="1362">
        <v>200</v>
      </c>
      <c r="C2750" s="1143">
        <v>48.6</v>
      </c>
      <c r="D2750" s="1363">
        <f t="shared" si="900"/>
        <v>9720</v>
      </c>
      <c r="E2750" s="1977">
        <f>(C2750-C2734)/C2734</f>
        <v>-5.7774331136099207E-2</v>
      </c>
      <c r="F2750" s="1506">
        <f t="shared" si="906"/>
        <v>3.516241450617727E-2</v>
      </c>
      <c r="G2750" s="1494"/>
      <c r="H2750" s="1820"/>
      <c r="I2750" s="1889"/>
      <c r="J2750" s="1889"/>
      <c r="K2750" s="3055" t="s">
        <v>567</v>
      </c>
      <c r="L2750" s="3055"/>
      <c r="M2750" s="3055"/>
      <c r="N2750" s="1489"/>
      <c r="O2750" s="3"/>
      <c r="P2750" s="3"/>
      <c r="Q2750" s="2003">
        <v>44349</v>
      </c>
      <c r="R2750" s="2006">
        <f t="shared" si="901"/>
        <v>10610</v>
      </c>
      <c r="S2750" s="2007">
        <f t="shared" si="902"/>
        <v>9720</v>
      </c>
      <c r="T2750" s="2007">
        <f t="shared" si="903"/>
        <v>-890</v>
      </c>
      <c r="U2750" s="2008">
        <f t="shared" si="904"/>
        <v>-8.3883129123468431E-2</v>
      </c>
      <c r="V2750" s="1926" t="str">
        <f t="shared" si="905"/>
        <v>DMTK</v>
      </c>
      <c r="W2750" s="1929">
        <f ca="1">Q2750-TODAY()</f>
        <v>-823</v>
      </c>
    </row>
    <row r="2751" spans="1:23" hidden="1" outlineLevel="1" x14ac:dyDescent="0.35">
      <c r="A2751" s="1412" t="s">
        <v>558</v>
      </c>
      <c r="B2751" s="1362">
        <v>200</v>
      </c>
      <c r="C2751" s="1363">
        <v>161.72999999999999</v>
      </c>
      <c r="D2751" s="1363">
        <f t="shared" si="900"/>
        <v>32345.999999999996</v>
      </c>
      <c r="E2751" s="1977">
        <f>(C2751-C2735)/C2735</f>
        <v>9.7396516201536023E-3</v>
      </c>
      <c r="F2751" s="1506">
        <f t="shared" si="906"/>
        <v>0.11701270160666767</v>
      </c>
      <c r="G2751" s="1494">
        <v>119</v>
      </c>
      <c r="H2751" s="1820" t="s">
        <v>568</v>
      </c>
      <c r="I2751" s="1889"/>
      <c r="J2751" s="1889"/>
      <c r="K2751" s="3055" t="s">
        <v>559</v>
      </c>
      <c r="L2751" s="3055"/>
      <c r="M2751" s="3055"/>
      <c r="N2751" s="1489" t="str">
        <f>A2751</f>
        <v>MCHP</v>
      </c>
      <c r="O2751" s="3"/>
      <c r="P2751" s="3"/>
      <c r="Q2751" s="2003">
        <v>44321</v>
      </c>
      <c r="R2751" s="2004">
        <f t="shared" si="901"/>
        <v>27724</v>
      </c>
      <c r="S2751" s="1495">
        <f t="shared" si="902"/>
        <v>32345.999999999996</v>
      </c>
      <c r="T2751" s="1495">
        <f t="shared" si="903"/>
        <v>4621.9999999999964</v>
      </c>
      <c r="U2751" s="2005">
        <f t="shared" si="904"/>
        <v>0.16671475977492412</v>
      </c>
      <c r="V2751" s="1926" t="str">
        <f t="shared" si="905"/>
        <v>MCHP</v>
      </c>
      <c r="W2751" s="1929">
        <f ca="1">Q2751-TODAY()</f>
        <v>-851</v>
      </c>
    </row>
    <row r="2752" spans="1:23" hidden="1" outlineLevel="1" x14ac:dyDescent="0.35">
      <c r="A2752" s="1412" t="s">
        <v>135</v>
      </c>
      <c r="B2752" s="1142">
        <v>100</v>
      </c>
      <c r="C2752" s="1143">
        <v>662</v>
      </c>
      <c r="D2752" s="1143">
        <f t="shared" si="900"/>
        <v>66200</v>
      </c>
      <c r="E2752" s="1977">
        <f>(C2752-C2736)/C2736</f>
        <v>3.5507586422649846E-2</v>
      </c>
      <c r="F2752" s="1506">
        <f t="shared" si="906"/>
        <v>0.2394806420070921</v>
      </c>
      <c r="G2752" s="1494">
        <v>27</v>
      </c>
      <c r="H2752" s="1820" t="s">
        <v>564</v>
      </c>
      <c r="I2752" s="1889"/>
      <c r="J2752" s="1889"/>
      <c r="K2752" s="3055" t="s">
        <v>560</v>
      </c>
      <c r="L2752" s="3055"/>
      <c r="M2752" s="3055"/>
      <c r="N2752" s="1489" t="str">
        <f>A2752</f>
        <v>LRCX</v>
      </c>
      <c r="O2752" s="3"/>
      <c r="P2752" s="3"/>
      <c r="Q2752" s="2003">
        <v>44307</v>
      </c>
      <c r="R2752" s="2004">
        <f t="shared" si="901"/>
        <v>52797</v>
      </c>
      <c r="S2752" s="1495">
        <f t="shared" si="902"/>
        <v>66200</v>
      </c>
      <c r="T2752" s="1495">
        <f t="shared" si="903"/>
        <v>13403</v>
      </c>
      <c r="U2752" s="2005">
        <f t="shared" si="904"/>
        <v>0.25385912078337786</v>
      </c>
      <c r="V2752" s="1926" t="str">
        <f t="shared" si="905"/>
        <v>LRCX</v>
      </c>
      <c r="W2752" s="1929">
        <f ca="1">Q2752-TODAY()</f>
        <v>-865</v>
      </c>
    </row>
    <row r="2753" spans="1:23" hidden="1" outlineLevel="1" x14ac:dyDescent="0.35">
      <c r="A2753" s="1412" t="s">
        <v>66</v>
      </c>
      <c r="B2753" s="1142">
        <v>75</v>
      </c>
      <c r="C2753" s="1143">
        <v>677.02</v>
      </c>
      <c r="D2753" s="1143">
        <f t="shared" si="900"/>
        <v>50776.5</v>
      </c>
      <c r="E2753" s="1977">
        <f>(C2753-C2737)/C2737</f>
        <v>2.3075179448432161E-2</v>
      </c>
      <c r="F2753" s="1506">
        <f t="shared" si="906"/>
        <v>0.18368563170503191</v>
      </c>
      <c r="G2753" s="1520">
        <v>1057</v>
      </c>
      <c r="H2753" s="1820" t="s">
        <v>571</v>
      </c>
      <c r="I2753" s="1895"/>
      <c r="J2753" s="1896"/>
      <c r="K2753" s="3055" t="s">
        <v>554</v>
      </c>
      <c r="L2753" s="3055"/>
      <c r="M2753" s="3055"/>
      <c r="N2753" s="1489" t="str">
        <f>A2753</f>
        <v>TSLA</v>
      </c>
      <c r="O2753" s="3"/>
      <c r="P2753" s="3"/>
      <c r="Q2753" s="2003">
        <v>44313</v>
      </c>
      <c r="R2753" s="2006">
        <f t="shared" si="901"/>
        <v>52041</v>
      </c>
      <c r="S2753" s="2007">
        <f t="shared" si="902"/>
        <v>50776.5</v>
      </c>
      <c r="T2753" s="2007">
        <f t="shared" si="903"/>
        <v>-1264.5</v>
      </c>
      <c r="U2753" s="2008">
        <f t="shared" si="904"/>
        <v>-2.4298149535942816E-2</v>
      </c>
      <c r="V2753" s="1926" t="str">
        <f t="shared" si="905"/>
        <v>TSLA</v>
      </c>
      <c r="W2753" s="1929">
        <f ca="1">Q2753-TODAY()</f>
        <v>-859</v>
      </c>
    </row>
    <row r="2754" spans="1:23" ht="16" hidden="1" outlineLevel="1" thickBot="1" x14ac:dyDescent="0.4">
      <c r="A2754" s="55" t="s">
        <v>7</v>
      </c>
      <c r="B2754" s="56"/>
      <c r="C2754" s="1881"/>
      <c r="D2754" s="1881">
        <v>2188.25</v>
      </c>
      <c r="E2754" s="1982"/>
      <c r="F2754" s="1506">
        <f t="shared" ref="F2754:F2755" si="907">D2754/$D$2725</f>
        <v>8.4730789444337103E-3</v>
      </c>
      <c r="G2754" s="1788"/>
      <c r="H2754" s="1789"/>
      <c r="I2754" s="1789"/>
      <c r="J2754" s="1216"/>
      <c r="K2754" s="1633"/>
      <c r="L2754" s="1634"/>
      <c r="M2754" s="1634"/>
      <c r="R2754" s="2016">
        <f>SUM(R2747:R2753)</f>
        <v>229813.13384999998</v>
      </c>
      <c r="S2754" s="1532">
        <f>SUM(S2747:S2753)</f>
        <v>249765.59885000001</v>
      </c>
      <c r="T2754" s="1532">
        <f>SUM(T2747:T2753)</f>
        <v>19952.465</v>
      </c>
      <c r="U2754" s="2017">
        <f>AVERAGE(U2747:U2753)</f>
        <v>5.9933774999600058E-2</v>
      </c>
    </row>
    <row r="2755" spans="1:23" ht="16" hidden="1" outlineLevel="1" thickBot="1" x14ac:dyDescent="0.4">
      <c r="A2755" s="55" t="s">
        <v>60</v>
      </c>
      <c r="B2755" s="56"/>
      <c r="C2755" s="1881"/>
      <c r="D2755" s="1881">
        <f>30161.68-2000-R2748</f>
        <v>24477.68</v>
      </c>
      <c r="E2755" s="1983"/>
      <c r="F2755" s="1506">
        <f t="shared" si="907"/>
        <v>9.477953388167995E-2</v>
      </c>
      <c r="G2755" s="1734"/>
      <c r="H2755" s="1723"/>
      <c r="I2755" s="1796"/>
      <c r="J2755" s="61">
        <f>SUM(J2754:J2754)</f>
        <v>0</v>
      </c>
      <c r="K2755" s="1468"/>
      <c r="L2755" s="1151"/>
      <c r="M2755" s="1151"/>
      <c r="S2755" s="1470" t="str">
        <f>IF(SUM(D2747:D2753)&lt;&gt;S2754,"Out of Balance","Balances")</f>
        <v>Balances</v>
      </c>
    </row>
    <row r="2756" spans="1:23" ht="19" hidden="1" outlineLevel="1" thickBot="1" x14ac:dyDescent="0.5">
      <c r="A2756" s="66" t="s">
        <v>62</v>
      </c>
      <c r="B2756" s="67"/>
      <c r="C2756" s="68">
        <f>SUM(D2747:D2753)</f>
        <v>249765.59885000001</v>
      </c>
      <c r="D2756" s="84">
        <f>SUM(D2747:D2755)</f>
        <v>276431.52885</v>
      </c>
      <c r="E2756" s="73">
        <f>D2756-D2740</f>
        <v>594.33165000000736</v>
      </c>
      <c r="F2756" s="71">
        <f>(D2756-D2740)/D2740</f>
        <v>2.154646494501168E-3</v>
      </c>
      <c r="G2756" s="72" t="s">
        <v>63</v>
      </c>
      <c r="H2756" s="73">
        <f>E2756+E2740+E2725+E2704+E2683</f>
        <v>10165.978850000014</v>
      </c>
      <c r="I2756" s="74"/>
      <c r="J2756" s="1849"/>
    </row>
    <row r="2757" spans="1:23" ht="15.65" hidden="1" customHeight="1" outlineLevel="1" x14ac:dyDescent="0.35">
      <c r="A2757" s="3056" t="s">
        <v>590</v>
      </c>
      <c r="B2757" s="3057"/>
      <c r="C2757" s="3057"/>
      <c r="D2757" s="3057"/>
      <c r="E2757" s="3057"/>
      <c r="F2757" s="3057"/>
      <c r="G2757" s="3057"/>
      <c r="H2757" s="3057"/>
      <c r="I2757" s="3057"/>
      <c r="J2757" s="3058"/>
    </row>
    <row r="2758" spans="1:23" ht="16" hidden="1" outlineLevel="1" thickBot="1" x14ac:dyDescent="0.4">
      <c r="A2758" s="3059"/>
      <c r="B2758" s="3060"/>
      <c r="C2758" s="3060"/>
      <c r="D2758" s="3060"/>
      <c r="E2758" s="3060"/>
      <c r="F2758" s="3060"/>
      <c r="G2758" s="3060"/>
      <c r="H2758" s="3060"/>
      <c r="I2758" s="3060"/>
      <c r="J2758" s="3061"/>
    </row>
    <row r="2759" spans="1:23" hidden="1" outlineLevel="1" x14ac:dyDescent="0.35">
      <c r="A2759" s="8"/>
      <c r="B2759" s="9"/>
      <c r="C2759" s="8"/>
      <c r="D2759" s="8"/>
      <c r="E2759" s="8"/>
      <c r="F2759" s="10"/>
      <c r="G2759" s="11"/>
      <c r="H2759" s="12"/>
      <c r="I2759" s="8"/>
      <c r="J2759" s="12"/>
      <c r="K2759" s="8"/>
      <c r="L2759" s="8"/>
      <c r="M2759" s="8"/>
      <c r="N2759" s="8"/>
      <c r="O2759" s="8"/>
      <c r="P2759" s="8"/>
      <c r="Q2759" s="8"/>
      <c r="R2759" s="8"/>
      <c r="S2759" s="8"/>
      <c r="T2759" s="8"/>
      <c r="U2759" s="8"/>
      <c r="V2759" s="8"/>
      <c r="W2759" s="8"/>
    </row>
    <row r="2760" spans="1:23" ht="16.5" hidden="1" customHeight="1" outlineLevel="1" thickBot="1" x14ac:dyDescent="0.4">
      <c r="A2760" s="1619" t="s">
        <v>25</v>
      </c>
      <c r="B2760" s="1996" t="s">
        <v>26</v>
      </c>
      <c r="C2760" s="1621" t="s">
        <v>27</v>
      </c>
      <c r="D2760" s="1622">
        <f>D2744+7</f>
        <v>44302</v>
      </c>
      <c r="E2760" s="1623" t="s">
        <v>28</v>
      </c>
      <c r="F2760" s="3036" t="s">
        <v>29</v>
      </c>
      <c r="G2760" s="3037"/>
      <c r="H2760" s="3038"/>
      <c r="I2760" s="1727"/>
      <c r="J2760" s="1182"/>
      <c r="K2760" s="1183" t="s">
        <v>233</v>
      </c>
      <c r="O2760" s="3042" t="s">
        <v>31</v>
      </c>
      <c r="P2760" s="3043"/>
      <c r="T2760" s="247"/>
      <c r="U2760" s="1123"/>
      <c r="V2760" s="247"/>
    </row>
    <row r="2761" spans="1:23" ht="16" hidden="1" outlineLevel="1" thickBot="1" x14ac:dyDescent="0.4">
      <c r="A2761" s="1973" t="s">
        <v>32</v>
      </c>
      <c r="B2761" s="1997" t="str">
        <f ca="1">TEXT(TODAY(),"ddd")</f>
        <v>Sun</v>
      </c>
      <c r="C2761" s="1998">
        <v>34035</v>
      </c>
      <c r="D2761" s="1980">
        <f>C2761-C2745</f>
        <v>235</v>
      </c>
      <c r="E2761" s="1977">
        <f>(C2761-C2745)/C2745</f>
        <v>6.9526627218934912E-3</v>
      </c>
      <c r="F2761" s="3039"/>
      <c r="G2761" s="3040"/>
      <c r="H2761" s="3041"/>
      <c r="I2761" s="1602"/>
      <c r="J2761" s="1602"/>
      <c r="K2761" s="1188" t="s">
        <v>234</v>
      </c>
      <c r="L2761" s="1220" t="s">
        <v>34</v>
      </c>
      <c r="M2761" s="111" t="s">
        <v>35</v>
      </c>
      <c r="N2761" s="2995"/>
      <c r="O2761" s="2996"/>
      <c r="P2761" s="2996"/>
      <c r="Q2761" s="2996"/>
      <c r="R2761" s="2996"/>
      <c r="S2761" s="2996"/>
      <c r="T2761" s="2996"/>
      <c r="U2761" s="3044"/>
    </row>
    <row r="2762" spans="1:23" hidden="1" outlineLevel="1" x14ac:dyDescent="0.35">
      <c r="A2762" s="1978" t="s">
        <v>36</v>
      </c>
      <c r="B2762" s="1979"/>
      <c r="C2762" s="1979">
        <v>14038</v>
      </c>
      <c r="D2762" s="1980">
        <f>C2762-C2746</f>
        <v>138</v>
      </c>
      <c r="E2762" s="1977">
        <f t="shared" ref="E2762:E2763" si="908">(C2762-C2746)/C2746</f>
        <v>9.9280575539568341E-3</v>
      </c>
      <c r="F2762" s="1744" t="s">
        <v>37</v>
      </c>
      <c r="G2762" s="1745" t="s">
        <v>38</v>
      </c>
      <c r="H2762" s="1746" t="s">
        <v>144</v>
      </c>
      <c r="I2762" s="1747" t="s">
        <v>441</v>
      </c>
      <c r="J2762" s="1748" t="s">
        <v>400</v>
      </c>
      <c r="K2762" s="3063" t="s">
        <v>42</v>
      </c>
      <c r="L2762" s="3064"/>
      <c r="M2762" s="3064"/>
      <c r="N2762" s="1830" t="s">
        <v>244</v>
      </c>
      <c r="Q2762" s="1831" t="s">
        <v>44</v>
      </c>
      <c r="R2762" s="1832" t="s">
        <v>45</v>
      </c>
      <c r="S2762" s="1832" t="s">
        <v>46</v>
      </c>
      <c r="T2762" s="1832" t="s">
        <v>47</v>
      </c>
      <c r="U2762" s="1833" t="s">
        <v>48</v>
      </c>
      <c r="W2762" s="1919" t="s">
        <v>446</v>
      </c>
    </row>
    <row r="2763" spans="1:23" hidden="1" outlineLevel="1" x14ac:dyDescent="0.35">
      <c r="A2763" s="1412" t="s">
        <v>549</v>
      </c>
      <c r="B2763" s="1362">
        <v>200.73500000000001</v>
      </c>
      <c r="C2763" s="1363">
        <v>133.72999999999999</v>
      </c>
      <c r="D2763" s="2018">
        <f t="shared" ref="D2763:D2769" si="909">C2763*B2763</f>
        <v>26844.291549999998</v>
      </c>
      <c r="E2763" s="1977">
        <f t="shared" si="908"/>
        <v>-3.7290331869555875E-2</v>
      </c>
      <c r="F2763" s="1506">
        <f>D2763/$D$2772</f>
        <v>9.9195502823558698E-2</v>
      </c>
      <c r="G2763" s="1494">
        <v>28</v>
      </c>
      <c r="H2763" s="1820" t="s">
        <v>564</v>
      </c>
      <c r="I2763" s="1889"/>
      <c r="J2763" s="1889"/>
      <c r="K2763" s="3055" t="s">
        <v>550</v>
      </c>
      <c r="L2763" s="3055"/>
      <c r="M2763" s="3055"/>
      <c r="N2763" s="1489" t="str">
        <f>A2763</f>
        <v>AMAT</v>
      </c>
      <c r="O2763" s="3"/>
      <c r="P2763" s="3"/>
      <c r="Q2763" s="2003">
        <v>44328</v>
      </c>
      <c r="R2763" s="2004">
        <f t="shared" ref="R2763:R2769" si="910">B2763*RIGHT(K2763,6)</f>
        <v>24070.133850000002</v>
      </c>
      <c r="S2763" s="1495">
        <f t="shared" ref="S2763:S2769" si="911">D2763</f>
        <v>26844.291549999998</v>
      </c>
      <c r="T2763" s="1495">
        <f t="shared" ref="T2763:T2769" si="912">S2763-R2763</f>
        <v>2774.1576999999961</v>
      </c>
      <c r="U2763" s="2005">
        <f t="shared" ref="U2763:U2769" si="913">(S2763-R2763)/R2763</f>
        <v>0.1152531064965389</v>
      </c>
      <c r="V2763" s="1926" t="str">
        <f t="shared" ref="V2763:V2769" si="914">A2763</f>
        <v>AMAT</v>
      </c>
      <c r="W2763" s="1929">
        <f ca="1">Q2763-TODAY()</f>
        <v>-844</v>
      </c>
    </row>
    <row r="2764" spans="1:23" hidden="1" outlineLevel="1" x14ac:dyDescent="0.35">
      <c r="A2764" s="1412" t="s">
        <v>447</v>
      </c>
      <c r="B2764" s="1362">
        <v>200</v>
      </c>
      <c r="C2764" s="1143">
        <v>216.17</v>
      </c>
      <c r="D2764" s="2018">
        <f t="shared" si="909"/>
        <v>43234</v>
      </c>
      <c r="E2764" s="1977">
        <f>(C2764-C2749)/C2749</f>
        <v>-4.6238694021619314E-2</v>
      </c>
      <c r="F2764" s="1506">
        <f>D2764/$D$2772</f>
        <v>0.15975904452854658</v>
      </c>
      <c r="G2764" s="1494"/>
      <c r="H2764" s="1820"/>
      <c r="I2764" s="1889"/>
      <c r="J2764" s="1889"/>
      <c r="K2764" s="3055" t="s">
        <v>566</v>
      </c>
      <c r="L2764" s="3055"/>
      <c r="M2764" s="3055"/>
      <c r="N2764" s="1489"/>
      <c r="O2764" s="3"/>
      <c r="P2764" s="3"/>
      <c r="Q2764" s="2003">
        <v>44322</v>
      </c>
      <c r="R2764" s="2006">
        <f t="shared" si="910"/>
        <v>46896</v>
      </c>
      <c r="S2764" s="2007">
        <f t="shared" si="911"/>
        <v>43234</v>
      </c>
      <c r="T2764" s="2007">
        <f t="shared" si="912"/>
        <v>-3662</v>
      </c>
      <c r="U2764" s="2008">
        <f t="shared" si="913"/>
        <v>-7.8087683384510401E-2</v>
      </c>
      <c r="V2764" s="1926" t="str">
        <f t="shared" si="914"/>
        <v>FVRR</v>
      </c>
      <c r="W2764" s="1929">
        <f ca="1">Q2764-TODAY()</f>
        <v>-850</v>
      </c>
    </row>
    <row r="2765" spans="1:23" hidden="1" outlineLevel="1" x14ac:dyDescent="0.35">
      <c r="A2765" s="1412" t="s">
        <v>558</v>
      </c>
      <c r="B2765" s="1362">
        <v>200</v>
      </c>
      <c r="C2765" s="1363">
        <v>158.29</v>
      </c>
      <c r="D2765" s="2018">
        <f t="shared" si="909"/>
        <v>31658</v>
      </c>
      <c r="E2765" s="1977">
        <f>(C2765-C2751)/C2751</f>
        <v>-2.1270017931119756E-2</v>
      </c>
      <c r="F2765" s="1506">
        <f>D2765/$D$2772</f>
        <v>0.11698320376751464</v>
      </c>
      <c r="G2765" s="1494">
        <v>119</v>
      </c>
      <c r="H2765" s="1820" t="s">
        <v>568</v>
      </c>
      <c r="I2765" s="1889"/>
      <c r="J2765" s="1889"/>
      <c r="K2765" s="3055" t="s">
        <v>559</v>
      </c>
      <c r="L2765" s="3055"/>
      <c r="M2765" s="3055"/>
      <c r="N2765" s="1489" t="str">
        <f>A2765</f>
        <v>MCHP</v>
      </c>
      <c r="O2765" s="3"/>
      <c r="P2765" s="3"/>
      <c r="Q2765" s="2003">
        <v>44321</v>
      </c>
      <c r="R2765" s="2004">
        <f t="shared" si="910"/>
        <v>27724</v>
      </c>
      <c r="S2765" s="1495">
        <f t="shared" si="911"/>
        <v>31658</v>
      </c>
      <c r="T2765" s="1495">
        <f t="shared" si="912"/>
        <v>3934</v>
      </c>
      <c r="U2765" s="2005">
        <f t="shared" si="913"/>
        <v>0.14189871591400952</v>
      </c>
      <c r="V2765" s="1926" t="str">
        <f t="shared" si="914"/>
        <v>MCHP</v>
      </c>
      <c r="W2765" s="1929">
        <f ca="1">Q2765-TODAY()</f>
        <v>-851</v>
      </c>
    </row>
    <row r="2766" spans="1:23" hidden="1" outlineLevel="1" x14ac:dyDescent="0.35">
      <c r="A2766" s="1412" t="s">
        <v>135</v>
      </c>
      <c r="B2766" s="1142">
        <v>100.19799999999999</v>
      </c>
      <c r="C2766" s="1143">
        <v>643.71</v>
      </c>
      <c r="D2766" s="2018">
        <f t="shared" si="909"/>
        <v>64498.454579999998</v>
      </c>
      <c r="E2766" s="1977">
        <f>(C2766-C2752)/C2752</f>
        <v>-2.7628398791540731E-2</v>
      </c>
      <c r="F2766" s="1506">
        <f>D2766/$D$2772</f>
        <v>0.23833583469650413</v>
      </c>
      <c r="G2766" s="1494">
        <v>27</v>
      </c>
      <c r="H2766" s="1820" t="s">
        <v>564</v>
      </c>
      <c r="I2766" s="1889"/>
      <c r="J2766" s="1889"/>
      <c r="K2766" s="3055" t="s">
        <v>560</v>
      </c>
      <c r="L2766" s="3055"/>
      <c r="M2766" s="3055"/>
      <c r="N2766" s="1489" t="str">
        <f>A2766</f>
        <v>LRCX</v>
      </c>
      <c r="O2766" s="3"/>
      <c r="P2766" s="3"/>
      <c r="Q2766" s="2003">
        <v>44307</v>
      </c>
      <c r="R2766" s="2004">
        <f t="shared" si="910"/>
        <v>52901.538059999999</v>
      </c>
      <c r="S2766" s="1495">
        <f t="shared" si="911"/>
        <v>64498.454579999998</v>
      </c>
      <c r="T2766" s="1495">
        <f t="shared" si="912"/>
        <v>11596.916519999999</v>
      </c>
      <c r="U2766" s="2005">
        <f t="shared" si="913"/>
        <v>0.21921700096596397</v>
      </c>
      <c r="V2766" s="1926" t="str">
        <f t="shared" si="914"/>
        <v>LRCX</v>
      </c>
      <c r="W2766" s="1929">
        <f ca="1">Q2766-TODAY()</f>
        <v>-865</v>
      </c>
    </row>
    <row r="2767" spans="1:23" hidden="1" outlineLevel="1" x14ac:dyDescent="0.35">
      <c r="A2767" s="1412" t="s">
        <v>66</v>
      </c>
      <c r="B2767" s="1142">
        <v>75</v>
      </c>
      <c r="C2767" s="1143">
        <v>739.78</v>
      </c>
      <c r="D2767" s="2018">
        <f t="shared" si="909"/>
        <v>55483.5</v>
      </c>
      <c r="E2767" s="1977">
        <f>(C2767-C2753)/C2753</f>
        <v>9.2700363357064774E-2</v>
      </c>
      <c r="F2767" s="1506">
        <f>D2767/$D$2772</f>
        <v>0.20502361444926714</v>
      </c>
      <c r="G2767" s="1520">
        <v>1057</v>
      </c>
      <c r="H2767" s="1820" t="s">
        <v>571</v>
      </c>
      <c r="I2767" s="1895"/>
      <c r="J2767" s="1896"/>
      <c r="K2767" s="3055" t="s">
        <v>554</v>
      </c>
      <c r="L2767" s="3055"/>
      <c r="M2767" s="3055"/>
      <c r="N2767" s="1489" t="str">
        <f>A2767</f>
        <v>TSLA</v>
      </c>
      <c r="O2767" s="3"/>
      <c r="P2767" s="3"/>
      <c r="Q2767" s="2003">
        <v>44312</v>
      </c>
      <c r="R2767" s="2004">
        <f t="shared" si="910"/>
        <v>52041</v>
      </c>
      <c r="S2767" s="1495">
        <f t="shared" si="911"/>
        <v>55483.5</v>
      </c>
      <c r="T2767" s="1495">
        <f t="shared" si="912"/>
        <v>3442.5</v>
      </c>
      <c r="U2767" s="2005">
        <f t="shared" si="913"/>
        <v>6.6149766530235771E-2</v>
      </c>
      <c r="V2767" s="1926" t="str">
        <f t="shared" si="914"/>
        <v>TSLA</v>
      </c>
      <c r="W2767" s="1929">
        <f ca="1">Q2767-TODAY()</f>
        <v>-860</v>
      </c>
    </row>
    <row r="2768" spans="1:23" hidden="1" outlineLevel="1" x14ac:dyDescent="0.35">
      <c r="A2768" s="1412" t="s">
        <v>591</v>
      </c>
      <c r="B2768" s="1142">
        <v>45</v>
      </c>
      <c r="C2768" s="1143">
        <v>342</v>
      </c>
      <c r="D2768" s="2018">
        <f t="shared" si="909"/>
        <v>15390</v>
      </c>
      <c r="E2768" s="1977"/>
      <c r="F2768" s="1506">
        <f t="shared" ref="F2768:F2769" si="915">D2768/$D$2772</f>
        <v>5.6869401288206785E-2</v>
      </c>
      <c r="G2768" s="1520"/>
      <c r="H2768" s="1894" t="s">
        <v>588</v>
      </c>
      <c r="I2768" s="1895"/>
      <c r="J2768" s="1896"/>
      <c r="K2768" s="3055" t="s">
        <v>592</v>
      </c>
      <c r="L2768" s="3055"/>
      <c r="M2768" s="3055"/>
      <c r="N2768" s="1673"/>
      <c r="Q2768" s="2019"/>
      <c r="R2768" s="2006">
        <f t="shared" si="910"/>
        <v>16675.650000000001</v>
      </c>
      <c r="S2768" s="2007">
        <f t="shared" si="911"/>
        <v>15390</v>
      </c>
      <c r="T2768" s="2007">
        <f t="shared" si="912"/>
        <v>-1285.6500000000015</v>
      </c>
      <c r="U2768" s="2008">
        <f t="shared" si="913"/>
        <v>-7.7097444477426752E-2</v>
      </c>
      <c r="V2768" s="2020" t="str">
        <f t="shared" si="914"/>
        <v>COIN</v>
      </c>
      <c r="W2768" s="1929"/>
    </row>
    <row r="2769" spans="1:23" hidden="1" outlineLevel="1" x14ac:dyDescent="0.35">
      <c r="A2769" s="1412" t="s">
        <v>593</v>
      </c>
      <c r="B2769" s="1142">
        <v>41</v>
      </c>
      <c r="C2769" s="1143">
        <v>269.98</v>
      </c>
      <c r="D2769" s="2018">
        <f t="shared" si="909"/>
        <v>11069.18</v>
      </c>
      <c r="E2769" s="1977"/>
      <c r="F2769" s="1506">
        <f t="shared" si="915"/>
        <v>4.0903030497166523E-2</v>
      </c>
      <c r="G2769" s="1520"/>
      <c r="H2769" s="1894"/>
      <c r="I2769" s="1895"/>
      <c r="J2769" s="1896"/>
      <c r="K2769" s="3055" t="s">
        <v>594</v>
      </c>
      <c r="L2769" s="3055"/>
      <c r="M2769" s="3055"/>
      <c r="N2769" s="1673"/>
      <c r="Q2769" s="2019">
        <v>44342</v>
      </c>
      <c r="R2769" s="2004">
        <f t="shared" si="910"/>
        <v>11044.17</v>
      </c>
      <c r="S2769" s="1495">
        <f t="shared" si="911"/>
        <v>11069.18</v>
      </c>
      <c r="T2769" s="1495">
        <f t="shared" si="912"/>
        <v>25.010000000000218</v>
      </c>
      <c r="U2769" s="2005">
        <f t="shared" si="913"/>
        <v>2.2645431933771588E-3</v>
      </c>
      <c r="V2769" s="2020" t="str">
        <f t="shared" si="914"/>
        <v>OKTA</v>
      </c>
      <c r="W2769" s="1929">
        <f ca="1">Q2769-TODAY()</f>
        <v>-830</v>
      </c>
    </row>
    <row r="2770" spans="1:23" ht="16" hidden="1" outlineLevel="1" thickBot="1" x14ac:dyDescent="0.4">
      <c r="A2770" s="55" t="s">
        <v>7</v>
      </c>
      <c r="B2770" s="56"/>
      <c r="C2770" s="1881"/>
      <c r="D2770" s="1881">
        <v>2248.6</v>
      </c>
      <c r="E2770" s="1982"/>
      <c r="F2770" s="1506">
        <f>D2770/$D$2772</f>
        <v>8.30906664955567E-3</v>
      </c>
      <c r="G2770" s="1788"/>
      <c r="H2770" s="1789"/>
      <c r="I2770" s="1789"/>
      <c r="J2770" s="1216"/>
      <c r="K2770" s="1633"/>
      <c r="L2770" s="1634"/>
      <c r="M2770" s="1634"/>
      <c r="R2770" s="1532">
        <f>SUM(R2763:R2769)</f>
        <v>231352.49191000001</v>
      </c>
      <c r="S2770" s="1532">
        <f>SUM(S2763:S2769)</f>
        <v>248177.42612999998</v>
      </c>
      <c r="T2770" s="1532">
        <f>SUM(T2763:T2769)</f>
        <v>16824.934219999996</v>
      </c>
      <c r="U2770" s="2017">
        <f>AVERAGE(U2763:U2769)</f>
        <v>5.5656857891169739E-2</v>
      </c>
    </row>
    <row r="2771" spans="1:23" ht="16" hidden="1" outlineLevel="1" thickBot="1" x14ac:dyDescent="0.4">
      <c r="A2771" s="55" t="s">
        <v>60</v>
      </c>
      <c r="B2771" s="56"/>
      <c r="C2771" s="1881"/>
      <c r="D2771" s="1881">
        <v>20194.02</v>
      </c>
      <c r="E2771" s="1983"/>
      <c r="F2771" s="1506">
        <f>D2771/$D$2772</f>
        <v>7.4621301299679893E-2</v>
      </c>
      <c r="G2771" s="1734"/>
      <c r="H2771" s="1723"/>
      <c r="I2771" s="1796"/>
      <c r="J2771" s="61">
        <f>SUM(J2770:J2770)</f>
        <v>0</v>
      </c>
      <c r="K2771" s="1468"/>
      <c r="L2771" s="1151"/>
      <c r="M2771" s="1151"/>
      <c r="S2771" s="1470" t="str">
        <f>IF(SUM(D2763:D2769,D2771)&lt;&gt;S2770,"Out of Balance","Balances")</f>
        <v>Out of Balance</v>
      </c>
    </row>
    <row r="2772" spans="1:23" ht="19" hidden="1" outlineLevel="1" thickBot="1" x14ac:dyDescent="0.5">
      <c r="A2772" s="66" t="s">
        <v>62</v>
      </c>
      <c r="B2772" s="67"/>
      <c r="C2772" s="68">
        <f>SUM(D2763:D2769)+D2771</f>
        <v>268371.44613</v>
      </c>
      <c r="D2772" s="84">
        <f>SUM(D2763:D2771)</f>
        <v>270620.04612999997</v>
      </c>
      <c r="E2772" s="73">
        <f>D2772-D2756</f>
        <v>-5811.4827200000291</v>
      </c>
      <c r="F2772" s="71">
        <f>(D2772-D2756)/D2756</f>
        <v>-2.102322677943699E-2</v>
      </c>
      <c r="G2772" s="72" t="s">
        <v>63</v>
      </c>
      <c r="H2772" s="73">
        <f>E2772+E2756+E2740+E2725+E2704</f>
        <v>-462.63387000001967</v>
      </c>
      <c r="I2772" s="74"/>
      <c r="J2772" s="1849"/>
    </row>
    <row r="2773" spans="1:23" hidden="1" outlineLevel="1" x14ac:dyDescent="0.35">
      <c r="A2773" s="3056" t="s">
        <v>595</v>
      </c>
      <c r="B2773" s="3057"/>
      <c r="C2773" s="3057"/>
      <c r="D2773" s="3057"/>
      <c r="E2773" s="3057"/>
      <c r="F2773" s="3057"/>
      <c r="G2773" s="3057"/>
      <c r="H2773" s="3057"/>
      <c r="I2773" s="3057"/>
      <c r="J2773" s="3058"/>
    </row>
    <row r="2774" spans="1:23" ht="16" hidden="1" outlineLevel="1" thickBot="1" x14ac:dyDescent="0.4">
      <c r="A2774" s="3059"/>
      <c r="B2774" s="3060"/>
      <c r="C2774" s="3060"/>
      <c r="D2774" s="3060"/>
      <c r="E2774" s="3060"/>
      <c r="F2774" s="3060"/>
      <c r="G2774" s="3060"/>
      <c r="H2774" s="3060"/>
      <c r="I2774" s="3060"/>
      <c r="J2774" s="3061"/>
    </row>
    <row r="2775" spans="1:23" hidden="1" outlineLevel="1" x14ac:dyDescent="0.35">
      <c r="A2775" s="8"/>
      <c r="B2775" s="9"/>
      <c r="C2775" s="8"/>
      <c r="D2775" s="8"/>
      <c r="E2775" s="8"/>
      <c r="F2775" s="10"/>
      <c r="G2775" s="11"/>
      <c r="H2775" s="12"/>
      <c r="I2775" s="8"/>
      <c r="J2775" s="12"/>
      <c r="K2775" s="8"/>
      <c r="L2775" s="8"/>
      <c r="M2775" s="8"/>
      <c r="N2775" s="8"/>
      <c r="O2775" s="8"/>
      <c r="P2775" s="8"/>
      <c r="Q2775" s="8"/>
      <c r="R2775" s="8"/>
      <c r="S2775" s="8"/>
      <c r="T2775" s="8"/>
      <c r="U2775" s="8"/>
      <c r="V2775" s="8"/>
      <c r="W2775" s="8"/>
    </row>
    <row r="2776" spans="1:23" ht="16.5" hidden="1" customHeight="1" outlineLevel="1" thickBot="1" x14ac:dyDescent="0.4">
      <c r="A2776" s="1619" t="s">
        <v>25</v>
      </c>
      <c r="B2776" s="1996" t="s">
        <v>26</v>
      </c>
      <c r="C2776" s="1621" t="s">
        <v>27</v>
      </c>
      <c r="D2776" s="1622">
        <f>D2760+7</f>
        <v>44309</v>
      </c>
      <c r="E2776" s="1623" t="s">
        <v>28</v>
      </c>
      <c r="F2776" s="3036" t="s">
        <v>29</v>
      </c>
      <c r="G2776" s="3037"/>
      <c r="H2776" s="3038"/>
      <c r="I2776" s="1727"/>
      <c r="J2776" s="1182"/>
      <c r="K2776" s="1183" t="s">
        <v>233</v>
      </c>
      <c r="O2776" s="3042" t="s">
        <v>31</v>
      </c>
      <c r="P2776" s="3043"/>
      <c r="T2776" s="247"/>
      <c r="U2776" s="1123"/>
      <c r="V2776" s="247"/>
    </row>
    <row r="2777" spans="1:23" ht="16" hidden="1" outlineLevel="1" thickBot="1" x14ac:dyDescent="0.4">
      <c r="A2777" s="1973" t="s">
        <v>32</v>
      </c>
      <c r="B2777" s="1997" t="str">
        <f ca="1">TEXT(TODAY(),"ddd")</f>
        <v>Sun</v>
      </c>
      <c r="C2777" s="1998">
        <v>34043</v>
      </c>
      <c r="D2777" s="1980">
        <f>C2777-C2761</f>
        <v>8</v>
      </c>
      <c r="E2777" s="1977">
        <f>(C2777-C2761)/C2761</f>
        <v>2.3505215219626855E-4</v>
      </c>
      <c r="F2777" s="3039"/>
      <c r="G2777" s="3040"/>
      <c r="H2777" s="3041"/>
      <c r="I2777" s="1602"/>
      <c r="J2777" s="1602"/>
      <c r="K2777" s="1188" t="s">
        <v>234</v>
      </c>
      <c r="L2777" s="1220" t="s">
        <v>34</v>
      </c>
      <c r="M2777" s="111" t="s">
        <v>35</v>
      </c>
      <c r="N2777" s="2995"/>
      <c r="O2777" s="2996"/>
      <c r="P2777" s="2996"/>
      <c r="Q2777" s="2996"/>
      <c r="R2777" s="2996"/>
      <c r="S2777" s="2996"/>
      <c r="T2777" s="2996"/>
      <c r="U2777" s="3044"/>
    </row>
    <row r="2778" spans="1:23" hidden="1" outlineLevel="1" x14ac:dyDescent="0.35">
      <c r="A2778" s="1978" t="s">
        <v>36</v>
      </c>
      <c r="B2778" s="1979"/>
      <c r="C2778" s="1979">
        <v>14016</v>
      </c>
      <c r="D2778" s="1980">
        <f>C2778-C2762</f>
        <v>-22</v>
      </c>
      <c r="E2778" s="1977">
        <f t="shared" ref="E2778" si="916">(C2778-C2762)/C2762</f>
        <v>-1.5671748112266704E-3</v>
      </c>
      <c r="F2778" s="1744" t="s">
        <v>37</v>
      </c>
      <c r="G2778" s="1745" t="s">
        <v>38</v>
      </c>
      <c r="H2778" s="1746" t="s">
        <v>144</v>
      </c>
      <c r="I2778" s="1747" t="s">
        <v>441</v>
      </c>
      <c r="J2778" s="1748" t="s">
        <v>400</v>
      </c>
      <c r="K2778" s="3063" t="s">
        <v>42</v>
      </c>
      <c r="L2778" s="3064"/>
      <c r="M2778" s="3064"/>
      <c r="N2778" s="1830" t="s">
        <v>244</v>
      </c>
      <c r="Q2778" s="1831" t="s">
        <v>44</v>
      </c>
      <c r="R2778" s="1832" t="s">
        <v>45</v>
      </c>
      <c r="S2778" s="1832" t="s">
        <v>46</v>
      </c>
      <c r="T2778" s="1832" t="s">
        <v>47</v>
      </c>
      <c r="U2778" s="1833" t="s">
        <v>48</v>
      </c>
      <c r="W2778" s="1919" t="s">
        <v>446</v>
      </c>
    </row>
    <row r="2779" spans="1:23" ht="15.65" hidden="1" customHeight="1" outlineLevel="1" x14ac:dyDescent="0.35">
      <c r="A2779" s="1412" t="s">
        <v>549</v>
      </c>
      <c r="B2779" s="1362">
        <v>200.73500000000001</v>
      </c>
      <c r="C2779" s="1363">
        <v>134.86000000000001</v>
      </c>
      <c r="D2779" s="2018">
        <f t="shared" ref="D2779:D2784" si="917">C2779*B2779</f>
        <v>27071.122100000004</v>
      </c>
      <c r="E2779" s="1977">
        <f>(C2779-C2763)/C2763</f>
        <v>8.4498616615570482E-3</v>
      </c>
      <c r="F2779" s="1506">
        <f t="shared" ref="F2779:F2786" si="918">D2779/$D$2787</f>
        <v>0.10795158509104778</v>
      </c>
      <c r="G2779" s="1494">
        <v>28</v>
      </c>
      <c r="H2779" s="1820" t="s">
        <v>564</v>
      </c>
      <c r="I2779" s="1889"/>
      <c r="J2779" s="1889"/>
      <c r="K2779" s="3055" t="s">
        <v>550</v>
      </c>
      <c r="L2779" s="3055"/>
      <c r="M2779" s="3055"/>
      <c r="N2779" s="1489" t="str">
        <f>A2779</f>
        <v>AMAT</v>
      </c>
      <c r="O2779" s="3"/>
      <c r="P2779" s="3"/>
      <c r="Q2779" s="2003">
        <v>44328</v>
      </c>
      <c r="R2779" s="2004">
        <f t="shared" ref="R2779:R2784" si="919">B2779*RIGHT(K2779,6)</f>
        <v>24070.133850000002</v>
      </c>
      <c r="S2779" s="1495">
        <f t="shared" ref="S2779:S2784" si="920">D2779</f>
        <v>27071.122100000004</v>
      </c>
      <c r="T2779" s="1495">
        <f t="shared" ref="T2779:T2784" si="921">S2779-R2779</f>
        <v>3000.9882500000022</v>
      </c>
      <c r="U2779" s="2005">
        <f t="shared" ref="U2779:U2784" si="922">(S2779-R2779)/R2779</f>
        <v>0.12467684096405646</v>
      </c>
      <c r="V2779" s="1926" t="str">
        <f t="shared" ref="V2779:V2784" si="923">A2779</f>
        <v>AMAT</v>
      </c>
      <c r="W2779" s="1929">
        <f ca="1">Q2779-TODAY()</f>
        <v>-844</v>
      </c>
    </row>
    <row r="2780" spans="1:23" ht="15.65" hidden="1" customHeight="1" outlineLevel="1" x14ac:dyDescent="0.35">
      <c r="A2780" s="1412" t="s">
        <v>447</v>
      </c>
      <c r="B2780" s="1362">
        <v>200</v>
      </c>
      <c r="C2780" s="1143">
        <v>219.26</v>
      </c>
      <c r="D2780" s="2018">
        <f t="shared" si="917"/>
        <v>43852</v>
      </c>
      <c r="E2780" s="1977">
        <f t="shared" ref="E2780:E2782" si="924">(C2780-C2764)/C2764</f>
        <v>1.4294305407780929E-2</v>
      </c>
      <c r="F2780" s="1506">
        <f t="shared" si="918"/>
        <v>0.17486873620996399</v>
      </c>
      <c r="G2780" s="1494"/>
      <c r="H2780" s="1820"/>
      <c r="I2780" s="1889"/>
      <c r="J2780" s="1889"/>
      <c r="K2780" s="3055" t="s">
        <v>566</v>
      </c>
      <c r="L2780" s="3055"/>
      <c r="M2780" s="3055"/>
      <c r="N2780" s="1489"/>
      <c r="O2780" s="3"/>
      <c r="P2780" s="3"/>
      <c r="Q2780" s="2003">
        <v>44322</v>
      </c>
      <c r="R2780" s="2006">
        <f t="shared" si="919"/>
        <v>46896</v>
      </c>
      <c r="S2780" s="2007">
        <f t="shared" si="920"/>
        <v>43852</v>
      </c>
      <c r="T2780" s="2007">
        <f t="shared" si="921"/>
        <v>-3044</v>
      </c>
      <c r="U2780" s="2008">
        <f t="shared" si="922"/>
        <v>-6.4909587171613783E-2</v>
      </c>
      <c r="V2780" s="1926" t="str">
        <f t="shared" si="923"/>
        <v>FVRR</v>
      </c>
      <c r="W2780" s="1929">
        <f ca="1">Q2780-TODAY()</f>
        <v>-850</v>
      </c>
    </row>
    <row r="2781" spans="1:23" ht="15.65" hidden="1" customHeight="1" outlineLevel="1" x14ac:dyDescent="0.35">
      <c r="A2781" s="1412" t="s">
        <v>558</v>
      </c>
      <c r="B2781" s="1362">
        <v>200</v>
      </c>
      <c r="C2781" s="1363">
        <v>156.38</v>
      </c>
      <c r="D2781" s="2018">
        <f t="shared" si="917"/>
        <v>31276</v>
      </c>
      <c r="E2781" s="1977">
        <f t="shared" si="924"/>
        <v>-1.206646029439634E-2</v>
      </c>
      <c r="F2781" s="1506">
        <f t="shared" si="918"/>
        <v>0.12471938779765653</v>
      </c>
      <c r="G2781" s="1494">
        <v>119</v>
      </c>
      <c r="H2781" s="1820" t="s">
        <v>568</v>
      </c>
      <c r="I2781" s="1889"/>
      <c r="J2781" s="1889"/>
      <c r="K2781" s="3055" t="s">
        <v>559</v>
      </c>
      <c r="L2781" s="3055"/>
      <c r="M2781" s="3055"/>
      <c r="N2781" s="1489" t="str">
        <f>A2781</f>
        <v>MCHP</v>
      </c>
      <c r="O2781" s="3"/>
      <c r="P2781" s="3"/>
      <c r="Q2781" s="2003">
        <v>44321</v>
      </c>
      <c r="R2781" s="2004">
        <f t="shared" si="919"/>
        <v>27724</v>
      </c>
      <c r="S2781" s="1495">
        <f t="shared" si="920"/>
        <v>31276</v>
      </c>
      <c r="T2781" s="1495">
        <f t="shared" si="921"/>
        <v>3552</v>
      </c>
      <c r="U2781" s="2005">
        <f t="shared" si="922"/>
        <v>0.12812004039821093</v>
      </c>
      <c r="V2781" s="1926" t="str">
        <f t="shared" si="923"/>
        <v>MCHP</v>
      </c>
      <c r="W2781" s="1929">
        <f ca="1">Q2781-TODAY()</f>
        <v>-851</v>
      </c>
    </row>
    <row r="2782" spans="1:23" ht="15.65" hidden="1" customHeight="1" outlineLevel="1" x14ac:dyDescent="0.35">
      <c r="A2782" s="1412" t="s">
        <v>135</v>
      </c>
      <c r="B2782" s="1142">
        <v>100.19799999999999</v>
      </c>
      <c r="C2782" s="1143">
        <v>627.49</v>
      </c>
      <c r="D2782" s="2018">
        <f t="shared" si="917"/>
        <v>62873.243019999994</v>
      </c>
      <c r="E2782" s="1977">
        <f t="shared" si="924"/>
        <v>-2.5197682186077621E-2</v>
      </c>
      <c r="F2782" s="1506">
        <f t="shared" si="918"/>
        <v>0.25071979723454663</v>
      </c>
      <c r="G2782" s="1494">
        <v>27</v>
      </c>
      <c r="H2782" s="1820" t="s">
        <v>564</v>
      </c>
      <c r="I2782" s="1889"/>
      <c r="J2782" s="1889"/>
      <c r="K2782" s="3055" t="s">
        <v>560</v>
      </c>
      <c r="L2782" s="3055"/>
      <c r="M2782" s="3055"/>
      <c r="N2782" s="1489" t="str">
        <f>A2782</f>
        <v>LRCX</v>
      </c>
      <c r="O2782" s="3"/>
      <c r="P2782" s="3"/>
      <c r="Q2782" s="2003">
        <v>44307</v>
      </c>
      <c r="R2782" s="2004">
        <f t="shared" si="919"/>
        <v>52901.538059999999</v>
      </c>
      <c r="S2782" s="1495">
        <f t="shared" si="920"/>
        <v>62873.243019999994</v>
      </c>
      <c r="T2782" s="1495">
        <f t="shared" si="921"/>
        <v>9971.7049599999955</v>
      </c>
      <c r="U2782" s="2005">
        <f t="shared" si="922"/>
        <v>0.18849555845976088</v>
      </c>
      <c r="V2782" s="1926" t="str">
        <f t="shared" si="923"/>
        <v>LRCX</v>
      </c>
      <c r="W2782" s="1929"/>
    </row>
    <row r="2783" spans="1:23" ht="15.65" hidden="1" customHeight="1" outlineLevel="1" x14ac:dyDescent="0.35">
      <c r="A2783" s="1412" t="s">
        <v>593</v>
      </c>
      <c r="B2783" s="1142">
        <v>86</v>
      </c>
      <c r="C2783" s="1143">
        <v>279.3</v>
      </c>
      <c r="D2783" s="2018">
        <f>C2783*B2783</f>
        <v>24019.8</v>
      </c>
      <c r="E2783" s="1977">
        <f>(C2783-C2769)/C2769</f>
        <v>3.4521075635232212E-2</v>
      </c>
      <c r="F2783" s="1506">
        <f t="shared" si="918"/>
        <v>9.5783819894556532E-2</v>
      </c>
      <c r="G2783" s="1520"/>
      <c r="H2783" s="1894"/>
      <c r="I2783" s="1895"/>
      <c r="J2783" s="1896"/>
      <c r="K2783" s="3055" t="s">
        <v>594</v>
      </c>
      <c r="L2783" s="3055"/>
      <c r="M2783" s="3055"/>
      <c r="N2783" s="1673"/>
      <c r="Q2783" s="2019">
        <v>44342</v>
      </c>
      <c r="R2783" s="2004">
        <f>B2783*RIGHT(K2783,6)</f>
        <v>23165.82</v>
      </c>
      <c r="S2783" s="1495">
        <f>D2783</f>
        <v>24019.8</v>
      </c>
      <c r="T2783" s="1495">
        <f>S2783-R2783</f>
        <v>853.97999999999956</v>
      </c>
      <c r="U2783" s="2005">
        <f>(S2783-R2783)/R2783</f>
        <v>3.6863793295467184E-2</v>
      </c>
      <c r="V2783" s="2020" t="str">
        <f>A2783</f>
        <v>OKTA</v>
      </c>
      <c r="W2783" s="1929">
        <f ca="1">Q2783-TODAY()</f>
        <v>-830</v>
      </c>
    </row>
    <row r="2784" spans="1:23" ht="15.65" hidden="1" customHeight="1" outlineLevel="1" x14ac:dyDescent="0.35">
      <c r="A2784" s="1412" t="s">
        <v>66</v>
      </c>
      <c r="B2784" s="1142">
        <v>75</v>
      </c>
      <c r="C2784" s="1143">
        <v>729.4</v>
      </c>
      <c r="D2784" s="2018">
        <f t="shared" si="917"/>
        <v>54705</v>
      </c>
      <c r="E2784" s="1977">
        <f>(C2784-C2767)/C2767</f>
        <v>-1.4031198464408331E-2</v>
      </c>
      <c r="F2784" s="1506">
        <f t="shared" si="918"/>
        <v>0.21814727297195294</v>
      </c>
      <c r="G2784" s="1520">
        <v>1057</v>
      </c>
      <c r="H2784" s="1820" t="s">
        <v>571</v>
      </c>
      <c r="I2784" s="1895"/>
      <c r="J2784" s="1896"/>
      <c r="K2784" s="3055" t="s">
        <v>554</v>
      </c>
      <c r="L2784" s="3055"/>
      <c r="M2784" s="3055"/>
      <c r="N2784" s="1489" t="str">
        <f>A2784</f>
        <v>TSLA</v>
      </c>
      <c r="O2784" s="3"/>
      <c r="P2784" s="3"/>
      <c r="Q2784" s="2003">
        <v>44312</v>
      </c>
      <c r="R2784" s="2004">
        <f t="shared" si="919"/>
        <v>52041</v>
      </c>
      <c r="S2784" s="1495">
        <f t="shared" si="920"/>
        <v>54705</v>
      </c>
      <c r="T2784" s="1495">
        <f t="shared" si="921"/>
        <v>2664</v>
      </c>
      <c r="U2784" s="2005">
        <f t="shared" si="922"/>
        <v>5.1190407563267426E-2</v>
      </c>
      <c r="V2784" s="1926" t="str">
        <f t="shared" si="923"/>
        <v>TSLA</v>
      </c>
      <c r="W2784" s="1929">
        <f ca="1">Q2784-TODAY()</f>
        <v>-860</v>
      </c>
    </row>
    <row r="2785" spans="1:23" ht="16" hidden="1" outlineLevel="1" thickBot="1" x14ac:dyDescent="0.4">
      <c r="A2785" s="55" t="s">
        <v>7</v>
      </c>
      <c r="B2785" s="56"/>
      <c r="C2785" s="1881"/>
      <c r="D2785" s="1881">
        <v>2251.6</v>
      </c>
      <c r="E2785" s="1982"/>
      <c r="F2785" s="1506">
        <f t="shared" si="918"/>
        <v>8.9787112663129373E-3</v>
      </c>
      <c r="G2785" s="1788"/>
      <c r="H2785" s="1789"/>
      <c r="I2785" s="1789"/>
      <c r="J2785" s="1216"/>
      <c r="K2785" s="1633"/>
      <c r="L2785" s="1634"/>
      <c r="M2785" s="1634"/>
      <c r="R2785" s="1532">
        <f>SUM(R2779:R2784)</f>
        <v>226798.49191000001</v>
      </c>
      <c r="S2785" s="1532">
        <f>SUM(S2779:S2784)</f>
        <v>243797.16511999999</v>
      </c>
      <c r="T2785" s="1532">
        <f>SUM(T2779:T2784)</f>
        <v>16998.673209999997</v>
      </c>
      <c r="U2785" s="2017">
        <f>AVERAGE(U2779:U2784)</f>
        <v>7.7406175584858183E-2</v>
      </c>
    </row>
    <row r="2786" spans="1:23" ht="16" hidden="1" outlineLevel="1" thickBot="1" x14ac:dyDescent="0.4">
      <c r="A2786" s="55" t="s">
        <v>60</v>
      </c>
      <c r="B2786" s="56"/>
      <c r="C2786" s="1881"/>
      <c r="D2786" s="1881">
        <v>4722.1899999999996</v>
      </c>
      <c r="E2786" s="1983"/>
      <c r="F2786" s="1506">
        <f t="shared" si="918"/>
        <v>1.8830689533962643E-2</v>
      </c>
      <c r="G2786" s="1734"/>
      <c r="H2786" s="1723"/>
      <c r="I2786" s="1796"/>
      <c r="J2786" s="61">
        <f>SUM(J2785:J2785)</f>
        <v>0</v>
      </c>
      <c r="K2786" s="1468"/>
      <c r="L2786" s="1151"/>
      <c r="M2786" s="1151"/>
      <c r="S2786" s="1470" t="str">
        <f>IF(SUM(D2779:D2784,D2786)&lt;&gt;S2785,"Out of Balance","Balances")</f>
        <v>Out of Balance</v>
      </c>
    </row>
    <row r="2787" spans="1:23" ht="19" hidden="1" outlineLevel="1" thickBot="1" x14ac:dyDescent="0.5">
      <c r="A2787" s="66" t="s">
        <v>62</v>
      </c>
      <c r="B2787" s="67"/>
      <c r="C2787" s="68">
        <f>SUM(D2779:D2784)+D2786</f>
        <v>248519.35511999999</v>
      </c>
      <c r="D2787" s="84">
        <f>SUM(D2779:D2786)</f>
        <v>250770.95512</v>
      </c>
      <c r="E2787" s="73">
        <f>D2787-D2772</f>
        <v>-19849.091009999975</v>
      </c>
      <c r="F2787" s="71">
        <f>(D2787-D2772)/D2772</f>
        <v>-7.3346713570748942E-2</v>
      </c>
      <c r="G2787" s="72" t="s">
        <v>63</v>
      </c>
      <c r="H2787" s="73">
        <f>E2787+E2772+E2756+E2740+E2725</f>
        <v>-13945.156980000029</v>
      </c>
      <c r="I2787" s="74"/>
      <c r="J2787" s="1849"/>
    </row>
    <row r="2788" spans="1:23" ht="15.65" hidden="1" customHeight="1" outlineLevel="1" x14ac:dyDescent="0.35">
      <c r="A2788" s="3056" t="s">
        <v>596</v>
      </c>
      <c r="B2788" s="3057"/>
      <c r="C2788" s="3057"/>
      <c r="D2788" s="3057"/>
      <c r="E2788" s="3057"/>
      <c r="F2788" s="3057"/>
      <c r="G2788" s="3057"/>
      <c r="H2788" s="3057"/>
      <c r="I2788" s="3057"/>
      <c r="J2788" s="3058"/>
    </row>
    <row r="2789" spans="1:23" ht="16" hidden="1" outlineLevel="1" thickBot="1" x14ac:dyDescent="0.4">
      <c r="A2789" s="3059"/>
      <c r="B2789" s="3060"/>
      <c r="C2789" s="3060"/>
      <c r="D2789" s="3060"/>
      <c r="E2789" s="3060"/>
      <c r="F2789" s="3060"/>
      <c r="G2789" s="3060"/>
      <c r="H2789" s="3060"/>
      <c r="I2789" s="3060"/>
      <c r="J2789" s="3061"/>
    </row>
    <row r="2790" spans="1:23" hidden="1" outlineLevel="1" x14ac:dyDescent="0.35">
      <c r="A2790" s="8"/>
      <c r="B2790" s="9"/>
      <c r="C2790" s="8"/>
      <c r="D2790" s="8"/>
      <c r="E2790" s="8"/>
      <c r="F2790" s="10"/>
      <c r="G2790" s="11"/>
      <c r="H2790" s="12"/>
      <c r="I2790" s="8"/>
      <c r="J2790" s="12"/>
      <c r="K2790" s="8"/>
      <c r="L2790" s="8"/>
      <c r="M2790" s="8"/>
      <c r="N2790" s="8"/>
      <c r="O2790" s="8"/>
      <c r="P2790" s="8"/>
      <c r="Q2790" s="8"/>
      <c r="R2790" s="8"/>
      <c r="S2790" s="8"/>
      <c r="T2790" s="8"/>
      <c r="U2790" s="8"/>
      <c r="V2790" s="8"/>
      <c r="W2790" s="8"/>
    </row>
    <row r="2791" spans="1:23" ht="16.5" hidden="1" customHeight="1" outlineLevel="1" thickBot="1" x14ac:dyDescent="0.4">
      <c r="A2791" s="1619" t="s">
        <v>25</v>
      </c>
      <c r="B2791" s="1996" t="s">
        <v>26</v>
      </c>
      <c r="C2791" s="1621" t="s">
        <v>27</v>
      </c>
      <c r="D2791" s="1622">
        <f>D2776+7</f>
        <v>44316</v>
      </c>
      <c r="E2791" s="1623" t="s">
        <v>28</v>
      </c>
      <c r="F2791" s="3036" t="s">
        <v>29</v>
      </c>
      <c r="G2791" s="3037"/>
      <c r="H2791" s="3038"/>
      <c r="I2791" s="1727"/>
      <c r="J2791" s="1182"/>
      <c r="K2791" s="1183" t="s">
        <v>233</v>
      </c>
      <c r="O2791" s="3042" t="s">
        <v>31</v>
      </c>
      <c r="P2791" s="3043"/>
      <c r="T2791" s="247"/>
      <c r="U2791" s="1123"/>
      <c r="V2791" s="247"/>
    </row>
    <row r="2792" spans="1:23" ht="16" hidden="1" outlineLevel="1" thickBot="1" x14ac:dyDescent="0.4">
      <c r="A2792" s="1973" t="s">
        <v>32</v>
      </c>
      <c r="B2792" s="1997" t="str">
        <f ca="1">TEXT(TODAY(),"ddd")</f>
        <v>Sun</v>
      </c>
      <c r="C2792" s="1998">
        <v>33874</v>
      </c>
      <c r="D2792" s="1980">
        <f>C2792-C2777</f>
        <v>-169</v>
      </c>
      <c r="E2792" s="1977">
        <f t="shared" ref="E2792:E2799" si="925">(C2792-C2777)/C2777</f>
        <v>-4.9643098434333051E-3</v>
      </c>
      <c r="F2792" s="3039"/>
      <c r="G2792" s="3040"/>
      <c r="H2792" s="3041"/>
      <c r="I2792" s="1602"/>
      <c r="J2792" s="1602"/>
      <c r="K2792" s="1188" t="s">
        <v>234</v>
      </c>
      <c r="L2792" s="1220" t="s">
        <v>34</v>
      </c>
      <c r="M2792" s="111" t="s">
        <v>35</v>
      </c>
      <c r="N2792" s="2995"/>
      <c r="O2792" s="2996"/>
      <c r="P2792" s="2996"/>
      <c r="Q2792" s="2996"/>
      <c r="R2792" s="2996"/>
      <c r="S2792" s="2996"/>
      <c r="T2792" s="2996"/>
      <c r="U2792" s="3044"/>
    </row>
    <row r="2793" spans="1:23" hidden="1" outlineLevel="1" x14ac:dyDescent="0.35">
      <c r="A2793" s="1978" t="s">
        <v>36</v>
      </c>
      <c r="B2793" s="1979"/>
      <c r="C2793" s="1979">
        <v>13962</v>
      </c>
      <c r="D2793" s="1980">
        <f>C2793-C2778</f>
        <v>-54</v>
      </c>
      <c r="E2793" s="1977">
        <f t="shared" si="925"/>
        <v>-3.852739726027397E-3</v>
      </c>
      <c r="F2793" s="1744" t="s">
        <v>37</v>
      </c>
      <c r="G2793" s="1745" t="s">
        <v>38</v>
      </c>
      <c r="H2793" s="1746" t="s">
        <v>144</v>
      </c>
      <c r="I2793" s="1747" t="s">
        <v>441</v>
      </c>
      <c r="J2793" s="1748" t="s">
        <v>400</v>
      </c>
      <c r="K2793" s="3063" t="s">
        <v>42</v>
      </c>
      <c r="L2793" s="3064"/>
      <c r="M2793" s="3064"/>
      <c r="N2793" s="1830" t="s">
        <v>244</v>
      </c>
      <c r="Q2793" s="1831" t="s">
        <v>44</v>
      </c>
      <c r="R2793" s="1832" t="s">
        <v>45</v>
      </c>
      <c r="S2793" s="1832" t="s">
        <v>46</v>
      </c>
      <c r="T2793" s="1832" t="s">
        <v>47</v>
      </c>
      <c r="U2793" s="1833" t="s">
        <v>48</v>
      </c>
      <c r="W2793" s="1919" t="s">
        <v>446</v>
      </c>
    </row>
    <row r="2794" spans="1:23" ht="15.65" hidden="1" customHeight="1" outlineLevel="1" x14ac:dyDescent="0.35">
      <c r="A2794" s="1412" t="s">
        <v>549</v>
      </c>
      <c r="B2794" s="1362">
        <v>200.73500000000001</v>
      </c>
      <c r="C2794" s="1363">
        <v>132.71</v>
      </c>
      <c r="D2794" s="2018">
        <f t="shared" ref="D2794:D2797" si="926">C2794*B2794</f>
        <v>26639.541850000005</v>
      </c>
      <c r="E2794" s="1977">
        <f t="shared" si="925"/>
        <v>-1.5942458846210927E-2</v>
      </c>
      <c r="F2794" s="1506">
        <f>D2794/$D$2802</f>
        <v>0.1092408872145578</v>
      </c>
      <c r="G2794" s="1494">
        <v>28</v>
      </c>
      <c r="H2794" s="1820" t="s">
        <v>564</v>
      </c>
      <c r="I2794" s="1889"/>
      <c r="J2794" s="1889"/>
      <c r="K2794" s="3055" t="s">
        <v>550</v>
      </c>
      <c r="L2794" s="3055"/>
      <c r="M2794" s="3055"/>
      <c r="N2794" s="1489" t="str">
        <f>A2794</f>
        <v>AMAT</v>
      </c>
      <c r="O2794" s="3"/>
      <c r="P2794" s="3"/>
      <c r="Q2794" s="2003">
        <v>44328</v>
      </c>
      <c r="R2794" s="2004">
        <f t="shared" ref="R2794:R2797" si="927">B2794*RIGHT(K2794,6)</f>
        <v>24070.133850000002</v>
      </c>
      <c r="S2794" s="1495">
        <f t="shared" ref="S2794:S2797" si="928">D2794</f>
        <v>26639.541850000005</v>
      </c>
      <c r="T2794" s="1495">
        <f t="shared" ref="T2794:T2797" si="929">S2794-R2794</f>
        <v>2569.4080000000031</v>
      </c>
      <c r="U2794" s="2005">
        <f t="shared" ref="U2794:U2797" si="930">(S2794-R2794)/R2794</f>
        <v>0.10674672671170056</v>
      </c>
      <c r="V2794" s="1926" t="str">
        <f t="shared" ref="V2794:V2797" si="931">A2794</f>
        <v>AMAT</v>
      </c>
      <c r="W2794" s="1929">
        <f ca="1">Q2794-TODAY()</f>
        <v>-844</v>
      </c>
    </row>
    <row r="2795" spans="1:23" ht="15.65" hidden="1" customHeight="1" outlineLevel="1" x14ac:dyDescent="0.35">
      <c r="A2795" s="1412" t="s">
        <v>447</v>
      </c>
      <c r="B2795" s="1362">
        <v>200</v>
      </c>
      <c r="C2795" s="1143">
        <v>208.07</v>
      </c>
      <c r="D2795" s="2018">
        <f t="shared" si="926"/>
        <v>41614</v>
      </c>
      <c r="E2795" s="1977">
        <f t="shared" si="925"/>
        <v>-5.1035300556417029E-2</v>
      </c>
      <c r="F2795" s="1506">
        <f t="shared" ref="F2795:F2801" si="932">D2795/$D$2802</f>
        <v>0.17064671405175114</v>
      </c>
      <c r="G2795" s="1494">
        <v>444</v>
      </c>
      <c r="H2795" s="1820"/>
      <c r="I2795" s="1889"/>
      <c r="J2795" s="1889"/>
      <c r="K2795" s="3055" t="s">
        <v>566</v>
      </c>
      <c r="L2795" s="3055"/>
      <c r="M2795" s="3055"/>
      <c r="N2795" s="1489"/>
      <c r="O2795" s="3"/>
      <c r="P2795" s="3"/>
      <c r="Q2795" s="2003">
        <v>44322</v>
      </c>
      <c r="R2795" s="2006">
        <f t="shared" si="927"/>
        <v>46896</v>
      </c>
      <c r="S2795" s="2007">
        <f t="shared" si="928"/>
        <v>41614</v>
      </c>
      <c r="T2795" s="2007">
        <f t="shared" si="929"/>
        <v>-5282</v>
      </c>
      <c r="U2795" s="2008">
        <f t="shared" si="930"/>
        <v>-0.11263220743773456</v>
      </c>
      <c r="V2795" s="1926" t="str">
        <f t="shared" si="931"/>
        <v>FVRR</v>
      </c>
      <c r="W2795" s="1929">
        <f ca="1">Q2795-TODAY()</f>
        <v>-850</v>
      </c>
    </row>
    <row r="2796" spans="1:23" ht="15.65" hidden="1" customHeight="1" outlineLevel="1" x14ac:dyDescent="0.35">
      <c r="A2796" s="1412" t="s">
        <v>558</v>
      </c>
      <c r="B2796" s="1362">
        <v>200</v>
      </c>
      <c r="C2796" s="1363">
        <v>150.29</v>
      </c>
      <c r="D2796" s="2018">
        <f t="shared" si="926"/>
        <v>30058</v>
      </c>
      <c r="E2796" s="1977">
        <f t="shared" si="925"/>
        <v>-3.8943598925693844E-2</v>
      </c>
      <c r="F2796" s="1506">
        <f t="shared" si="932"/>
        <v>0.12325897368595991</v>
      </c>
      <c r="G2796" s="1494">
        <v>119</v>
      </c>
      <c r="H2796" s="1820" t="s">
        <v>568</v>
      </c>
      <c r="I2796" s="1889"/>
      <c r="J2796" s="1889"/>
      <c r="K2796" s="3055" t="s">
        <v>559</v>
      </c>
      <c r="L2796" s="3055"/>
      <c r="M2796" s="3055"/>
      <c r="N2796" s="1489" t="str">
        <f>A2796</f>
        <v>MCHP</v>
      </c>
      <c r="O2796" s="3"/>
      <c r="P2796" s="3"/>
      <c r="Q2796" s="2003">
        <v>44321</v>
      </c>
      <c r="R2796" s="2004">
        <f t="shared" si="927"/>
        <v>27724</v>
      </c>
      <c r="S2796" s="1495">
        <f t="shared" si="928"/>
        <v>30058</v>
      </c>
      <c r="T2796" s="1495">
        <f t="shared" si="929"/>
        <v>2334</v>
      </c>
      <c r="U2796" s="2005">
        <f t="shared" si="930"/>
        <v>8.4186986004905498E-2</v>
      </c>
      <c r="V2796" s="1926" t="str">
        <f t="shared" si="931"/>
        <v>MCHP</v>
      </c>
      <c r="W2796" s="1929">
        <f ca="1">Q2796-TODAY()</f>
        <v>-851</v>
      </c>
    </row>
    <row r="2797" spans="1:23" ht="15.65" hidden="1" customHeight="1" outlineLevel="1" x14ac:dyDescent="0.35">
      <c r="A2797" s="1412" t="s">
        <v>135</v>
      </c>
      <c r="B2797" s="1142">
        <v>100.19799999999999</v>
      </c>
      <c r="C2797" s="1143">
        <v>620.45000000000005</v>
      </c>
      <c r="D2797" s="2018">
        <f t="shared" si="926"/>
        <v>62167.849099999999</v>
      </c>
      <c r="E2797" s="1977">
        <f t="shared" si="925"/>
        <v>-1.1219302299638183E-2</v>
      </c>
      <c r="F2797" s="1506">
        <f t="shared" si="932"/>
        <v>0.25493197406113599</v>
      </c>
      <c r="G2797" s="1494">
        <v>27</v>
      </c>
      <c r="H2797" s="1820" t="s">
        <v>564</v>
      </c>
      <c r="I2797" s="1889"/>
      <c r="J2797" s="1889"/>
      <c r="K2797" s="3055" t="s">
        <v>560</v>
      </c>
      <c r="L2797" s="3055"/>
      <c r="M2797" s="3055"/>
      <c r="N2797" s="1489" t="str">
        <f>A2797</f>
        <v>LRCX</v>
      </c>
      <c r="O2797" s="3"/>
      <c r="P2797" s="3"/>
      <c r="Q2797" s="2003">
        <v>44307</v>
      </c>
      <c r="R2797" s="2004">
        <f t="shared" si="927"/>
        <v>52901.538059999999</v>
      </c>
      <c r="S2797" s="1495">
        <f t="shared" si="928"/>
        <v>62167.849099999999</v>
      </c>
      <c r="T2797" s="1495">
        <f t="shared" si="929"/>
        <v>9266.3110400000005</v>
      </c>
      <c r="U2797" s="2005">
        <f t="shared" si="930"/>
        <v>0.17516146750762354</v>
      </c>
      <c r="V2797" s="1926" t="str">
        <f t="shared" si="931"/>
        <v>LRCX</v>
      </c>
      <c r="W2797" s="1929"/>
    </row>
    <row r="2798" spans="1:23" ht="15.65" hidden="1" customHeight="1" outlineLevel="1" x14ac:dyDescent="0.35">
      <c r="A2798" s="1412" t="s">
        <v>593</v>
      </c>
      <c r="B2798" s="1142">
        <v>86</v>
      </c>
      <c r="C2798" s="1143">
        <v>269.7</v>
      </c>
      <c r="D2798" s="2018">
        <f>C2798*B2798</f>
        <v>23194.2</v>
      </c>
      <c r="E2798" s="1977">
        <f t="shared" si="925"/>
        <v>-3.4371643394199868E-2</v>
      </c>
      <c r="F2798" s="1506">
        <f t="shared" si="932"/>
        <v>9.5112558635534347E-2</v>
      </c>
      <c r="G2798" s="1520"/>
      <c r="H2798" s="1894"/>
      <c r="I2798" s="1895"/>
      <c r="J2798" s="1896"/>
      <c r="K2798" s="3055" t="s">
        <v>594</v>
      </c>
      <c r="L2798" s="3055"/>
      <c r="M2798" s="3055"/>
      <c r="N2798" s="1673"/>
      <c r="Q2798" s="2019">
        <v>44342</v>
      </c>
      <c r="R2798" s="2004">
        <f>B2798*RIGHT(K2798,6)</f>
        <v>23165.82</v>
      </c>
      <c r="S2798" s="1495">
        <f>D2798</f>
        <v>23194.2</v>
      </c>
      <c r="T2798" s="1495">
        <f>S2798-R2798</f>
        <v>28.380000000001019</v>
      </c>
      <c r="U2798" s="2005">
        <f>(S2798-R2798)/R2798</f>
        <v>1.2250807439581684E-3</v>
      </c>
      <c r="V2798" s="2020" t="str">
        <f>A2798</f>
        <v>OKTA</v>
      </c>
      <c r="W2798" s="1929">
        <f ca="1">Q2798-TODAY()</f>
        <v>-830</v>
      </c>
    </row>
    <row r="2799" spans="1:23" ht="15.65" hidden="1" customHeight="1" outlineLevel="1" x14ac:dyDescent="0.35">
      <c r="A2799" s="1412" t="s">
        <v>66</v>
      </c>
      <c r="B2799" s="1142">
        <v>75</v>
      </c>
      <c r="C2799" s="1143">
        <v>709.44</v>
      </c>
      <c r="D2799" s="2018">
        <f t="shared" ref="D2799" si="933">C2799*B2799</f>
        <v>53208.000000000007</v>
      </c>
      <c r="E2799" s="1977">
        <f t="shared" si="925"/>
        <v>-2.7364957499314401E-2</v>
      </c>
      <c r="F2799" s="1506">
        <f t="shared" si="932"/>
        <v>0.21819028118579264</v>
      </c>
      <c r="G2799" s="1520">
        <v>1057</v>
      </c>
      <c r="H2799" s="1820" t="s">
        <v>571</v>
      </c>
      <c r="I2799" s="1895"/>
      <c r="J2799" s="1896"/>
      <c r="K2799" s="3055" t="s">
        <v>554</v>
      </c>
      <c r="L2799" s="3055"/>
      <c r="M2799" s="3055"/>
      <c r="N2799" s="1489" t="str">
        <f>A2799</f>
        <v>TSLA</v>
      </c>
      <c r="O2799" s="3"/>
      <c r="P2799" s="3"/>
      <c r="Q2799" s="2003">
        <v>44312</v>
      </c>
      <c r="R2799" s="2004">
        <f t="shared" ref="R2799" si="934">B2799*RIGHT(K2799,6)</f>
        <v>52041</v>
      </c>
      <c r="S2799" s="1495">
        <f t="shared" ref="S2799" si="935">D2799</f>
        <v>53208.000000000007</v>
      </c>
      <c r="T2799" s="1495">
        <f t="shared" ref="T2799" si="936">S2799-R2799</f>
        <v>1167.0000000000073</v>
      </c>
      <c r="U2799" s="2005">
        <f t="shared" ref="U2799" si="937">(S2799-R2799)/R2799</f>
        <v>2.2424626736611657E-2</v>
      </c>
      <c r="V2799" s="1926" t="str">
        <f t="shared" ref="V2799" si="938">A2799</f>
        <v>TSLA</v>
      </c>
      <c r="W2799" s="1929">
        <f ca="1">Q2799-TODAY()</f>
        <v>-860</v>
      </c>
    </row>
    <row r="2800" spans="1:23" ht="16" hidden="1" outlineLevel="1" thickBot="1" x14ac:dyDescent="0.4">
      <c r="A2800" s="55" t="s">
        <v>7</v>
      </c>
      <c r="B2800" s="56"/>
      <c r="C2800" s="1881"/>
      <c r="D2800" s="1881">
        <v>2256.7600000000002</v>
      </c>
      <c r="E2800" s="1982"/>
      <c r="F2800" s="1506">
        <f t="shared" si="932"/>
        <v>9.2543057241176018E-3</v>
      </c>
      <c r="G2800" s="1788"/>
      <c r="H2800" s="1789"/>
      <c r="I2800" s="1789"/>
      <c r="J2800" s="1216"/>
      <c r="K2800" s="1633"/>
      <c r="L2800" s="1634"/>
      <c r="M2800" s="1634"/>
      <c r="R2800" s="1532">
        <f>SUM(R2794:R2799)</f>
        <v>226798.49191000001</v>
      </c>
      <c r="S2800" s="1532">
        <f>SUM(S2794:S2799)</f>
        <v>236881.59095000001</v>
      </c>
      <c r="T2800" s="1532">
        <f>SUM(T2794:T2799)</f>
        <v>10083.099040000012</v>
      </c>
      <c r="U2800" s="2017">
        <f>AVERAGE(U2794:U2799)</f>
        <v>4.6185446711177476E-2</v>
      </c>
    </row>
    <row r="2801" spans="1:23" ht="16" hidden="1" outlineLevel="1" thickBot="1" x14ac:dyDescent="0.4">
      <c r="A2801" s="55" t="s">
        <v>60</v>
      </c>
      <c r="B2801" s="56"/>
      <c r="C2801" s="1881"/>
      <c r="D2801" s="1881">
        <v>4722.1899999999996</v>
      </c>
      <c r="E2801" s="1983"/>
      <c r="F2801" s="1506">
        <f t="shared" si="932"/>
        <v>1.9364305441150542E-2</v>
      </c>
      <c r="G2801" s="1734"/>
      <c r="H2801" s="1723"/>
      <c r="I2801" s="1796"/>
      <c r="J2801" s="61">
        <f>SUM(J2800:J2800)</f>
        <v>0</v>
      </c>
      <c r="K2801" s="1468"/>
      <c r="L2801" s="1151"/>
      <c r="M2801" s="1151"/>
      <c r="S2801" s="1470" t="str">
        <f>IF(SUM(D2794:D2799,D2801)&lt;&gt;S2800,"Out of Balance","Balances")</f>
        <v>Out of Balance</v>
      </c>
    </row>
    <row r="2802" spans="1:23" ht="19" hidden="1" outlineLevel="1" thickBot="1" x14ac:dyDescent="0.5">
      <c r="A2802" s="66" t="s">
        <v>62</v>
      </c>
      <c r="B2802" s="67"/>
      <c r="C2802" s="68">
        <f>SUM(D2794:D2799)+D2801</f>
        <v>241603.78095000001</v>
      </c>
      <c r="D2802" s="84">
        <f>SUM(D2794:D2801)</f>
        <v>243860.54095000002</v>
      </c>
      <c r="E2802" s="73">
        <f>D2802-D2787</f>
        <v>-6910.4141699999745</v>
      </c>
      <c r="F2802" s="71">
        <f>(D2802-D2787)/D2787</f>
        <v>-2.755667683561349E-2</v>
      </c>
      <c r="G2802" s="72" t="s">
        <v>63</v>
      </c>
      <c r="H2802" s="73">
        <f>E2802+E2787+E2772+E2756+E2740</f>
        <v>-14398.58944999997</v>
      </c>
      <c r="I2802" s="74"/>
      <c r="J2802" s="1849"/>
    </row>
    <row r="2803" spans="1:23" ht="15.65" hidden="1" customHeight="1" outlineLevel="1" x14ac:dyDescent="0.35">
      <c r="A2803" s="3056" t="s">
        <v>536</v>
      </c>
      <c r="B2803" s="3057"/>
      <c r="C2803" s="3057"/>
      <c r="D2803" s="3057"/>
      <c r="E2803" s="3057"/>
      <c r="F2803" s="3057"/>
      <c r="G2803" s="3057"/>
      <c r="H2803" s="3057"/>
      <c r="I2803" s="3057"/>
      <c r="J2803" s="3058"/>
    </row>
    <row r="2804" spans="1:23" ht="16" hidden="1" outlineLevel="1" thickBot="1" x14ac:dyDescent="0.4">
      <c r="A2804" s="3059"/>
      <c r="B2804" s="3060"/>
      <c r="C2804" s="3060"/>
      <c r="D2804" s="3060"/>
      <c r="E2804" s="3060"/>
      <c r="F2804" s="3060"/>
      <c r="G2804" s="3060"/>
      <c r="H2804" s="3060"/>
      <c r="I2804" s="3060"/>
      <c r="J2804" s="3061"/>
    </row>
    <row r="2805" spans="1:23" hidden="1" outlineLevel="1" x14ac:dyDescent="0.35">
      <c r="A2805" s="8"/>
      <c r="B2805" s="9"/>
      <c r="C2805" s="8"/>
      <c r="D2805" s="8"/>
      <c r="E2805" s="8"/>
      <c r="F2805" s="10"/>
      <c r="G2805" s="11"/>
      <c r="H2805" s="12"/>
      <c r="I2805" s="8"/>
      <c r="J2805" s="12"/>
      <c r="K2805" s="8"/>
      <c r="L2805" s="8"/>
      <c r="M2805" s="8"/>
      <c r="N2805" s="8"/>
      <c r="O2805" s="8"/>
      <c r="P2805" s="8"/>
      <c r="Q2805" s="8"/>
      <c r="R2805" s="8"/>
      <c r="S2805" s="8"/>
      <c r="T2805" s="8"/>
      <c r="U2805" s="8"/>
      <c r="V2805" s="8"/>
      <c r="W2805" s="8"/>
    </row>
    <row r="2806" spans="1:23" ht="16" hidden="1" outlineLevel="1" thickBot="1" x14ac:dyDescent="0.4">
      <c r="A2806" s="1619" t="s">
        <v>25</v>
      </c>
      <c r="B2806" s="1996" t="s">
        <v>26</v>
      </c>
      <c r="C2806" s="1621" t="s">
        <v>27</v>
      </c>
      <c r="D2806" s="1622">
        <f>D2791+7</f>
        <v>44323</v>
      </c>
      <c r="E2806" s="1623" t="s">
        <v>28</v>
      </c>
      <c r="F2806" s="3036" t="s">
        <v>29</v>
      </c>
      <c r="G2806" s="3037"/>
      <c r="H2806" s="3038"/>
      <c r="I2806" s="1727"/>
      <c r="J2806" s="1182"/>
      <c r="K2806" s="1183" t="s">
        <v>233</v>
      </c>
      <c r="O2806" s="3042" t="s">
        <v>31</v>
      </c>
      <c r="P2806" s="3043"/>
      <c r="T2806" s="247"/>
      <c r="U2806" s="1123"/>
      <c r="V2806" s="247"/>
    </row>
    <row r="2807" spans="1:23" ht="16" hidden="1" outlineLevel="1" thickBot="1" x14ac:dyDescent="0.4">
      <c r="A2807" s="1973" t="s">
        <v>32</v>
      </c>
      <c r="B2807" s="1997" t="str">
        <f ca="1">TEXT(TODAY(),"ddd")</f>
        <v>Sun</v>
      </c>
      <c r="C2807" s="1998">
        <v>34777</v>
      </c>
      <c r="D2807" s="1980">
        <f>C2807-C2792</f>
        <v>903</v>
      </c>
      <c r="E2807" s="1977">
        <f t="shared" ref="E2807:E2808" si="939">(C2807-C2792)/C2792</f>
        <v>2.6657613508885871E-2</v>
      </c>
      <c r="F2807" s="3039"/>
      <c r="G2807" s="3040"/>
      <c r="H2807" s="3041"/>
      <c r="I2807" s="1602"/>
      <c r="J2807" s="1602"/>
      <c r="K2807" s="1188" t="s">
        <v>234</v>
      </c>
      <c r="L2807" s="1220" t="s">
        <v>34</v>
      </c>
      <c r="M2807" s="111" t="s">
        <v>35</v>
      </c>
      <c r="N2807" s="2995"/>
      <c r="O2807" s="2996"/>
      <c r="P2807" s="2996"/>
      <c r="Q2807" s="2996"/>
      <c r="R2807" s="2996"/>
      <c r="S2807" s="2996"/>
      <c r="T2807" s="2996"/>
      <c r="U2807" s="3044"/>
    </row>
    <row r="2808" spans="1:23" hidden="1" outlineLevel="1" x14ac:dyDescent="0.35">
      <c r="A2808" s="1978" t="s">
        <v>36</v>
      </c>
      <c r="B2808" s="1979"/>
      <c r="C2808" s="1979">
        <v>13752</v>
      </c>
      <c r="D2808" s="1980">
        <f>C2808-C2793</f>
        <v>-210</v>
      </c>
      <c r="E2808" s="1977">
        <f t="shared" si="939"/>
        <v>-1.5040825096691019E-2</v>
      </c>
      <c r="F2808" s="1744" t="s">
        <v>37</v>
      </c>
      <c r="G2808" s="1745" t="s">
        <v>38</v>
      </c>
      <c r="H2808" s="1746" t="s">
        <v>144</v>
      </c>
      <c r="I2808" s="1747" t="s">
        <v>441</v>
      </c>
      <c r="J2808" s="1748" t="s">
        <v>400</v>
      </c>
      <c r="K2808" s="3063" t="s">
        <v>42</v>
      </c>
      <c r="L2808" s="3064"/>
      <c r="M2808" s="3064"/>
      <c r="N2808" s="1830" t="s">
        <v>244</v>
      </c>
      <c r="Q2808" s="1831" t="s">
        <v>44</v>
      </c>
      <c r="R2808" s="1832" t="s">
        <v>45</v>
      </c>
      <c r="S2808" s="1832" t="s">
        <v>46</v>
      </c>
      <c r="T2808" s="1832" t="s">
        <v>47</v>
      </c>
      <c r="U2808" s="1833" t="s">
        <v>48</v>
      </c>
      <c r="W2808" s="1919" t="s">
        <v>446</v>
      </c>
    </row>
    <row r="2809" spans="1:23" hidden="1" outlineLevel="1" x14ac:dyDescent="0.35">
      <c r="A2809" s="1412" t="s">
        <v>447</v>
      </c>
      <c r="B2809" s="1362">
        <v>200</v>
      </c>
      <c r="C2809" s="1143">
        <v>180.33</v>
      </c>
      <c r="D2809" s="2018">
        <f t="shared" ref="D2809:D2811" si="940">C2809*B2809</f>
        <v>36066</v>
      </c>
      <c r="E2809" s="1977">
        <f>(C2809-C2795)/C2795</f>
        <v>-0.13332051713365686</v>
      </c>
      <c r="F2809" s="1506">
        <f t="shared" ref="F2809:F2815" si="941">D2809/$D$2816</f>
        <v>0.17549934804780454</v>
      </c>
      <c r="G2809" s="1494">
        <v>444</v>
      </c>
      <c r="H2809" s="1820"/>
      <c r="I2809" s="1889"/>
      <c r="J2809" s="1889"/>
      <c r="K2809" s="3055" t="s">
        <v>566</v>
      </c>
      <c r="L2809" s="3055"/>
      <c r="M2809" s="3055"/>
      <c r="N2809" s="1489"/>
      <c r="O2809" s="3"/>
      <c r="P2809" s="3"/>
      <c r="Q2809" s="2003">
        <f>"5/6/2021"+90</f>
        <v>44412</v>
      </c>
      <c r="R2809" s="2006">
        <f t="shared" ref="R2809:R2811" si="942">B2809*RIGHT(K2809,6)</f>
        <v>46896</v>
      </c>
      <c r="S2809" s="2007">
        <f t="shared" ref="S2809:S2811" si="943">D2809</f>
        <v>36066</v>
      </c>
      <c r="T2809" s="2007">
        <f t="shared" ref="T2809:T2811" si="944">S2809-R2809</f>
        <v>-10830</v>
      </c>
      <c r="U2809" s="2008">
        <f t="shared" ref="U2809:U2811" si="945">(S2809-R2809)/R2809</f>
        <v>-0.2309365404298874</v>
      </c>
      <c r="V2809" s="1926" t="str">
        <f t="shared" ref="V2809:V2811" si="946">A2809</f>
        <v>FVRR</v>
      </c>
      <c r="W2809" s="1131">
        <f ca="1">Q2809-TODAY()</f>
        <v>-760</v>
      </c>
    </row>
    <row r="2810" spans="1:23" hidden="1" outlineLevel="1" x14ac:dyDescent="0.35">
      <c r="A2810" s="1412" t="s">
        <v>558</v>
      </c>
      <c r="B2810" s="1362">
        <v>200</v>
      </c>
      <c r="C2810" s="1363">
        <v>149.75</v>
      </c>
      <c r="D2810" s="2018">
        <f t="shared" si="940"/>
        <v>29950</v>
      </c>
      <c r="E2810" s="1977">
        <f>(C2810-C2796)/C2796</f>
        <v>-3.5930534300352124E-3</v>
      </c>
      <c r="F2810" s="1506">
        <f t="shared" si="941"/>
        <v>0.14573852032473095</v>
      </c>
      <c r="G2810" s="1494">
        <v>119</v>
      </c>
      <c r="H2810" s="1820" t="s">
        <v>568</v>
      </c>
      <c r="I2810" s="1889"/>
      <c r="J2810" s="1889"/>
      <c r="K2810" s="3055" t="s">
        <v>559</v>
      </c>
      <c r="L2810" s="3055"/>
      <c r="M2810" s="3055"/>
      <c r="N2810" s="1489" t="str">
        <f>A2810</f>
        <v>MCHP</v>
      </c>
      <c r="O2810" s="3"/>
      <c r="P2810" s="3"/>
      <c r="Q2810" s="2003">
        <f>"5/5/2021"+90</f>
        <v>44411</v>
      </c>
      <c r="R2810" s="2004">
        <f t="shared" si="942"/>
        <v>27724</v>
      </c>
      <c r="S2810" s="1495">
        <f t="shared" si="943"/>
        <v>29950</v>
      </c>
      <c r="T2810" s="1495">
        <f t="shared" si="944"/>
        <v>2226</v>
      </c>
      <c r="U2810" s="2005">
        <f t="shared" si="945"/>
        <v>8.0291444236040982E-2</v>
      </c>
      <c r="V2810" s="1926" t="str">
        <f t="shared" si="946"/>
        <v>MCHP</v>
      </c>
      <c r="W2810" s="1131">
        <f ca="1">Q2810-TODAY()</f>
        <v>-761</v>
      </c>
    </row>
    <row r="2811" spans="1:23" hidden="1" outlineLevel="1" x14ac:dyDescent="0.35">
      <c r="A2811" s="1412" t="s">
        <v>135</v>
      </c>
      <c r="B2811" s="1142">
        <v>100.19799999999999</v>
      </c>
      <c r="C2811" s="1143">
        <v>630.54</v>
      </c>
      <c r="D2811" s="2018">
        <f t="shared" si="940"/>
        <v>63178.846919999989</v>
      </c>
      <c r="E2811" s="1977">
        <f>(C2811-C2797)/C2797</f>
        <v>1.6262390200660677E-2</v>
      </c>
      <c r="F2811" s="1506">
        <f t="shared" si="941"/>
        <v>0.30743210904652696</v>
      </c>
      <c r="G2811" s="1494">
        <v>27</v>
      </c>
      <c r="H2811" s="1820" t="s">
        <v>564</v>
      </c>
      <c r="I2811" s="1889"/>
      <c r="J2811" s="1889"/>
      <c r="K2811" s="3055" t="s">
        <v>560</v>
      </c>
      <c r="L2811" s="3055"/>
      <c r="M2811" s="3055"/>
      <c r="N2811" s="1489" t="str">
        <f>A2811</f>
        <v>LRCX</v>
      </c>
      <c r="O2811" s="3"/>
      <c r="P2811" s="3"/>
      <c r="Q2811" s="2003">
        <f>"4/21/2021"+90</f>
        <v>44397</v>
      </c>
      <c r="R2811" s="2004">
        <f t="shared" si="942"/>
        <v>52901.538059999999</v>
      </c>
      <c r="S2811" s="1495">
        <f t="shared" si="943"/>
        <v>63178.846919999989</v>
      </c>
      <c r="T2811" s="1495">
        <f t="shared" si="944"/>
        <v>10277.30885999999</v>
      </c>
      <c r="U2811" s="2005">
        <f t="shared" si="945"/>
        <v>0.19427240184101352</v>
      </c>
      <c r="V2811" s="1926" t="str">
        <f t="shared" si="946"/>
        <v>LRCX</v>
      </c>
      <c r="W2811" s="1131">
        <f ca="1">Q2811-TODAY()</f>
        <v>-775</v>
      </c>
    </row>
    <row r="2812" spans="1:23" hidden="1" outlineLevel="1" x14ac:dyDescent="0.35">
      <c r="A2812" s="1412" t="s">
        <v>593</v>
      </c>
      <c r="B2812" s="1142">
        <v>86</v>
      </c>
      <c r="C2812" s="1143">
        <v>237.27</v>
      </c>
      <c r="D2812" s="2018">
        <f>C2812*B2812</f>
        <v>20405.22</v>
      </c>
      <c r="E2812" s="1977">
        <f>(C2812-C2798)/C2798</f>
        <v>-0.12024471635150159</v>
      </c>
      <c r="F2812" s="1506">
        <f t="shared" si="941"/>
        <v>9.9293040724561146E-2</v>
      </c>
      <c r="G2812" s="2009">
        <v>2343</v>
      </c>
      <c r="H2812" s="1894"/>
      <c r="I2812" s="1895"/>
      <c r="J2812" s="1896"/>
      <c r="K2812" s="3055" t="s">
        <v>594</v>
      </c>
      <c r="L2812" s="3055"/>
      <c r="M2812" s="3055"/>
      <c r="N2812" s="1673"/>
      <c r="Q2812" s="2019">
        <v>44342</v>
      </c>
      <c r="R2812" s="2006">
        <f>B2812*RIGHT(K2812,6)</f>
        <v>23165.82</v>
      </c>
      <c r="S2812" s="2007">
        <f>D2812</f>
        <v>20405.22</v>
      </c>
      <c r="T2812" s="2007">
        <f>S2812-R2812</f>
        <v>-2760.5999999999985</v>
      </c>
      <c r="U2812" s="2008">
        <f>(S2812-R2812)/R2812</f>
        <v>-0.11916694509410841</v>
      </c>
      <c r="V2812" s="2020" t="str">
        <f>A2812</f>
        <v>OKTA</v>
      </c>
      <c r="W2812" s="1929">
        <f ca="1">Q2812-TODAY()</f>
        <v>-830</v>
      </c>
    </row>
    <row r="2813" spans="1:23" hidden="1" outlineLevel="1" x14ac:dyDescent="0.35">
      <c r="A2813" s="1412" t="s">
        <v>66</v>
      </c>
      <c r="B2813" s="1142">
        <v>75</v>
      </c>
      <c r="C2813" s="1143">
        <v>672.37</v>
      </c>
      <c r="D2813" s="2018">
        <f t="shared" ref="D2813" si="947">C2813*B2813</f>
        <v>50427.75</v>
      </c>
      <c r="E2813" s="1977">
        <f>(C2813-C2799)/C2799</f>
        <v>-5.2252480829950453E-2</v>
      </c>
      <c r="F2813" s="1506">
        <f t="shared" si="941"/>
        <v>0.24538449643757765</v>
      </c>
      <c r="G2813" s="1520">
        <v>710</v>
      </c>
      <c r="H2813" s="1820" t="s">
        <v>571</v>
      </c>
      <c r="I2813" s="1895"/>
      <c r="J2813" s="1896"/>
      <c r="K2813" s="3055" t="s">
        <v>554</v>
      </c>
      <c r="L2813" s="3055"/>
      <c r="M2813" s="3055"/>
      <c r="N2813" s="1489" t="str">
        <f>A2813</f>
        <v>TSLA</v>
      </c>
      <c r="O2813" s="3"/>
      <c r="P2813" s="3"/>
      <c r="Q2813" s="2003">
        <f>"4/26/2021"+90</f>
        <v>44402</v>
      </c>
      <c r="R2813" s="2006">
        <f t="shared" ref="R2813" si="948">B2813*RIGHT(K2813,6)</f>
        <v>52041</v>
      </c>
      <c r="S2813" s="2007">
        <f t="shared" ref="S2813" si="949">D2813</f>
        <v>50427.75</v>
      </c>
      <c r="T2813" s="2007">
        <f t="shared" ref="T2813" si="950">S2813-R2813</f>
        <v>-1613.25</v>
      </c>
      <c r="U2813" s="2008">
        <f t="shared" ref="U2813" si="951">(S2813-R2813)/R2813</f>
        <v>-3.0999596472012451E-2</v>
      </c>
      <c r="V2813" s="1926" t="str">
        <f t="shared" ref="V2813" si="952">A2813</f>
        <v>TSLA</v>
      </c>
      <c r="W2813" s="1131">
        <f ca="1">Q2813-TODAY()</f>
        <v>-770</v>
      </c>
    </row>
    <row r="2814" spans="1:23" ht="16" hidden="1" outlineLevel="1" thickBot="1" x14ac:dyDescent="0.4">
      <c r="A2814" s="55" t="s">
        <v>7</v>
      </c>
      <c r="B2814" s="56"/>
      <c r="C2814" s="1881"/>
      <c r="D2814" s="1881">
        <v>2255.0300000000002</v>
      </c>
      <c r="E2814" s="1982"/>
      <c r="F2814" s="1506">
        <f t="shared" si="941"/>
        <v>1.097311303799259E-2</v>
      </c>
      <c r="G2814" s="1788"/>
      <c r="H2814" s="1789"/>
      <c r="I2814" s="1789"/>
      <c r="J2814" s="1216"/>
      <c r="K2814" s="1633"/>
      <c r="L2814" s="1634"/>
      <c r="M2814" s="1634"/>
      <c r="R2814" s="2014">
        <f>SUM(R2809:R2813)</f>
        <v>202728.35806</v>
      </c>
      <c r="S2814" s="2014">
        <f>SUM(S2809:S2813)</f>
        <v>200027.81691999998</v>
      </c>
      <c r="T2814" s="2014">
        <f>SUM(T2809:T2813)</f>
        <v>-2700.5411400000085</v>
      </c>
      <c r="U2814" s="2021">
        <f>AVERAGE(U2809:U2813)</f>
        <v>-2.1307847183790751E-2</v>
      </c>
    </row>
    <row r="2815" spans="1:23" ht="16" hidden="1" outlineLevel="1" thickBot="1" x14ac:dyDescent="0.4">
      <c r="A2815" s="55" t="s">
        <v>60</v>
      </c>
      <c r="B2815" s="56"/>
      <c r="C2815" s="1881"/>
      <c r="D2815" s="1881">
        <f>4722.19-1500</f>
        <v>3222.1899999999996</v>
      </c>
      <c r="E2815" s="1983"/>
      <c r="F2815" s="1506">
        <f t="shared" si="941"/>
        <v>1.5679372380806168E-2</v>
      </c>
      <c r="G2815" s="1734"/>
      <c r="H2815" s="1723"/>
      <c r="I2815" s="1796"/>
      <c r="J2815" s="61">
        <f>SUM(J2814:J2814)</f>
        <v>0</v>
      </c>
      <c r="K2815" s="1468"/>
      <c r="L2815" s="1151"/>
      <c r="M2815" s="1151"/>
      <c r="S2815" s="1470" t="str">
        <f>IF(SUM(D2809:D2813,D2815)&lt;&gt;S2814,"Out of Balance","Balances")</f>
        <v>Out of Balance</v>
      </c>
    </row>
    <row r="2816" spans="1:23" ht="19" hidden="1" outlineLevel="1" thickBot="1" x14ac:dyDescent="0.5">
      <c r="A2816" s="66" t="s">
        <v>62</v>
      </c>
      <c r="B2816" s="67"/>
      <c r="C2816" s="68">
        <f>SUM(D2809:D2813)+D2815</f>
        <v>203250.00691999999</v>
      </c>
      <c r="D2816" s="84">
        <f>SUM(D2809:D2815)</f>
        <v>205505.03691999998</v>
      </c>
      <c r="E2816" s="73">
        <f>D2816-D2802</f>
        <v>-38355.50403000004</v>
      </c>
      <c r="F2816" s="71">
        <f>(D2816-D2802)/D2802</f>
        <v>-0.15728458520012989</v>
      </c>
      <c r="G2816" s="72" t="s">
        <v>63</v>
      </c>
      <c r="H2816" s="73">
        <f>E2816+E2802+E2787+E2772+E2756</f>
        <v>-70332.160280000011</v>
      </c>
      <c r="I2816" s="74"/>
      <c r="J2816" s="1849"/>
    </row>
    <row r="2817" spans="1:28" hidden="1" outlineLevel="1" x14ac:dyDescent="0.35">
      <c r="A2817" s="3056" t="s">
        <v>536</v>
      </c>
      <c r="B2817" s="3057"/>
      <c r="C2817" s="3057"/>
      <c r="D2817" s="3057"/>
      <c r="E2817" s="3057"/>
      <c r="F2817" s="3057"/>
      <c r="G2817" s="3057"/>
      <c r="H2817" s="3057"/>
      <c r="I2817" s="3057"/>
      <c r="J2817" s="3058"/>
    </row>
    <row r="2818" spans="1:28" ht="16" hidden="1" outlineLevel="1" thickBot="1" x14ac:dyDescent="0.4">
      <c r="A2818" s="3059"/>
      <c r="B2818" s="3060"/>
      <c r="C2818" s="3060"/>
      <c r="D2818" s="3060"/>
      <c r="E2818" s="3060"/>
      <c r="F2818" s="3060"/>
      <c r="G2818" s="3060"/>
      <c r="H2818" s="3060"/>
      <c r="I2818" s="3060"/>
      <c r="J2818" s="3061"/>
    </row>
    <row r="2819" spans="1:28" hidden="1" outlineLevel="1" x14ac:dyDescent="0.35">
      <c r="A2819" s="8"/>
      <c r="B2819" s="9"/>
      <c r="C2819" s="8"/>
      <c r="D2819" s="8"/>
      <c r="E2819" s="8"/>
      <c r="F2819" s="10"/>
      <c r="G2819" s="11"/>
      <c r="H2819" s="12"/>
      <c r="I2819" s="8"/>
      <c r="J2819" s="12"/>
      <c r="K2819" s="8"/>
      <c r="L2819" s="8"/>
      <c r="M2819" s="8"/>
      <c r="N2819" s="8"/>
      <c r="O2819" s="8"/>
      <c r="P2819" s="8"/>
      <c r="Q2819" s="8"/>
      <c r="R2819" s="8"/>
      <c r="S2819" s="8"/>
      <c r="T2819" s="8"/>
      <c r="U2819" s="8"/>
      <c r="V2819" s="8"/>
      <c r="W2819" s="8"/>
    </row>
    <row r="2820" spans="1:28" ht="16" hidden="1" outlineLevel="1" thickBot="1" x14ac:dyDescent="0.4">
      <c r="A2820" s="2022" t="s">
        <v>25</v>
      </c>
      <c r="B2820" s="2023" t="s">
        <v>26</v>
      </c>
      <c r="C2820" s="2024" t="s">
        <v>27</v>
      </c>
      <c r="D2820" s="2025">
        <f>D2806+7</f>
        <v>44330</v>
      </c>
      <c r="E2820" s="2026" t="s">
        <v>28</v>
      </c>
      <c r="F2820" s="3002" t="s">
        <v>29</v>
      </c>
      <c r="G2820" s="3024"/>
      <c r="H2820" s="3025"/>
      <c r="I2820" s="1727"/>
      <c r="J2820" s="1182">
        <f>C2821</f>
        <v>34060</v>
      </c>
      <c r="K2820" s="2027" t="s">
        <v>233</v>
      </c>
      <c r="L2820" s="2028" t="s">
        <v>30</v>
      </c>
      <c r="M2820" s="2029">
        <v>1.62</v>
      </c>
      <c r="O2820" s="3042" t="s">
        <v>31</v>
      </c>
      <c r="P2820" s="3043"/>
      <c r="Q2820" s="2030" t="s">
        <v>597</v>
      </c>
      <c r="R2820" s="2031">
        <v>38</v>
      </c>
      <c r="T2820" s="247"/>
      <c r="U2820" s="1123"/>
      <c r="V2820" s="247"/>
    </row>
    <row r="2821" spans="1:28" ht="16" hidden="1" outlineLevel="1" thickBot="1" x14ac:dyDescent="0.4">
      <c r="A2821" s="1973" t="s">
        <v>32</v>
      </c>
      <c r="B2821" s="1997" t="str">
        <f ca="1">TEXT(TODAY(),"ddd")</f>
        <v>Sun</v>
      </c>
      <c r="C2821" s="1998">
        <v>34060</v>
      </c>
      <c r="D2821" s="1980">
        <f>C2821-C2807</f>
        <v>-717</v>
      </c>
      <c r="E2821" s="1977">
        <f>(C2821-C2807)/C2807</f>
        <v>-2.0617074503263652E-2</v>
      </c>
      <c r="F2821" s="3026"/>
      <c r="G2821" s="3027"/>
      <c r="H2821" s="3028"/>
      <c r="I2821" s="1602"/>
      <c r="J2821" s="1602">
        <f>C2822</f>
        <v>13303</v>
      </c>
      <c r="K2821" s="1188" t="s">
        <v>234</v>
      </c>
      <c r="L2821" s="2032" t="s">
        <v>34</v>
      </c>
      <c r="M2821" s="2033" t="s">
        <v>598</v>
      </c>
      <c r="N2821" s="2995"/>
      <c r="O2821" s="2996"/>
      <c r="P2821" s="2996"/>
      <c r="Q2821" s="3062"/>
      <c r="R2821" s="3062"/>
      <c r="S2821" s="2996"/>
      <c r="T2821" s="2996"/>
      <c r="U2821" s="3044"/>
    </row>
    <row r="2822" spans="1:28" hidden="1" outlineLevel="1" x14ac:dyDescent="0.35">
      <c r="A2822" s="1978" t="s">
        <v>36</v>
      </c>
      <c r="B2822" s="1979"/>
      <c r="C2822" s="1979">
        <v>13303</v>
      </c>
      <c r="D2822" s="2034">
        <f>C2822-C2808</f>
        <v>-449</v>
      </c>
      <c r="E2822" s="1977">
        <f>(C2822-C2808)/C2808</f>
        <v>-3.2649796393251891E-2</v>
      </c>
      <c r="F2822" s="1744" t="s">
        <v>37</v>
      </c>
      <c r="G2822" s="1745" t="s">
        <v>38</v>
      </c>
      <c r="H2822" s="1746" t="s">
        <v>144</v>
      </c>
      <c r="I2822" s="1747" t="s">
        <v>441</v>
      </c>
      <c r="J2822" s="1748" t="s">
        <v>599</v>
      </c>
      <c r="K2822" s="3063" t="s">
        <v>42</v>
      </c>
      <c r="L2822" s="3064"/>
      <c r="M2822" s="3064"/>
      <c r="N2822" s="1830" t="s">
        <v>244</v>
      </c>
      <c r="Q2822" s="1831" t="s">
        <v>44</v>
      </c>
      <c r="R2822" s="1832" t="s">
        <v>45</v>
      </c>
      <c r="S2822" s="1832" t="s">
        <v>46</v>
      </c>
      <c r="T2822" s="1832" t="s">
        <v>47</v>
      </c>
      <c r="U2822" s="1833" t="s">
        <v>48</v>
      </c>
      <c r="W2822" s="1919" t="s">
        <v>446</v>
      </c>
    </row>
    <row r="2823" spans="1:28" hidden="1" outlineLevel="1" x14ac:dyDescent="0.35">
      <c r="A2823" s="2035" t="s">
        <v>600</v>
      </c>
      <c r="B2823" s="2036">
        <v>1000</v>
      </c>
      <c r="C2823" s="2037">
        <v>12.38</v>
      </c>
      <c r="D2823" s="2038">
        <f t="shared" ref="D2823:D2827" si="953">C2823*B2823</f>
        <v>12380</v>
      </c>
      <c r="E2823" s="1977"/>
      <c r="F2823" s="1506">
        <f t="shared" ref="F2823:F2829" si="954">D2823/$D$2830</f>
        <v>5.7859884391464271E-2</v>
      </c>
      <c r="G2823" s="1494"/>
      <c r="H2823" s="1820"/>
      <c r="I2823" s="1889"/>
      <c r="J2823" s="1889"/>
      <c r="K2823" s="3053" t="s">
        <v>601</v>
      </c>
      <c r="L2823" s="3053"/>
      <c r="M2823" s="3053"/>
      <c r="N2823" s="1489"/>
      <c r="O2823" s="3"/>
      <c r="P2823" s="3"/>
      <c r="Q2823" s="2003"/>
      <c r="R2823" s="2039">
        <f t="shared" ref="R2823:R2827" si="955">B2823*RIGHT(K2823,6)</f>
        <v>12165</v>
      </c>
      <c r="S2823" s="2040">
        <f t="shared" ref="S2823:S2827" si="956">D2823</f>
        <v>12380</v>
      </c>
      <c r="T2823" s="2040">
        <f t="shared" ref="T2823:T2827" si="957">S2823-R2823</f>
        <v>215</v>
      </c>
      <c r="U2823" s="2041">
        <f t="shared" ref="U2823:U2827" si="958">(S2823-R2823)/R2823</f>
        <v>1.7673653925195234E-2</v>
      </c>
      <c r="V2823" s="1926" t="str">
        <f t="shared" ref="V2823:V2827" si="959">A2823</f>
        <v>SQQQ</v>
      </c>
      <c r="W2823" s="1929"/>
    </row>
    <row r="2824" spans="1:28" hidden="1" outlineLevel="1" x14ac:dyDescent="0.35">
      <c r="A2824" s="2042" t="s">
        <v>602</v>
      </c>
      <c r="B2824" s="1678">
        <v>2000</v>
      </c>
      <c r="C2824" s="1688">
        <v>4.55</v>
      </c>
      <c r="D2824" s="2043">
        <f t="shared" si="953"/>
        <v>9100</v>
      </c>
      <c r="E2824" s="1977"/>
      <c r="F2824" s="1506">
        <f t="shared" si="954"/>
        <v>4.2530286588233025E-2</v>
      </c>
      <c r="G2824" s="1494"/>
      <c r="H2824" s="1820"/>
      <c r="I2824" s="1889"/>
      <c r="J2824" s="1889"/>
      <c r="K2824" s="3053" t="s">
        <v>603</v>
      </c>
      <c r="L2824" s="3053"/>
      <c r="M2824" s="3053"/>
      <c r="N2824" s="1489"/>
      <c r="O2824" s="3"/>
      <c r="P2824" s="3"/>
      <c r="Q2824" s="2003"/>
      <c r="R2824" s="2039">
        <f t="shared" si="955"/>
        <v>8890</v>
      </c>
      <c r="S2824" s="2040">
        <f t="shared" si="956"/>
        <v>9100</v>
      </c>
      <c r="T2824" s="2040">
        <f t="shared" si="957"/>
        <v>210</v>
      </c>
      <c r="U2824" s="2041">
        <f t="shared" si="958"/>
        <v>2.3622047244094488E-2</v>
      </c>
      <c r="V2824" s="1926" t="str">
        <f t="shared" si="959"/>
        <v>UVXY</v>
      </c>
      <c r="W2824" s="1929"/>
    </row>
    <row r="2825" spans="1:28" ht="16" hidden="1" outlineLevel="1" thickBot="1" x14ac:dyDescent="0.4">
      <c r="A2825" s="2044" t="s">
        <v>604</v>
      </c>
      <c r="B2825" s="2045">
        <v>0</v>
      </c>
      <c r="C2825" s="2046">
        <v>16.600000000000001</v>
      </c>
      <c r="D2825" s="2047">
        <f t="shared" si="953"/>
        <v>0</v>
      </c>
      <c r="E2825" s="1977"/>
      <c r="F2825" s="1506">
        <f t="shared" si="954"/>
        <v>0</v>
      </c>
      <c r="G2825" s="1494"/>
      <c r="H2825" s="1820"/>
      <c r="I2825" s="1889"/>
      <c r="J2825" s="1889"/>
      <c r="K2825" s="3053" t="s">
        <v>605</v>
      </c>
      <c r="L2825" s="3053"/>
      <c r="M2825" s="3053"/>
      <c r="N2825" s="1489"/>
      <c r="O2825" s="3"/>
      <c r="P2825" s="3"/>
      <c r="Q2825" s="2003"/>
      <c r="R2825" s="2039">
        <f t="shared" si="955"/>
        <v>0</v>
      </c>
      <c r="S2825" s="2040">
        <f t="shared" si="956"/>
        <v>0</v>
      </c>
      <c r="T2825" s="2040">
        <f t="shared" si="957"/>
        <v>0</v>
      </c>
      <c r="U2825" s="2041"/>
      <c r="V2825" s="1926" t="str">
        <f t="shared" si="959"/>
        <v>YANG</v>
      </c>
      <c r="W2825" s="1929"/>
    </row>
    <row r="2826" spans="1:28" hidden="1" outlineLevel="1" x14ac:dyDescent="0.35">
      <c r="A2826" s="2048" t="s">
        <v>361</v>
      </c>
      <c r="B2826" s="2049">
        <v>200</v>
      </c>
      <c r="C2826" s="2050">
        <v>127.25</v>
      </c>
      <c r="D2826" s="2051">
        <f t="shared" si="953"/>
        <v>25450</v>
      </c>
      <c r="E2826" s="1977"/>
      <c r="F2826" s="1506">
        <f t="shared" si="954"/>
        <v>0.11894459271104731</v>
      </c>
      <c r="G2826" s="1494"/>
      <c r="H2826" s="1820"/>
      <c r="I2826" s="1889"/>
      <c r="J2826" s="1889"/>
      <c r="K2826" s="3055" t="s">
        <v>606</v>
      </c>
      <c r="L2826" s="3055"/>
      <c r="M2826" s="3055"/>
      <c r="N2826" s="1489"/>
      <c r="O2826" s="3"/>
      <c r="P2826" s="3"/>
      <c r="Q2826" s="2003"/>
      <c r="R2826" s="2004">
        <f t="shared" si="955"/>
        <v>24398</v>
      </c>
      <c r="S2826" s="1495">
        <f t="shared" si="956"/>
        <v>25450</v>
      </c>
      <c r="T2826" s="1495">
        <f t="shared" si="957"/>
        <v>1052</v>
      </c>
      <c r="U2826" s="2005">
        <f t="shared" si="958"/>
        <v>4.3118288384293796E-2</v>
      </c>
      <c r="V2826" s="1926" t="str">
        <f t="shared" si="959"/>
        <v>RGLD</v>
      </c>
      <c r="W2826" s="1929"/>
    </row>
    <row r="2827" spans="1:28" hidden="1" outlineLevel="1" x14ac:dyDescent="0.35">
      <c r="A2827" s="1412" t="s">
        <v>607</v>
      </c>
      <c r="B2827" s="1362">
        <v>312</v>
      </c>
      <c r="C2827" s="1363">
        <v>65.48</v>
      </c>
      <c r="D2827" s="2052">
        <f t="shared" si="953"/>
        <v>20429.760000000002</v>
      </c>
      <c r="E2827" s="1977"/>
      <c r="F2827" s="1506">
        <f t="shared" si="954"/>
        <v>9.5481708541628532E-2</v>
      </c>
      <c r="G2827" s="1494"/>
      <c r="H2827" s="1820"/>
      <c r="I2827" s="1889"/>
      <c r="J2827" s="1889"/>
      <c r="K2827" s="3055" t="s">
        <v>608</v>
      </c>
      <c r="L2827" s="3055"/>
      <c r="M2827" s="3055"/>
      <c r="N2827" s="1489"/>
      <c r="O2827" s="3"/>
      <c r="P2827" s="3"/>
      <c r="Q2827" s="2003"/>
      <c r="R2827" s="2004">
        <f t="shared" si="955"/>
        <v>20208.239999999998</v>
      </c>
      <c r="S2827" s="1495">
        <f t="shared" si="956"/>
        <v>20429.760000000002</v>
      </c>
      <c r="T2827" s="1495">
        <f t="shared" si="957"/>
        <v>221.52000000000407</v>
      </c>
      <c r="U2827" s="2005">
        <f t="shared" si="958"/>
        <v>1.0961865060985227E-2</v>
      </c>
      <c r="V2827" s="1926" t="str">
        <f t="shared" si="959"/>
        <v>O</v>
      </c>
      <c r="W2827" s="1929"/>
    </row>
    <row r="2828" spans="1:28" ht="16" hidden="1" outlineLevel="1" thickBot="1" x14ac:dyDescent="0.4">
      <c r="A2828" s="55" t="s">
        <v>7</v>
      </c>
      <c r="B2828" s="56"/>
      <c r="C2828" s="1881"/>
      <c r="D2828" s="57">
        <v>2244.13</v>
      </c>
      <c r="E2828" s="1982"/>
      <c r="F2828" s="1506">
        <f t="shared" si="954"/>
        <v>1.0488295828708943E-2</v>
      </c>
      <c r="G2828" s="2053"/>
      <c r="H2828" s="1789" t="s">
        <v>59</v>
      </c>
      <c r="I2828" s="1789"/>
      <c r="J2828" s="1216"/>
      <c r="K2828" s="1633"/>
      <c r="L2828" s="1634"/>
      <c r="M2828" s="1634"/>
      <c r="R2828" s="1532">
        <f>SUM(R2823:R2827)</f>
        <v>65661.239999999991</v>
      </c>
      <c r="S2828" s="1532">
        <f t="shared" ref="S2828:U2828" si="960">SUM(S2823:S2827)</f>
        <v>67359.760000000009</v>
      </c>
      <c r="T2828" s="1532">
        <f t="shared" si="960"/>
        <v>1698.5200000000041</v>
      </c>
      <c r="U2828" s="1532">
        <f t="shared" si="960"/>
        <v>9.5375854614568753E-2</v>
      </c>
    </row>
    <row r="2829" spans="1:28" ht="16" hidden="1" outlineLevel="1" thickBot="1" x14ac:dyDescent="0.4">
      <c r="A2829" s="55" t="s">
        <v>60</v>
      </c>
      <c r="B2829" s="56"/>
      <c r="C2829" s="1881"/>
      <c r="D2829" s="57">
        <f>101500.29+91.75+119.39-4425+47074.85</f>
        <v>144361.28</v>
      </c>
      <c r="E2829" s="1983"/>
      <c r="F2829" s="1506">
        <f t="shared" si="954"/>
        <v>0.67469523193891789</v>
      </c>
      <c r="G2829" s="1734"/>
      <c r="H2829" s="1723"/>
      <c r="I2829" s="1796"/>
      <c r="J2829" s="61"/>
      <c r="K2829" s="1468"/>
      <c r="L2829" s="1378"/>
      <c r="M2829" s="1378"/>
      <c r="S2829" s="1470"/>
    </row>
    <row r="2830" spans="1:28" ht="19" hidden="1" outlineLevel="1" thickBot="1" x14ac:dyDescent="0.5">
      <c r="A2830" s="66" t="s">
        <v>62</v>
      </c>
      <c r="B2830" s="67"/>
      <c r="C2830" s="68"/>
      <c r="D2830" s="84">
        <f>SUM(D2823:D2829)</f>
        <v>213965.17</v>
      </c>
      <c r="E2830" s="73">
        <f>D2830-D2816</f>
        <v>8460.1330800000287</v>
      </c>
      <c r="F2830" s="71">
        <f>(D2830-D2816)/D2816</f>
        <v>4.1167521763923631E-2</v>
      </c>
      <c r="G2830" s="72" t="s">
        <v>63</v>
      </c>
      <c r="H2830" s="73">
        <f>E2830+E2816+E2802+E2787+E2772</f>
        <v>-62466.35884999999</v>
      </c>
      <c r="I2830" s="74"/>
      <c r="J2830" s="1849"/>
      <c r="L2830" s="62"/>
      <c r="M2830" s="64"/>
      <c r="N2830" s="64"/>
      <c r="O2830" s="64"/>
      <c r="P2830" s="64"/>
      <c r="Q2830" s="64"/>
      <c r="R2830" s="2054" t="s">
        <v>609</v>
      </c>
      <c r="S2830" s="2055" t="s">
        <v>610</v>
      </c>
      <c r="T2830" s="2055" t="s">
        <v>611</v>
      </c>
      <c r="U2830" s="2056">
        <f>M2832</f>
        <v>28390</v>
      </c>
      <c r="W2830" s="2057" t="s">
        <v>67</v>
      </c>
      <c r="X2830" s="64"/>
      <c r="Y2830" s="64"/>
      <c r="Z2830" s="64"/>
      <c r="AA2830" s="64"/>
      <c r="AB2830" s="1553"/>
    </row>
    <row r="2831" spans="1:28" ht="15.65" hidden="1" customHeight="1" outlineLevel="1" x14ac:dyDescent="0.35">
      <c r="A2831" s="2985" t="s">
        <v>612</v>
      </c>
      <c r="B2831" s="2985"/>
      <c r="C2831" s="2985"/>
      <c r="D2831" s="2985"/>
      <c r="E2831" s="2985"/>
      <c r="F2831" s="2985"/>
      <c r="G2831" s="2985"/>
      <c r="H2831" s="2985"/>
      <c r="I2831" s="2985"/>
      <c r="J2831" s="2985"/>
      <c r="L2831" s="104" t="s">
        <v>613</v>
      </c>
      <c r="M2831" s="3"/>
      <c r="R2831" s="3" t="s">
        <v>600</v>
      </c>
      <c r="S2831" s="3">
        <v>600</v>
      </c>
      <c r="T2831" s="1142">
        <f>S2831*C2823</f>
        <v>7428.0000000000009</v>
      </c>
      <c r="U2831" s="1555"/>
      <c r="W2831" s="1" t="s">
        <v>614</v>
      </c>
      <c r="AB2831" s="1555"/>
    </row>
    <row r="2832" spans="1:28" ht="25.4" hidden="1" customHeight="1" outlineLevel="1" thickBot="1" x14ac:dyDescent="0.4">
      <c r="A2832" s="2986"/>
      <c r="B2832" s="2986"/>
      <c r="C2832" s="2986"/>
      <c r="D2832" s="2986"/>
      <c r="E2832" s="2986"/>
      <c r="F2832" s="2986"/>
      <c r="G2832" s="2986"/>
      <c r="H2832" s="2986"/>
      <c r="I2832" s="2986"/>
      <c r="J2832" s="2986"/>
      <c r="L2832" s="97" t="s">
        <v>558</v>
      </c>
      <c r="M2832" s="1142">
        <v>28390</v>
      </c>
      <c r="R2832" s="3" t="s">
        <v>615</v>
      </c>
      <c r="S2832" s="3">
        <v>1000</v>
      </c>
      <c r="T2832" s="1142">
        <f>S2832*C2824</f>
        <v>4550</v>
      </c>
      <c r="U2832" s="1555"/>
      <c r="W2832" s="2058" t="s">
        <v>616</v>
      </c>
      <c r="X2832" s="40"/>
      <c r="Y2832" s="40"/>
      <c r="Z2832" s="40"/>
      <c r="AA2832" s="40"/>
      <c r="AB2832" s="103"/>
    </row>
    <row r="2833" spans="1:23" ht="16" hidden="1" outlineLevel="1" thickBot="1" x14ac:dyDescent="0.4">
      <c r="A2833" s="2986"/>
      <c r="B2833" s="2986"/>
      <c r="C2833" s="2986"/>
      <c r="D2833" s="2986"/>
      <c r="E2833" s="2986"/>
      <c r="F2833" s="2986"/>
      <c r="G2833" s="2986"/>
      <c r="H2833" s="2986"/>
      <c r="I2833" s="2986"/>
      <c r="J2833" s="2986"/>
      <c r="L2833" s="102"/>
      <c r="M2833" s="40"/>
      <c r="N2833" s="40"/>
      <c r="O2833" s="40"/>
      <c r="P2833" s="40"/>
      <c r="Q2833" s="40"/>
      <c r="R2833" s="2" t="s">
        <v>604</v>
      </c>
      <c r="S2833" s="2">
        <v>600</v>
      </c>
      <c r="T2833" s="2059">
        <f>S2833*C2825</f>
        <v>9960</v>
      </c>
      <c r="U2833" s="2060">
        <f>SUM(T2831:T2833)</f>
        <v>21938</v>
      </c>
    </row>
    <row r="2834" spans="1:23" hidden="1" outlineLevel="1" x14ac:dyDescent="0.35">
      <c r="A2834" s="8"/>
      <c r="B2834" s="9"/>
      <c r="C2834" s="8"/>
      <c r="D2834" s="8"/>
      <c r="E2834" s="8"/>
      <c r="F2834" s="10"/>
      <c r="G2834" s="11"/>
      <c r="H2834" s="12"/>
      <c r="I2834" s="8"/>
      <c r="J2834" s="12"/>
      <c r="K2834" s="8"/>
      <c r="L2834" s="8"/>
      <c r="M2834" s="8"/>
      <c r="N2834" s="8"/>
      <c r="O2834" s="8"/>
      <c r="P2834" s="8"/>
      <c r="Q2834" s="8"/>
      <c r="R2834" s="8"/>
      <c r="S2834" s="8"/>
      <c r="T2834" s="8"/>
      <c r="U2834" s="8"/>
      <c r="V2834" s="8"/>
      <c r="W2834" s="8"/>
    </row>
    <row r="2835" spans="1:23" ht="16" hidden="1" outlineLevel="1" thickBot="1" x14ac:dyDescent="0.4">
      <c r="A2835" s="1619" t="s">
        <v>25</v>
      </c>
      <c r="B2835" s="1996" t="s">
        <v>26</v>
      </c>
      <c r="C2835" s="1621" t="s">
        <v>27</v>
      </c>
      <c r="D2835" s="1622">
        <f>D2820+7</f>
        <v>44337</v>
      </c>
      <c r="E2835" s="1623" t="s">
        <v>28</v>
      </c>
      <c r="F2835" s="3036" t="s">
        <v>29</v>
      </c>
      <c r="G2835" s="3037"/>
      <c r="H2835" s="3038"/>
      <c r="I2835" s="1727"/>
      <c r="J2835" s="1182">
        <f>C2836</f>
        <v>34382</v>
      </c>
      <c r="K2835" s="1183" t="s">
        <v>233</v>
      </c>
      <c r="O2835" s="3042" t="s">
        <v>31</v>
      </c>
      <c r="P2835" s="3043"/>
      <c r="T2835" s="247"/>
      <c r="U2835" s="1123"/>
      <c r="V2835" s="247"/>
    </row>
    <row r="2836" spans="1:23" ht="16" hidden="1" outlineLevel="1" thickBot="1" x14ac:dyDescent="0.4">
      <c r="A2836" s="1973" t="s">
        <v>32</v>
      </c>
      <c r="B2836" s="1997" t="str">
        <f ca="1">TEXT(TODAY(),"ddd")</f>
        <v>Sun</v>
      </c>
      <c r="C2836" s="1998">
        <v>34382</v>
      </c>
      <c r="D2836" s="1980">
        <f>C2836-C2821</f>
        <v>322</v>
      </c>
      <c r="E2836" s="1977">
        <f>(C2836-C2821)/C2822</f>
        <v>2.4205066526347442E-2</v>
      </c>
      <c r="F2836" s="3039"/>
      <c r="G2836" s="3040"/>
      <c r="H2836" s="3041"/>
      <c r="I2836" s="1602"/>
      <c r="J2836" s="1602">
        <f>C2837</f>
        <v>13429</v>
      </c>
      <c r="K2836" s="2061" t="s">
        <v>234</v>
      </c>
      <c r="L2836" s="2062" t="s">
        <v>34</v>
      </c>
      <c r="M2836" s="2063" t="s">
        <v>35</v>
      </c>
      <c r="N2836" s="2995"/>
      <c r="O2836" s="2996"/>
      <c r="P2836" s="2996"/>
      <c r="Q2836" s="2996"/>
      <c r="R2836" s="2996"/>
      <c r="S2836" s="2996"/>
      <c r="T2836" s="2996"/>
      <c r="U2836" s="3044"/>
    </row>
    <row r="2837" spans="1:23" hidden="1" outlineLevel="1" x14ac:dyDescent="0.35">
      <c r="A2837" s="1978" t="s">
        <v>36</v>
      </c>
      <c r="B2837" s="1979"/>
      <c r="C2837" s="1979">
        <v>13429</v>
      </c>
      <c r="D2837" s="2034">
        <f>C2837-C2822</f>
        <v>126</v>
      </c>
      <c r="E2837" s="1977">
        <f>(C2837-C2822)/C2822</f>
        <v>9.4715477711794331E-3</v>
      </c>
      <c r="F2837" s="1744" t="s">
        <v>37</v>
      </c>
      <c r="G2837" s="1745" t="s">
        <v>38</v>
      </c>
      <c r="H2837" s="1746" t="s">
        <v>144</v>
      </c>
      <c r="I2837" s="1747" t="s">
        <v>441</v>
      </c>
      <c r="J2837" s="2064" t="s">
        <v>599</v>
      </c>
      <c r="K2837" s="3033" t="s">
        <v>42</v>
      </c>
      <c r="L2837" s="3034"/>
      <c r="M2837" s="3034"/>
      <c r="N2837" s="2065" t="s">
        <v>244</v>
      </c>
      <c r="Q2837" s="1831" t="s">
        <v>44</v>
      </c>
      <c r="R2837" s="1832" t="s">
        <v>45</v>
      </c>
      <c r="S2837" s="1832" t="s">
        <v>46</v>
      </c>
      <c r="T2837" s="1832" t="s">
        <v>47</v>
      </c>
      <c r="U2837" s="1833" t="s">
        <v>48</v>
      </c>
      <c r="W2837" s="1919" t="s">
        <v>446</v>
      </c>
    </row>
    <row r="2838" spans="1:23" hidden="1" outlineLevel="1" x14ac:dyDescent="0.35">
      <c r="A2838" s="2035" t="s">
        <v>600</v>
      </c>
      <c r="B2838" s="2036">
        <v>1000</v>
      </c>
      <c r="C2838" s="2037">
        <v>12.38</v>
      </c>
      <c r="D2838" s="2038">
        <f t="shared" ref="D2838:D2842" si="961">C2838*B2838</f>
        <v>12380</v>
      </c>
      <c r="E2838" s="1977">
        <f t="shared" ref="E2838:E2841" si="962">(C2838-C2823)/C2823</f>
        <v>0</v>
      </c>
      <c r="F2838" s="1506">
        <f t="shared" ref="F2838:F2843" si="963">D2838/$D$2830</f>
        <v>5.7859884391464271E-2</v>
      </c>
      <c r="G2838" s="1494"/>
      <c r="H2838" s="1820"/>
      <c r="I2838" s="1889"/>
      <c r="J2838" s="2066"/>
      <c r="K2838" s="3053" t="s">
        <v>601</v>
      </c>
      <c r="L2838" s="3053"/>
      <c r="M2838" s="3053"/>
      <c r="N2838" s="2067"/>
      <c r="O2838" s="3"/>
      <c r="P2838" s="3"/>
      <c r="Q2838" s="2003"/>
      <c r="R2838" s="2039">
        <f t="shared" ref="R2838:R2842" si="964">B2838*RIGHT(K2838,6)</f>
        <v>12165</v>
      </c>
      <c r="S2838" s="2040">
        <f t="shared" ref="S2838:S2842" si="965">D2838</f>
        <v>12380</v>
      </c>
      <c r="T2838" s="2040">
        <f t="shared" ref="T2838:T2842" si="966">S2838-R2838</f>
        <v>215</v>
      </c>
      <c r="U2838" s="2041">
        <f t="shared" ref="U2838:U2839" si="967">(S2838-R2838)/R2838</f>
        <v>1.7673653925195234E-2</v>
      </c>
      <c r="V2838" s="1926" t="str">
        <f t="shared" ref="V2838:V2842" si="968">A2838</f>
        <v>SQQQ</v>
      </c>
      <c r="W2838" s="1929"/>
    </row>
    <row r="2839" spans="1:23" hidden="1" outlineLevel="1" x14ac:dyDescent="0.35">
      <c r="A2839" s="2042" t="s">
        <v>602</v>
      </c>
      <c r="B2839" s="1678">
        <v>2000</v>
      </c>
      <c r="C2839" s="1688">
        <v>4.55</v>
      </c>
      <c r="D2839" s="2043">
        <f t="shared" si="961"/>
        <v>9100</v>
      </c>
      <c r="E2839" s="1977">
        <f t="shared" si="962"/>
        <v>0</v>
      </c>
      <c r="F2839" s="1506">
        <f t="shared" si="963"/>
        <v>4.2530286588233025E-2</v>
      </c>
      <c r="G2839" s="1494"/>
      <c r="H2839" s="1820"/>
      <c r="I2839" s="1889"/>
      <c r="J2839" s="2066"/>
      <c r="K2839" s="3053" t="s">
        <v>603</v>
      </c>
      <c r="L2839" s="3053"/>
      <c r="M2839" s="3053"/>
      <c r="N2839" s="2067"/>
      <c r="O2839" s="3"/>
      <c r="P2839" s="3"/>
      <c r="Q2839" s="2003"/>
      <c r="R2839" s="2039">
        <f t="shared" si="964"/>
        <v>8890</v>
      </c>
      <c r="S2839" s="2040">
        <f t="shared" si="965"/>
        <v>9100</v>
      </c>
      <c r="T2839" s="2040">
        <f t="shared" si="966"/>
        <v>210</v>
      </c>
      <c r="U2839" s="2041">
        <f t="shared" si="967"/>
        <v>2.3622047244094488E-2</v>
      </c>
      <c r="V2839" s="1926" t="str">
        <f t="shared" si="968"/>
        <v>UVXY</v>
      </c>
      <c r="W2839" s="1929"/>
    </row>
    <row r="2840" spans="1:23" ht="16" hidden="1" outlineLevel="1" thickBot="1" x14ac:dyDescent="0.4">
      <c r="A2840" s="2044" t="s">
        <v>604</v>
      </c>
      <c r="B2840" s="2045">
        <v>0</v>
      </c>
      <c r="C2840" s="2046">
        <v>16.600000000000001</v>
      </c>
      <c r="D2840" s="2047">
        <f t="shared" si="961"/>
        <v>0</v>
      </c>
      <c r="E2840" s="1977">
        <f t="shared" si="962"/>
        <v>0</v>
      </c>
      <c r="F2840" s="1506">
        <f t="shared" si="963"/>
        <v>0</v>
      </c>
      <c r="G2840" s="1494"/>
      <c r="H2840" s="1820"/>
      <c r="I2840" s="1889"/>
      <c r="J2840" s="2066"/>
      <c r="K2840" s="3053" t="s">
        <v>605</v>
      </c>
      <c r="L2840" s="3053"/>
      <c r="M2840" s="3053"/>
      <c r="N2840" s="2067"/>
      <c r="O2840" s="3"/>
      <c r="P2840" s="3"/>
      <c r="Q2840" s="2003"/>
      <c r="R2840" s="2039">
        <f t="shared" si="964"/>
        <v>0</v>
      </c>
      <c r="S2840" s="2040">
        <f t="shared" si="965"/>
        <v>0</v>
      </c>
      <c r="T2840" s="2040">
        <f t="shared" si="966"/>
        <v>0</v>
      </c>
      <c r="U2840" s="2041"/>
      <c r="V2840" s="1926" t="str">
        <f t="shared" si="968"/>
        <v>YANG</v>
      </c>
      <c r="W2840" s="1929"/>
    </row>
    <row r="2841" spans="1:23" hidden="1" outlineLevel="1" x14ac:dyDescent="0.35">
      <c r="A2841" s="2048" t="s">
        <v>361</v>
      </c>
      <c r="B2841" s="2049">
        <v>200</v>
      </c>
      <c r="C2841" s="2050">
        <v>127.25</v>
      </c>
      <c r="D2841" s="2051">
        <f t="shared" si="961"/>
        <v>25450</v>
      </c>
      <c r="E2841" s="1977">
        <f t="shared" si="962"/>
        <v>0</v>
      </c>
      <c r="F2841" s="1506">
        <f t="shared" si="963"/>
        <v>0.11894459271104731</v>
      </c>
      <c r="G2841" s="1494"/>
      <c r="H2841" s="1820"/>
      <c r="I2841" s="1889"/>
      <c r="J2841" s="2066"/>
      <c r="K2841" s="3055" t="s">
        <v>606</v>
      </c>
      <c r="L2841" s="3055"/>
      <c r="M2841" s="3055"/>
      <c r="N2841" s="2067"/>
      <c r="O2841" s="3"/>
      <c r="P2841" s="3"/>
      <c r="Q2841" s="2003"/>
      <c r="R2841" s="2004">
        <f t="shared" si="964"/>
        <v>24398</v>
      </c>
      <c r="S2841" s="1495">
        <f t="shared" si="965"/>
        <v>25450</v>
      </c>
      <c r="T2841" s="1495">
        <f t="shared" si="966"/>
        <v>1052</v>
      </c>
      <c r="U2841" s="2005">
        <f t="shared" ref="U2841:U2842" si="969">(S2841-R2841)/R2841</f>
        <v>4.3118288384293796E-2</v>
      </c>
      <c r="V2841" s="1926" t="str">
        <f t="shared" si="968"/>
        <v>RGLD</v>
      </c>
      <c r="W2841" s="1929"/>
    </row>
    <row r="2842" spans="1:23" hidden="1" outlineLevel="1" x14ac:dyDescent="0.35">
      <c r="A2842" s="1412" t="s">
        <v>607</v>
      </c>
      <c r="B2842" s="1362">
        <v>312</v>
      </c>
      <c r="C2842" s="1363">
        <v>65.48</v>
      </c>
      <c r="D2842" s="2052">
        <f t="shared" si="961"/>
        <v>20429.760000000002</v>
      </c>
      <c r="E2842" s="1977">
        <f>(C2842-C2827)/C2827</f>
        <v>0</v>
      </c>
      <c r="F2842" s="1506">
        <f t="shared" si="963"/>
        <v>9.5481708541628532E-2</v>
      </c>
      <c r="G2842" s="1494"/>
      <c r="H2842" s="1820"/>
      <c r="I2842" s="1889"/>
      <c r="J2842" s="2066"/>
      <c r="K2842" s="3055" t="s">
        <v>608</v>
      </c>
      <c r="L2842" s="3055"/>
      <c r="M2842" s="3055"/>
      <c r="N2842" s="2067"/>
      <c r="O2842" s="3"/>
      <c r="P2842" s="3"/>
      <c r="Q2842" s="2003"/>
      <c r="R2842" s="2004">
        <f t="shared" si="964"/>
        <v>20208.239999999998</v>
      </c>
      <c r="S2842" s="1495">
        <f t="shared" si="965"/>
        <v>20429.760000000002</v>
      </c>
      <c r="T2842" s="1495">
        <f t="shared" si="966"/>
        <v>221.52000000000407</v>
      </c>
      <c r="U2842" s="2005">
        <f t="shared" si="969"/>
        <v>1.0961865060985227E-2</v>
      </c>
      <c r="V2842" s="1926" t="str">
        <f t="shared" si="968"/>
        <v>O</v>
      </c>
      <c r="W2842" s="1929"/>
    </row>
    <row r="2843" spans="1:23" ht="16" hidden="1" outlineLevel="1" thickBot="1" x14ac:dyDescent="0.4">
      <c r="A2843" s="55" t="s">
        <v>7</v>
      </c>
      <c r="B2843" s="56"/>
      <c r="C2843" s="1881"/>
      <c r="D2843" s="57">
        <v>2244.13</v>
      </c>
      <c r="E2843" s="1977">
        <f>(D2843-D2828)/D2828</f>
        <v>0</v>
      </c>
      <c r="F2843" s="1506">
        <f t="shared" si="963"/>
        <v>1.0488295828708943E-2</v>
      </c>
      <c r="G2843" s="2053"/>
      <c r="H2843" s="1789" t="s">
        <v>59</v>
      </c>
      <c r="I2843" s="1789"/>
      <c r="J2843" s="2068"/>
      <c r="K2843" s="58"/>
      <c r="L2843" s="58"/>
      <c r="M2843" s="58"/>
      <c r="R2843" s="1532">
        <f>SUM(R2838:R2842)</f>
        <v>65661.239999999991</v>
      </c>
      <c r="S2843" s="1532">
        <f t="shared" ref="S2843:U2843" si="970">SUM(S2838:S2842)</f>
        <v>67359.760000000009</v>
      </c>
      <c r="T2843" s="1532">
        <f t="shared" si="970"/>
        <v>1698.5200000000041</v>
      </c>
      <c r="U2843" s="1532">
        <f t="shared" si="970"/>
        <v>9.5375854614568753E-2</v>
      </c>
    </row>
    <row r="2844" spans="1:23" ht="16" hidden="1" outlineLevel="1" thickBot="1" x14ac:dyDescent="0.4">
      <c r="A2844" s="55" t="s">
        <v>60</v>
      </c>
      <c r="B2844" s="56"/>
      <c r="C2844" s="1881"/>
      <c r="D2844" s="57">
        <f>101500.29+91.75+119.39-4425+47074.85</f>
        <v>144361.28</v>
      </c>
      <c r="E2844" s="1977">
        <f>(D2844-D2829)/D2829</f>
        <v>0</v>
      </c>
      <c r="F2844" s="1658">
        <f>D2844/$D$2845</f>
        <v>0.67469523193891789</v>
      </c>
      <c r="G2844" s="1734"/>
      <c r="H2844" s="1723"/>
      <c r="I2844" s="1796"/>
      <c r="J2844" s="61"/>
      <c r="K2844" s="2069"/>
      <c r="L2844" s="2070"/>
      <c r="M2844" s="2070"/>
      <c r="S2844" s="1470"/>
    </row>
    <row r="2845" spans="1:23" ht="19" hidden="1" outlineLevel="1" thickBot="1" x14ac:dyDescent="0.5">
      <c r="A2845" s="66" t="s">
        <v>62</v>
      </c>
      <c r="B2845" s="67"/>
      <c r="C2845" s="68"/>
      <c r="D2845" s="84">
        <f>SUM(D2838:D2844)</f>
        <v>213965.17</v>
      </c>
      <c r="E2845" s="2071">
        <f>D2845-D2830</f>
        <v>0</v>
      </c>
      <c r="F2845" s="71"/>
      <c r="G2845" s="72" t="s">
        <v>63</v>
      </c>
      <c r="H2845" s="73">
        <f>E2845+E2830+E2816+E2802+E2787</f>
        <v>-56654.876129999961</v>
      </c>
      <c r="I2845" s="74"/>
      <c r="J2845" s="1849"/>
      <c r="L2845" s="2057" t="s">
        <v>67</v>
      </c>
      <c r="M2845" s="64"/>
      <c r="N2845" s="64"/>
      <c r="O2845" s="64"/>
      <c r="P2845" s="64"/>
      <c r="Q2845" s="64"/>
      <c r="R2845" s="64"/>
      <c r="S2845" s="64"/>
      <c r="T2845" s="64"/>
      <c r="U2845" s="2072"/>
    </row>
    <row r="2846" spans="1:23" ht="15.65" hidden="1" customHeight="1" outlineLevel="1" x14ac:dyDescent="0.35">
      <c r="A2846" s="2985" t="s">
        <v>612</v>
      </c>
      <c r="B2846" s="2985"/>
      <c r="C2846" s="2985"/>
      <c r="D2846" s="2985"/>
      <c r="E2846" s="2985"/>
      <c r="F2846" s="2985"/>
      <c r="G2846" s="2985"/>
      <c r="H2846" s="2985"/>
      <c r="I2846" s="2985"/>
      <c r="J2846" s="2985"/>
      <c r="L2846" s="2073" t="s">
        <v>614</v>
      </c>
      <c r="T2846" s="1860"/>
      <c r="U2846" s="1555"/>
    </row>
    <row r="2847" spans="1:23" ht="25.4" hidden="1" customHeight="1" outlineLevel="1" thickBot="1" x14ac:dyDescent="0.4">
      <c r="A2847" s="2986"/>
      <c r="B2847" s="2986"/>
      <c r="C2847" s="2986"/>
      <c r="D2847" s="2986"/>
      <c r="E2847" s="2986"/>
      <c r="F2847" s="2986"/>
      <c r="G2847" s="2986"/>
      <c r="H2847" s="2986"/>
      <c r="I2847" s="2986"/>
      <c r="J2847" s="2986"/>
      <c r="L2847" s="2058" t="s">
        <v>616</v>
      </c>
      <c r="M2847" s="40"/>
      <c r="N2847" s="40"/>
      <c r="O2847" s="40"/>
      <c r="P2847" s="40"/>
      <c r="Q2847" s="40"/>
      <c r="R2847" s="40"/>
      <c r="S2847" s="40"/>
      <c r="T2847" s="2074"/>
      <c r="U2847" s="103"/>
    </row>
    <row r="2848" spans="1:23" hidden="1" outlineLevel="1" x14ac:dyDescent="0.35">
      <c r="A2848" s="2986"/>
      <c r="B2848" s="2986"/>
      <c r="C2848" s="2986"/>
      <c r="D2848" s="2986"/>
      <c r="E2848" s="2986"/>
      <c r="F2848" s="2986"/>
      <c r="G2848" s="2986"/>
      <c r="H2848" s="2986"/>
      <c r="I2848" s="2986"/>
      <c r="J2848" s="2986"/>
      <c r="T2848" s="1860"/>
      <c r="U2848" s="193"/>
    </row>
    <row r="2849" spans="1:23" hidden="1" outlineLevel="1" x14ac:dyDescent="0.35">
      <c r="A2849" s="8"/>
      <c r="B2849" s="9"/>
      <c r="C2849" s="8"/>
      <c r="D2849" s="8"/>
      <c r="E2849" s="8"/>
      <c r="F2849" s="10"/>
      <c r="G2849" s="11"/>
      <c r="H2849" s="12"/>
      <c r="I2849" s="8"/>
      <c r="J2849" s="12"/>
      <c r="K2849" s="8"/>
      <c r="L2849" s="8"/>
      <c r="M2849" s="8"/>
      <c r="N2849" s="8"/>
      <c r="O2849" s="8"/>
      <c r="P2849" s="8"/>
      <c r="Q2849" s="8"/>
      <c r="R2849" s="8"/>
      <c r="S2849" s="8"/>
      <c r="T2849" s="8"/>
      <c r="U2849" s="8"/>
      <c r="V2849" s="8"/>
      <c r="W2849" s="8"/>
    </row>
    <row r="2850" spans="1:23" ht="16" hidden="1" outlineLevel="1" thickBot="1" x14ac:dyDescent="0.4">
      <c r="A2850" s="1619" t="s">
        <v>25</v>
      </c>
      <c r="B2850" s="1996" t="s">
        <v>26</v>
      </c>
      <c r="C2850" s="1621" t="s">
        <v>27</v>
      </c>
      <c r="D2850" s="1622">
        <f>D2835+7</f>
        <v>44344</v>
      </c>
      <c r="E2850" s="1623" t="s">
        <v>28</v>
      </c>
      <c r="F2850" s="3036" t="s">
        <v>29</v>
      </c>
      <c r="G2850" s="3037"/>
      <c r="H2850" s="3038"/>
      <c r="I2850" s="1727"/>
      <c r="J2850" s="1182">
        <f>C2851</f>
        <v>34529</v>
      </c>
      <c r="K2850" s="1183" t="s">
        <v>233</v>
      </c>
      <c r="O2850" s="3042" t="s">
        <v>31</v>
      </c>
      <c r="P2850" s="3043"/>
      <c r="T2850" s="247"/>
      <c r="U2850" s="1123"/>
      <c r="V2850" s="247"/>
    </row>
    <row r="2851" spans="1:23" ht="16" hidden="1" outlineLevel="1" thickBot="1" x14ac:dyDescent="0.4">
      <c r="A2851" s="1973" t="s">
        <v>32</v>
      </c>
      <c r="B2851" s="1997" t="str">
        <f ca="1">TEXT(TODAY(),"ddd")</f>
        <v>Sun</v>
      </c>
      <c r="C2851" s="1998">
        <v>34529</v>
      </c>
      <c r="D2851" s="1980">
        <f>C2851-C2836</f>
        <v>147</v>
      </c>
      <c r="E2851" s="1977">
        <f>(C2851-C2836)/C2837</f>
        <v>1.0946459155558865E-2</v>
      </c>
      <c r="F2851" s="3039"/>
      <c r="G2851" s="3040"/>
      <c r="H2851" s="3041"/>
      <c r="I2851" s="1602"/>
      <c r="J2851" s="1602">
        <f>C2852</f>
        <v>13748</v>
      </c>
      <c r="K2851" s="2061" t="s">
        <v>234</v>
      </c>
      <c r="L2851" s="2062" t="s">
        <v>34</v>
      </c>
      <c r="M2851" s="2063" t="s">
        <v>35</v>
      </c>
      <c r="N2851" s="2995"/>
      <c r="O2851" s="2996"/>
      <c r="P2851" s="2996"/>
      <c r="Q2851" s="2996"/>
      <c r="R2851" s="2996"/>
      <c r="S2851" s="2996"/>
      <c r="T2851" s="2996"/>
      <c r="U2851" s="3044"/>
    </row>
    <row r="2852" spans="1:23" hidden="1" outlineLevel="1" x14ac:dyDescent="0.35">
      <c r="A2852" s="1978" t="s">
        <v>36</v>
      </c>
      <c r="B2852" s="1979"/>
      <c r="C2852" s="1979">
        <v>13748</v>
      </c>
      <c r="D2852" s="2034">
        <f>C2852-C2837</f>
        <v>319</v>
      </c>
      <c r="E2852" s="1977">
        <f>(C2852-C2837)/C2837</f>
        <v>2.3754561024648149E-2</v>
      </c>
      <c r="F2852" s="1744" t="s">
        <v>37</v>
      </c>
      <c r="G2852" s="1745" t="s">
        <v>38</v>
      </c>
      <c r="H2852" s="1746" t="s">
        <v>144</v>
      </c>
      <c r="I2852" s="1747" t="s">
        <v>441</v>
      </c>
      <c r="J2852" s="2064" t="s">
        <v>599</v>
      </c>
      <c r="K2852" s="3033" t="s">
        <v>42</v>
      </c>
      <c r="L2852" s="3034"/>
      <c r="M2852" s="3034"/>
      <c r="N2852" s="2065" t="s">
        <v>244</v>
      </c>
      <c r="Q2852" s="1831" t="s">
        <v>44</v>
      </c>
      <c r="R2852" s="1832" t="s">
        <v>45</v>
      </c>
      <c r="S2852" s="1832" t="s">
        <v>46</v>
      </c>
      <c r="T2852" s="1832" t="s">
        <v>47</v>
      </c>
      <c r="U2852" s="1833" t="s">
        <v>48</v>
      </c>
      <c r="W2852" s="1919" t="s">
        <v>446</v>
      </c>
    </row>
    <row r="2853" spans="1:23" hidden="1" outlineLevel="1" x14ac:dyDescent="0.35">
      <c r="A2853" s="2075" t="s">
        <v>617</v>
      </c>
      <c r="B2853" s="2076">
        <v>1000</v>
      </c>
      <c r="C2853" s="2077">
        <v>25.87</v>
      </c>
      <c r="D2853" s="2078">
        <f t="shared" ref="D2853:D2856" si="971">C2853*B2853</f>
        <v>25870</v>
      </c>
      <c r="E2853" s="1977"/>
      <c r="F2853" s="1506">
        <f t="shared" ref="F2853:F2857" si="972">D2853/$D$2830</f>
        <v>0.1209075290151196</v>
      </c>
      <c r="G2853" s="1494"/>
      <c r="H2853" s="1820"/>
      <c r="I2853" s="1889"/>
      <c r="J2853" s="2066"/>
      <c r="K2853" s="3053" t="s">
        <v>618</v>
      </c>
      <c r="L2853" s="3053"/>
      <c r="M2853" s="3053"/>
      <c r="N2853" s="2067"/>
      <c r="O2853" s="3"/>
      <c r="P2853" s="3"/>
      <c r="Q2853" s="2003"/>
      <c r="R2853" s="2079">
        <f t="shared" ref="R2853:R2856" si="973">B2853*RIGHT(K2853,6)</f>
        <v>28280</v>
      </c>
      <c r="S2853" s="1666">
        <f t="shared" ref="S2853:S2856" si="974">D2853</f>
        <v>25870</v>
      </c>
      <c r="T2853" s="1666">
        <f t="shared" ref="T2853:T2856" si="975">S2853-R2853</f>
        <v>-2410</v>
      </c>
      <c r="U2853" s="2080">
        <f t="shared" ref="U2853:U2854" si="976">(S2853-R2853)/R2853</f>
        <v>-8.521923620933522E-2</v>
      </c>
      <c r="V2853" s="1926" t="str">
        <f t="shared" ref="V2853:V2856" si="977">A2853</f>
        <v>SPXS</v>
      </c>
      <c r="W2853" s="1929"/>
    </row>
    <row r="2854" spans="1:23" hidden="1" outlineLevel="1" x14ac:dyDescent="0.35">
      <c r="A2854" s="2081" t="s">
        <v>600</v>
      </c>
      <c r="B2854" s="1531">
        <v>1000</v>
      </c>
      <c r="C2854" s="1143">
        <v>11.07</v>
      </c>
      <c r="D2854" s="2082">
        <f t="shared" si="971"/>
        <v>11070</v>
      </c>
      <c r="E2854" s="1977">
        <f>(C2854-C2838)/C2838</f>
        <v>-0.10581583198707596</v>
      </c>
      <c r="F2854" s="1506">
        <f t="shared" si="972"/>
        <v>5.1737392585905449E-2</v>
      </c>
      <c r="G2854" s="1494"/>
      <c r="H2854" s="1820"/>
      <c r="I2854" s="1889"/>
      <c r="J2854" s="2066"/>
      <c r="K2854" s="3053" t="s">
        <v>619</v>
      </c>
      <c r="L2854" s="3053"/>
      <c r="M2854" s="3053"/>
      <c r="N2854" s="2067"/>
      <c r="O2854" s="3"/>
      <c r="P2854" s="3"/>
      <c r="Q2854" s="2003"/>
      <c r="R2854" s="2079">
        <f t="shared" si="973"/>
        <v>12170</v>
      </c>
      <c r="S2854" s="1666">
        <f t="shared" si="974"/>
        <v>11070</v>
      </c>
      <c r="T2854" s="1666">
        <f t="shared" si="975"/>
        <v>-1100</v>
      </c>
      <c r="U2854" s="2080">
        <f t="shared" si="976"/>
        <v>-9.0386195562859484E-2</v>
      </c>
      <c r="V2854" s="1926" t="str">
        <f t="shared" si="977"/>
        <v>SQQQ</v>
      </c>
      <c r="W2854" s="1929"/>
    </row>
    <row r="2855" spans="1:23" hidden="1" outlineLevel="1" x14ac:dyDescent="0.35">
      <c r="A2855" s="2081" t="s">
        <v>620</v>
      </c>
      <c r="B2855" s="1531">
        <v>1000</v>
      </c>
      <c r="C2855" s="1143">
        <v>9.5</v>
      </c>
      <c r="D2855" s="2082">
        <f t="shared" si="971"/>
        <v>9500</v>
      </c>
      <c r="E2855" s="1977"/>
      <c r="F2855" s="1506">
        <f t="shared" si="972"/>
        <v>4.4399749734968547E-2</v>
      </c>
      <c r="G2855" s="1494"/>
      <c r="H2855" s="1820"/>
      <c r="I2855" s="1889"/>
      <c r="J2855" s="2066"/>
      <c r="K2855" s="3053" t="s">
        <v>621</v>
      </c>
      <c r="L2855" s="3053"/>
      <c r="M2855" s="3053"/>
      <c r="N2855" s="2067"/>
      <c r="O2855" s="3"/>
      <c r="P2855" s="3"/>
      <c r="Q2855" s="2003"/>
      <c r="R2855" s="2079"/>
      <c r="S2855" s="1666">
        <f t="shared" si="974"/>
        <v>9500</v>
      </c>
      <c r="T2855" s="1666">
        <f t="shared" si="975"/>
        <v>9500</v>
      </c>
      <c r="U2855" s="2080"/>
      <c r="V2855" s="1926" t="str">
        <f t="shared" si="977"/>
        <v>SDS</v>
      </c>
      <c r="W2855" s="1929"/>
    </row>
    <row r="2856" spans="1:23" hidden="1" outlineLevel="1" x14ac:dyDescent="0.35">
      <c r="A2856" s="2048" t="s">
        <v>602</v>
      </c>
      <c r="B2856" s="2049">
        <v>100</v>
      </c>
      <c r="C2856" s="2050">
        <v>36.159999999999997</v>
      </c>
      <c r="D2856" s="2083">
        <f t="shared" si="971"/>
        <v>3615.9999999999995</v>
      </c>
      <c r="E2856" s="1977">
        <f>(C2856-(C2839*10))/(C2839*10)</f>
        <v>-0.20527472527472534</v>
      </c>
      <c r="F2856" s="1506">
        <f t="shared" si="972"/>
        <v>1.6899946846489076E-2</v>
      </c>
      <c r="G2856" s="1494"/>
      <c r="H2856" s="1820"/>
      <c r="I2856" s="1889"/>
      <c r="J2856" s="2066"/>
      <c r="K2856" s="3055" t="s">
        <v>622</v>
      </c>
      <c r="L2856" s="3055"/>
      <c r="M2856" s="3055"/>
      <c r="N2856" s="2067"/>
      <c r="O2856" s="3"/>
      <c r="P2856" s="3"/>
      <c r="Q2856" s="2003"/>
      <c r="R2856" s="2079">
        <f t="shared" si="973"/>
        <v>4155</v>
      </c>
      <c r="S2856" s="1666">
        <f t="shared" si="974"/>
        <v>3615.9999999999995</v>
      </c>
      <c r="T2856" s="1666">
        <f t="shared" si="975"/>
        <v>-539.00000000000045</v>
      </c>
      <c r="U2856" s="2080">
        <f t="shared" ref="U2856" si="978">(S2856-R2856)/R2856</f>
        <v>-0.12972322503008435</v>
      </c>
      <c r="V2856" s="1926" t="str">
        <f t="shared" si="977"/>
        <v>UVXY</v>
      </c>
      <c r="W2856" s="1929"/>
    </row>
    <row r="2857" spans="1:23" ht="16" hidden="1" outlineLevel="1" thickBot="1" x14ac:dyDescent="0.4">
      <c r="A2857" s="55" t="s">
        <v>7</v>
      </c>
      <c r="B2857" s="56"/>
      <c r="C2857" s="1881"/>
      <c r="D2857" s="57">
        <v>2264.17</v>
      </c>
      <c r="E2857" s="1977">
        <f>(D2857-D2843)/D2843</f>
        <v>8.9299639503950135E-3</v>
      </c>
      <c r="F2857" s="1506">
        <f t="shared" si="972"/>
        <v>1.0581955932360393E-2</v>
      </c>
      <c r="G2857" s="2053"/>
      <c r="H2857" s="1789" t="s">
        <v>59</v>
      </c>
      <c r="I2857" s="1789"/>
      <c r="J2857" s="2068"/>
      <c r="K2857" s="58"/>
      <c r="L2857" s="58"/>
      <c r="M2857" s="58"/>
      <c r="R2857" s="1532">
        <f>SUM(R2853:R2856)</f>
        <v>44605</v>
      </c>
      <c r="S2857" s="1532">
        <f>SUM(S2853:S2856)</f>
        <v>50056</v>
      </c>
      <c r="T2857" s="1532">
        <f>SUM(T2853:T2856)</f>
        <v>5451</v>
      </c>
      <c r="U2857" s="1532">
        <f>SUM(U2853:U2856)</f>
        <v>-0.30532865680227905</v>
      </c>
    </row>
    <row r="2858" spans="1:23" ht="16" hidden="1" outlineLevel="1" thickBot="1" x14ac:dyDescent="0.4">
      <c r="A2858" s="55" t="s">
        <v>60</v>
      </c>
      <c r="B2858" s="56"/>
      <c r="C2858" s="1881"/>
      <c r="D2858" s="57">
        <v>153412.75</v>
      </c>
      <c r="E2858" s="1977">
        <f>(D2858-D2844)/D2844</f>
        <v>6.2700122913845052E-2</v>
      </c>
      <c r="F2858" s="1658">
        <f>D2858/$D$2845</f>
        <v>0.71699870591087322</v>
      </c>
      <c r="G2858" s="1734"/>
      <c r="H2858" s="1723"/>
      <c r="I2858" s="1796"/>
      <c r="J2858" s="61"/>
      <c r="K2858" s="2069"/>
      <c r="L2858" s="2070"/>
      <c r="M2858" s="2070"/>
      <c r="S2858" s="1470"/>
    </row>
    <row r="2859" spans="1:23" ht="19" hidden="1" outlineLevel="1" thickBot="1" x14ac:dyDescent="0.5">
      <c r="A2859" s="66" t="s">
        <v>62</v>
      </c>
      <c r="B2859" s="67"/>
      <c r="C2859" s="68"/>
      <c r="D2859" s="84">
        <f>SUM(D2853:D2858)</f>
        <v>205732.91999999998</v>
      </c>
      <c r="E2859" s="73">
        <f>(D2859-D2845)</f>
        <v>-8232.2500000000291</v>
      </c>
      <c r="F2859" s="71"/>
      <c r="G2859" s="72" t="s">
        <v>63</v>
      </c>
      <c r="H2859" s="73">
        <f>E2859+E2845+E2830+E2816+E2802</f>
        <v>-45038.035120000015</v>
      </c>
      <c r="I2859" s="74"/>
      <c r="J2859" s="1849"/>
      <c r="L2859" s="2057" t="s">
        <v>67</v>
      </c>
      <c r="M2859" s="64"/>
      <c r="N2859" s="64"/>
      <c r="O2859" s="64"/>
      <c r="P2859" s="64"/>
      <c r="Q2859" s="64"/>
      <c r="R2859" s="64"/>
      <c r="S2859" s="64"/>
      <c r="T2859" s="64"/>
      <c r="U2859" s="2072"/>
    </row>
    <row r="2860" spans="1:23" ht="15.65" hidden="1" customHeight="1" outlineLevel="1" x14ac:dyDescent="0.35">
      <c r="A2860" s="2985" t="s">
        <v>623</v>
      </c>
      <c r="B2860" s="2985"/>
      <c r="C2860" s="2985"/>
      <c r="D2860" s="2985"/>
      <c r="E2860" s="2985"/>
      <c r="F2860" s="2985"/>
      <c r="G2860" s="2985"/>
      <c r="H2860" s="2985"/>
      <c r="I2860" s="2985"/>
      <c r="J2860" s="2985"/>
      <c r="L2860" s="2073" t="s">
        <v>614</v>
      </c>
      <c r="T2860" s="1860"/>
      <c r="U2860" s="1555"/>
    </row>
    <row r="2861" spans="1:23" ht="25.4" hidden="1" customHeight="1" outlineLevel="1" thickBot="1" x14ac:dyDescent="0.4">
      <c r="A2861" s="2986"/>
      <c r="B2861" s="2986"/>
      <c r="C2861" s="2986"/>
      <c r="D2861" s="2986"/>
      <c r="E2861" s="2986"/>
      <c r="F2861" s="2986"/>
      <c r="G2861" s="2986"/>
      <c r="H2861" s="2986"/>
      <c r="I2861" s="2986"/>
      <c r="J2861" s="2986"/>
      <c r="L2861" s="2058" t="s">
        <v>616</v>
      </c>
      <c r="M2861" s="40"/>
      <c r="N2861" s="40"/>
      <c r="O2861" s="40"/>
      <c r="P2861" s="40"/>
      <c r="Q2861" s="40"/>
      <c r="R2861" s="40"/>
      <c r="S2861" s="40"/>
      <c r="T2861" s="2074"/>
      <c r="U2861" s="103"/>
    </row>
    <row r="2862" spans="1:23" hidden="1" outlineLevel="1" x14ac:dyDescent="0.35">
      <c r="A2862" s="2986"/>
      <c r="B2862" s="2986"/>
      <c r="C2862" s="2986"/>
      <c r="D2862" s="2986"/>
      <c r="E2862" s="2986"/>
      <c r="F2862" s="2986"/>
      <c r="G2862" s="2986"/>
      <c r="H2862" s="2986"/>
      <c r="I2862" s="2986"/>
      <c r="J2862" s="2986"/>
      <c r="T2862" s="1860"/>
      <c r="U2862" s="193"/>
    </row>
    <row r="2863" spans="1:23" hidden="1" outlineLevel="1" x14ac:dyDescent="0.35">
      <c r="A2863" s="8"/>
      <c r="B2863" s="9"/>
      <c r="C2863" s="8"/>
      <c r="D2863" s="8"/>
      <c r="E2863" s="8"/>
      <c r="F2863" s="10"/>
      <c r="G2863" s="11"/>
      <c r="H2863" s="12"/>
      <c r="I2863" s="8"/>
      <c r="J2863" s="12"/>
      <c r="K2863" s="8"/>
      <c r="L2863" s="8"/>
      <c r="M2863" s="8"/>
      <c r="N2863" s="8"/>
      <c r="O2863" s="8"/>
      <c r="P2863" s="8"/>
      <c r="Q2863" s="8"/>
      <c r="R2863" s="8"/>
      <c r="S2863" s="8"/>
      <c r="T2863" s="8"/>
      <c r="U2863" s="8"/>
      <c r="V2863" s="8"/>
      <c r="W2863" s="8"/>
    </row>
    <row r="2864" spans="1:23" ht="16" hidden="1" outlineLevel="1" thickBot="1" x14ac:dyDescent="0.4">
      <c r="A2864" s="1619" t="s">
        <v>25</v>
      </c>
      <c r="B2864" s="1996" t="s">
        <v>26</v>
      </c>
      <c r="C2864" s="1621" t="s">
        <v>27</v>
      </c>
      <c r="D2864" s="1622">
        <f>D2850+7</f>
        <v>44351</v>
      </c>
      <c r="E2864" s="1623" t="s">
        <v>28</v>
      </c>
      <c r="F2864" s="3036" t="s">
        <v>29</v>
      </c>
      <c r="G2864" s="3037"/>
      <c r="H2864" s="3038"/>
      <c r="I2864" s="1727"/>
      <c r="J2864" s="1182">
        <f>C2865</f>
        <v>34756</v>
      </c>
      <c r="K2864" s="1183" t="s">
        <v>233</v>
      </c>
      <c r="O2864" s="3042" t="s">
        <v>31</v>
      </c>
      <c r="P2864" s="3043"/>
      <c r="T2864" s="247"/>
      <c r="U2864" s="1123"/>
      <c r="V2864" s="247"/>
    </row>
    <row r="2865" spans="1:23" ht="16" hidden="1" outlineLevel="1" thickBot="1" x14ac:dyDescent="0.4">
      <c r="A2865" s="1973" t="s">
        <v>32</v>
      </c>
      <c r="B2865" s="1997" t="str">
        <f ca="1">TEXT(TODAY(),"ddd")</f>
        <v>Sun</v>
      </c>
      <c r="C2865" s="1998">
        <v>34756</v>
      </c>
      <c r="D2865" s="1980">
        <f>C2865-C2851</f>
        <v>227</v>
      </c>
      <c r="E2865" s="1977">
        <f>(C2865-C2851)/C2851</f>
        <v>6.5741840192302123E-3</v>
      </c>
      <c r="F2865" s="3039"/>
      <c r="G2865" s="3040"/>
      <c r="H2865" s="3041"/>
      <c r="I2865" s="1602"/>
      <c r="J2865" s="1602">
        <f>C2866</f>
        <v>13814</v>
      </c>
      <c r="K2865" s="2061" t="s">
        <v>234</v>
      </c>
      <c r="L2865" s="2062" t="s">
        <v>34</v>
      </c>
      <c r="M2865" s="2063" t="s">
        <v>35</v>
      </c>
      <c r="N2865" s="2995"/>
      <c r="O2865" s="2996"/>
      <c r="P2865" s="2996"/>
      <c r="Q2865" s="2996"/>
      <c r="R2865" s="2996"/>
      <c r="S2865" s="2996"/>
      <c r="T2865" s="2996"/>
      <c r="U2865" s="3044"/>
    </row>
    <row r="2866" spans="1:23" hidden="1" outlineLevel="1" x14ac:dyDescent="0.35">
      <c r="A2866" s="1978" t="s">
        <v>36</v>
      </c>
      <c r="B2866" s="1979"/>
      <c r="C2866" s="1979">
        <v>13814</v>
      </c>
      <c r="D2866" s="1980">
        <f>C2866-C2852</f>
        <v>66</v>
      </c>
      <c r="E2866" s="1977">
        <f t="shared" ref="E2866" si="979">(C2866-C2852)/C2852</f>
        <v>4.8006982833866743E-3</v>
      </c>
      <c r="F2866" s="1744" t="s">
        <v>37</v>
      </c>
      <c r="G2866" s="1745" t="s">
        <v>38</v>
      </c>
      <c r="H2866" s="1746" t="s">
        <v>144</v>
      </c>
      <c r="I2866" s="1747" t="s">
        <v>441</v>
      </c>
      <c r="J2866" s="2064" t="s">
        <v>599</v>
      </c>
      <c r="K2866" s="3033" t="s">
        <v>42</v>
      </c>
      <c r="L2866" s="3034"/>
      <c r="M2866" s="3034"/>
      <c r="N2866" s="2065" t="s">
        <v>244</v>
      </c>
      <c r="Q2866" s="1831" t="s">
        <v>44</v>
      </c>
      <c r="R2866" s="1832" t="s">
        <v>45</v>
      </c>
      <c r="S2866" s="1832" t="s">
        <v>46</v>
      </c>
      <c r="T2866" s="1832" t="s">
        <v>47</v>
      </c>
      <c r="U2866" s="1833" t="s">
        <v>48</v>
      </c>
      <c r="W2866" s="1919" t="s">
        <v>446</v>
      </c>
    </row>
    <row r="2867" spans="1:23" hidden="1" outlineLevel="1" x14ac:dyDescent="0.35">
      <c r="A2867" s="2081" t="s">
        <v>624</v>
      </c>
      <c r="B2867" s="1531">
        <v>208</v>
      </c>
      <c r="C2867" s="1143">
        <v>437</v>
      </c>
      <c r="D2867" s="2082">
        <f>C2867*B2867</f>
        <v>90896</v>
      </c>
      <c r="E2867" s="1977"/>
      <c r="F2867" s="1506">
        <f t="shared" ref="F2867:F2872" si="980">D2867/$D$2830</f>
        <v>0.42481680546417905</v>
      </c>
      <c r="G2867" s="1494"/>
      <c r="H2867" s="1820"/>
      <c r="I2867" s="1889">
        <f>D2867*0.7</f>
        <v>63627.199999999997</v>
      </c>
      <c r="J2867" s="2066"/>
      <c r="K2867" s="3053" t="s">
        <v>625</v>
      </c>
      <c r="L2867" s="3053"/>
      <c r="M2867" s="3053"/>
      <c r="N2867" s="2067"/>
      <c r="O2867" s="3"/>
      <c r="P2867" s="3"/>
      <c r="Q2867" s="2003"/>
      <c r="R2867" s="2079">
        <f>B2867*RIGHT(K2867,4)</f>
        <v>1566.24</v>
      </c>
      <c r="S2867" s="1666">
        <f t="shared" ref="S2867:S2870" si="981">D2867</f>
        <v>90896</v>
      </c>
      <c r="T2867" s="1666">
        <f t="shared" ref="T2867:T2869" si="982">S2867-R2867</f>
        <v>89329.76</v>
      </c>
      <c r="U2867" s="2080">
        <f t="shared" ref="U2867:U2869" si="983">(S2867-R2867)/R2867</f>
        <v>57.034528552456834</v>
      </c>
      <c r="V2867" s="1926" t="str">
        <f t="shared" ref="V2867:V2870" si="984">A2867</f>
        <v>SOXX</v>
      </c>
      <c r="W2867" s="1929"/>
    </row>
    <row r="2868" spans="1:23" hidden="1" outlineLevel="1" x14ac:dyDescent="0.35">
      <c r="A2868" s="2081" t="s">
        <v>626</v>
      </c>
      <c r="B2868" s="1531">
        <v>150</v>
      </c>
      <c r="C2868" s="1143">
        <v>423.55</v>
      </c>
      <c r="D2868" s="2082"/>
      <c r="E2868" s="1977"/>
      <c r="F2868" s="1506">
        <f t="shared" si="980"/>
        <v>0</v>
      </c>
      <c r="G2868" s="1494"/>
      <c r="H2868" s="1820"/>
      <c r="I2868" s="1889">
        <f t="shared" ref="I2868:I2869" si="985">D2868*0.7</f>
        <v>0</v>
      </c>
      <c r="J2868" s="2066"/>
      <c r="K2868" s="3053" t="s">
        <v>627</v>
      </c>
      <c r="L2868" s="3053"/>
      <c r="M2868" s="3053"/>
      <c r="N2868" s="2067"/>
      <c r="O2868" s="3"/>
      <c r="P2868" s="3"/>
      <c r="Q2868" s="2003"/>
      <c r="R2868" s="2079">
        <f t="shared" ref="R2868:R2869" si="986">B2868*RIGHT(K2868,4)</f>
        <v>63450</v>
      </c>
      <c r="S2868" s="1666">
        <f t="shared" si="981"/>
        <v>0</v>
      </c>
      <c r="T2868" s="1666">
        <f t="shared" si="982"/>
        <v>-63450</v>
      </c>
      <c r="U2868" s="2080">
        <f t="shared" si="983"/>
        <v>-1</v>
      </c>
      <c r="V2868" s="1926" t="str">
        <f t="shared" si="984"/>
        <v>IVV</v>
      </c>
      <c r="W2868" s="1929"/>
    </row>
    <row r="2869" spans="1:23" hidden="1" outlineLevel="1" x14ac:dyDescent="0.35">
      <c r="A2869" s="2048" t="s">
        <v>628</v>
      </c>
      <c r="B2869" s="2049">
        <v>248</v>
      </c>
      <c r="C2869" s="2050">
        <v>109.51</v>
      </c>
      <c r="D2869" s="2083">
        <f t="shared" ref="D2869:D2870" si="987">C2869*B2869</f>
        <v>27158.48</v>
      </c>
      <c r="E2869" s="1977"/>
      <c r="F2869" s="1506">
        <f t="shared" si="980"/>
        <v>0.12692944370338405</v>
      </c>
      <c r="G2869" s="1494"/>
      <c r="H2869" s="1820"/>
      <c r="I2869" s="1889">
        <f t="shared" si="985"/>
        <v>19010.935999999998</v>
      </c>
      <c r="J2869" s="2066"/>
      <c r="K2869" s="3055" t="s">
        <v>629</v>
      </c>
      <c r="L2869" s="3055"/>
      <c r="M2869" s="3055"/>
      <c r="N2869" s="2067"/>
      <c r="O2869" s="3"/>
      <c r="P2869" s="3"/>
      <c r="Q2869" s="2003"/>
      <c r="R2869" s="2079">
        <f t="shared" si="986"/>
        <v>137.64000000000001</v>
      </c>
      <c r="S2869" s="1666">
        <f t="shared" si="981"/>
        <v>27158.48</v>
      </c>
      <c r="T2869" s="1666">
        <f t="shared" si="982"/>
        <v>27020.84</v>
      </c>
      <c r="U2869" s="2080">
        <f t="shared" si="983"/>
        <v>196.3153153153153</v>
      </c>
      <c r="V2869" s="1926" t="str">
        <f t="shared" si="984"/>
        <v>ARK</v>
      </c>
      <c r="W2869" s="1929"/>
    </row>
    <row r="2870" spans="1:23" hidden="1" outlineLevel="1" x14ac:dyDescent="0.35">
      <c r="A2870" s="2048"/>
      <c r="B2870" s="2049"/>
      <c r="C2870" s="2050"/>
      <c r="D2870" s="2083">
        <f t="shared" si="987"/>
        <v>0</v>
      </c>
      <c r="E2870" s="1977"/>
      <c r="F2870" s="1506"/>
      <c r="G2870" s="1520"/>
      <c r="H2870" s="1894"/>
      <c r="I2870" s="1895"/>
      <c r="J2870" s="1895"/>
      <c r="K2870" s="3055" t="s">
        <v>630</v>
      </c>
      <c r="L2870" s="3055"/>
      <c r="M2870" s="3055"/>
      <c r="N2870" s="1673"/>
      <c r="Q2870" s="2084"/>
      <c r="R2870" s="2085"/>
      <c r="S2870" s="2086">
        <f t="shared" si="981"/>
        <v>0</v>
      </c>
      <c r="T2870" s="2086"/>
      <c r="U2870" s="2087"/>
      <c r="V2870" s="2020">
        <f t="shared" si="984"/>
        <v>0</v>
      </c>
      <c r="W2870" s="2088"/>
    </row>
    <row r="2871" spans="1:23" ht="16" hidden="1" outlineLevel="1" thickBot="1" x14ac:dyDescent="0.4">
      <c r="A2871" s="55" t="s">
        <v>7</v>
      </c>
      <c r="B2871" s="56"/>
      <c r="C2871" s="1881"/>
      <c r="D2871" s="57">
        <v>2280.0700000000002</v>
      </c>
      <c r="E2871" s="1977"/>
      <c r="F2871" s="1506">
        <f t="shared" si="980"/>
        <v>1.065626709244313E-2</v>
      </c>
      <c r="G2871" s="2053"/>
      <c r="H2871" s="1789" t="s">
        <v>59</v>
      </c>
      <c r="I2871" s="2089">
        <f>SUM(I2867:I2870)</f>
        <v>82638.135999999999</v>
      </c>
      <c r="J2871" s="2068"/>
      <c r="K2871" s="58"/>
      <c r="L2871" s="58"/>
      <c r="M2871" s="58"/>
      <c r="R2871" s="1532">
        <f>SUM(R2867:R2869)</f>
        <v>65153.88</v>
      </c>
      <c r="S2871" s="1532"/>
      <c r="T2871" s="1532">
        <f>SUM(T2867:T2869)</f>
        <v>52900.599999999991</v>
      </c>
      <c r="U2871" s="1532">
        <f>SUM(U2867:U2869)</f>
        <v>252.34984386777214</v>
      </c>
    </row>
    <row r="2872" spans="1:23" ht="16" hidden="1" outlineLevel="1" thickBot="1" x14ac:dyDescent="0.4">
      <c r="A2872" s="55" t="s">
        <v>60</v>
      </c>
      <c r="B2872" s="56"/>
      <c r="C2872" s="1881"/>
      <c r="D2872" s="57">
        <v>83956.06</v>
      </c>
      <c r="E2872" s="1977"/>
      <c r="F2872" s="1506">
        <f t="shared" si="980"/>
        <v>0.3923819002877898</v>
      </c>
      <c r="G2872" s="1734"/>
      <c r="H2872" s="1723"/>
      <c r="I2872" s="1796"/>
      <c r="J2872" s="61"/>
      <c r="K2872" s="2090"/>
      <c r="L2872" s="2070"/>
      <c r="M2872" s="2070"/>
      <c r="S2872" s="1470"/>
    </row>
    <row r="2873" spans="1:23" ht="19" hidden="1" outlineLevel="1" thickBot="1" x14ac:dyDescent="0.5">
      <c r="A2873" s="66" t="s">
        <v>62</v>
      </c>
      <c r="B2873" s="67"/>
      <c r="C2873" s="68">
        <f>SUM(D2867:D2870)</f>
        <v>118054.48</v>
      </c>
      <c r="D2873" s="84">
        <f>SUM(D2867:D2872)</f>
        <v>204290.61</v>
      </c>
      <c r="E2873" s="73">
        <f>(D2873-D2859)</f>
        <v>-1442.3099999999977</v>
      </c>
      <c r="F2873" s="71"/>
      <c r="G2873" s="72" t="s">
        <v>63</v>
      </c>
      <c r="H2873" s="73">
        <f>E2873+E2859+E2845+E2830+E2816</f>
        <v>-39569.930950000038</v>
      </c>
      <c r="I2873" s="74"/>
      <c r="J2873" s="75"/>
      <c r="L2873" s="2091" t="s">
        <v>67</v>
      </c>
      <c r="T2873" s="118">
        <f>186457.02-5000</f>
        <v>181457.02</v>
      </c>
      <c r="U2873" s="1860"/>
    </row>
    <row r="2874" spans="1:23" ht="15.65" hidden="1" customHeight="1" outlineLevel="1" x14ac:dyDescent="0.35">
      <c r="A2874" s="2985" t="s">
        <v>631</v>
      </c>
      <c r="B2874" s="2985"/>
      <c r="C2874" s="2985"/>
      <c r="D2874" s="2985"/>
      <c r="E2874" s="2985"/>
      <c r="F2874" s="2985"/>
      <c r="G2874" s="2985"/>
      <c r="H2874" s="2985"/>
      <c r="I2874" s="2985"/>
      <c r="J2874" s="2985"/>
      <c r="K2874" s="2092" t="s">
        <v>624</v>
      </c>
      <c r="L2874" s="2093">
        <v>437</v>
      </c>
      <c r="M2874" s="2094">
        <f>($T$2873*R2874)/L2874</f>
        <v>207.61672768878717</v>
      </c>
      <c r="N2874" s="2095"/>
      <c r="O2874" s="2095"/>
      <c r="P2874" s="2095"/>
      <c r="Q2874" s="2096">
        <f>L2874*M2874</f>
        <v>90728.51</v>
      </c>
      <c r="R2874" s="2097">
        <v>0.5</v>
      </c>
      <c r="T2874" s="1860"/>
    </row>
    <row r="2875" spans="1:23" ht="25.4" hidden="1" customHeight="1" outlineLevel="1" x14ac:dyDescent="0.35">
      <c r="A2875" s="2986"/>
      <c r="B2875" s="2986"/>
      <c r="C2875" s="2986"/>
      <c r="D2875" s="2986"/>
      <c r="E2875" s="2986"/>
      <c r="F2875" s="2986"/>
      <c r="G2875" s="2986"/>
      <c r="H2875" s="2986"/>
      <c r="I2875" s="2986"/>
      <c r="J2875" s="2986"/>
      <c r="K2875" s="2098" t="s">
        <v>626</v>
      </c>
      <c r="L2875" s="2099">
        <v>423</v>
      </c>
      <c r="M2875" s="2100">
        <f>($T$2873*R2875)/L2875</f>
        <v>150.14174231678487</v>
      </c>
      <c r="N2875" s="100"/>
      <c r="O2875" s="100"/>
      <c r="P2875" s="100"/>
      <c r="Q2875" s="2101">
        <f>L2875*M2875</f>
        <v>63509.957000000002</v>
      </c>
      <c r="R2875" s="2102">
        <v>0.35</v>
      </c>
      <c r="S2875" t="s">
        <v>632</v>
      </c>
      <c r="T2875" s="1860"/>
    </row>
    <row r="2876" spans="1:23" ht="16" hidden="1" outlineLevel="1" thickBot="1" x14ac:dyDescent="0.4">
      <c r="A2876" s="2986"/>
      <c r="B2876" s="2986"/>
      <c r="C2876" s="2986"/>
      <c r="D2876" s="2986"/>
      <c r="E2876" s="2986"/>
      <c r="F2876" s="2986"/>
      <c r="G2876" s="2986"/>
      <c r="H2876" s="2986"/>
      <c r="I2876" s="2986"/>
      <c r="J2876" s="2986"/>
      <c r="K2876" s="2103" t="s">
        <v>628</v>
      </c>
      <c r="L2876" s="2104">
        <v>109.81</v>
      </c>
      <c r="M2876" s="2105">
        <f>($T$2873*R2876)/L2876</f>
        <v>247.86952918677713</v>
      </c>
      <c r="N2876" s="2106"/>
      <c r="O2876" s="2106"/>
      <c r="P2876" s="2106"/>
      <c r="Q2876" s="2107">
        <f>L2876*M2876</f>
        <v>27218.552999999996</v>
      </c>
      <c r="R2876" s="2108">
        <v>0.15</v>
      </c>
      <c r="T2876" s="1860"/>
      <c r="U2876" s="193"/>
    </row>
    <row r="2877" spans="1:23" ht="16" hidden="1" outlineLevel="1" thickBot="1" x14ac:dyDescent="0.4">
      <c r="A2877" s="107"/>
      <c r="B2877" s="107"/>
      <c r="C2877" s="107"/>
      <c r="D2877" s="107"/>
      <c r="E2877" s="107"/>
      <c r="F2877" s="107"/>
      <c r="G2877" s="107"/>
      <c r="H2877" s="107"/>
      <c r="I2877" s="107"/>
      <c r="J2877" s="107"/>
      <c r="M2877" s="2109"/>
      <c r="Q2877" s="1867">
        <f>SUM(Q2874:Q2876)</f>
        <v>181457.02</v>
      </c>
      <c r="R2877" s="1860"/>
      <c r="T2877" s="1860"/>
      <c r="U2877" s="193"/>
    </row>
    <row r="2878" spans="1:23" ht="16" hidden="1" outlineLevel="1" thickBot="1" x14ac:dyDescent="0.4">
      <c r="A2878" s="1619" t="s">
        <v>25</v>
      </c>
      <c r="B2878" s="1996" t="s">
        <v>26</v>
      </c>
      <c r="C2878" s="1621" t="s">
        <v>27</v>
      </c>
      <c r="D2878" s="1622">
        <f>D2864+7</f>
        <v>44358</v>
      </c>
      <c r="E2878" s="1623" t="s">
        <v>28</v>
      </c>
      <c r="F2878" s="3036" t="s">
        <v>29</v>
      </c>
      <c r="G2878" s="3037"/>
      <c r="H2878" s="3038"/>
      <c r="I2878" s="1727"/>
      <c r="J2878" s="1182">
        <f>C2879</f>
        <v>34403</v>
      </c>
      <c r="K2878" s="1183" t="s">
        <v>233</v>
      </c>
      <c r="L2878">
        <f>125-8</f>
        <v>117</v>
      </c>
      <c r="O2878" s="3042" t="s">
        <v>31</v>
      </c>
      <c r="P2878" s="3043"/>
      <c r="T2878" s="247"/>
      <c r="U2878" s="1123"/>
      <c r="V2878" s="247"/>
    </row>
    <row r="2879" spans="1:23" ht="16" hidden="1" outlineLevel="1" thickBot="1" x14ac:dyDescent="0.4">
      <c r="A2879" s="1973" t="s">
        <v>32</v>
      </c>
      <c r="B2879" s="1997" t="str">
        <f ca="1">TEXT(TODAY(),"ddd")</f>
        <v>Sun</v>
      </c>
      <c r="C2879" s="1998">
        <v>34403</v>
      </c>
      <c r="D2879" s="1980">
        <f>C2879-C2865</f>
        <v>-353</v>
      </c>
      <c r="E2879" s="1977">
        <f>(C2879-C2865)/C2865</f>
        <v>-1.0156519737599264E-2</v>
      </c>
      <c r="F2879" s="3039"/>
      <c r="G2879" s="3040"/>
      <c r="H2879" s="3041"/>
      <c r="I2879" s="1602"/>
      <c r="J2879" s="1602">
        <f>C2880</f>
        <v>14035</v>
      </c>
      <c r="K2879" s="2061" t="s">
        <v>234</v>
      </c>
      <c r="L2879" s="2062" t="s">
        <v>34</v>
      </c>
      <c r="M2879" s="2063" t="s">
        <v>35</v>
      </c>
      <c r="N2879" s="2995"/>
      <c r="O2879" s="2996"/>
      <c r="P2879" s="2996"/>
      <c r="Q2879" s="2996"/>
      <c r="R2879" s="2996"/>
      <c r="S2879" s="2996"/>
      <c r="T2879" s="2996"/>
      <c r="U2879" s="3044"/>
    </row>
    <row r="2880" spans="1:23" hidden="1" outlineLevel="1" x14ac:dyDescent="0.35">
      <c r="A2880" s="1978" t="s">
        <v>36</v>
      </c>
      <c r="B2880" s="1979"/>
      <c r="C2880" s="1979">
        <v>14035</v>
      </c>
      <c r="D2880" s="1980">
        <f>C2880-C2866</f>
        <v>221</v>
      </c>
      <c r="E2880" s="1977">
        <f t="shared" ref="E2880" si="988">(C2880-C2866)/C2866</f>
        <v>1.5998262632112351E-2</v>
      </c>
      <c r="F2880" s="1744" t="s">
        <v>37</v>
      </c>
      <c r="G2880" s="1745" t="s">
        <v>38</v>
      </c>
      <c r="H2880" s="1746" t="s">
        <v>144</v>
      </c>
      <c r="I2880" s="1747" t="s">
        <v>40</v>
      </c>
      <c r="J2880" s="2064" t="s">
        <v>41</v>
      </c>
      <c r="K2880" s="3033" t="s">
        <v>42</v>
      </c>
      <c r="L2880" s="3034"/>
      <c r="M2880" s="3034"/>
      <c r="N2880" s="2065" t="s">
        <v>244</v>
      </c>
      <c r="Q2880" s="1831" t="s">
        <v>44</v>
      </c>
      <c r="R2880" s="1832" t="s">
        <v>45</v>
      </c>
      <c r="S2880" s="1832" t="s">
        <v>46</v>
      </c>
      <c r="T2880" s="1832" t="s">
        <v>47</v>
      </c>
      <c r="U2880" s="1833" t="s">
        <v>48</v>
      </c>
      <c r="W2880" s="1919" t="s">
        <v>446</v>
      </c>
    </row>
    <row r="2881" spans="1:23" hidden="1" outlineLevel="1" x14ac:dyDescent="0.35">
      <c r="A2881" s="2081" t="s">
        <v>633</v>
      </c>
      <c r="B2881" s="1531">
        <v>125</v>
      </c>
      <c r="C2881" s="1143">
        <v>435.6</v>
      </c>
      <c r="D2881" s="2082">
        <f t="shared" ref="D2881:D2889" si="989">C2881*B2881</f>
        <v>54450</v>
      </c>
      <c r="E2881" s="2110">
        <f>(C2881-C2867)/C2881</f>
        <v>-3.2139577594122526E-3</v>
      </c>
      <c r="F2881" s="1146">
        <f t="shared" ref="F2881:F2890" si="990">D2881/$D$2893</f>
        <v>0.27228903263282794</v>
      </c>
      <c r="G2881" s="2111">
        <v>55</v>
      </c>
      <c r="H2881" s="1820" t="s">
        <v>634</v>
      </c>
      <c r="I2881" s="2112">
        <v>0.57999999999999996</v>
      </c>
      <c r="J2881" s="2113">
        <v>3.46</v>
      </c>
      <c r="K2881" s="3032" t="s">
        <v>635</v>
      </c>
      <c r="L2881" s="3032"/>
      <c r="M2881" s="3032"/>
      <c r="N2881" s="2114"/>
      <c r="O2881" s="3"/>
      <c r="P2881" s="3"/>
      <c r="Q2881" s="2115"/>
      <c r="R2881" s="2116">
        <f>B2881*RIGHT(K2881,6)</f>
        <v>53945</v>
      </c>
      <c r="S2881" s="1223">
        <f>D2881</f>
        <v>54450</v>
      </c>
      <c r="T2881" s="1223">
        <f t="shared" ref="T2881:T2889" si="991">S2881-R2881</f>
        <v>505</v>
      </c>
      <c r="U2881" s="54">
        <f>(S2881-R2881)/R2881</f>
        <v>9.3613865974603756E-3</v>
      </c>
      <c r="V2881" s="2117" t="str">
        <f t="shared" ref="V2881:V2889" si="992">A2881</f>
        <v>SOXX (Semi)</v>
      </c>
      <c r="W2881" s="2118"/>
    </row>
    <row r="2882" spans="1:23" hidden="1" outlineLevel="1" x14ac:dyDescent="0.35">
      <c r="A2882" s="2048" t="s">
        <v>636</v>
      </c>
      <c r="B2882" s="2119">
        <v>125</v>
      </c>
      <c r="C2882" s="2120">
        <v>424.74</v>
      </c>
      <c r="D2882" s="2083">
        <f t="shared" si="989"/>
        <v>53092.5</v>
      </c>
      <c r="E2882" s="2110">
        <f>(C2882-C2868)/C2882</f>
        <v>2.8017139897348912E-3</v>
      </c>
      <c r="F2882" s="1146">
        <f t="shared" si="990"/>
        <v>0.26550055950520507</v>
      </c>
      <c r="G2882" s="2121"/>
      <c r="H2882" s="1894" t="s">
        <v>637</v>
      </c>
      <c r="I2882" s="2122">
        <v>0.31</v>
      </c>
      <c r="J2882" s="2122">
        <v>0.99</v>
      </c>
      <c r="K2882" s="3032" t="s">
        <v>638</v>
      </c>
      <c r="L2882" s="3032"/>
      <c r="M2882" s="3032"/>
      <c r="N2882" s="46"/>
      <c r="Q2882" s="47"/>
      <c r="R2882" s="2116">
        <f>B2882*RIGHT(K2882,6)</f>
        <v>53047.5</v>
      </c>
      <c r="S2882" s="1223">
        <f t="shared" ref="S2882:S2889" si="993">D2882</f>
        <v>53092.5</v>
      </c>
      <c r="T2882" s="1223">
        <f t="shared" si="991"/>
        <v>45</v>
      </c>
      <c r="U2882" s="54">
        <f t="shared" ref="U2882:U2889" si="994">(S2882-R2882)/R2882</f>
        <v>8.4829633818747348E-4</v>
      </c>
      <c r="V2882" s="2117" t="str">
        <f t="shared" si="992"/>
        <v>IVV (FANG)</v>
      </c>
      <c r="W2882" s="2088"/>
    </row>
    <row r="2883" spans="1:23" hidden="1" outlineLevel="1" x14ac:dyDescent="0.35">
      <c r="A2883" s="2048" t="s">
        <v>639</v>
      </c>
      <c r="B2883" s="2119">
        <v>225</v>
      </c>
      <c r="C2883" s="2120">
        <v>81.48</v>
      </c>
      <c r="D2883" s="2083">
        <f t="shared" si="989"/>
        <v>18333</v>
      </c>
      <c r="E2883" s="2110"/>
      <c r="F2883" s="1146">
        <f t="shared" si="990"/>
        <v>9.1678142061664539E-2</v>
      </c>
      <c r="G2883" s="2121"/>
      <c r="H2883" s="1894" t="s">
        <v>640</v>
      </c>
      <c r="I2883" s="2122">
        <v>0.26</v>
      </c>
      <c r="J2883" s="2122">
        <v>0.91</v>
      </c>
      <c r="K2883" s="3032" t="s">
        <v>641</v>
      </c>
      <c r="L2883" s="3032"/>
      <c r="M2883" s="3032"/>
      <c r="N2883" s="46"/>
      <c r="Q2883" s="47"/>
      <c r="R2883" s="2116">
        <f>B2883*RIGHT(K2883,6)</f>
        <v>18348.75</v>
      </c>
      <c r="S2883" s="1223">
        <f t="shared" si="993"/>
        <v>18333</v>
      </c>
      <c r="T2883" s="1223">
        <f t="shared" si="991"/>
        <v>-15.75</v>
      </c>
      <c r="U2883" s="54">
        <f t="shared" si="994"/>
        <v>-8.5836909871244631E-4</v>
      </c>
      <c r="V2883" s="2117" t="str">
        <f t="shared" si="992"/>
        <v>MCHI (china)</v>
      </c>
      <c r="W2883" s="2088"/>
    </row>
    <row r="2884" spans="1:23" hidden="1" outlineLevel="1" x14ac:dyDescent="0.35">
      <c r="A2884" s="2048" t="s">
        <v>642</v>
      </c>
      <c r="B2884" s="2119">
        <v>150</v>
      </c>
      <c r="C2884" s="2120">
        <v>105.48</v>
      </c>
      <c r="D2884" s="2083">
        <f t="shared" si="989"/>
        <v>15822</v>
      </c>
      <c r="E2884" s="2110"/>
      <c r="F2884" s="1146">
        <f t="shared" si="990"/>
        <v>7.9121342044382065E-2</v>
      </c>
      <c r="G2884" s="2123"/>
      <c r="H2884" s="1894" t="s">
        <v>643</v>
      </c>
      <c r="I2884" s="2122">
        <v>0.69</v>
      </c>
      <c r="J2884" s="2122">
        <v>0.93</v>
      </c>
      <c r="K2884" s="3032" t="s">
        <v>644</v>
      </c>
      <c r="L2884" s="3032"/>
      <c r="M2884" s="3032"/>
      <c r="N2884" s="46"/>
      <c r="Q2884" s="47"/>
      <c r="R2884" s="2116">
        <f t="shared" ref="R2884:R2889" si="995">B2884*RIGHT(K2884,6)</f>
        <v>15754.5</v>
      </c>
      <c r="S2884" s="1223">
        <f t="shared" si="993"/>
        <v>15822</v>
      </c>
      <c r="T2884" s="1223">
        <f t="shared" si="991"/>
        <v>67.5</v>
      </c>
      <c r="U2884" s="54">
        <f t="shared" si="994"/>
        <v>4.2844901456726651E-3</v>
      </c>
      <c r="V2884" s="2117" t="str">
        <f t="shared" si="992"/>
        <v>SCHA (small Cap)</v>
      </c>
      <c r="W2884" s="2088"/>
    </row>
    <row r="2885" spans="1:23" hidden="1" outlineLevel="1" x14ac:dyDescent="0.35">
      <c r="A2885" s="2048" t="s">
        <v>645</v>
      </c>
      <c r="B2885" s="2119">
        <v>125</v>
      </c>
      <c r="C2885" s="2120">
        <v>118.25</v>
      </c>
      <c r="D2885" s="2083">
        <f t="shared" si="989"/>
        <v>14781.25</v>
      </c>
      <c r="E2885" s="2110"/>
      <c r="F2885" s="1146">
        <f t="shared" si="990"/>
        <v>7.3916845979871221E-2</v>
      </c>
      <c r="G2885" s="2121"/>
      <c r="H2885" s="1894" t="s">
        <v>646</v>
      </c>
      <c r="I2885" s="2122">
        <v>1.07</v>
      </c>
      <c r="J2885" s="2122">
        <v>3.47</v>
      </c>
      <c r="K2885" s="3032" t="s">
        <v>647</v>
      </c>
      <c r="L2885" s="3032"/>
      <c r="M2885" s="3032"/>
      <c r="N2885" s="46"/>
      <c r="Q2885" s="47"/>
      <c r="R2885" s="2116">
        <f t="shared" si="995"/>
        <v>14646.25</v>
      </c>
      <c r="S2885" s="1223">
        <f t="shared" si="993"/>
        <v>14781.25</v>
      </c>
      <c r="T2885" s="1223">
        <f t="shared" si="991"/>
        <v>135</v>
      </c>
      <c r="U2885" s="54">
        <f t="shared" si="994"/>
        <v>9.2173764615515914E-3</v>
      </c>
      <c r="V2885" s="2117" t="str">
        <f t="shared" si="992"/>
        <v>TSM (Taiw)</v>
      </c>
      <c r="W2885" s="2088"/>
    </row>
    <row r="2886" spans="1:23" hidden="1" outlineLevel="1" x14ac:dyDescent="0.35">
      <c r="A2886" s="2048" t="s">
        <v>648</v>
      </c>
      <c r="B2886" s="2119">
        <v>300</v>
      </c>
      <c r="C2886" s="2120">
        <v>47.09</v>
      </c>
      <c r="D2886" s="2083">
        <f t="shared" si="989"/>
        <v>14127.000000000002</v>
      </c>
      <c r="E2886" s="2110"/>
      <c r="F2886" s="1146">
        <f t="shared" si="990"/>
        <v>7.0645126978952449E-2</v>
      </c>
      <c r="G2886" s="2121"/>
      <c r="H2886" s="1894" t="s">
        <v>649</v>
      </c>
      <c r="I2886" s="2122">
        <v>1.01</v>
      </c>
      <c r="J2886" s="2122">
        <v>0.97</v>
      </c>
      <c r="K2886" s="3032" t="s">
        <v>650</v>
      </c>
      <c r="L2886" s="3032"/>
      <c r="M2886" s="3032"/>
      <c r="N2886" s="46"/>
      <c r="Q2886" s="47"/>
      <c r="R2886" s="2116">
        <f t="shared" si="995"/>
        <v>14316</v>
      </c>
      <c r="S2886" s="1223">
        <f t="shared" si="993"/>
        <v>14127.000000000002</v>
      </c>
      <c r="T2886" s="1223">
        <f t="shared" si="991"/>
        <v>-188.99999999999818</v>
      </c>
      <c r="U2886" s="54">
        <f t="shared" si="994"/>
        <v>-1.3202011735121415E-2</v>
      </c>
      <c r="V2886" s="2117" t="str">
        <f t="shared" si="992"/>
        <v>XME (Miner)</v>
      </c>
      <c r="W2886" s="2088"/>
    </row>
    <row r="2887" spans="1:23" hidden="1" outlineLevel="1" x14ac:dyDescent="0.35">
      <c r="A2887" s="2048" t="s">
        <v>651</v>
      </c>
      <c r="B2887" s="2119">
        <v>125</v>
      </c>
      <c r="C2887" s="2120">
        <v>116.12</v>
      </c>
      <c r="D2887" s="2083">
        <f t="shared" si="989"/>
        <v>14515</v>
      </c>
      <c r="E2887" s="2110">
        <f>(C2887-C2869)/C2887</f>
        <v>5.6923871856699962E-2</v>
      </c>
      <c r="F2887" s="1146">
        <f t="shared" si="990"/>
        <v>7.2585405117823645E-2</v>
      </c>
      <c r="G2887" s="2111"/>
      <c r="H2887" s="1820" t="s">
        <v>652</v>
      </c>
      <c r="I2887" s="2112">
        <v>0.74</v>
      </c>
      <c r="J2887" s="2113">
        <v>4.8</v>
      </c>
      <c r="K2887" s="3032" t="s">
        <v>653</v>
      </c>
      <c r="L2887" s="3032"/>
      <c r="M2887" s="3032"/>
      <c r="N2887" s="2114"/>
      <c r="O2887" s="3"/>
      <c r="P2887" s="3"/>
      <c r="Q2887" s="2115"/>
      <c r="R2887" s="2116">
        <f t="shared" si="995"/>
        <v>14208.75</v>
      </c>
      <c r="S2887" s="1223">
        <f t="shared" si="993"/>
        <v>14515</v>
      </c>
      <c r="T2887" s="1223">
        <f t="shared" si="991"/>
        <v>306.25</v>
      </c>
      <c r="U2887" s="54">
        <f t="shared" si="994"/>
        <v>2.1553620128441982E-2</v>
      </c>
      <c r="V2887" s="2117" t="str">
        <f t="shared" si="992"/>
        <v>ARKK (Tesla)</v>
      </c>
      <c r="W2887" s="2118"/>
    </row>
    <row r="2888" spans="1:23" hidden="1" outlineLevel="1" x14ac:dyDescent="0.35">
      <c r="A2888" s="2048" t="s">
        <v>654</v>
      </c>
      <c r="B2888" s="2119">
        <v>200</v>
      </c>
      <c r="C2888" s="2120">
        <v>30.65</v>
      </c>
      <c r="D2888" s="2083">
        <f t="shared" si="989"/>
        <v>6130</v>
      </c>
      <c r="E2888" s="2110"/>
      <c r="F2888" s="1146">
        <f t="shared" si="990"/>
        <v>3.065439430742397E-2</v>
      </c>
      <c r="G2888" s="2123"/>
      <c r="H2888" s="1894" t="s">
        <v>655</v>
      </c>
      <c r="I2888" s="2122">
        <v>2.2400000000000002</v>
      </c>
      <c r="J2888" s="2122">
        <v>4.63</v>
      </c>
      <c r="K2888" s="3032" t="s">
        <v>656</v>
      </c>
      <c r="L2888" s="3032"/>
      <c r="M2888" s="3032"/>
      <c r="N2888" s="46"/>
      <c r="Q2888" s="47"/>
      <c r="R2888" s="2116">
        <f t="shared" si="995"/>
        <v>5994</v>
      </c>
      <c r="S2888" s="1223">
        <f t="shared" si="993"/>
        <v>6130</v>
      </c>
      <c r="T2888" s="1223">
        <f t="shared" si="991"/>
        <v>136</v>
      </c>
      <c r="U2888" s="54">
        <f t="shared" si="994"/>
        <v>2.2689356022689355E-2</v>
      </c>
      <c r="V2888" s="2117" t="str">
        <f t="shared" si="992"/>
        <v>FNGU (fang Lv)</v>
      </c>
      <c r="W2888" s="2088"/>
    </row>
    <row r="2889" spans="1:23" hidden="1" outlineLevel="1" x14ac:dyDescent="0.35">
      <c r="A2889" s="2048" t="s">
        <v>657</v>
      </c>
      <c r="B2889" s="2119">
        <v>300</v>
      </c>
      <c r="C2889" s="2120">
        <v>17.309999999999999</v>
      </c>
      <c r="D2889" s="2083">
        <f t="shared" si="989"/>
        <v>5193</v>
      </c>
      <c r="E2889" s="2110"/>
      <c r="F2889" s="1146">
        <f t="shared" si="990"/>
        <v>2.5968722616387059E-2</v>
      </c>
      <c r="G2889" s="2121"/>
      <c r="H2889" s="1894" t="s">
        <v>658</v>
      </c>
      <c r="I2889" s="2122">
        <v>0.32</v>
      </c>
      <c r="J2889" s="2122">
        <v>0.22</v>
      </c>
      <c r="K2889" s="3032" t="s">
        <v>659</v>
      </c>
      <c r="L2889" s="3032"/>
      <c r="M2889" s="3032"/>
      <c r="N2889" s="46"/>
      <c r="Q2889" s="47"/>
      <c r="R2889" s="2116">
        <f t="shared" si="995"/>
        <v>5118</v>
      </c>
      <c r="S2889" s="1223">
        <f t="shared" si="993"/>
        <v>5193</v>
      </c>
      <c r="T2889" s="1223">
        <f t="shared" si="991"/>
        <v>75</v>
      </c>
      <c r="U2889" s="54">
        <f t="shared" si="994"/>
        <v>1.4654161781946073E-2</v>
      </c>
      <c r="V2889" s="2117" t="str">
        <f t="shared" si="992"/>
        <v>BATT (Lithium)</v>
      </c>
      <c r="W2889" s="2088"/>
    </row>
    <row r="2890" spans="1:23" hidden="1" outlineLevel="1" x14ac:dyDescent="0.35">
      <c r="A2890" s="2124" t="s">
        <v>660</v>
      </c>
      <c r="B2890" s="2125">
        <v>100</v>
      </c>
      <c r="C2890" s="2126">
        <v>6</v>
      </c>
      <c r="D2890" s="2127"/>
      <c r="E2890" s="2128"/>
      <c r="F2890" s="1135">
        <f t="shared" si="990"/>
        <v>0</v>
      </c>
      <c r="G2890" s="2129"/>
      <c r="H2890" s="2130" t="s">
        <v>661</v>
      </c>
      <c r="I2890" s="2131">
        <v>0.23</v>
      </c>
      <c r="J2890" s="2131">
        <v>0.23</v>
      </c>
      <c r="K2890" s="3054" t="s">
        <v>662</v>
      </c>
      <c r="L2890" s="3054"/>
      <c r="M2890" s="3054"/>
      <c r="N2890" s="2132"/>
      <c r="O2890" s="1226"/>
      <c r="P2890" s="1226"/>
      <c r="Q2890" s="2133"/>
      <c r="R2890" s="2134"/>
      <c r="S2890" s="2135"/>
      <c r="T2890" s="2135"/>
      <c r="U2890" s="2136"/>
      <c r="V2890" s="1094"/>
      <c r="W2890" s="2088"/>
    </row>
    <row r="2891" spans="1:23" hidden="1" outlineLevel="1" x14ac:dyDescent="0.35">
      <c r="A2891" s="55" t="s">
        <v>7</v>
      </c>
      <c r="B2891" s="56"/>
      <c r="C2891" s="1881"/>
      <c r="D2891" s="57">
        <v>2291.4699999999998</v>
      </c>
      <c r="E2891" s="1977"/>
      <c r="F2891" s="1506">
        <f t="shared" ref="F2891:F2892" si="996">D2891/$D$2830</f>
        <v>1.070954679212509E-2</v>
      </c>
      <c r="G2891" s="2053"/>
      <c r="H2891" s="1789" t="s">
        <v>59</v>
      </c>
      <c r="I2891" s="2089"/>
      <c r="J2891" s="2068"/>
      <c r="K2891" s="58"/>
      <c r="L2891" s="58"/>
      <c r="M2891" s="58"/>
      <c r="R2891" s="2137">
        <f t="shared" ref="R2891:S2891" si="997">SUM(R2881:R2889)</f>
        <v>195378.75</v>
      </c>
      <c r="S2891" s="2137">
        <f t="shared" si="997"/>
        <v>196443.75</v>
      </c>
      <c r="T2891" s="2137">
        <f>SUM(T2881:T2889)</f>
        <v>1065.0000000000018</v>
      </c>
      <c r="U2891" s="2137">
        <f>SUM(U2881:U2889)</f>
        <v>6.8548306642115656E-2</v>
      </c>
    </row>
    <row r="2892" spans="1:23" ht="16" hidden="1" outlineLevel="1" thickBot="1" x14ac:dyDescent="0.4">
      <c r="A2892" s="55" t="s">
        <v>60</v>
      </c>
      <c r="B2892" s="56"/>
      <c r="C2892" s="1881"/>
      <c r="D2892" s="57">
        <v>1236.1099999999999</v>
      </c>
      <c r="E2892" s="1977"/>
      <c r="F2892" s="1506">
        <f t="shared" si="996"/>
        <v>5.777155225778101E-3</v>
      </c>
      <c r="G2892" s="1734"/>
      <c r="H2892" s="1723" t="s">
        <v>61</v>
      </c>
      <c r="I2892" s="60">
        <v>4600</v>
      </c>
      <c r="J2892" s="61"/>
      <c r="K2892" s="2090"/>
      <c r="L2892" s="2070"/>
      <c r="M2892" s="2070"/>
      <c r="Q2892" s="62"/>
      <c r="R2892" s="64"/>
      <c r="S2892" s="64"/>
      <c r="T2892" s="64"/>
      <c r="U2892" s="1553"/>
    </row>
    <row r="2893" spans="1:23" ht="19" hidden="1" outlineLevel="1" thickBot="1" x14ac:dyDescent="0.5">
      <c r="A2893" s="66" t="s">
        <v>62</v>
      </c>
      <c r="B2893" s="67"/>
      <c r="C2893" s="68">
        <f>SUM(D2881:D2888)</f>
        <v>191250.75</v>
      </c>
      <c r="D2893" s="84">
        <f>SUM(D2881:D2892)</f>
        <v>199971.33</v>
      </c>
      <c r="E2893" s="73">
        <f>(D2893-D2873)+I2892</f>
        <v>280.72000000000116</v>
      </c>
      <c r="F2893" s="71"/>
      <c r="G2893" s="72" t="s">
        <v>63</v>
      </c>
      <c r="H2893" s="73">
        <f>E2893+E2873+E2859+E2845+E2830</f>
        <v>-933.7069199999969</v>
      </c>
      <c r="I2893" s="74"/>
      <c r="J2893" s="75"/>
      <c r="K2893" s="2138" t="s">
        <v>67</v>
      </c>
      <c r="L2893" s="2139"/>
      <c r="M2893" s="2140"/>
      <c r="Q2893" s="105"/>
      <c r="S2893" s="1860"/>
      <c r="T2893" s="1860"/>
      <c r="U2893" s="2141"/>
    </row>
    <row r="2894" spans="1:23" hidden="1" outlineLevel="1" x14ac:dyDescent="0.35">
      <c r="A2894" s="2985" t="s">
        <v>663</v>
      </c>
      <c r="B2894" s="2985"/>
      <c r="C2894" s="2985"/>
      <c r="D2894" s="2985"/>
      <c r="E2894" s="2985"/>
      <c r="F2894" s="2985"/>
      <c r="G2894" s="2985"/>
      <c r="H2894" s="2985"/>
      <c r="I2894" s="2985"/>
      <c r="J2894" s="2985"/>
      <c r="K2894" s="2142" t="s">
        <v>69</v>
      </c>
      <c r="L2894" s="1865"/>
      <c r="M2894" s="2143"/>
      <c r="Q2894" s="105"/>
      <c r="S2894" s="1860"/>
      <c r="T2894" s="1860"/>
      <c r="U2894" s="1555"/>
    </row>
    <row r="2895" spans="1:23" hidden="1" outlineLevel="1" x14ac:dyDescent="0.35">
      <c r="A2895" s="2986"/>
      <c r="B2895" s="2986"/>
      <c r="C2895" s="2986"/>
      <c r="D2895" s="2986"/>
      <c r="E2895" s="2986"/>
      <c r="F2895" s="2986"/>
      <c r="G2895" s="2986"/>
      <c r="H2895" s="2986"/>
      <c r="I2895" s="2986"/>
      <c r="J2895" s="2986"/>
      <c r="K2895" s="2142" t="s">
        <v>70</v>
      </c>
      <c r="L2895" s="1865"/>
      <c r="M2895" s="2143"/>
      <c r="Q2895" s="105"/>
      <c r="S2895" s="1860"/>
      <c r="T2895" s="1860"/>
      <c r="U2895" s="1555"/>
    </row>
    <row r="2896" spans="1:23" ht="16" hidden="1" outlineLevel="1" thickBot="1" x14ac:dyDescent="0.4">
      <c r="A2896" s="2986"/>
      <c r="B2896" s="2986"/>
      <c r="C2896" s="2986"/>
      <c r="D2896" s="2986"/>
      <c r="E2896" s="2986"/>
      <c r="F2896" s="2986"/>
      <c r="G2896" s="2986"/>
      <c r="H2896" s="2986"/>
      <c r="I2896" s="2986"/>
      <c r="J2896" s="2986"/>
      <c r="K2896" s="2144" t="s">
        <v>71</v>
      </c>
      <c r="L2896" s="2145"/>
      <c r="M2896" s="2146"/>
      <c r="Q2896" s="102"/>
      <c r="R2896" s="40"/>
      <c r="S2896" s="2074"/>
      <c r="T2896" s="2074"/>
      <c r="U2896" s="2060"/>
    </row>
    <row r="2897" spans="1:23" hidden="1" outlineLevel="1" x14ac:dyDescent="0.35">
      <c r="A2897" s="8"/>
      <c r="B2897" s="9"/>
      <c r="C2897" s="8"/>
      <c r="D2897" s="8"/>
      <c r="E2897" s="8"/>
      <c r="F2897" s="10"/>
      <c r="G2897" s="11"/>
      <c r="H2897" s="12"/>
      <c r="I2897" s="8"/>
      <c r="J2897" s="12"/>
      <c r="K2897" s="8"/>
      <c r="L2897" s="8"/>
      <c r="M2897" s="8"/>
      <c r="N2897" s="8"/>
      <c r="O2897" s="8"/>
      <c r="P2897" s="8"/>
      <c r="Q2897" s="8"/>
      <c r="R2897" s="8"/>
      <c r="S2897" s="8"/>
      <c r="T2897" s="8"/>
      <c r="U2897" s="8"/>
      <c r="V2897" s="8"/>
      <c r="W2897" s="8"/>
    </row>
    <row r="2898" spans="1:23" ht="16" hidden="1" outlineLevel="1" thickBot="1" x14ac:dyDescent="0.4">
      <c r="A2898" s="1619" t="s">
        <v>25</v>
      </c>
      <c r="B2898" s="1996" t="s">
        <v>26</v>
      </c>
      <c r="C2898" s="1621" t="s">
        <v>27</v>
      </c>
      <c r="D2898" s="1622">
        <f>D2878+7</f>
        <v>44365</v>
      </c>
      <c r="E2898" s="1623" t="s">
        <v>28</v>
      </c>
      <c r="F2898" s="3036" t="s">
        <v>29</v>
      </c>
      <c r="G2898" s="3037"/>
      <c r="H2898" s="3038"/>
      <c r="I2898" s="1727"/>
      <c r="J2898" s="1182">
        <f>C2899</f>
        <v>33823</v>
      </c>
      <c r="K2898" s="1183" t="s">
        <v>233</v>
      </c>
      <c r="L2898">
        <f>125-8</f>
        <v>117</v>
      </c>
      <c r="O2898" s="3042" t="s">
        <v>31</v>
      </c>
      <c r="P2898" s="3043"/>
      <c r="T2898" s="247"/>
      <c r="U2898" s="1123"/>
      <c r="V2898" s="247"/>
    </row>
    <row r="2899" spans="1:23" ht="16" hidden="1" outlineLevel="1" thickBot="1" x14ac:dyDescent="0.4">
      <c r="A2899" s="1973" t="s">
        <v>32</v>
      </c>
      <c r="B2899" s="1997" t="str">
        <f ca="1">TEXT(TODAY(),"ddd")</f>
        <v>Sun</v>
      </c>
      <c r="C2899" s="1998">
        <v>33823</v>
      </c>
      <c r="D2899" s="1980">
        <f>C2899-C2879</f>
        <v>-580</v>
      </c>
      <c r="E2899" s="1977">
        <f>(C2899-C2879)/C2879</f>
        <v>-1.6858994855099847E-2</v>
      </c>
      <c r="F2899" s="3039"/>
      <c r="G2899" s="3040"/>
      <c r="H2899" s="3041"/>
      <c r="I2899" s="1602"/>
      <c r="J2899" s="1602">
        <f>C2900</f>
        <v>14161</v>
      </c>
      <c r="K2899" s="2061" t="s">
        <v>234</v>
      </c>
      <c r="L2899" s="2062" t="s">
        <v>34</v>
      </c>
      <c r="M2899" s="2063" t="s">
        <v>35</v>
      </c>
      <c r="N2899" s="2995"/>
      <c r="O2899" s="2996"/>
      <c r="P2899" s="2996"/>
      <c r="Q2899" s="2996"/>
      <c r="R2899" s="2996"/>
      <c r="S2899" s="2996"/>
      <c r="T2899" s="2996"/>
      <c r="U2899" s="3044"/>
    </row>
    <row r="2900" spans="1:23" hidden="1" outlineLevel="1" x14ac:dyDescent="0.35">
      <c r="A2900" s="1978" t="s">
        <v>36</v>
      </c>
      <c r="B2900" s="1979"/>
      <c r="C2900" s="1979">
        <v>14161</v>
      </c>
      <c r="D2900" s="1980">
        <f>C2900-C2880</f>
        <v>126</v>
      </c>
      <c r="E2900" s="1977">
        <f>(C2900-C2880)/C2880</f>
        <v>8.9775561097256863E-3</v>
      </c>
      <c r="F2900" s="1744" t="s">
        <v>37</v>
      </c>
      <c r="G2900" s="1745" t="s">
        <v>38</v>
      </c>
      <c r="H2900" s="1746" t="s">
        <v>144</v>
      </c>
      <c r="I2900" s="1747" t="s">
        <v>40</v>
      </c>
      <c r="J2900" s="2064" t="s">
        <v>41</v>
      </c>
      <c r="K2900" s="3033" t="s">
        <v>42</v>
      </c>
      <c r="L2900" s="3034"/>
      <c r="M2900" s="3034"/>
      <c r="N2900" s="2065" t="s">
        <v>244</v>
      </c>
      <c r="Q2900" s="1831" t="s">
        <v>44</v>
      </c>
      <c r="R2900" s="1832" t="s">
        <v>45</v>
      </c>
      <c r="S2900" s="1832" t="s">
        <v>46</v>
      </c>
      <c r="T2900" s="1832" t="s">
        <v>47</v>
      </c>
      <c r="U2900" s="1833" t="s">
        <v>48</v>
      </c>
      <c r="W2900" s="1919" t="s">
        <v>446</v>
      </c>
    </row>
    <row r="2901" spans="1:23" hidden="1" outlineLevel="1" x14ac:dyDescent="0.35">
      <c r="A2901" s="2042" t="s">
        <v>633</v>
      </c>
      <c r="B2901" s="1531">
        <v>0.14599999999999999</v>
      </c>
      <c r="C2901" s="1143">
        <v>428.23</v>
      </c>
      <c r="D2901" s="2082">
        <f t="shared" ref="D2901:D2904" si="998">C2901*B2901</f>
        <v>62.52158</v>
      </c>
      <c r="E2901" s="2110">
        <f>(C2901-C2881)/C2881</f>
        <v>-1.6919191919191928E-2</v>
      </c>
      <c r="F2901" s="1146">
        <f>D2901/$D$2908</f>
        <v>3.1906453527489318E-4</v>
      </c>
      <c r="G2901" s="2111">
        <v>55</v>
      </c>
      <c r="H2901" s="1820" t="s">
        <v>634</v>
      </c>
      <c r="I2901" s="2112">
        <v>0.57999999999999996</v>
      </c>
      <c r="J2901" s="2113">
        <v>3.46</v>
      </c>
      <c r="K2901" s="3032" t="s">
        <v>635</v>
      </c>
      <c r="L2901" s="3032"/>
      <c r="M2901" s="3032"/>
      <c r="N2901" s="2114"/>
      <c r="O2901" s="3"/>
      <c r="P2901" s="3"/>
      <c r="Q2901" s="2115"/>
      <c r="R2901" s="2116">
        <f>B2901*RIGHT(K2901,6)</f>
        <v>63.007759999999998</v>
      </c>
      <c r="S2901" s="1223">
        <f>D2901</f>
        <v>62.52158</v>
      </c>
      <c r="T2901" s="1223">
        <f t="shared" ref="T2901:T2904" si="999">S2901-R2901</f>
        <v>-0.48617999999999739</v>
      </c>
      <c r="U2901" s="54">
        <f>(S2901-R2901)/R2901</f>
        <v>-7.7161924182036845E-3</v>
      </c>
      <c r="V2901" s="2117" t="str">
        <f t="shared" ref="V2901:V2904" si="1000">A2901</f>
        <v>SOXX (Semi)</v>
      </c>
      <c r="W2901" s="2118"/>
    </row>
    <row r="2902" spans="1:23" hidden="1" outlineLevel="1" x14ac:dyDescent="0.35">
      <c r="A2902" s="2147" t="s">
        <v>639</v>
      </c>
      <c r="B2902" s="2119">
        <v>225</v>
      </c>
      <c r="C2902" s="2120">
        <v>80.319999999999993</v>
      </c>
      <c r="D2902" s="2083">
        <f t="shared" si="998"/>
        <v>18072</v>
      </c>
      <c r="E2902" s="2110">
        <f>(C2902-C2883)/C2883</f>
        <v>-1.4236622484045296E-2</v>
      </c>
      <c r="F2902" s="1146">
        <f>D2902/$D$2908</f>
        <v>9.2226304605351778E-2</v>
      </c>
      <c r="G2902" s="2121"/>
      <c r="H2902" s="1894" t="s">
        <v>640</v>
      </c>
      <c r="I2902" s="2122">
        <v>0.26</v>
      </c>
      <c r="J2902" s="2122">
        <v>0.91</v>
      </c>
      <c r="K2902" s="3032" t="s">
        <v>641</v>
      </c>
      <c r="L2902" s="3032"/>
      <c r="M2902" s="3032"/>
      <c r="N2902" s="46"/>
      <c r="Q2902" s="47"/>
      <c r="R2902" s="2116">
        <f>B2902*RIGHT(K2902,6)</f>
        <v>18348.75</v>
      </c>
      <c r="S2902" s="1223">
        <f t="shared" ref="S2902:S2904" si="1001">D2902</f>
        <v>18072</v>
      </c>
      <c r="T2902" s="1223">
        <f t="shared" si="999"/>
        <v>-276.75</v>
      </c>
      <c r="U2902" s="54">
        <f t="shared" ref="U2902:U2904" si="1002">(S2902-R2902)/R2902</f>
        <v>-1.5082771305947271E-2</v>
      </c>
      <c r="V2902" s="2117" t="str">
        <f t="shared" si="1000"/>
        <v>MCHI (china)</v>
      </c>
      <c r="W2902" s="2088"/>
    </row>
    <row r="2903" spans="1:23" hidden="1" outlineLevel="1" x14ac:dyDescent="0.35">
      <c r="A2903" s="2147" t="s">
        <v>648</v>
      </c>
      <c r="B2903" s="2119">
        <v>300</v>
      </c>
      <c r="C2903" s="2120">
        <v>41.223799999999997</v>
      </c>
      <c r="D2903" s="2083">
        <f t="shared" si="998"/>
        <v>12367.14</v>
      </c>
      <c r="E2903" s="2110">
        <f>(C2903-C2886)/C2886</f>
        <v>-0.12457421957952869</v>
      </c>
      <c r="F2903" s="1146">
        <f>D2903/$D$2908</f>
        <v>6.3112860819888789E-2</v>
      </c>
      <c r="G2903" s="2121"/>
      <c r="H2903" s="1894" t="s">
        <v>649</v>
      </c>
      <c r="I2903" s="2122">
        <v>1.01</v>
      </c>
      <c r="J2903" s="2122">
        <v>0.97</v>
      </c>
      <c r="K2903" s="3032" t="s">
        <v>650</v>
      </c>
      <c r="L2903" s="3032"/>
      <c r="M2903" s="3032"/>
      <c r="N2903" s="46"/>
      <c r="Q2903" s="47"/>
      <c r="R2903" s="2116">
        <f t="shared" ref="R2903:R2904" si="1003">B2903*RIGHT(K2903,6)</f>
        <v>14316</v>
      </c>
      <c r="S2903" s="1223">
        <f t="shared" si="1001"/>
        <v>12367.14</v>
      </c>
      <c r="T2903" s="1223">
        <f t="shared" si="999"/>
        <v>-1948.8600000000006</v>
      </c>
      <c r="U2903" s="54">
        <f t="shared" si="1002"/>
        <v>-0.1361316010058676</v>
      </c>
      <c r="V2903" s="2117" t="str">
        <f t="shared" si="1000"/>
        <v>XME (Miner)</v>
      </c>
      <c r="W2903" s="2088"/>
    </row>
    <row r="2904" spans="1:23" hidden="1" outlineLevel="1" x14ac:dyDescent="0.35">
      <c r="A2904" s="2147" t="s">
        <v>657</v>
      </c>
      <c r="B2904" s="2119">
        <v>300</v>
      </c>
      <c r="C2904" s="2120">
        <v>16.8</v>
      </c>
      <c r="D2904" s="2083">
        <f t="shared" si="998"/>
        <v>5040</v>
      </c>
      <c r="E2904" s="2110">
        <f>(C2904-C2889)/C2889</f>
        <v>-2.9462738301559679E-2</v>
      </c>
      <c r="F2904" s="1146">
        <f>D2904/$D$2908</f>
        <v>2.5720483356074204E-2</v>
      </c>
      <c r="G2904" s="2121"/>
      <c r="H2904" s="1894" t="s">
        <v>658</v>
      </c>
      <c r="I2904" s="2122">
        <v>0.32</v>
      </c>
      <c r="J2904" s="2122">
        <v>0.22</v>
      </c>
      <c r="K2904" s="3032" t="s">
        <v>659</v>
      </c>
      <c r="L2904" s="3032"/>
      <c r="M2904" s="3032"/>
      <c r="N2904" s="46"/>
      <c r="Q2904" s="47"/>
      <c r="R2904" s="2116">
        <f t="shared" si="1003"/>
        <v>5118</v>
      </c>
      <c r="S2904" s="1223">
        <f t="shared" si="1001"/>
        <v>5040</v>
      </c>
      <c r="T2904" s="1223">
        <f t="shared" si="999"/>
        <v>-78</v>
      </c>
      <c r="U2904" s="54">
        <f t="shared" si="1002"/>
        <v>-1.5240328253223915E-2</v>
      </c>
      <c r="V2904" s="2117" t="str">
        <f t="shared" si="1000"/>
        <v>BATT (Lithium)</v>
      </c>
      <c r="W2904" s="2088"/>
    </row>
    <row r="2905" spans="1:23" hidden="1" outlineLevel="1" x14ac:dyDescent="0.35">
      <c r="A2905" s="2124" t="s">
        <v>660</v>
      </c>
      <c r="B2905" s="2125">
        <v>100</v>
      </c>
      <c r="C2905" s="2126">
        <v>105</v>
      </c>
      <c r="D2905" s="2127"/>
      <c r="E2905" s="2128"/>
      <c r="F2905" s="1135">
        <f>D2905/$D$2893</f>
        <v>0</v>
      </c>
      <c r="G2905" s="2129"/>
      <c r="H2905" s="2130" t="s">
        <v>661</v>
      </c>
      <c r="I2905" s="2131">
        <v>0.23</v>
      </c>
      <c r="J2905" s="2131">
        <v>0.23</v>
      </c>
      <c r="K2905" s="3054" t="s">
        <v>662</v>
      </c>
      <c r="L2905" s="3054"/>
      <c r="M2905" s="3054"/>
      <c r="N2905" s="2132"/>
      <c r="O2905" s="1226"/>
      <c r="P2905" s="1226"/>
      <c r="Q2905" s="2133"/>
      <c r="R2905" s="2134"/>
      <c r="S2905" s="2135"/>
      <c r="T2905" s="2135"/>
      <c r="U2905" s="2136"/>
      <c r="V2905" s="1094"/>
      <c r="W2905" s="2088"/>
    </row>
    <row r="2906" spans="1:23" hidden="1" outlineLevel="1" x14ac:dyDescent="0.35">
      <c r="A2906" s="55" t="s">
        <v>7</v>
      </c>
      <c r="B2906" s="56"/>
      <c r="C2906" s="1881"/>
      <c r="D2906" s="57">
        <v>2266.52</v>
      </c>
      <c r="E2906" s="1977"/>
      <c r="F2906" s="1506">
        <f t="shared" ref="F2906:F2907" si="1004">D2906/$D$2830</f>
        <v>1.0592939028347464E-2</v>
      </c>
      <c r="G2906" s="2053"/>
      <c r="H2906" s="1789" t="s">
        <v>59</v>
      </c>
      <c r="I2906" s="2089"/>
      <c r="J2906" s="2068"/>
      <c r="K2906" s="58"/>
      <c r="L2906" s="58"/>
      <c r="M2906" s="58"/>
      <c r="R2906" s="2137">
        <f>SUM(R2901:R2903)</f>
        <v>32727.75776</v>
      </c>
      <c r="S2906" s="2137"/>
      <c r="T2906" s="2137">
        <f>SUM(T2901:T2903)</f>
        <v>-2226.0961800000005</v>
      </c>
      <c r="U2906" s="2137">
        <f>SUM(U2901:U2903)</f>
        <v>-0.15893056473001857</v>
      </c>
    </row>
    <row r="2907" spans="1:23" ht="16" hidden="1" outlineLevel="1" thickBot="1" x14ac:dyDescent="0.4">
      <c r="A2907" s="55" t="s">
        <v>60</v>
      </c>
      <c r="B2907" s="56"/>
      <c r="C2907" s="1881"/>
      <c r="D2907" s="57">
        <v>158144.59</v>
      </c>
      <c r="E2907" s="1977"/>
      <c r="F2907" s="1506">
        <f t="shared" si="1004"/>
        <v>0.73911370715149571</v>
      </c>
      <c r="G2907" s="1734"/>
      <c r="H2907" s="1723" t="s">
        <v>61</v>
      </c>
      <c r="I2907" s="60">
        <v>-500</v>
      </c>
      <c r="J2907" s="61"/>
      <c r="K2907" s="2090"/>
      <c r="L2907" s="2070"/>
      <c r="M2907" s="2070"/>
      <c r="Q2907" s="62"/>
      <c r="R2907" s="64"/>
      <c r="S2907" s="64"/>
      <c r="T2907" s="64"/>
      <c r="U2907" s="1553"/>
    </row>
    <row r="2908" spans="1:23" ht="19" hidden="1" outlineLevel="1" thickBot="1" x14ac:dyDescent="0.5">
      <c r="A2908" s="66" t="s">
        <v>62</v>
      </c>
      <c r="B2908" s="67"/>
      <c r="C2908" s="68">
        <f>SUM(D2901:D2903)</f>
        <v>30501.66158</v>
      </c>
      <c r="D2908" s="84">
        <f>SUM(D2901:D2907)</f>
        <v>195952.77158</v>
      </c>
      <c r="E2908" s="73">
        <f>(D2908-D2893)+I2907</f>
        <v>-4518.5584199999867</v>
      </c>
      <c r="F2908" s="71"/>
      <c r="G2908" s="72" t="s">
        <v>63</v>
      </c>
      <c r="H2908" s="73">
        <f>E2908+E2893+E2873+E2859+E2845</f>
        <v>-13912.398420000012</v>
      </c>
      <c r="I2908" s="74"/>
      <c r="J2908" s="75"/>
      <c r="K2908" s="2138" t="s">
        <v>67</v>
      </c>
      <c r="L2908" s="2139"/>
      <c r="M2908" s="2140"/>
      <c r="Q2908" s="105"/>
      <c r="S2908" s="1860"/>
      <c r="T2908" s="1860"/>
      <c r="U2908" s="2141"/>
    </row>
    <row r="2909" spans="1:23" hidden="1" outlineLevel="1" x14ac:dyDescent="0.35">
      <c r="A2909" s="2985" t="s">
        <v>664</v>
      </c>
      <c r="B2909" s="2985"/>
      <c r="C2909" s="2985"/>
      <c r="D2909" s="2985"/>
      <c r="E2909" s="2985"/>
      <c r="F2909" s="2985"/>
      <c r="G2909" s="2985"/>
      <c r="H2909" s="2985"/>
      <c r="I2909" s="2985"/>
      <c r="J2909" s="2985"/>
      <c r="K2909" s="2142" t="s">
        <v>69</v>
      </c>
      <c r="L2909" s="1865"/>
      <c r="M2909" s="2143"/>
      <c r="Q2909" s="105"/>
      <c r="S2909" s="1860"/>
      <c r="T2909" s="1860"/>
      <c r="U2909" s="1555"/>
    </row>
    <row r="2910" spans="1:23" hidden="1" outlineLevel="1" x14ac:dyDescent="0.35">
      <c r="A2910" s="2986"/>
      <c r="B2910" s="2986"/>
      <c r="C2910" s="2986"/>
      <c r="D2910" s="2986"/>
      <c r="E2910" s="2986"/>
      <c r="F2910" s="2986"/>
      <c r="G2910" s="2986"/>
      <c r="H2910" s="2986"/>
      <c r="I2910" s="2986"/>
      <c r="J2910" s="2986"/>
      <c r="K2910" s="2142" t="s">
        <v>70</v>
      </c>
      <c r="L2910" s="1865"/>
      <c r="M2910" s="2143"/>
      <c r="Q2910" s="105"/>
      <c r="S2910" s="1860"/>
      <c r="T2910" s="1860"/>
      <c r="U2910" s="1555"/>
    </row>
    <row r="2911" spans="1:23" ht="16" hidden="1" outlineLevel="1" thickBot="1" x14ac:dyDescent="0.4">
      <c r="A2911" s="2986"/>
      <c r="B2911" s="2986"/>
      <c r="C2911" s="2986"/>
      <c r="D2911" s="2986"/>
      <c r="E2911" s="2986"/>
      <c r="F2911" s="2986"/>
      <c r="G2911" s="2986"/>
      <c r="H2911" s="2986"/>
      <c r="I2911" s="2986"/>
      <c r="J2911" s="2986"/>
      <c r="K2911" s="2144" t="s">
        <v>71</v>
      </c>
      <c r="L2911" s="2145"/>
      <c r="M2911" s="2146"/>
      <c r="Q2911" s="102"/>
      <c r="R2911" s="40"/>
      <c r="S2911" s="2074"/>
      <c r="T2911" s="2074"/>
      <c r="U2911" s="2060"/>
    </row>
    <row r="2912" spans="1:23" hidden="1" outlineLevel="1" x14ac:dyDescent="0.35">
      <c r="A2912" s="8"/>
      <c r="B2912" s="9"/>
      <c r="C2912" s="8"/>
      <c r="D2912" s="8"/>
      <c r="E2912" s="8"/>
      <c r="F2912" s="10"/>
      <c r="G2912" s="11"/>
      <c r="H2912" s="12"/>
      <c r="I2912" s="8"/>
      <c r="J2912" s="12"/>
      <c r="K2912" s="8"/>
      <c r="L2912" s="8"/>
      <c r="M2912" s="8"/>
      <c r="N2912" s="8"/>
      <c r="O2912" s="8"/>
      <c r="P2912" s="8"/>
      <c r="Q2912" s="8"/>
      <c r="R2912" s="8"/>
      <c r="S2912" s="8"/>
      <c r="T2912" s="8"/>
      <c r="U2912" s="8"/>
      <c r="V2912" s="8"/>
      <c r="W2912" s="8"/>
    </row>
    <row r="2913" spans="1:24" ht="16" hidden="1" outlineLevel="1" thickBot="1" x14ac:dyDescent="0.4">
      <c r="A2913" s="1619" t="s">
        <v>25</v>
      </c>
      <c r="B2913" s="1996" t="s">
        <v>26</v>
      </c>
      <c r="C2913" s="1621" t="s">
        <v>27</v>
      </c>
      <c r="D2913" s="1622">
        <f>D2898+7</f>
        <v>44372</v>
      </c>
      <c r="E2913" s="1623" t="s">
        <v>28</v>
      </c>
      <c r="F2913" s="3036" t="s">
        <v>29</v>
      </c>
      <c r="G2913" s="3037"/>
      <c r="H2913" s="3038"/>
      <c r="I2913" s="1727"/>
      <c r="J2913" s="1182">
        <f>C2914</f>
        <v>34433</v>
      </c>
      <c r="K2913" s="1183" t="s">
        <v>233</v>
      </c>
      <c r="L2913">
        <v>192000</v>
      </c>
      <c r="O2913" s="3042" t="s">
        <v>31</v>
      </c>
      <c r="P2913" s="3043"/>
      <c r="T2913" s="247"/>
      <c r="U2913" s="1123"/>
      <c r="V2913" s="247"/>
    </row>
    <row r="2914" spans="1:24" ht="16" hidden="1" outlineLevel="1" thickBot="1" x14ac:dyDescent="0.4">
      <c r="A2914" s="1973" t="s">
        <v>32</v>
      </c>
      <c r="B2914" s="1997" t="str">
        <f ca="1">TEXT(TODAY(),"ddd")</f>
        <v>Sun</v>
      </c>
      <c r="C2914" s="1998">
        <v>34433</v>
      </c>
      <c r="D2914" s="1980">
        <f>C2914-C2899</f>
        <v>610</v>
      </c>
      <c r="E2914" s="1977">
        <f>(C2914-C2899)/C2899</f>
        <v>1.8035064896667948E-2</v>
      </c>
      <c r="F2914" s="3039"/>
      <c r="G2914" s="3040"/>
      <c r="H2914" s="3041"/>
      <c r="I2914" s="1602"/>
      <c r="J2914" s="1602">
        <f>C2915</f>
        <v>14360</v>
      </c>
      <c r="K2914" s="2061" t="s">
        <v>234</v>
      </c>
      <c r="L2914" s="2062" t="s">
        <v>34</v>
      </c>
      <c r="M2914" s="2063" t="s">
        <v>35</v>
      </c>
      <c r="N2914" s="2995"/>
      <c r="O2914" s="2996"/>
      <c r="P2914" s="2996"/>
      <c r="Q2914" s="2996"/>
      <c r="R2914" s="2996"/>
      <c r="S2914" s="2996"/>
      <c r="T2914" s="2996"/>
      <c r="U2914" s="3044"/>
    </row>
    <row r="2915" spans="1:24" hidden="1" outlineLevel="1" x14ac:dyDescent="0.35">
      <c r="A2915" s="1978" t="s">
        <v>36</v>
      </c>
      <c r="B2915" s="1979"/>
      <c r="C2915" s="1979">
        <v>14360</v>
      </c>
      <c r="D2915" s="1980">
        <f>C2915-C2900</f>
        <v>199</v>
      </c>
      <c r="E2915" s="1977">
        <f t="shared" ref="E2915" si="1005">(C2915-C2900)/C2900</f>
        <v>1.4052679895487606E-2</v>
      </c>
      <c r="F2915" s="1744" t="s">
        <v>37</v>
      </c>
      <c r="G2915" s="1745" t="s">
        <v>38</v>
      </c>
      <c r="H2915" s="1746" t="s">
        <v>144</v>
      </c>
      <c r="I2915" s="1747" t="s">
        <v>40</v>
      </c>
      <c r="J2915" s="2064" t="s">
        <v>41</v>
      </c>
      <c r="K2915" s="3033" t="s">
        <v>42</v>
      </c>
      <c r="L2915" s="3034"/>
      <c r="M2915" s="3034"/>
      <c r="N2915" s="2065" t="s">
        <v>244</v>
      </c>
      <c r="Q2915" s="1831" t="s">
        <v>44</v>
      </c>
      <c r="R2915" s="1832" t="s">
        <v>45</v>
      </c>
      <c r="S2915" s="1832" t="s">
        <v>46</v>
      </c>
      <c r="T2915" s="1832" t="s">
        <v>47</v>
      </c>
      <c r="U2915" s="1833" t="s">
        <v>48</v>
      </c>
      <c r="W2915" s="1919" t="s">
        <v>446</v>
      </c>
    </row>
    <row r="2916" spans="1:24" hidden="1" outlineLevel="1" x14ac:dyDescent="0.35">
      <c r="A2916" s="2042" t="s">
        <v>49</v>
      </c>
      <c r="B2916" s="1531">
        <v>100</v>
      </c>
      <c r="C2916" s="1643">
        <v>761.24</v>
      </c>
      <c r="D2916" s="2082">
        <f t="shared" ref="D2916:D2921" si="1006">C2916*B2916</f>
        <v>76124</v>
      </c>
      <c r="E2916" s="2110"/>
      <c r="F2916" s="1146">
        <f t="shared" ref="F2916:F2921" si="1007">D2916/$D$2908</f>
        <v>0.38848136408686362</v>
      </c>
      <c r="G2916" s="2111">
        <v>55</v>
      </c>
      <c r="H2916" s="1820" t="s">
        <v>665</v>
      </c>
      <c r="I2916" s="2112">
        <v>1.0900000000000001</v>
      </c>
      <c r="J2916" s="2113">
        <v>15.87</v>
      </c>
      <c r="K2916" s="2983" t="s">
        <v>666</v>
      </c>
      <c r="L2916" s="2984"/>
      <c r="M2916" s="53"/>
      <c r="N2916" s="2114"/>
      <c r="O2916" s="3"/>
      <c r="P2916" s="3"/>
      <c r="Q2916" s="2115"/>
      <c r="R2916" s="2116">
        <f>RIGHT(K2916,6)*B2916</f>
        <v>77222</v>
      </c>
      <c r="S2916" s="1223">
        <f>D2916</f>
        <v>76124</v>
      </c>
      <c r="T2916" s="1223">
        <f t="shared" ref="T2916:T2921" si="1008">S2916-R2916</f>
        <v>-1098</v>
      </c>
      <c r="U2916" s="54">
        <f>(S2916-R2916)/R2916</f>
        <v>-1.4218745953225765E-2</v>
      </c>
      <c r="V2916" s="2117" t="str">
        <f>A2916</f>
        <v>NVDA</v>
      </c>
      <c r="W2916" s="2118"/>
      <c r="X2916" s="4" t="s">
        <v>145</v>
      </c>
    </row>
    <row r="2917" spans="1:24" hidden="1" outlineLevel="1" x14ac:dyDescent="0.35">
      <c r="A2917" s="2147" t="s">
        <v>447</v>
      </c>
      <c r="B2917" s="2119">
        <v>50</v>
      </c>
      <c r="C2917" s="2083">
        <v>243.42</v>
      </c>
      <c r="D2917" s="2083">
        <f t="shared" si="1006"/>
        <v>12171</v>
      </c>
      <c r="E2917" s="2110"/>
      <c r="F2917" s="1146">
        <f t="shared" si="1007"/>
        <v>6.2111905342614904E-2</v>
      </c>
      <c r="G2917" s="2121"/>
      <c r="H2917" s="1894" t="s">
        <v>667</v>
      </c>
      <c r="I2917" s="2122">
        <v>2.54</v>
      </c>
      <c r="J2917" s="2122">
        <v>5.16</v>
      </c>
      <c r="K2917" s="2983" t="s">
        <v>668</v>
      </c>
      <c r="L2917" s="2984"/>
      <c r="M2917" s="53"/>
      <c r="N2917" s="46"/>
      <c r="Q2917" s="47"/>
      <c r="R2917" s="2116">
        <f>RIGHT(K2917,6)*B2917</f>
        <v>12239.5</v>
      </c>
      <c r="S2917" s="1223">
        <f t="shared" ref="S2917:S2921" si="1009">D2917</f>
        <v>12171</v>
      </c>
      <c r="T2917" s="1223">
        <f t="shared" si="1008"/>
        <v>-68.5</v>
      </c>
      <c r="U2917" s="54">
        <f t="shared" ref="U2917:U2921" si="1010">(S2917-R2917)/R2917</f>
        <v>-5.5966338494219539E-3</v>
      </c>
      <c r="V2917" s="2117" t="str">
        <f t="shared" ref="V2917:V2921" si="1011">A2917</f>
        <v>FVRR</v>
      </c>
      <c r="W2917" s="2088"/>
      <c r="X2917" s="2148" t="s">
        <v>669</v>
      </c>
    </row>
    <row r="2918" spans="1:24" ht="15.75" hidden="1" customHeight="1" outlineLevel="1" x14ac:dyDescent="0.35">
      <c r="A2918" s="2147" t="s">
        <v>593</v>
      </c>
      <c r="B2918" s="2119">
        <v>50</v>
      </c>
      <c r="C2918" s="2083">
        <v>246.13</v>
      </c>
      <c r="D2918" s="2083">
        <f t="shared" si="1006"/>
        <v>12306.5</v>
      </c>
      <c r="E2918" s="2110"/>
      <c r="F2918" s="1146">
        <f t="shared" si="1007"/>
        <v>6.2803398496334761E-2</v>
      </c>
      <c r="G2918" s="2121"/>
      <c r="H2918" s="1894" t="s">
        <v>670</v>
      </c>
      <c r="I2918" s="2122">
        <v>0.26</v>
      </c>
      <c r="J2918" s="2122">
        <v>9.52</v>
      </c>
      <c r="K2918" s="2983" t="s">
        <v>671</v>
      </c>
      <c r="L2918" s="2984"/>
      <c r="M2918" s="53"/>
      <c r="N2918" s="46"/>
      <c r="Q2918" s="47"/>
      <c r="R2918" s="2116">
        <f t="shared" ref="R2918:R2921" si="1012">RIGHT(K2918,6)*B2918</f>
        <v>12348</v>
      </c>
      <c r="S2918" s="1223">
        <f t="shared" si="1009"/>
        <v>12306.5</v>
      </c>
      <c r="T2918" s="1223">
        <f t="shared" si="1008"/>
        <v>-41.5</v>
      </c>
      <c r="U2918" s="54">
        <f t="shared" si="1010"/>
        <v>-3.3608681567865242E-3</v>
      </c>
      <c r="V2918" s="2117" t="str">
        <f t="shared" si="1011"/>
        <v>OKTA</v>
      </c>
      <c r="W2918" s="2088"/>
      <c r="X2918" s="2148" t="s">
        <v>229</v>
      </c>
    </row>
    <row r="2919" spans="1:24" hidden="1" outlineLevel="1" x14ac:dyDescent="0.35">
      <c r="A2919" s="2147" t="s">
        <v>66</v>
      </c>
      <c r="B2919" s="2119">
        <v>50</v>
      </c>
      <c r="C2919" s="2083">
        <v>671.87</v>
      </c>
      <c r="D2919" s="2083">
        <f t="shared" si="1006"/>
        <v>33593.5</v>
      </c>
      <c r="E2919" s="2110"/>
      <c r="F2919" s="1146">
        <f t="shared" si="1007"/>
        <v>0.17143671778219816</v>
      </c>
      <c r="G2919" s="2121"/>
      <c r="H2919" s="1894" t="s">
        <v>21</v>
      </c>
      <c r="I2919" s="2122">
        <v>2.5299999999999998</v>
      </c>
      <c r="J2919" s="2122">
        <v>16.579999999999998</v>
      </c>
      <c r="K2919" s="2983" t="s">
        <v>672</v>
      </c>
      <c r="L2919" s="2984"/>
      <c r="M2919" s="53"/>
      <c r="N2919" s="46"/>
      <c r="Q2919" s="47"/>
      <c r="R2919" s="2116">
        <f t="shared" si="1012"/>
        <v>34040.5</v>
      </c>
      <c r="S2919" s="1223">
        <f t="shared" si="1009"/>
        <v>33593.5</v>
      </c>
      <c r="T2919" s="1223">
        <f t="shared" si="1008"/>
        <v>-447</v>
      </c>
      <c r="U2919" s="54">
        <f t="shared" si="1010"/>
        <v>-1.3131416988587124E-2</v>
      </c>
      <c r="V2919" s="2117" t="str">
        <f t="shared" si="1011"/>
        <v>TSLA</v>
      </c>
      <c r="W2919" s="2088"/>
      <c r="X2919" s="2148" t="s">
        <v>216</v>
      </c>
    </row>
    <row r="2920" spans="1:24" hidden="1" outlineLevel="1" x14ac:dyDescent="0.35">
      <c r="A2920" s="2147" t="s">
        <v>673</v>
      </c>
      <c r="B2920" s="2119">
        <v>50</v>
      </c>
      <c r="C2920" s="2083">
        <v>228.5</v>
      </c>
      <c r="D2920" s="2083">
        <f t="shared" si="1006"/>
        <v>11425</v>
      </c>
      <c r="E2920" s="2110"/>
      <c r="F2920" s="1146">
        <f t="shared" si="1007"/>
        <v>5.8304865544275351E-2</v>
      </c>
      <c r="G2920" s="2121"/>
      <c r="H2920" s="1894" t="s">
        <v>640</v>
      </c>
      <c r="I2920" s="2122">
        <v>-0.04</v>
      </c>
      <c r="J2920" s="2122">
        <v>1.84</v>
      </c>
      <c r="K2920" s="2983" t="s">
        <v>674</v>
      </c>
      <c r="L2920" s="2984"/>
      <c r="M2920" s="2149"/>
      <c r="N2920" s="46"/>
      <c r="Q2920" s="47"/>
      <c r="R2920" s="2116">
        <f t="shared" si="1012"/>
        <v>10854.5</v>
      </c>
      <c r="S2920" s="1223">
        <f t="shared" si="1009"/>
        <v>11425</v>
      </c>
      <c r="T2920" s="1223">
        <f t="shared" si="1008"/>
        <v>570.5</v>
      </c>
      <c r="U2920" s="54">
        <f t="shared" si="1010"/>
        <v>5.2558846561334006E-2</v>
      </c>
      <c r="V2920" s="2117" t="str">
        <f t="shared" si="1011"/>
        <v>BABA</v>
      </c>
      <c r="W2920" s="2088"/>
      <c r="X2920" s="2148" t="s">
        <v>216</v>
      </c>
    </row>
    <row r="2921" spans="1:24" hidden="1" outlineLevel="1" x14ac:dyDescent="0.35">
      <c r="A2921" s="2147" t="s">
        <v>135</v>
      </c>
      <c r="B2921" s="2119">
        <v>50</v>
      </c>
      <c r="C2921" s="2083">
        <v>630.44000000000005</v>
      </c>
      <c r="D2921" s="2083">
        <f t="shared" si="1006"/>
        <v>31522.000000000004</v>
      </c>
      <c r="E2921" s="2110"/>
      <c r="F2921" s="1146">
        <f t="shared" si="1007"/>
        <v>0.16086529292662125</v>
      </c>
      <c r="G2921" s="2121"/>
      <c r="H2921" s="1894" t="s">
        <v>634</v>
      </c>
      <c r="I2921" s="2122">
        <v>1.07</v>
      </c>
      <c r="J2921" s="2122">
        <v>6.71</v>
      </c>
      <c r="K2921" s="3032" t="s">
        <v>675</v>
      </c>
      <c r="L2921" s="3032"/>
      <c r="M2921" s="3032"/>
      <c r="N2921" s="46"/>
      <c r="Q2921" s="47"/>
      <c r="R2921" s="2116">
        <f t="shared" si="1012"/>
        <v>31669</v>
      </c>
      <c r="S2921" s="1223">
        <f t="shared" si="1009"/>
        <v>31522.000000000004</v>
      </c>
      <c r="T2921" s="1223">
        <f t="shared" si="1008"/>
        <v>-146.99999999999636</v>
      </c>
      <c r="U2921" s="54">
        <f t="shared" si="1010"/>
        <v>-4.6417632384981007E-3</v>
      </c>
      <c r="V2921" s="2117" t="str">
        <f t="shared" si="1011"/>
        <v>LRCX</v>
      </c>
      <c r="W2921" s="2088"/>
      <c r="X2921" s="4" t="s">
        <v>146</v>
      </c>
    </row>
    <row r="2922" spans="1:24" hidden="1" outlineLevel="1" x14ac:dyDescent="0.35">
      <c r="A2922" s="55" t="s">
        <v>7</v>
      </c>
      <c r="B2922" s="56"/>
      <c r="C2922" s="1881"/>
      <c r="D2922" s="57">
        <v>2287.5500000000002</v>
      </c>
      <c r="E2922" s="1977"/>
      <c r="F2922" s="1506">
        <f t="shared" ref="F2922:F2923" si="1013">D2922/$D$2830</f>
        <v>1.0691226053287085E-2</v>
      </c>
      <c r="G2922" s="2053"/>
      <c r="H2922" s="1789" t="s">
        <v>59</v>
      </c>
      <c r="I2922" s="2089"/>
      <c r="J2922" s="2068"/>
      <c r="K2922" s="58"/>
      <c r="L2922" s="58"/>
      <c r="M2922" s="58"/>
      <c r="R2922" s="2137">
        <f>SUM(R2916:R2918)</f>
        <v>101809.5</v>
      </c>
      <c r="S2922" s="2137"/>
      <c r="T2922" s="2137">
        <f>SUM(T2916:T2918)</f>
        <v>-1208</v>
      </c>
      <c r="U2922" s="2137">
        <f>SUM(U2916:U2918)</f>
        <v>-2.3176247959434244E-2</v>
      </c>
    </row>
    <row r="2923" spans="1:24" ht="16" hidden="1" outlineLevel="1" thickBot="1" x14ac:dyDescent="0.4">
      <c r="A2923" s="55" t="s">
        <v>60</v>
      </c>
      <c r="B2923" s="56"/>
      <c r="C2923" s="1881"/>
      <c r="D2923" s="57">
        <v>14298.12</v>
      </c>
      <c r="E2923" s="1977"/>
      <c r="F2923" s="1506">
        <f t="shared" si="1013"/>
        <v>6.6824521019005101E-2</v>
      </c>
      <c r="G2923" s="1734"/>
      <c r="H2923" s="1723" t="s">
        <v>61</v>
      </c>
      <c r="I2923" s="60">
        <v>-200</v>
      </c>
      <c r="J2923" s="61"/>
      <c r="K2923" s="2090"/>
      <c r="L2923" s="2070"/>
      <c r="M2923" s="2070"/>
      <c r="Q2923" s="62"/>
      <c r="R2923" s="64"/>
      <c r="S2923" s="64"/>
      <c r="T2923" s="64"/>
      <c r="U2923" s="1553"/>
    </row>
    <row r="2924" spans="1:24" ht="19" hidden="1" outlineLevel="1" thickBot="1" x14ac:dyDescent="0.5">
      <c r="A2924" s="66" t="s">
        <v>62</v>
      </c>
      <c r="B2924" s="67"/>
      <c r="C2924" s="68">
        <f>SUM(D2916:D2921)</f>
        <v>177142</v>
      </c>
      <c r="D2924" s="84">
        <f>SUM(D2916:D2923)</f>
        <v>193727.66999999998</v>
      </c>
      <c r="E2924" s="73">
        <f>(D2924-D2908)+I2923</f>
        <v>-2425.1015800000168</v>
      </c>
      <c r="F2924" s="71"/>
      <c r="G2924" s="72" t="s">
        <v>63</v>
      </c>
      <c r="H2924" s="73">
        <f>E2924+E2908+E2888+E2874+E2860</f>
        <v>-6943.6600000000035</v>
      </c>
      <c r="I2924" s="74"/>
      <c r="J2924" s="75"/>
      <c r="K2924" s="2138" t="s">
        <v>67</v>
      </c>
      <c r="L2924" s="2139"/>
      <c r="M2924" s="2140"/>
      <c r="Q2924" s="105"/>
      <c r="S2924" s="1860"/>
      <c r="T2924" s="1860"/>
      <c r="U2924" s="2141"/>
    </row>
    <row r="2925" spans="1:24" hidden="1" outlineLevel="1" x14ac:dyDescent="0.35">
      <c r="A2925" s="2985" t="s">
        <v>676</v>
      </c>
      <c r="B2925" s="2985"/>
      <c r="C2925" s="2985"/>
      <c r="D2925" s="2985"/>
      <c r="E2925" s="2985"/>
      <c r="F2925" s="2985"/>
      <c r="G2925" s="2985"/>
      <c r="H2925" s="2985"/>
      <c r="I2925" s="2985"/>
      <c r="J2925" s="2985"/>
      <c r="K2925" s="2142" t="s">
        <v>69</v>
      </c>
      <c r="L2925" s="1865"/>
      <c r="M2925" s="2143"/>
      <c r="Q2925" s="105"/>
      <c r="S2925" s="1860"/>
      <c r="T2925" s="1860"/>
      <c r="U2925" s="1555"/>
    </row>
    <row r="2926" spans="1:24" hidden="1" outlineLevel="1" x14ac:dyDescent="0.35">
      <c r="A2926" s="2986"/>
      <c r="B2926" s="2986"/>
      <c r="C2926" s="2986"/>
      <c r="D2926" s="2986"/>
      <c r="E2926" s="2986"/>
      <c r="F2926" s="2986"/>
      <c r="G2926" s="2986"/>
      <c r="H2926" s="2986"/>
      <c r="I2926" s="2986"/>
      <c r="J2926" s="2986"/>
      <c r="K2926" s="2142" t="s">
        <v>70</v>
      </c>
      <c r="L2926" s="1865"/>
      <c r="M2926" s="2143"/>
      <c r="Q2926" s="105"/>
      <c r="S2926" s="1860"/>
      <c r="T2926" s="1860"/>
      <c r="U2926" s="1555"/>
    </row>
    <row r="2927" spans="1:24" ht="16" hidden="1" outlineLevel="1" thickBot="1" x14ac:dyDescent="0.4">
      <c r="A2927" s="2986"/>
      <c r="B2927" s="2986"/>
      <c r="C2927" s="2986"/>
      <c r="D2927" s="2986"/>
      <c r="E2927" s="2986"/>
      <c r="F2927" s="2986"/>
      <c r="G2927" s="2986"/>
      <c r="H2927" s="2986"/>
      <c r="I2927" s="2986"/>
      <c r="J2927" s="2986"/>
      <c r="K2927" s="2144" t="s">
        <v>71</v>
      </c>
      <c r="L2927" s="2145"/>
      <c r="M2927" s="2146"/>
      <c r="Q2927" s="102"/>
      <c r="R2927" s="40"/>
      <c r="S2927" s="2074"/>
      <c r="T2927" s="2074"/>
      <c r="U2927" s="2060"/>
    </row>
    <row r="2928" spans="1:24" hidden="1" outlineLevel="1" x14ac:dyDescent="0.35">
      <c r="A2928" s="8"/>
      <c r="B2928" s="9"/>
      <c r="C2928" s="8"/>
      <c r="D2928" s="8"/>
      <c r="E2928" s="8"/>
      <c r="F2928" s="10"/>
      <c r="G2928" s="11"/>
      <c r="H2928" s="12"/>
      <c r="I2928" s="8"/>
      <c r="J2928" s="12"/>
      <c r="K2928" s="8"/>
      <c r="L2928" s="8"/>
      <c r="M2928" s="8"/>
      <c r="N2928" s="8"/>
      <c r="O2928" s="8"/>
      <c r="P2928" s="8"/>
      <c r="Q2928" s="8"/>
      <c r="R2928" s="8"/>
      <c r="S2928" s="8"/>
      <c r="T2928" s="8"/>
      <c r="U2928" s="8"/>
      <c r="V2928" s="8"/>
      <c r="W2928" s="8"/>
    </row>
    <row r="2929" spans="1:24" ht="16" hidden="1" outlineLevel="1" thickBot="1" x14ac:dyDescent="0.4">
      <c r="A2929" s="1619" t="s">
        <v>25</v>
      </c>
      <c r="B2929" s="1996" t="s">
        <v>26</v>
      </c>
      <c r="C2929" s="1621" t="s">
        <v>27</v>
      </c>
      <c r="D2929" s="1622">
        <f>D2913+7</f>
        <v>44379</v>
      </c>
      <c r="E2929" s="1623" t="s">
        <v>28</v>
      </c>
      <c r="F2929" s="3036" t="s">
        <v>29</v>
      </c>
      <c r="G2929" s="3037"/>
      <c r="H2929" s="3038"/>
      <c r="I2929" s="1727"/>
      <c r="J2929" s="1182">
        <f>C2930</f>
        <v>34786</v>
      </c>
      <c r="K2929" s="1183" t="s">
        <v>233</v>
      </c>
      <c r="L2929">
        <v>192000</v>
      </c>
      <c r="O2929" s="3042" t="s">
        <v>31</v>
      </c>
      <c r="P2929" s="3043"/>
      <c r="T2929" s="247"/>
      <c r="U2929" s="1123"/>
      <c r="V2929" s="247"/>
    </row>
    <row r="2930" spans="1:24" ht="16" hidden="1" outlineLevel="1" thickBot="1" x14ac:dyDescent="0.4">
      <c r="A2930" s="1973" t="s">
        <v>32</v>
      </c>
      <c r="B2930" s="1997" t="str">
        <f ca="1">TEXT(TODAY(),"ddd")</f>
        <v>Sun</v>
      </c>
      <c r="C2930" s="1998">
        <v>34786</v>
      </c>
      <c r="D2930" s="1980">
        <f>C2930-C2914</f>
        <v>353</v>
      </c>
      <c r="E2930" s="1977">
        <f>(C2930-C2914)/C2914</f>
        <v>1.0251793337786426E-2</v>
      </c>
      <c r="F2930" s="3039"/>
      <c r="G2930" s="3040"/>
      <c r="H2930" s="3041"/>
      <c r="I2930" s="1602"/>
      <c r="J2930" s="1602">
        <f>C2931</f>
        <v>14639</v>
      </c>
      <c r="K2930" s="2061" t="s">
        <v>234</v>
      </c>
      <c r="L2930" s="2062" t="s">
        <v>34</v>
      </c>
      <c r="M2930" s="2063" t="s">
        <v>35</v>
      </c>
      <c r="N2930" s="2995"/>
      <c r="O2930" s="2996"/>
      <c r="P2930" s="2996"/>
      <c r="Q2930" s="2996"/>
      <c r="R2930" s="2996"/>
      <c r="S2930" s="2996"/>
      <c r="T2930" s="2996"/>
      <c r="U2930" s="3044"/>
    </row>
    <row r="2931" spans="1:24" hidden="1" outlineLevel="1" x14ac:dyDescent="0.35">
      <c r="A2931" s="1978" t="s">
        <v>36</v>
      </c>
      <c r="B2931" s="1979"/>
      <c r="C2931" s="1979">
        <v>14639</v>
      </c>
      <c r="D2931" s="1980">
        <f>C2931-C2915</f>
        <v>279</v>
      </c>
      <c r="E2931" s="1977">
        <f>(C2931-C2915)/C2915</f>
        <v>1.9428969359331475E-2</v>
      </c>
      <c r="F2931" s="1744" t="s">
        <v>37</v>
      </c>
      <c r="G2931" s="1745" t="s">
        <v>38</v>
      </c>
      <c r="H2931" s="1746" t="s">
        <v>144</v>
      </c>
      <c r="I2931" s="1747" t="s">
        <v>40</v>
      </c>
      <c r="J2931" s="2064" t="s">
        <v>41</v>
      </c>
      <c r="K2931" s="3033" t="s">
        <v>42</v>
      </c>
      <c r="L2931" s="3034"/>
      <c r="M2931" s="3034"/>
      <c r="N2931" s="2065" t="s">
        <v>244</v>
      </c>
      <c r="Q2931" s="1831" t="s">
        <v>44</v>
      </c>
      <c r="R2931" s="1832" t="s">
        <v>45</v>
      </c>
      <c r="S2931" s="1832" t="s">
        <v>46</v>
      </c>
      <c r="T2931" s="1832" t="s">
        <v>47</v>
      </c>
      <c r="U2931" s="1833" t="s">
        <v>48</v>
      </c>
      <c r="W2931" s="1919" t="s">
        <v>446</v>
      </c>
    </row>
    <row r="2932" spans="1:24" hidden="1" outlineLevel="1" x14ac:dyDescent="0.35">
      <c r="A2932" s="2042" t="s">
        <v>49</v>
      </c>
      <c r="B2932" s="1531">
        <v>100</v>
      </c>
      <c r="C2932" s="1643">
        <v>819.48</v>
      </c>
      <c r="D2932" s="2082">
        <f t="shared" ref="D2932:D2937" si="1014">C2932*B2932</f>
        <v>81948</v>
      </c>
      <c r="E2932" s="2110">
        <f t="shared" ref="E2932:E2937" si="1015">(C2932-C2916)/C2916</f>
        <v>7.6506752141243251E-2</v>
      </c>
      <c r="F2932" s="1146">
        <f>D2932/$D$2940</f>
        <v>0.41190724999585315</v>
      </c>
      <c r="G2932" s="2111">
        <v>94</v>
      </c>
      <c r="H2932" s="1820" t="s">
        <v>665</v>
      </c>
      <c r="I2932" s="2112">
        <v>1.0900000000000001</v>
      </c>
      <c r="J2932" s="2113">
        <v>15.87</v>
      </c>
      <c r="K2932" s="3032" t="s">
        <v>666</v>
      </c>
      <c r="L2932" s="3032"/>
      <c r="M2932" s="3032"/>
      <c r="N2932" s="2114"/>
      <c r="O2932" s="3"/>
      <c r="P2932" s="3"/>
      <c r="Q2932" s="2115"/>
      <c r="R2932" s="2116">
        <f>RIGHT(K2932,6)*B2932</f>
        <v>77222</v>
      </c>
      <c r="S2932" s="1223">
        <f>D2932</f>
        <v>81948</v>
      </c>
      <c r="T2932" s="1223">
        <f t="shared" ref="T2932:T2937" si="1016">S2932-R2932</f>
        <v>4726</v>
      </c>
      <c r="U2932" s="54">
        <f>(S2932-R2932)/R2932</f>
        <v>6.1200176115614721E-2</v>
      </c>
      <c r="V2932" s="2117" t="str">
        <f>A2932</f>
        <v>NVDA</v>
      </c>
      <c r="W2932" s="2118"/>
      <c r="X2932" s="4" t="s">
        <v>145</v>
      </c>
    </row>
    <row r="2933" spans="1:24" hidden="1" outlineLevel="1" x14ac:dyDescent="0.35">
      <c r="A2933" s="2147" t="s">
        <v>447</v>
      </c>
      <c r="B2933" s="2119">
        <v>50</v>
      </c>
      <c r="C2933" s="2083">
        <v>241</v>
      </c>
      <c r="D2933" s="2083">
        <f t="shared" si="1014"/>
        <v>12050</v>
      </c>
      <c r="E2933" s="2110">
        <f t="shared" si="1015"/>
        <v>-9.941664612603679E-3</v>
      </c>
      <c r="F2933" s="1146">
        <f t="shared" ref="F2933:F2937" si="1017">D2933/$D$2940</f>
        <v>6.0568682120979531E-2</v>
      </c>
      <c r="G2933" s="2150">
        <v>759</v>
      </c>
      <c r="H2933" s="1894" t="s">
        <v>667</v>
      </c>
      <c r="I2933" s="2122">
        <v>2.54</v>
      </c>
      <c r="J2933" s="2122">
        <v>5.16</v>
      </c>
      <c r="K2933" s="3032" t="s">
        <v>668</v>
      </c>
      <c r="L2933" s="3032"/>
      <c r="M2933" s="3032"/>
      <c r="N2933" s="46"/>
      <c r="Q2933" s="47"/>
      <c r="R2933" s="2116">
        <f>RIGHT(K2933,6)*B2933</f>
        <v>12239.5</v>
      </c>
      <c r="S2933" s="1223">
        <f t="shared" ref="S2933:S2937" si="1018">D2933</f>
        <v>12050</v>
      </c>
      <c r="T2933" s="1223">
        <f t="shared" si="1016"/>
        <v>-189.5</v>
      </c>
      <c r="U2933" s="54">
        <f t="shared" ref="U2933:U2937" si="1019">(S2933-R2933)/R2933</f>
        <v>-1.5482658605335185E-2</v>
      </c>
      <c r="V2933" s="2117" t="str">
        <f t="shared" ref="V2933:V2937" si="1020">A2933</f>
        <v>FVRR</v>
      </c>
      <c r="W2933" s="2088"/>
      <c r="X2933" s="2148" t="s">
        <v>669</v>
      </c>
    </row>
    <row r="2934" spans="1:24" hidden="1" outlineLevel="1" x14ac:dyDescent="0.35">
      <c r="A2934" s="2147" t="s">
        <v>593</v>
      </c>
      <c r="B2934" s="2119">
        <v>50</v>
      </c>
      <c r="C2934" s="2083">
        <v>242.56</v>
      </c>
      <c r="D2934" s="2083">
        <f t="shared" si="1014"/>
        <v>12128</v>
      </c>
      <c r="E2934" s="2110">
        <f t="shared" si="1015"/>
        <v>-1.4504530126355964E-2</v>
      </c>
      <c r="F2934" s="1146">
        <f t="shared" si="1017"/>
        <v>6.0960744959604955E-2</v>
      </c>
      <c r="G2934" s="2151">
        <v>3499</v>
      </c>
      <c r="H2934" s="1894" t="s">
        <v>670</v>
      </c>
      <c r="I2934" s="2122">
        <v>0.26</v>
      </c>
      <c r="J2934" s="2122">
        <v>9.52</v>
      </c>
      <c r="K2934" s="3032" t="s">
        <v>671</v>
      </c>
      <c r="L2934" s="3032"/>
      <c r="M2934" s="3032"/>
      <c r="N2934" s="46"/>
      <c r="Q2934" s="47"/>
      <c r="R2934" s="2116">
        <f t="shared" ref="R2934:R2937" si="1021">RIGHT(K2934,6)*B2934</f>
        <v>12348</v>
      </c>
      <c r="S2934" s="1223">
        <f t="shared" si="1018"/>
        <v>12128</v>
      </c>
      <c r="T2934" s="1223">
        <f t="shared" si="1016"/>
        <v>-220</v>
      </c>
      <c r="U2934" s="54">
        <f t="shared" si="1019"/>
        <v>-1.7816650469711693E-2</v>
      </c>
      <c r="V2934" s="2117" t="str">
        <f t="shared" si="1020"/>
        <v>OKTA</v>
      </c>
      <c r="W2934" s="2088"/>
      <c r="X2934" s="2148" t="s">
        <v>229</v>
      </c>
    </row>
    <row r="2935" spans="1:24" hidden="1" outlineLevel="1" x14ac:dyDescent="0.35">
      <c r="A2935" s="2147" t="s">
        <v>66</v>
      </c>
      <c r="B2935" s="2119">
        <v>50</v>
      </c>
      <c r="C2935" s="2083">
        <v>678.9</v>
      </c>
      <c r="D2935" s="2083">
        <f t="shared" si="1014"/>
        <v>33945</v>
      </c>
      <c r="E2935" s="2110">
        <f t="shared" si="1015"/>
        <v>1.0463333680622699E-2</v>
      </c>
      <c r="F2935" s="1146">
        <f t="shared" si="1017"/>
        <v>0.17062273150179669</v>
      </c>
      <c r="G2935" s="2150">
        <v>671</v>
      </c>
      <c r="H2935" s="1894" t="s">
        <v>21</v>
      </c>
      <c r="I2935" s="2122">
        <v>2.5299999999999998</v>
      </c>
      <c r="J2935" s="2122">
        <v>16.579999999999998</v>
      </c>
      <c r="K2935" s="3032" t="s">
        <v>672</v>
      </c>
      <c r="L2935" s="3032"/>
      <c r="M2935" s="3032"/>
      <c r="N2935" s="46"/>
      <c r="Q2935" s="47"/>
      <c r="R2935" s="2116">
        <f t="shared" si="1021"/>
        <v>34040.5</v>
      </c>
      <c r="S2935" s="1223">
        <f t="shared" si="1018"/>
        <v>33945</v>
      </c>
      <c r="T2935" s="1223">
        <f t="shared" si="1016"/>
        <v>-95.5</v>
      </c>
      <c r="U2935" s="54">
        <f t="shared" si="1019"/>
        <v>-2.8054817056153698E-3</v>
      </c>
      <c r="V2935" s="2117" t="str">
        <f t="shared" si="1020"/>
        <v>TSLA</v>
      </c>
      <c r="W2935" s="2088"/>
      <c r="X2935" s="2148" t="s">
        <v>216</v>
      </c>
    </row>
    <row r="2936" spans="1:24" hidden="1" outlineLevel="1" x14ac:dyDescent="0.35">
      <c r="A2936" s="2147" t="s">
        <v>673</v>
      </c>
      <c r="B2936" s="2119">
        <v>50</v>
      </c>
      <c r="C2936" s="2083">
        <v>217.75</v>
      </c>
      <c r="D2936" s="2083">
        <f t="shared" si="1014"/>
        <v>10887.5</v>
      </c>
      <c r="E2936" s="2110">
        <f t="shared" si="1015"/>
        <v>-4.7045951859956234E-2</v>
      </c>
      <c r="F2936" s="1146">
        <f t="shared" si="1017"/>
        <v>5.4725437891465945E-2</v>
      </c>
      <c r="G2936" s="2121">
        <v>23</v>
      </c>
      <c r="H2936" s="1894" t="s">
        <v>640</v>
      </c>
      <c r="I2936" s="2122">
        <v>-0.04</v>
      </c>
      <c r="J2936" s="2122">
        <v>1.84</v>
      </c>
      <c r="K2936" s="2983" t="s">
        <v>674</v>
      </c>
      <c r="L2936" s="2984"/>
      <c r="M2936" s="2149"/>
      <c r="N2936" s="46"/>
      <c r="Q2936" s="47"/>
      <c r="R2936" s="2116">
        <f t="shared" si="1021"/>
        <v>10854.5</v>
      </c>
      <c r="S2936" s="1223">
        <f t="shared" si="1018"/>
        <v>10887.5</v>
      </c>
      <c r="T2936" s="1223">
        <f t="shared" si="1016"/>
        <v>33</v>
      </c>
      <c r="U2936" s="54">
        <f t="shared" si="1019"/>
        <v>3.0402137362384265E-3</v>
      </c>
      <c r="V2936" s="2117" t="str">
        <f t="shared" si="1020"/>
        <v>BABA</v>
      </c>
      <c r="W2936" s="2088"/>
      <c r="X2936" s="2148" t="s">
        <v>216</v>
      </c>
    </row>
    <row r="2937" spans="1:24" hidden="1" outlineLevel="1" x14ac:dyDescent="0.35">
      <c r="A2937" s="2147" t="s">
        <v>135</v>
      </c>
      <c r="B2937" s="2119">
        <v>50</v>
      </c>
      <c r="C2937" s="2083">
        <v>631.44000000000005</v>
      </c>
      <c r="D2937" s="2083">
        <f t="shared" si="1014"/>
        <v>31572.000000000004</v>
      </c>
      <c r="E2937" s="2110">
        <f t="shared" si="1015"/>
        <v>1.5861937694308735E-3</v>
      </c>
      <c r="F2937" s="1146">
        <f t="shared" si="1017"/>
        <v>0.15869497360361542</v>
      </c>
      <c r="G2937" s="2121">
        <v>27</v>
      </c>
      <c r="H2937" s="1894" t="s">
        <v>634</v>
      </c>
      <c r="I2937" s="2122">
        <v>1.07</v>
      </c>
      <c r="J2937" s="2122">
        <v>6.71</v>
      </c>
      <c r="K2937" s="3032" t="s">
        <v>675</v>
      </c>
      <c r="L2937" s="3032"/>
      <c r="M2937" s="3032"/>
      <c r="N2937" s="46"/>
      <c r="Q2937" s="47"/>
      <c r="R2937" s="2116">
        <f t="shared" si="1021"/>
        <v>31669</v>
      </c>
      <c r="S2937" s="1223">
        <f t="shared" si="1018"/>
        <v>31572.000000000004</v>
      </c>
      <c r="T2937" s="1223">
        <f t="shared" si="1016"/>
        <v>-96.999999999996362</v>
      </c>
      <c r="U2937" s="54">
        <f t="shared" si="1019"/>
        <v>-3.0629322049953063E-3</v>
      </c>
      <c r="V2937" s="2117" t="str">
        <f t="shared" si="1020"/>
        <v>LRCX</v>
      </c>
      <c r="W2937" s="2088"/>
      <c r="X2937" s="4" t="s">
        <v>146</v>
      </c>
    </row>
    <row r="2938" spans="1:24" hidden="1" outlineLevel="1" x14ac:dyDescent="0.35">
      <c r="A2938" s="55" t="s">
        <v>7</v>
      </c>
      <c r="B2938" s="56"/>
      <c r="C2938" s="1881"/>
      <c r="D2938" s="57">
        <v>2293.2199999999998</v>
      </c>
      <c r="E2938" s="1977"/>
      <c r="F2938" s="1506">
        <f t="shared" ref="F2938:F2939" si="1022">D2938/$D$2830</f>
        <v>1.0717725693392058E-2</v>
      </c>
      <c r="G2938" s="2053"/>
      <c r="H2938" s="1789" t="s">
        <v>59</v>
      </c>
      <c r="I2938" s="2089"/>
      <c r="J2938" s="2068"/>
      <c r="K2938" s="58"/>
      <c r="L2938" s="58"/>
      <c r="M2938" s="58"/>
      <c r="R2938" s="2137">
        <f>SUM(R2932:R2934)</f>
        <v>101809.5</v>
      </c>
      <c r="S2938" s="2137"/>
      <c r="T2938" s="2137">
        <f>SUM(T2932:T2934)</f>
        <v>4316.5</v>
      </c>
      <c r="U2938" s="2137">
        <f>SUM(U2932:U2934)</f>
        <v>2.7900867040567847E-2</v>
      </c>
    </row>
    <row r="2939" spans="1:24" ht="16" hidden="1" outlineLevel="1" thickBot="1" x14ac:dyDescent="0.4">
      <c r="A2939" s="55" t="s">
        <v>60</v>
      </c>
      <c r="B2939" s="56"/>
      <c r="C2939" s="1881"/>
      <c r="D2939" s="57">
        <v>14123.98</v>
      </c>
      <c r="E2939" s="1977"/>
      <c r="F2939" s="1506">
        <f t="shared" si="1022"/>
        <v>6.6010650238073787E-2</v>
      </c>
      <c r="G2939" s="1734"/>
      <c r="H2939" s="1723" t="s">
        <v>61</v>
      </c>
      <c r="I2939" s="60">
        <v>0</v>
      </c>
      <c r="J2939" s="61"/>
      <c r="K2939" s="2090"/>
      <c r="L2939" s="2070"/>
      <c r="M2939" s="2070"/>
      <c r="Q2939" s="62"/>
      <c r="R2939" s="64"/>
      <c r="S2939" s="64"/>
      <c r="T2939" s="64"/>
      <c r="U2939" s="1553"/>
    </row>
    <row r="2940" spans="1:24" ht="19" hidden="1" outlineLevel="1" thickBot="1" x14ac:dyDescent="0.5">
      <c r="A2940" s="66" t="s">
        <v>62</v>
      </c>
      <c r="B2940" s="67"/>
      <c r="C2940" s="68">
        <f>SUM(D2932:D2937)</f>
        <v>182530.5</v>
      </c>
      <c r="D2940" s="84">
        <f>SUM(D2932:D2939)</f>
        <v>198947.7</v>
      </c>
      <c r="E2940" s="73">
        <f>(D2940-D2924)+I2939</f>
        <v>5220.0300000000279</v>
      </c>
      <c r="F2940" s="71"/>
      <c r="G2940" s="72" t="s">
        <v>63</v>
      </c>
      <c r="H2940" s="73">
        <f>E2940+E2924+E2908+E2893+E2873</f>
        <v>-2885.2199999999721</v>
      </c>
      <c r="I2940" s="74"/>
      <c r="J2940" s="75"/>
      <c r="K2940" s="2138" t="s">
        <v>67</v>
      </c>
      <c r="L2940" s="2139"/>
      <c r="M2940" s="2140"/>
      <c r="Q2940" s="105"/>
      <c r="S2940" s="1860"/>
      <c r="T2940" s="1860"/>
      <c r="U2940" s="2141"/>
    </row>
    <row r="2941" spans="1:24" hidden="1" outlineLevel="1" x14ac:dyDescent="0.35">
      <c r="A2941" s="2985" t="s">
        <v>677</v>
      </c>
      <c r="B2941" s="2985"/>
      <c r="C2941" s="2985"/>
      <c r="D2941" s="2985"/>
      <c r="E2941" s="2985"/>
      <c r="F2941" s="2985"/>
      <c r="G2941" s="2985"/>
      <c r="H2941" s="2985"/>
      <c r="I2941" s="2985"/>
      <c r="J2941" s="2985"/>
      <c r="K2941" s="2142" t="s">
        <v>69</v>
      </c>
      <c r="L2941" s="1865"/>
      <c r="M2941" s="2143"/>
      <c r="Q2941" s="105"/>
      <c r="S2941" s="1860"/>
      <c r="T2941" s="1860"/>
      <c r="U2941" s="1555"/>
    </row>
    <row r="2942" spans="1:24" hidden="1" outlineLevel="1" x14ac:dyDescent="0.35">
      <c r="A2942" s="2986"/>
      <c r="B2942" s="2986"/>
      <c r="C2942" s="2986"/>
      <c r="D2942" s="2986"/>
      <c r="E2942" s="2986"/>
      <c r="F2942" s="2986"/>
      <c r="G2942" s="2986"/>
      <c r="H2942" s="2986"/>
      <c r="I2942" s="2986"/>
      <c r="J2942" s="2986"/>
      <c r="K2942" s="2142" t="s">
        <v>70</v>
      </c>
      <c r="L2942" s="1865"/>
      <c r="M2942" s="2143"/>
      <c r="Q2942" s="105"/>
      <c r="S2942" s="1860"/>
      <c r="T2942" s="1860"/>
      <c r="U2942" s="1555"/>
    </row>
    <row r="2943" spans="1:24" ht="16" hidden="1" outlineLevel="1" thickBot="1" x14ac:dyDescent="0.4">
      <c r="A2943" s="2986"/>
      <c r="B2943" s="2986"/>
      <c r="C2943" s="2986"/>
      <c r="D2943" s="2986"/>
      <c r="E2943" s="2986"/>
      <c r="F2943" s="2986"/>
      <c r="G2943" s="2986"/>
      <c r="H2943" s="2986"/>
      <c r="I2943" s="2986"/>
      <c r="J2943" s="2986"/>
      <c r="K2943" s="2144" t="s">
        <v>71</v>
      </c>
      <c r="L2943" s="2145"/>
      <c r="M2943" s="2146"/>
      <c r="Q2943" s="102"/>
      <c r="R2943" s="40"/>
      <c r="S2943" s="2074"/>
      <c r="T2943" s="2074"/>
      <c r="U2943" s="2060"/>
    </row>
    <row r="2944" spans="1:24" hidden="1" outlineLevel="1" x14ac:dyDescent="0.35">
      <c r="A2944" s="8"/>
      <c r="B2944" s="9"/>
      <c r="C2944" s="8"/>
      <c r="D2944" s="8"/>
      <c r="E2944" s="8"/>
      <c r="F2944" s="10"/>
      <c r="G2944" s="11"/>
      <c r="H2944" s="12"/>
      <c r="I2944" s="8"/>
      <c r="J2944" s="12"/>
      <c r="K2944" s="8"/>
      <c r="L2944" s="8"/>
      <c r="M2944" s="8"/>
      <c r="N2944" s="8"/>
      <c r="O2944" s="8"/>
      <c r="P2944" s="8"/>
      <c r="Q2944" s="8"/>
      <c r="R2944" s="8"/>
      <c r="S2944" s="8"/>
      <c r="T2944" s="8"/>
      <c r="U2944" s="8"/>
      <c r="V2944" s="8"/>
      <c r="W2944" s="8"/>
    </row>
    <row r="2945" spans="1:24" ht="16" hidden="1" outlineLevel="1" thickBot="1" x14ac:dyDescent="0.4">
      <c r="A2945" s="1619" t="s">
        <v>25</v>
      </c>
      <c r="B2945" s="1996" t="s">
        <v>26</v>
      </c>
      <c r="C2945" s="1621" t="s">
        <v>27</v>
      </c>
      <c r="D2945" s="1622">
        <f>D2929+7</f>
        <v>44386</v>
      </c>
      <c r="E2945" s="1623" t="s">
        <v>28</v>
      </c>
      <c r="F2945" s="3036" t="s">
        <v>29</v>
      </c>
      <c r="G2945" s="3037"/>
      <c r="H2945" s="3038"/>
      <c r="I2945" s="1727"/>
      <c r="J2945" s="1182">
        <f>C2946</f>
        <v>34870</v>
      </c>
      <c r="K2945" s="1183" t="s">
        <v>233</v>
      </c>
      <c r="L2945">
        <v>192000</v>
      </c>
      <c r="O2945" s="3042" t="s">
        <v>31</v>
      </c>
      <c r="P2945" s="3043"/>
      <c r="T2945" s="247"/>
      <c r="U2945" s="1123"/>
      <c r="V2945" s="247"/>
    </row>
    <row r="2946" spans="1:24" ht="16" hidden="1" outlineLevel="1" thickBot="1" x14ac:dyDescent="0.4">
      <c r="A2946" s="1973" t="s">
        <v>32</v>
      </c>
      <c r="B2946" s="1997" t="str">
        <f ca="1">TEXT(TODAY(),"ddd")</f>
        <v>Sun</v>
      </c>
      <c r="C2946" s="1998">
        <v>34870</v>
      </c>
      <c r="D2946" s="1980">
        <f>C2946-C2930</f>
        <v>84</v>
      </c>
      <c r="E2946" s="1977">
        <f>(C2946-C2930)/C2930</f>
        <v>2.4147645604553555E-3</v>
      </c>
      <c r="F2946" s="3039"/>
      <c r="G2946" s="3040"/>
      <c r="H2946" s="3041"/>
      <c r="I2946" s="1602"/>
      <c r="J2946" s="1602">
        <f>C2947</f>
        <v>14701</v>
      </c>
      <c r="K2946" s="2061" t="s">
        <v>234</v>
      </c>
      <c r="L2946" s="2062" t="s">
        <v>34</v>
      </c>
      <c r="M2946" s="2063" t="s">
        <v>35</v>
      </c>
      <c r="N2946" s="2995"/>
      <c r="O2946" s="2996"/>
      <c r="P2946" s="2996"/>
      <c r="Q2946" s="2996"/>
      <c r="R2946" s="2996"/>
      <c r="S2946" s="2996"/>
      <c r="T2946" s="2996"/>
      <c r="U2946" s="3044"/>
    </row>
    <row r="2947" spans="1:24" hidden="1" outlineLevel="1" x14ac:dyDescent="0.35">
      <c r="A2947" s="1978" t="s">
        <v>36</v>
      </c>
      <c r="B2947" s="1979"/>
      <c r="C2947" s="1979">
        <v>14701</v>
      </c>
      <c r="D2947" s="1980">
        <f>C2947-C2931</f>
        <v>62</v>
      </c>
      <c r="E2947" s="1977">
        <f>(C2947-C2931)/C2931</f>
        <v>4.2352619714461368E-3</v>
      </c>
      <c r="F2947" s="1744" t="s">
        <v>37</v>
      </c>
      <c r="G2947" s="1745" t="s">
        <v>38</v>
      </c>
      <c r="H2947" s="1746" t="s">
        <v>144</v>
      </c>
      <c r="I2947" s="1747" t="s">
        <v>40</v>
      </c>
      <c r="J2947" s="2064" t="s">
        <v>41</v>
      </c>
      <c r="K2947" s="3033" t="s">
        <v>42</v>
      </c>
      <c r="L2947" s="3034"/>
      <c r="M2947" s="3034"/>
      <c r="N2947" s="2065" t="s">
        <v>244</v>
      </c>
      <c r="Q2947" s="1831" t="s">
        <v>44</v>
      </c>
      <c r="R2947" s="1832" t="s">
        <v>45</v>
      </c>
      <c r="S2947" s="1832" t="s">
        <v>46</v>
      </c>
      <c r="T2947" s="1832" t="s">
        <v>47</v>
      </c>
      <c r="U2947" s="1833" t="s">
        <v>48</v>
      </c>
      <c r="W2947" s="1919" t="s">
        <v>446</v>
      </c>
    </row>
    <row r="2948" spans="1:24" hidden="1" outlineLevel="1" x14ac:dyDescent="0.35">
      <c r="A2948" s="2042" t="s">
        <v>49</v>
      </c>
      <c r="B2948" s="1531">
        <v>112</v>
      </c>
      <c r="C2948" s="1643">
        <v>802.01</v>
      </c>
      <c r="D2948" s="2082">
        <f t="shared" ref="D2948:D2952" si="1023">C2948*B2948</f>
        <v>89825.12</v>
      </c>
      <c r="E2948" s="2110">
        <f t="shared" ref="E2948:E2951" si="1024">(C2948-C2932)/C2932</f>
        <v>-2.1318397032264395E-2</v>
      </c>
      <c r="F2948" s="1146">
        <f>D2948/$D$2940</f>
        <v>0.45150117342397017</v>
      </c>
      <c r="G2948" s="2111">
        <v>94</v>
      </c>
      <c r="H2948" s="1820" t="s">
        <v>665</v>
      </c>
      <c r="I2948" s="2112">
        <v>1.0900000000000001</v>
      </c>
      <c r="J2948" s="2113">
        <v>15.87</v>
      </c>
      <c r="K2948" s="3032" t="s">
        <v>666</v>
      </c>
      <c r="L2948" s="3032"/>
      <c r="M2948" s="3032"/>
      <c r="N2948" s="2114"/>
      <c r="O2948" s="3"/>
      <c r="P2948" s="3"/>
      <c r="Q2948" s="2115"/>
      <c r="R2948" s="2116">
        <f>RIGHT(K2948,6)*B2948</f>
        <v>86488.639999999999</v>
      </c>
      <c r="S2948" s="1223">
        <f>D2948</f>
        <v>89825.12</v>
      </c>
      <c r="T2948" s="1223">
        <f t="shared" ref="T2948:T2952" si="1025">S2948-R2948</f>
        <v>3336.4799999999959</v>
      </c>
      <c r="U2948" s="54">
        <f>(S2948-R2948)/R2948</f>
        <v>3.8577089430473131E-2</v>
      </c>
      <c r="V2948" s="2117" t="str">
        <f>A2948</f>
        <v>NVDA</v>
      </c>
      <c r="W2948" s="2118"/>
      <c r="X2948" s="4" t="s">
        <v>145</v>
      </c>
    </row>
    <row r="2949" spans="1:24" hidden="1" outlineLevel="1" x14ac:dyDescent="0.35">
      <c r="A2949" s="2147" t="s">
        <v>447</v>
      </c>
      <c r="B2949" s="2119">
        <v>50</v>
      </c>
      <c r="C2949" s="2083">
        <v>240.82</v>
      </c>
      <c r="D2949" s="2083">
        <f t="shared" si="1023"/>
        <v>12041</v>
      </c>
      <c r="E2949" s="2110">
        <f t="shared" si="1024"/>
        <v>-7.4688796680500759E-4</v>
      </c>
      <c r="F2949" s="1146">
        <f t="shared" ref="F2949:F2952" si="1026">D2949/$D$2940</f>
        <v>6.0523444101138135E-2</v>
      </c>
      <c r="G2949" s="2150">
        <v>759</v>
      </c>
      <c r="H2949" s="1894" t="s">
        <v>667</v>
      </c>
      <c r="I2949" s="2122">
        <v>2.54</v>
      </c>
      <c r="J2949" s="2122">
        <v>5.16</v>
      </c>
      <c r="K2949" s="3032" t="s">
        <v>668</v>
      </c>
      <c r="L2949" s="3032"/>
      <c r="M2949" s="3032"/>
      <c r="N2949" s="46"/>
      <c r="Q2949" s="47"/>
      <c r="R2949" s="2116">
        <f>RIGHT(K2949,6)*B2949</f>
        <v>12239.5</v>
      </c>
      <c r="S2949" s="1223">
        <f t="shared" ref="S2949:S2952" si="1027">D2949</f>
        <v>12041</v>
      </c>
      <c r="T2949" s="1223">
        <f t="shared" si="1025"/>
        <v>-198.5</v>
      </c>
      <c r="U2949" s="54">
        <f t="shared" ref="U2949:U2952" si="1028">(S2949-R2949)/R2949</f>
        <v>-1.621798276073369E-2</v>
      </c>
      <c r="V2949" s="2117" t="str">
        <f t="shared" ref="V2949:V2952" si="1029">A2949</f>
        <v>FVRR</v>
      </c>
      <c r="W2949" s="2088"/>
      <c r="X2949" s="2148" t="s">
        <v>669</v>
      </c>
    </row>
    <row r="2950" spans="1:24" hidden="1" outlineLevel="1" x14ac:dyDescent="0.35">
      <c r="A2950" s="2147" t="s">
        <v>593</v>
      </c>
      <c r="B2950" s="2119">
        <v>50</v>
      </c>
      <c r="C2950" s="2083">
        <v>251.84</v>
      </c>
      <c r="D2950" s="2083">
        <f t="shared" si="1023"/>
        <v>12592</v>
      </c>
      <c r="E2950" s="2110">
        <f t="shared" si="1024"/>
        <v>3.8258575197889187E-2</v>
      </c>
      <c r="F2950" s="1146">
        <f t="shared" si="1026"/>
        <v>6.3293016204761354E-2</v>
      </c>
      <c r="G2950" s="2151">
        <v>3499</v>
      </c>
      <c r="H2950" s="1894" t="s">
        <v>670</v>
      </c>
      <c r="I2950" s="2122">
        <v>0.26</v>
      </c>
      <c r="J2950" s="2122">
        <v>9.52</v>
      </c>
      <c r="K2950" s="3032" t="s">
        <v>671</v>
      </c>
      <c r="L2950" s="3032"/>
      <c r="M2950" s="3032"/>
      <c r="N2950" s="46"/>
      <c r="Q2950" s="47"/>
      <c r="R2950" s="2116">
        <f t="shared" ref="R2950:R2952" si="1030">RIGHT(K2950,6)*B2950</f>
        <v>12348</v>
      </c>
      <c r="S2950" s="1223">
        <f t="shared" si="1027"/>
        <v>12592</v>
      </c>
      <c r="T2950" s="1223">
        <f t="shared" si="1025"/>
        <v>244</v>
      </c>
      <c r="U2950" s="54">
        <f t="shared" si="1028"/>
        <v>1.9760285066407514E-2</v>
      </c>
      <c r="V2950" s="2117" t="str">
        <f t="shared" si="1029"/>
        <v>OKTA</v>
      </c>
      <c r="W2950" s="2088"/>
      <c r="X2950" s="2148" t="s">
        <v>229</v>
      </c>
    </row>
    <row r="2951" spans="1:24" hidden="1" outlineLevel="1" x14ac:dyDescent="0.35">
      <c r="A2951" s="2147" t="s">
        <v>66</v>
      </c>
      <c r="B2951" s="2119">
        <v>50</v>
      </c>
      <c r="C2951" s="2083">
        <v>656.95</v>
      </c>
      <c r="D2951" s="2083">
        <f t="shared" si="1023"/>
        <v>32847.5</v>
      </c>
      <c r="E2951" s="2110">
        <f t="shared" si="1024"/>
        <v>-3.2331713065252517E-2</v>
      </c>
      <c r="F2951" s="1146">
        <f t="shared" si="1026"/>
        <v>0.16510620630447095</v>
      </c>
      <c r="G2951" s="2150">
        <v>671</v>
      </c>
      <c r="H2951" s="1894" t="s">
        <v>21</v>
      </c>
      <c r="I2951" s="2122">
        <v>2.5299999999999998</v>
      </c>
      <c r="J2951" s="2122">
        <v>16.579999999999998</v>
      </c>
      <c r="K2951" s="3032" t="s">
        <v>672</v>
      </c>
      <c r="L2951" s="3032"/>
      <c r="M2951" s="3032"/>
      <c r="N2951" s="46"/>
      <c r="Q2951" s="47"/>
      <c r="R2951" s="2116">
        <f t="shared" si="1030"/>
        <v>34040.5</v>
      </c>
      <c r="S2951" s="1223">
        <f t="shared" si="1027"/>
        <v>32847.5</v>
      </c>
      <c r="T2951" s="1223">
        <f t="shared" si="1025"/>
        <v>-1193</v>
      </c>
      <c r="U2951" s="54">
        <f t="shared" si="1028"/>
        <v>-3.5046488741352209E-2</v>
      </c>
      <c r="V2951" s="2117" t="str">
        <f t="shared" si="1029"/>
        <v>TSLA</v>
      </c>
      <c r="W2951" s="2088"/>
      <c r="X2951" s="2148" t="s">
        <v>216</v>
      </c>
    </row>
    <row r="2952" spans="1:24" hidden="1" outlineLevel="1" x14ac:dyDescent="0.35">
      <c r="A2952" s="2147" t="s">
        <v>135</v>
      </c>
      <c r="B2952" s="2119">
        <v>50</v>
      </c>
      <c r="C2952" s="2083">
        <v>612.85</v>
      </c>
      <c r="D2952" s="2083">
        <f t="shared" si="1023"/>
        <v>30642.5</v>
      </c>
      <c r="E2952" s="2110">
        <f>(C2952-C2937)/C2937</f>
        <v>-2.9440643608260531E-2</v>
      </c>
      <c r="F2952" s="1146">
        <f t="shared" si="1026"/>
        <v>0.15402289144332906</v>
      </c>
      <c r="G2952" s="2121">
        <v>27</v>
      </c>
      <c r="H2952" s="1894" t="s">
        <v>634</v>
      </c>
      <c r="I2952" s="2122">
        <v>1.07</v>
      </c>
      <c r="J2952" s="2122">
        <v>6.71</v>
      </c>
      <c r="K2952" s="3032" t="s">
        <v>675</v>
      </c>
      <c r="L2952" s="3032"/>
      <c r="M2952" s="3032"/>
      <c r="N2952" s="46"/>
      <c r="Q2952" s="47"/>
      <c r="R2952" s="2116">
        <f t="shared" si="1030"/>
        <v>31669</v>
      </c>
      <c r="S2952" s="1223">
        <f t="shared" si="1027"/>
        <v>30642.5</v>
      </c>
      <c r="T2952" s="1223">
        <f t="shared" si="1025"/>
        <v>-1026.5</v>
      </c>
      <c r="U2952" s="54">
        <f t="shared" si="1028"/>
        <v>-3.2413401117812372E-2</v>
      </c>
      <c r="V2952" s="2117" t="str">
        <f t="shared" si="1029"/>
        <v>LRCX</v>
      </c>
      <c r="W2952" s="2088"/>
      <c r="X2952" s="4" t="s">
        <v>146</v>
      </c>
    </row>
    <row r="2953" spans="1:24" hidden="1" outlineLevel="1" x14ac:dyDescent="0.35">
      <c r="A2953" s="2147"/>
      <c r="B2953" s="2119"/>
      <c r="C2953" s="2083"/>
      <c r="D2953" s="2083"/>
      <c r="E2953" s="2110"/>
      <c r="F2953" s="1146"/>
      <c r="G2953" s="2121"/>
      <c r="H2953" s="1894"/>
      <c r="I2953" s="2122"/>
      <c r="J2953" s="2122"/>
      <c r="K2953" s="3032"/>
      <c r="L2953" s="3032"/>
      <c r="M2953" s="3032"/>
      <c r="N2953" s="46"/>
      <c r="Q2953" s="47"/>
      <c r="R2953" s="2116"/>
      <c r="S2953" s="1223"/>
      <c r="T2953" s="1223"/>
      <c r="U2953" s="54"/>
      <c r="V2953" s="2117"/>
      <c r="W2953" s="2088"/>
      <c r="X2953" s="4"/>
    </row>
    <row r="2954" spans="1:24" hidden="1" outlineLevel="1" x14ac:dyDescent="0.35">
      <c r="A2954" s="55" t="s">
        <v>7</v>
      </c>
      <c r="B2954" s="56"/>
      <c r="C2954" s="1881"/>
      <c r="D2954" s="57">
        <v>2305.81</v>
      </c>
      <c r="E2954" s="1977"/>
      <c r="F2954" s="1506">
        <f t="shared" ref="F2954:F2955" si="1031">D2954/$D$2830</f>
        <v>1.077656704593556E-2</v>
      </c>
      <c r="G2954" s="2053"/>
      <c r="H2954" s="1789" t="s">
        <v>59</v>
      </c>
      <c r="I2954" s="2089"/>
      <c r="J2954" s="2068"/>
      <c r="K2954" s="58"/>
      <c r="L2954" s="58"/>
      <c r="M2954" s="58"/>
      <c r="R2954" s="2137">
        <f>SUM(R2948:R2950)</f>
        <v>111076.14</v>
      </c>
      <c r="S2954" s="2137"/>
      <c r="T2954" s="2137">
        <f>SUM(T2948:T2950)</f>
        <v>3381.9799999999959</v>
      </c>
      <c r="U2954" s="2137">
        <f>SUM(U2948:U2950)</f>
        <v>4.2119391736146955E-2</v>
      </c>
    </row>
    <row r="2955" spans="1:24" ht="16" hidden="1" outlineLevel="1" thickBot="1" x14ac:dyDescent="0.4">
      <c r="A2955" s="55" t="s">
        <v>60</v>
      </c>
      <c r="B2955" s="56"/>
      <c r="C2955" s="1881"/>
      <c r="D2955" s="57">
        <v>14288.83</v>
      </c>
      <c r="E2955" s="1977"/>
      <c r="F2955" s="1506">
        <f t="shared" si="1031"/>
        <v>6.678110273742216E-2</v>
      </c>
      <c r="G2955" s="1734"/>
      <c r="H2955" s="1723" t="s">
        <v>61</v>
      </c>
      <c r="I2955" s="60">
        <v>500</v>
      </c>
      <c r="J2955" s="61"/>
      <c r="K2955" s="2090"/>
      <c r="L2955" s="2070"/>
      <c r="M2955" s="2070"/>
      <c r="Q2955" s="62"/>
      <c r="R2955" s="64"/>
      <c r="S2955" s="64"/>
      <c r="T2955" s="64"/>
      <c r="U2955" s="1553"/>
    </row>
    <row r="2956" spans="1:24" ht="19" hidden="1" outlineLevel="1" thickBot="1" x14ac:dyDescent="0.5">
      <c r="A2956" s="66" t="s">
        <v>62</v>
      </c>
      <c r="B2956" s="67"/>
      <c r="C2956" s="68">
        <f>SUM(D2948:D2953)</f>
        <v>177948.12</v>
      </c>
      <c r="D2956" s="84">
        <f>SUM(D2948:D2955)</f>
        <v>194542.75999999998</v>
      </c>
      <c r="E2956" s="73">
        <f>(D2956-D2940)+I2955</f>
        <v>-3904.9400000000314</v>
      </c>
      <c r="F2956" s="71"/>
      <c r="G2956" s="72" t="s">
        <v>63</v>
      </c>
      <c r="H2956" s="73">
        <f>E2956+E2940+E2924+E2908+E2893</f>
        <v>-5347.8500000000058</v>
      </c>
      <c r="I2956" s="74"/>
      <c r="J2956" s="75"/>
      <c r="K2956" s="2138" t="s">
        <v>67</v>
      </c>
      <c r="L2956" s="2139"/>
      <c r="M2956" s="2140"/>
      <c r="Q2956" s="105"/>
      <c r="S2956" s="1860"/>
      <c r="T2956" s="1860"/>
      <c r="U2956" s="2141"/>
    </row>
    <row r="2957" spans="1:24" hidden="1" outlineLevel="1" x14ac:dyDescent="0.35">
      <c r="A2957" s="2985" t="s">
        <v>677</v>
      </c>
      <c r="B2957" s="2985"/>
      <c r="C2957" s="2985"/>
      <c r="D2957" s="2985"/>
      <c r="E2957" s="2985"/>
      <c r="F2957" s="2985"/>
      <c r="G2957" s="2985"/>
      <c r="H2957" s="2985"/>
      <c r="I2957" s="2985"/>
      <c r="J2957" s="2985"/>
      <c r="K2957" s="2142" t="s">
        <v>69</v>
      </c>
      <c r="L2957" s="1865"/>
      <c r="M2957" s="2143"/>
      <c r="Q2957" s="105"/>
      <c r="S2957" s="1860"/>
      <c r="T2957" s="1860"/>
      <c r="U2957" s="1555"/>
    </row>
    <row r="2958" spans="1:24" hidden="1" outlineLevel="1" x14ac:dyDescent="0.35">
      <c r="A2958" s="2986"/>
      <c r="B2958" s="2986"/>
      <c r="C2958" s="2986"/>
      <c r="D2958" s="2986"/>
      <c r="E2958" s="2986"/>
      <c r="F2958" s="2986"/>
      <c r="G2958" s="2986"/>
      <c r="H2958" s="2986"/>
      <c r="I2958" s="2986"/>
      <c r="J2958" s="2986"/>
      <c r="K2958" s="2142" t="s">
        <v>70</v>
      </c>
      <c r="L2958" s="1865"/>
      <c r="M2958" s="2143"/>
      <c r="Q2958" s="105"/>
      <c r="S2958" s="1860"/>
      <c r="T2958" s="1860"/>
      <c r="U2958" s="1555"/>
    </row>
    <row r="2959" spans="1:24" ht="16" hidden="1" outlineLevel="1" thickBot="1" x14ac:dyDescent="0.4">
      <c r="A2959" s="2986"/>
      <c r="B2959" s="2986"/>
      <c r="C2959" s="2986"/>
      <c r="D2959" s="2986"/>
      <c r="E2959" s="2986"/>
      <c r="F2959" s="2986"/>
      <c r="G2959" s="2986"/>
      <c r="H2959" s="2986"/>
      <c r="I2959" s="2986"/>
      <c r="J2959" s="2986"/>
      <c r="K2959" s="2144" t="s">
        <v>71</v>
      </c>
      <c r="L2959" s="2145"/>
      <c r="M2959" s="2146"/>
      <c r="Q2959" s="102"/>
      <c r="R2959" s="40"/>
      <c r="S2959" s="2074"/>
      <c r="T2959" s="2074"/>
      <c r="U2959" s="2060"/>
    </row>
    <row r="2960" spans="1:24" hidden="1" outlineLevel="1" x14ac:dyDescent="0.35">
      <c r="A2960" s="8"/>
      <c r="B2960" s="9"/>
      <c r="C2960" s="8"/>
      <c r="D2960" s="8"/>
      <c r="E2960" s="8"/>
      <c r="F2960" s="10"/>
      <c r="G2960" s="11"/>
      <c r="H2960" s="12"/>
      <c r="I2960" s="8"/>
      <c r="J2960" s="12"/>
      <c r="K2960" s="8"/>
      <c r="L2960" s="8"/>
      <c r="M2960" s="8"/>
      <c r="N2960" s="8"/>
      <c r="O2960" s="8"/>
      <c r="P2960" s="8"/>
      <c r="Q2960" s="8"/>
      <c r="R2960" s="8"/>
      <c r="S2960" s="8"/>
      <c r="T2960" s="8"/>
      <c r="U2960" s="8"/>
      <c r="V2960" s="8"/>
      <c r="W2960" s="8"/>
    </row>
    <row r="2961" spans="1:24" ht="16" hidden="1" outlineLevel="1" thickBot="1" x14ac:dyDescent="0.4">
      <c r="A2961" s="1619" t="s">
        <v>25</v>
      </c>
      <c r="B2961" s="1996" t="s">
        <v>26</v>
      </c>
      <c r="C2961" s="1621" t="s">
        <v>27</v>
      </c>
      <c r="D2961" s="1622">
        <f>D2945+7</f>
        <v>44393</v>
      </c>
      <c r="E2961" s="1623" t="s">
        <v>28</v>
      </c>
      <c r="F2961" s="3036" t="s">
        <v>29</v>
      </c>
      <c r="G2961" s="3037"/>
      <c r="H2961" s="3038"/>
      <c r="I2961" s="1727"/>
      <c r="J2961" s="1182">
        <f>C2962</f>
        <v>34918</v>
      </c>
      <c r="K2961" s="1183" t="s">
        <v>233</v>
      </c>
      <c r="L2961">
        <v>192000</v>
      </c>
      <c r="O2961" s="3042" t="s">
        <v>31</v>
      </c>
      <c r="P2961" s="3043"/>
      <c r="T2961" s="247"/>
      <c r="U2961" s="1123"/>
      <c r="V2961" s="247"/>
    </row>
    <row r="2962" spans="1:24" ht="16" hidden="1" outlineLevel="1" thickBot="1" x14ac:dyDescent="0.4">
      <c r="A2962" s="1973" t="s">
        <v>32</v>
      </c>
      <c r="B2962" s="1997" t="str">
        <f ca="1">TEXT(TODAY(),"ddd")</f>
        <v>Sun</v>
      </c>
      <c r="C2962" s="1998">
        <v>34918</v>
      </c>
      <c r="D2962" s="1980">
        <f>C2962-C2946</f>
        <v>48</v>
      </c>
      <c r="E2962" s="1977">
        <f>(C2962-C2946)/C2946</f>
        <v>1.3765414396329223E-3</v>
      </c>
      <c r="F2962" s="3039"/>
      <c r="G2962" s="3040"/>
      <c r="H2962" s="3041"/>
      <c r="I2962" s="1602"/>
      <c r="J2962" s="1602">
        <f>C2963</f>
        <v>14497</v>
      </c>
      <c r="K2962" s="2061" t="s">
        <v>234</v>
      </c>
      <c r="L2962" s="2062" t="s">
        <v>34</v>
      </c>
      <c r="M2962" s="2063" t="s">
        <v>35</v>
      </c>
      <c r="N2962" s="2995"/>
      <c r="O2962" s="2996"/>
      <c r="P2962" s="2996"/>
      <c r="Q2962" s="2996"/>
      <c r="R2962" s="2996"/>
      <c r="S2962" s="2996"/>
      <c r="T2962" s="2996"/>
      <c r="U2962" s="3044"/>
    </row>
    <row r="2963" spans="1:24" hidden="1" outlineLevel="1" x14ac:dyDescent="0.35">
      <c r="A2963" s="1978" t="s">
        <v>36</v>
      </c>
      <c r="B2963" s="1979"/>
      <c r="C2963" s="1979">
        <v>14497</v>
      </c>
      <c r="D2963" s="1980">
        <f>C2963-C2947</f>
        <v>-204</v>
      </c>
      <c r="E2963" s="1977">
        <f>(C2963-C2947)/C2947</f>
        <v>-1.3876607033535134E-2</v>
      </c>
      <c r="F2963" s="1744" t="s">
        <v>37</v>
      </c>
      <c r="G2963" s="1745" t="s">
        <v>38</v>
      </c>
      <c r="H2963" s="1746" t="s">
        <v>144</v>
      </c>
      <c r="I2963" s="1747" t="s">
        <v>40</v>
      </c>
      <c r="J2963" s="2064" t="s">
        <v>41</v>
      </c>
      <c r="K2963" s="3033" t="s">
        <v>42</v>
      </c>
      <c r="L2963" s="3034"/>
      <c r="M2963" s="3034"/>
      <c r="N2963" s="2065" t="s">
        <v>244</v>
      </c>
      <c r="Q2963" s="1831" t="s">
        <v>44</v>
      </c>
      <c r="R2963" s="1832" t="s">
        <v>45</v>
      </c>
      <c r="S2963" s="1832" t="s">
        <v>46</v>
      </c>
      <c r="T2963" s="1832" t="s">
        <v>47</v>
      </c>
      <c r="U2963" s="1833" t="s">
        <v>48</v>
      </c>
      <c r="W2963" s="1919" t="s">
        <v>446</v>
      </c>
    </row>
    <row r="2964" spans="1:24" hidden="1" outlineLevel="1" x14ac:dyDescent="0.35">
      <c r="A2964" s="2152" t="s">
        <v>49</v>
      </c>
      <c r="B2964" s="1300">
        <v>112</v>
      </c>
      <c r="C2964" s="2153">
        <v>757.4</v>
      </c>
      <c r="D2964" s="2154">
        <f t="shared" ref="D2964:D2968" si="1032">C2964*B2964</f>
        <v>84828.800000000003</v>
      </c>
      <c r="E2964" s="2155">
        <f t="shared" ref="E2964:E2966" si="1033">(C2964-C2948)/C2948</f>
        <v>-5.5622747846036852E-2</v>
      </c>
      <c r="F2964" s="2156">
        <f>D2964/$D$2940</f>
        <v>0.42638743750241898</v>
      </c>
      <c r="G2964" s="2157">
        <v>94</v>
      </c>
      <c r="H2964" s="1820" t="s">
        <v>665</v>
      </c>
      <c r="I2964" s="2112">
        <v>1.0900000000000001</v>
      </c>
      <c r="J2964" s="2113">
        <v>15.87</v>
      </c>
      <c r="K2964" s="3032" t="s">
        <v>666</v>
      </c>
      <c r="L2964" s="3032"/>
      <c r="M2964" s="3032"/>
      <c r="N2964" s="2114"/>
      <c r="O2964" s="3"/>
      <c r="P2964" s="3"/>
      <c r="Q2964" s="2115"/>
      <c r="R2964" s="2116">
        <f>RIGHT(K2964,6)*B2964</f>
        <v>86488.639999999999</v>
      </c>
      <c r="S2964" s="1223">
        <f>D2964</f>
        <v>84828.800000000003</v>
      </c>
      <c r="T2964" s="1223">
        <f t="shared" ref="T2964:T2968" si="1034">S2964-R2964</f>
        <v>-1659.8399999999965</v>
      </c>
      <c r="U2964" s="54">
        <f>(S2964-R2964)/R2964</f>
        <v>-1.9191422133588834E-2</v>
      </c>
      <c r="V2964" s="2117" t="str">
        <f>A2964</f>
        <v>NVDA</v>
      </c>
      <c r="W2964" s="2118"/>
      <c r="X2964" s="4" t="s">
        <v>145</v>
      </c>
    </row>
    <row r="2965" spans="1:24" hidden="1" outlineLevel="1" x14ac:dyDescent="0.35">
      <c r="A2965" s="2158" t="s">
        <v>447</v>
      </c>
      <c r="B2965" s="2159">
        <v>50</v>
      </c>
      <c r="C2965" s="2160">
        <v>209.75</v>
      </c>
      <c r="D2965" s="2160">
        <f t="shared" si="1032"/>
        <v>10487.5</v>
      </c>
      <c r="E2965" s="2155">
        <f t="shared" si="1033"/>
        <v>-0.12901752346150649</v>
      </c>
      <c r="F2965" s="2156">
        <f t="shared" ref="F2965:F2968" si="1035">D2965/$D$2940</f>
        <v>5.271485923184837E-2</v>
      </c>
      <c r="G2965" s="2161">
        <v>759</v>
      </c>
      <c r="H2965" s="1894" t="s">
        <v>667</v>
      </c>
      <c r="I2965" s="2122">
        <v>2.54</v>
      </c>
      <c r="J2965" s="2122">
        <v>5.16</v>
      </c>
      <c r="K2965" s="3032" t="s">
        <v>668</v>
      </c>
      <c r="L2965" s="3032"/>
      <c r="M2965" s="3032"/>
      <c r="N2965" s="46"/>
      <c r="Q2965" s="47"/>
      <c r="R2965" s="2116">
        <f>RIGHT(K2965,6)*B2965</f>
        <v>12239.5</v>
      </c>
      <c r="S2965" s="1223">
        <f t="shared" ref="S2965:S2968" si="1036">D2965</f>
        <v>10487.5</v>
      </c>
      <c r="T2965" s="1223">
        <f t="shared" si="1034"/>
        <v>-1752</v>
      </c>
      <c r="U2965" s="54">
        <f t="shared" ref="U2965:U2968" si="1037">(S2965-R2965)/R2965</f>
        <v>-0.14314310225090895</v>
      </c>
      <c r="V2965" s="2117" t="str">
        <f t="shared" ref="V2965:V2968" si="1038">A2965</f>
        <v>FVRR</v>
      </c>
      <c r="W2965" s="2088"/>
      <c r="X2965" s="2148" t="s">
        <v>669</v>
      </c>
    </row>
    <row r="2966" spans="1:24" hidden="1" outlineLevel="1" x14ac:dyDescent="0.35">
      <c r="A2966" s="2158" t="s">
        <v>593</v>
      </c>
      <c r="B2966" s="2159">
        <v>50</v>
      </c>
      <c r="C2966" s="2160">
        <v>236.13</v>
      </c>
      <c r="D2966" s="2160">
        <f t="shared" si="1032"/>
        <v>11806.5</v>
      </c>
      <c r="E2966" s="2155">
        <f t="shared" si="1033"/>
        <v>-6.2380876747141073E-2</v>
      </c>
      <c r="F2966" s="2156">
        <f t="shared" si="1035"/>
        <v>5.9344742361937333E-2</v>
      </c>
      <c r="G2966" s="2162">
        <v>3499</v>
      </c>
      <c r="H2966" s="1894" t="s">
        <v>670</v>
      </c>
      <c r="I2966" s="2122">
        <v>0.26</v>
      </c>
      <c r="J2966" s="2122">
        <v>9.52</v>
      </c>
      <c r="K2966" s="3032" t="s">
        <v>671</v>
      </c>
      <c r="L2966" s="3032"/>
      <c r="M2966" s="3032"/>
      <c r="N2966" s="46"/>
      <c r="Q2966" s="47"/>
      <c r="R2966" s="2116">
        <f t="shared" ref="R2966:R2968" si="1039">RIGHT(K2966,6)*B2966</f>
        <v>12348</v>
      </c>
      <c r="S2966" s="1223">
        <f t="shared" si="1036"/>
        <v>11806.5</v>
      </c>
      <c r="T2966" s="1223">
        <f t="shared" si="1034"/>
        <v>-541.5</v>
      </c>
      <c r="U2966" s="54">
        <f t="shared" si="1037"/>
        <v>-4.3853255587949468E-2</v>
      </c>
      <c r="V2966" s="2117" t="str">
        <f t="shared" si="1038"/>
        <v>OKTA</v>
      </c>
      <c r="W2966" s="2088"/>
      <c r="X2966" s="2148" t="s">
        <v>229</v>
      </c>
    </row>
    <row r="2967" spans="1:24" hidden="1" outlineLevel="1" x14ac:dyDescent="0.35">
      <c r="A2967" s="2158" t="s">
        <v>66</v>
      </c>
      <c r="B2967" s="2159">
        <v>50</v>
      </c>
      <c r="C2967" s="2160">
        <v>642</v>
      </c>
      <c r="D2967" s="2160">
        <f t="shared" si="1032"/>
        <v>32100</v>
      </c>
      <c r="E2967" s="2155">
        <f>(C2967-C2951)/C2951</f>
        <v>-2.2756678590455961E-2</v>
      </c>
      <c r="F2967" s="2156">
        <f t="shared" si="1035"/>
        <v>0.16134893743431061</v>
      </c>
      <c r="G2967" s="2161">
        <v>671</v>
      </c>
      <c r="H2967" s="1894" t="s">
        <v>21</v>
      </c>
      <c r="I2967" s="2122">
        <v>2.5299999999999998</v>
      </c>
      <c r="J2967" s="2122">
        <v>16.579999999999998</v>
      </c>
      <c r="K2967" s="3032" t="s">
        <v>672</v>
      </c>
      <c r="L2967" s="3032"/>
      <c r="M2967" s="3032"/>
      <c r="N2967" s="46"/>
      <c r="Q2967" s="47"/>
      <c r="R2967" s="2116">
        <f t="shared" si="1039"/>
        <v>34040.5</v>
      </c>
      <c r="S2967" s="1223">
        <f t="shared" si="1036"/>
        <v>32100</v>
      </c>
      <c r="T2967" s="1223">
        <f t="shared" si="1034"/>
        <v>-1940.5</v>
      </c>
      <c r="U2967" s="54">
        <f t="shared" si="1037"/>
        <v>-5.7005625651797127E-2</v>
      </c>
      <c r="V2967" s="2117" t="str">
        <f t="shared" si="1038"/>
        <v>TSLA</v>
      </c>
      <c r="W2967" s="2088"/>
      <c r="X2967" s="2148" t="s">
        <v>216</v>
      </c>
    </row>
    <row r="2968" spans="1:24" hidden="1" outlineLevel="1" x14ac:dyDescent="0.35">
      <c r="A2968" s="2158" t="s">
        <v>135</v>
      </c>
      <c r="B2968" s="2159">
        <v>50</v>
      </c>
      <c r="C2968" s="2160">
        <v>605.02</v>
      </c>
      <c r="D2968" s="2160">
        <f t="shared" si="1032"/>
        <v>30251</v>
      </c>
      <c r="E2968" s="2155">
        <f>(C2968-C2952)/C2952</f>
        <v>-1.2776372684996396E-2</v>
      </c>
      <c r="F2968" s="2156">
        <f t="shared" si="1035"/>
        <v>0.15205503758022837</v>
      </c>
      <c r="G2968" s="2161">
        <v>27</v>
      </c>
      <c r="H2968" s="1894" t="s">
        <v>634</v>
      </c>
      <c r="I2968" s="2122">
        <v>1.07</v>
      </c>
      <c r="J2968" s="2122">
        <v>6.71</v>
      </c>
      <c r="K2968" s="3032" t="s">
        <v>675</v>
      </c>
      <c r="L2968" s="3032"/>
      <c r="M2968" s="3032"/>
      <c r="N2968" s="46"/>
      <c r="Q2968" s="47"/>
      <c r="R2968" s="2116">
        <f t="shared" si="1039"/>
        <v>31669</v>
      </c>
      <c r="S2968" s="1223">
        <f t="shared" si="1036"/>
        <v>30251</v>
      </c>
      <c r="T2968" s="1223">
        <f t="shared" si="1034"/>
        <v>-1418</v>
      </c>
      <c r="U2968" s="54">
        <f t="shared" si="1037"/>
        <v>-4.4775648110139253E-2</v>
      </c>
      <c r="V2968" s="2117" t="str">
        <f t="shared" si="1038"/>
        <v>LRCX</v>
      </c>
      <c r="W2968" s="2088"/>
      <c r="X2968" s="4" t="s">
        <v>146</v>
      </c>
    </row>
    <row r="2969" spans="1:24" hidden="1" outlineLevel="1" x14ac:dyDescent="0.35">
      <c r="A2969" s="2147"/>
      <c r="B2969" s="2119"/>
      <c r="C2969" s="2083"/>
      <c r="D2969" s="2083"/>
      <c r="E2969" s="2110"/>
      <c r="F2969" s="1146"/>
      <c r="G2969" s="2121"/>
      <c r="H2969" s="1894"/>
      <c r="I2969" s="2122"/>
      <c r="J2969" s="2122"/>
      <c r="K2969" s="3032"/>
      <c r="L2969" s="3032"/>
      <c r="M2969" s="3032"/>
      <c r="N2969" s="46"/>
      <c r="Q2969" s="47"/>
      <c r="R2969" s="2116"/>
      <c r="S2969" s="1223"/>
      <c r="T2969" s="1223"/>
      <c r="U2969" s="54"/>
      <c r="V2969" s="2117"/>
      <c r="W2969" s="2088"/>
      <c r="X2969" s="4"/>
    </row>
    <row r="2970" spans="1:24" hidden="1" outlineLevel="1" x14ac:dyDescent="0.35">
      <c r="A2970" s="55" t="s">
        <v>7</v>
      </c>
      <c r="B2970" s="56"/>
      <c r="C2970" s="1881"/>
      <c r="D2970" s="57">
        <v>2305.34</v>
      </c>
      <c r="E2970" s="1977"/>
      <c r="F2970" s="1506">
        <f t="shared" ref="F2970:F2971" si="1040">D2970/$D$2830</f>
        <v>1.0774370426738147E-2</v>
      </c>
      <c r="G2970" s="2053"/>
      <c r="H2970" s="1789" t="s">
        <v>59</v>
      </c>
      <c r="I2970" s="2089"/>
      <c r="J2970" s="2068"/>
      <c r="K2970" s="58"/>
      <c r="L2970" s="58"/>
      <c r="M2970" s="58"/>
      <c r="R2970" s="2137">
        <f>SUM(R2964:R2966)</f>
        <v>111076.14</v>
      </c>
      <c r="S2970" s="2137"/>
      <c r="T2970" s="2137">
        <f>SUM(T2964:T2966)</f>
        <v>-3953.3399999999965</v>
      </c>
      <c r="U2970" s="2137">
        <f>SUM(U2964:U2966)</f>
        <v>-0.20618777997244728</v>
      </c>
    </row>
    <row r="2971" spans="1:24" ht="16" hidden="1" outlineLevel="1" thickBot="1" x14ac:dyDescent="0.4">
      <c r="A2971" s="55" t="s">
        <v>60</v>
      </c>
      <c r="B2971" s="56"/>
      <c r="C2971" s="1881"/>
      <c r="D2971" s="57">
        <v>184812.89</v>
      </c>
      <c r="E2971" s="1977"/>
      <c r="F2971" s="1506">
        <f t="shared" si="1040"/>
        <v>0.86375221724171281</v>
      </c>
      <c r="G2971" s="1734"/>
      <c r="H2971" s="1723" t="s">
        <v>61</v>
      </c>
      <c r="I2971" s="60">
        <v>0</v>
      </c>
      <c r="J2971" s="61"/>
      <c r="K2971" s="2090"/>
      <c r="L2971" s="2070"/>
      <c r="M2971" s="2070"/>
      <c r="Q2971" s="62"/>
      <c r="R2971" s="64"/>
      <c r="S2971" s="64"/>
      <c r="T2971" s="64"/>
      <c r="U2971" s="1553"/>
    </row>
    <row r="2972" spans="1:24" ht="19" hidden="1" outlineLevel="1" thickBot="1" x14ac:dyDescent="0.5">
      <c r="A2972" s="66" t="s">
        <v>62</v>
      </c>
      <c r="B2972" s="67"/>
      <c r="C2972" s="68">
        <f>SUM(D2964:D2969)</f>
        <v>169473.8</v>
      </c>
      <c r="D2972" s="84">
        <f>SUM(D2970:D2971)</f>
        <v>187118.23</v>
      </c>
      <c r="E2972" s="73">
        <f>(D2972-D2956)+I2971</f>
        <v>-7424.5299999999697</v>
      </c>
      <c r="F2972" s="71"/>
      <c r="G2972" s="72" t="s">
        <v>63</v>
      </c>
      <c r="H2972" s="73">
        <f>E2972+E2956+E2940+E2924+E2909</f>
        <v>-8534.5415799999901</v>
      </c>
      <c r="I2972" s="74"/>
      <c r="J2972" s="75"/>
      <c r="K2972" s="2138" t="s">
        <v>67</v>
      </c>
      <c r="L2972" s="2139"/>
      <c r="M2972" s="2140"/>
      <c r="Q2972" s="105"/>
      <c r="S2972" s="1860"/>
      <c r="T2972" s="1860"/>
      <c r="U2972" s="2141"/>
    </row>
    <row r="2973" spans="1:24" hidden="1" outlineLevel="1" x14ac:dyDescent="0.35">
      <c r="A2973" s="2985" t="s">
        <v>678</v>
      </c>
      <c r="B2973" s="2985"/>
      <c r="C2973" s="2985"/>
      <c r="D2973" s="2985"/>
      <c r="E2973" s="2985"/>
      <c r="F2973" s="2985"/>
      <c r="G2973" s="2985"/>
      <c r="H2973" s="2985"/>
      <c r="I2973" s="2985"/>
      <c r="J2973" s="2985"/>
      <c r="K2973" s="2142" t="s">
        <v>69</v>
      </c>
      <c r="L2973" s="1865"/>
      <c r="M2973" s="2143"/>
      <c r="Q2973" s="105"/>
      <c r="S2973" s="1860"/>
      <c r="T2973" s="1860"/>
      <c r="U2973" s="1555"/>
    </row>
    <row r="2974" spans="1:24" hidden="1" outlineLevel="1" x14ac:dyDescent="0.35">
      <c r="A2974" s="2986"/>
      <c r="B2974" s="2986"/>
      <c r="C2974" s="2986"/>
      <c r="D2974" s="2986"/>
      <c r="E2974" s="2986"/>
      <c r="F2974" s="2986"/>
      <c r="G2974" s="2986"/>
      <c r="H2974" s="2986"/>
      <c r="I2974" s="2986"/>
      <c r="J2974" s="2986"/>
      <c r="K2974" s="2142" t="s">
        <v>70</v>
      </c>
      <c r="L2974" s="1865"/>
      <c r="M2974" s="2143"/>
      <c r="Q2974" s="105"/>
      <c r="S2974" s="1860"/>
      <c r="T2974" s="1860"/>
      <c r="U2974" s="1555"/>
    </row>
    <row r="2975" spans="1:24" ht="16" hidden="1" outlineLevel="1" thickBot="1" x14ac:dyDescent="0.4">
      <c r="A2975" s="2986"/>
      <c r="B2975" s="2986"/>
      <c r="C2975" s="2986"/>
      <c r="D2975" s="2986"/>
      <c r="E2975" s="2986"/>
      <c r="F2975" s="2986"/>
      <c r="G2975" s="2986"/>
      <c r="H2975" s="2986"/>
      <c r="I2975" s="2986"/>
      <c r="J2975" s="2986"/>
      <c r="K2975" s="2144" t="s">
        <v>71</v>
      </c>
      <c r="L2975" s="2145"/>
      <c r="M2975" s="2146"/>
      <c r="Q2975" s="102"/>
      <c r="R2975" s="40"/>
      <c r="S2975" s="2074"/>
      <c r="T2975" s="2074"/>
      <c r="U2975" s="2060"/>
    </row>
    <row r="2976" spans="1:24" ht="16" hidden="1" outlineLevel="1" thickBot="1" x14ac:dyDescent="0.4">
      <c r="A2976" s="8"/>
      <c r="B2976" s="9"/>
      <c r="C2976" s="8"/>
      <c r="D2976" s="2163"/>
      <c r="E2976" s="2164"/>
      <c r="F2976" s="10"/>
      <c r="G2976" s="11"/>
      <c r="H2976" s="12"/>
      <c r="I2976" s="8"/>
      <c r="J2976" s="12"/>
      <c r="K2976" s="8"/>
      <c r="L2976" s="8"/>
      <c r="M2976" s="8"/>
      <c r="N2976" s="8"/>
      <c r="O2976" s="8"/>
      <c r="P2976" s="8"/>
      <c r="Q2976" s="8"/>
      <c r="R2976" s="8"/>
      <c r="S2976" s="8"/>
      <c r="T2976" s="8"/>
      <c r="U2976" s="8"/>
      <c r="V2976" s="8"/>
      <c r="W2976" s="8"/>
    </row>
    <row r="2977" spans="1:24" ht="16" hidden="1" outlineLevel="1" thickBot="1" x14ac:dyDescent="0.4">
      <c r="A2977" s="1619" t="s">
        <v>25</v>
      </c>
      <c r="B2977" s="1996" t="s">
        <v>26</v>
      </c>
      <c r="C2977" s="1621" t="s">
        <v>27</v>
      </c>
      <c r="D2977" s="1622">
        <f>D2961+7</f>
        <v>44400</v>
      </c>
      <c r="E2977" s="1623" t="s">
        <v>28</v>
      </c>
      <c r="F2977" s="3036" t="s">
        <v>29</v>
      </c>
      <c r="G2977" s="3037"/>
      <c r="H2977" s="3038"/>
      <c r="I2977" s="1481"/>
      <c r="J2977" s="1144"/>
      <c r="K2977" s="1643"/>
      <c r="O2977" s="3042" t="s">
        <v>31</v>
      </c>
      <c r="P2977" s="3043"/>
      <c r="T2977" s="247"/>
      <c r="U2977" s="1123"/>
      <c r="V2977" s="247"/>
    </row>
    <row r="2978" spans="1:24" ht="16" hidden="1" outlineLevel="1" thickBot="1" x14ac:dyDescent="0.4">
      <c r="A2978" s="1973" t="s">
        <v>32</v>
      </c>
      <c r="B2978" s="1997" t="str">
        <f ca="1">TEXT(TODAY(),"ddd")</f>
        <v>Sun</v>
      </c>
      <c r="C2978" s="1998">
        <v>35061</v>
      </c>
      <c r="D2978" s="1980">
        <f>C2978-C2962</f>
        <v>143</v>
      </c>
      <c r="E2978" s="1977">
        <f>(C2978-C2962)/C2962</f>
        <v>4.0953090096798213E-3</v>
      </c>
      <c r="F2978" s="3039"/>
      <c r="G2978" s="3040"/>
      <c r="H2978" s="3041"/>
      <c r="I2978" s="1602"/>
      <c r="J2978" s="1602">
        <f>C2979</f>
        <v>14836</v>
      </c>
      <c r="K2978" s="2061" t="s">
        <v>234</v>
      </c>
      <c r="L2978" s="2062" t="s">
        <v>34</v>
      </c>
      <c r="M2978" s="2063" t="s">
        <v>35</v>
      </c>
      <c r="N2978" s="2995"/>
      <c r="O2978" s="2996"/>
      <c r="P2978" s="2996"/>
      <c r="Q2978" s="2996"/>
      <c r="R2978" s="2996"/>
      <c r="S2978" s="2996"/>
      <c r="T2978" s="2996"/>
      <c r="U2978" s="3044"/>
    </row>
    <row r="2979" spans="1:24" hidden="1" outlineLevel="1" x14ac:dyDescent="0.35">
      <c r="A2979" s="1978" t="s">
        <v>36</v>
      </c>
      <c r="B2979" s="1979"/>
      <c r="C2979" s="1979">
        <v>14836</v>
      </c>
      <c r="D2979" s="1980">
        <f>C2979-C2963</f>
        <v>339</v>
      </c>
      <c r="E2979" s="1977">
        <f>(C2979-C2963)/C2963</f>
        <v>2.3384148444505759E-2</v>
      </c>
      <c r="F2979" s="1744" t="s">
        <v>37</v>
      </c>
      <c r="G2979" s="1745" t="s">
        <v>38</v>
      </c>
      <c r="H2979" s="1746" t="s">
        <v>144</v>
      </c>
      <c r="I2979" s="1747" t="s">
        <v>40</v>
      </c>
      <c r="J2979" s="2064" t="s">
        <v>41</v>
      </c>
      <c r="K2979" s="3033" t="s">
        <v>42</v>
      </c>
      <c r="L2979" s="3034"/>
      <c r="M2979" s="3034"/>
      <c r="N2979" s="2065" t="s">
        <v>244</v>
      </c>
      <c r="Q2979" s="1831" t="s">
        <v>44</v>
      </c>
      <c r="R2979" s="1832" t="s">
        <v>45</v>
      </c>
      <c r="S2979" s="1832" t="s">
        <v>46</v>
      </c>
      <c r="T2979" s="1832" t="s">
        <v>47</v>
      </c>
      <c r="U2979" s="1833" t="s">
        <v>48</v>
      </c>
      <c r="W2979" s="1919" t="s">
        <v>446</v>
      </c>
    </row>
    <row r="2980" spans="1:24" hidden="1" outlineLevel="1" x14ac:dyDescent="0.35">
      <c r="A2980" s="2152" t="s">
        <v>49</v>
      </c>
      <c r="B2980" s="1300">
        <v>200</v>
      </c>
      <c r="C2980" s="2153">
        <v>195.58</v>
      </c>
      <c r="D2980" s="2154">
        <f t="shared" ref="D2980:D2982" si="1041">C2980*B2980</f>
        <v>39116</v>
      </c>
      <c r="E2980" s="2155">
        <f>U2980</f>
        <v>1.1585807385952208E-2</v>
      </c>
      <c r="F2980" s="2156">
        <f>D2980/$D$2987</f>
        <v>0.20555978360203003</v>
      </c>
      <c r="G2980" s="2157">
        <v>91</v>
      </c>
      <c r="H2980" s="1820" t="s">
        <v>145</v>
      </c>
      <c r="I2980" s="2112">
        <v>0.86</v>
      </c>
      <c r="J2980" s="2113">
        <v>13.49</v>
      </c>
      <c r="K2980" s="3032" t="s">
        <v>679</v>
      </c>
      <c r="L2980" s="3032"/>
      <c r="M2980" s="3032"/>
      <c r="N2980" s="2114"/>
      <c r="O2980" s="3"/>
      <c r="P2980" s="3"/>
      <c r="Q2980" s="2115"/>
      <c r="R2980" s="2116">
        <f>RIGHT(K2980,6)*B2980</f>
        <v>38668</v>
      </c>
      <c r="S2980" s="1223">
        <f>D2980</f>
        <v>39116</v>
      </c>
      <c r="T2980" s="1223">
        <f t="shared" ref="T2980:T2982" si="1042">S2980-R2980</f>
        <v>448</v>
      </c>
      <c r="U2980" s="54">
        <f>(S2980-R2980)/R2980</f>
        <v>1.1585807385952208E-2</v>
      </c>
      <c r="V2980" s="2117" t="str">
        <f>A2980</f>
        <v>NVDA</v>
      </c>
      <c r="W2980" s="2118"/>
      <c r="X2980" s="1820" t="s">
        <v>145</v>
      </c>
    </row>
    <row r="2981" spans="1:24" hidden="1" outlineLevel="1" x14ac:dyDescent="0.35">
      <c r="A2981" s="2158" t="s">
        <v>96</v>
      </c>
      <c r="B2981" s="2159">
        <v>100</v>
      </c>
      <c r="C2981" s="2160">
        <v>976.46</v>
      </c>
      <c r="D2981" s="2160">
        <f t="shared" si="1041"/>
        <v>97646</v>
      </c>
      <c r="E2981" s="2155">
        <f t="shared" ref="E2981:E2982" si="1043">U2981</f>
        <v>4.7827533292555992E-2</v>
      </c>
      <c r="F2981" s="2156">
        <f t="shared" ref="F2981:F2982" si="1044">D2981/$D$2987</f>
        <v>0.51314271984875304</v>
      </c>
      <c r="G2981" s="2161">
        <v>96</v>
      </c>
      <c r="H2981" s="2165" t="s">
        <v>350</v>
      </c>
      <c r="I2981" s="2122">
        <v>0.42</v>
      </c>
      <c r="J2981" s="2122">
        <v>3.05</v>
      </c>
      <c r="K2981" s="3032" t="s">
        <v>680</v>
      </c>
      <c r="L2981" s="3032"/>
      <c r="M2981" s="3032"/>
      <c r="N2981" s="46"/>
      <c r="Q2981" s="47"/>
      <c r="R2981" s="2116">
        <f>RIGHT(K2981,6)*B2981</f>
        <v>93189</v>
      </c>
      <c r="S2981" s="1223">
        <f t="shared" ref="S2981:S2982" si="1045">D2981</f>
        <v>97646</v>
      </c>
      <c r="T2981" s="1223">
        <f t="shared" si="1042"/>
        <v>4457</v>
      </c>
      <c r="U2981" s="54">
        <f t="shared" ref="U2981:U2982" si="1046">(S2981-R2981)/R2981</f>
        <v>4.7827533292555992E-2</v>
      </c>
      <c r="V2981" s="2117" t="str">
        <f t="shared" ref="V2981:V2982" si="1047">A2981</f>
        <v>ISRG</v>
      </c>
      <c r="W2981" s="2088"/>
      <c r="X2981" s="2165" t="s">
        <v>350</v>
      </c>
    </row>
    <row r="2982" spans="1:24" hidden="1" outlineLevel="1" x14ac:dyDescent="0.35">
      <c r="A2982" s="2158" t="s">
        <v>51</v>
      </c>
      <c r="B2982" s="2159">
        <v>125</v>
      </c>
      <c r="C2982" s="2160">
        <v>320.76</v>
      </c>
      <c r="D2982" s="2160">
        <f t="shared" si="1041"/>
        <v>40095</v>
      </c>
      <c r="E2982" s="2155">
        <f t="shared" si="1043"/>
        <v>3.1216846166211221E-2</v>
      </c>
      <c r="F2982" s="2156">
        <f t="shared" si="1044"/>
        <v>0.2107045588384138</v>
      </c>
      <c r="G2982" s="2162">
        <v>26</v>
      </c>
      <c r="H2982" s="1894" t="s">
        <v>145</v>
      </c>
      <c r="I2982" s="2122">
        <v>0.52</v>
      </c>
      <c r="J2982" s="2122">
        <v>3.1</v>
      </c>
      <c r="K2982" s="3032" t="s">
        <v>681</v>
      </c>
      <c r="L2982" s="3032"/>
      <c r="M2982" s="3032"/>
      <c r="N2982" s="46"/>
      <c r="Q2982" s="47"/>
      <c r="R2982" s="2116">
        <f t="shared" ref="R2982" si="1048">RIGHT(K2982,6)*B2982</f>
        <v>38881.25</v>
      </c>
      <c r="S2982" s="1223">
        <f t="shared" si="1045"/>
        <v>40095</v>
      </c>
      <c r="T2982" s="1223">
        <f t="shared" si="1042"/>
        <v>1213.75</v>
      </c>
      <c r="U2982" s="54">
        <f t="shared" si="1046"/>
        <v>3.1216846166211221E-2</v>
      </c>
      <c r="V2982" s="2117" t="str">
        <f t="shared" si="1047"/>
        <v>KLAC</v>
      </c>
      <c r="W2982" s="2088"/>
      <c r="X2982" s="1894" t="s">
        <v>145</v>
      </c>
    </row>
    <row r="2983" spans="1:24" hidden="1" outlineLevel="1" x14ac:dyDescent="0.35">
      <c r="A2983" s="2158"/>
      <c r="B2983" s="2159"/>
      <c r="C2983" s="2160"/>
      <c r="D2983" s="2160"/>
      <c r="E2983" s="2155"/>
      <c r="F2983" s="2156"/>
      <c r="G2983" s="2161"/>
      <c r="H2983" s="1894"/>
      <c r="I2983" s="2122"/>
      <c r="J2983" s="2122"/>
      <c r="K2983" s="3032"/>
      <c r="L2983" s="3032"/>
      <c r="M2983" s="3032"/>
      <c r="N2983" s="46"/>
      <c r="Q2983" s="47"/>
      <c r="R2983" s="2116"/>
      <c r="S2983" s="1223"/>
      <c r="T2983" s="1223"/>
      <c r="U2983" s="54"/>
      <c r="V2983" s="2117"/>
      <c r="W2983" s="2088"/>
    </row>
    <row r="2984" spans="1:24" hidden="1" outlineLevel="1" x14ac:dyDescent="0.35">
      <c r="A2984" s="2158"/>
      <c r="B2984" s="2159"/>
      <c r="C2984" s="2160"/>
      <c r="D2984" s="2160"/>
      <c r="E2984" s="2155"/>
      <c r="F2984" s="2156"/>
      <c r="G2984" s="2161"/>
      <c r="H2984" s="1894"/>
      <c r="I2984" s="2122"/>
      <c r="J2984" s="2122"/>
      <c r="K2984" s="3032"/>
      <c r="L2984" s="3032"/>
      <c r="M2984" s="3032"/>
      <c r="N2984" s="46"/>
      <c r="Q2984" s="47"/>
      <c r="R2984" s="2116"/>
      <c r="S2984" s="1223"/>
      <c r="T2984" s="1223"/>
      <c r="U2984" s="54"/>
      <c r="V2984" s="2117"/>
      <c r="W2984" s="2088"/>
    </row>
    <row r="2985" spans="1:24" hidden="1" outlineLevel="1" x14ac:dyDescent="0.35">
      <c r="A2985" s="55" t="s">
        <v>7</v>
      </c>
      <c r="B2985" s="56"/>
      <c r="C2985" s="1881"/>
      <c r="D2985" s="57">
        <v>2314.25</v>
      </c>
      <c r="E2985" s="1977"/>
      <c r="F2985" s="1506">
        <f t="shared" ref="F2985:F2986" si="1049">D2985/$D$2830</f>
        <v>1.0816012718331679E-2</v>
      </c>
      <c r="G2985" s="2053"/>
      <c r="H2985" s="1789" t="s">
        <v>59</v>
      </c>
      <c r="I2985" s="2089"/>
      <c r="J2985" s="2068"/>
      <c r="K2985" s="58"/>
      <c r="L2985" s="58"/>
      <c r="M2985" s="58"/>
      <c r="R2985" s="2137">
        <f>SUM(R2980:R2982)</f>
        <v>170738.25</v>
      </c>
      <c r="S2985" s="2137"/>
      <c r="T2985" s="2137">
        <f>SUM(T2980:T2982)</f>
        <v>6118.75</v>
      </c>
      <c r="U2985" s="2137">
        <f>SUM(U2980:U2982)</f>
        <v>9.0630186844719421E-2</v>
      </c>
    </row>
    <row r="2986" spans="1:24" ht="16" hidden="1" outlineLevel="1" thickBot="1" x14ac:dyDescent="0.4">
      <c r="A2986" s="55" t="s">
        <v>60</v>
      </c>
      <c r="B2986" s="56"/>
      <c r="C2986" s="2166">
        <f>SUM(D2980:D2982)</f>
        <v>176857</v>
      </c>
      <c r="D2986" s="57">
        <v>11118.89</v>
      </c>
      <c r="E2986" s="1977"/>
      <c r="F2986" s="1506">
        <f t="shared" si="1049"/>
        <v>5.1965887719015197E-2</v>
      </c>
      <c r="G2986" s="1734"/>
      <c r="H2986" s="1723" t="s">
        <v>61</v>
      </c>
      <c r="I2986" s="60">
        <v>-1500</v>
      </c>
      <c r="J2986" s="61"/>
      <c r="K2986" s="2090"/>
      <c r="L2986" s="2070"/>
      <c r="M2986" s="2070"/>
      <c r="Q2986" s="62"/>
      <c r="R2986" s="64"/>
      <c r="S2986" s="64"/>
      <c r="T2986" s="64"/>
      <c r="U2986" s="1553"/>
    </row>
    <row r="2987" spans="1:24" ht="19" hidden="1" outlineLevel="1" thickBot="1" x14ac:dyDescent="0.5">
      <c r="A2987" s="66" t="s">
        <v>62</v>
      </c>
      <c r="B2987" s="67"/>
      <c r="C2987" s="68">
        <f>SUM(D2980:D2984)</f>
        <v>176857</v>
      </c>
      <c r="D2987" s="84">
        <f>SUM(D2980:D2986)</f>
        <v>190290.14</v>
      </c>
      <c r="E2987" s="73">
        <f>(D2987-D2972)+I2986</f>
        <v>1671.9100000000035</v>
      </c>
      <c r="F2987" s="71"/>
      <c r="G2987" s="72" t="s">
        <v>63</v>
      </c>
      <c r="H2987" s="73">
        <f>E2987+E2972+E2956+E2940+E2924</f>
        <v>-6862.6315799999866</v>
      </c>
      <c r="I2987" s="74"/>
      <c r="J2987" s="75"/>
      <c r="K2987" s="2138" t="s">
        <v>67</v>
      </c>
      <c r="L2987" s="2139"/>
      <c r="M2987" s="2140"/>
      <c r="Q2987" s="105"/>
      <c r="S2987" s="1860"/>
      <c r="T2987" s="1860"/>
      <c r="U2987" s="2141"/>
    </row>
    <row r="2988" spans="1:24" hidden="1" outlineLevel="1" x14ac:dyDescent="0.35">
      <c r="A2988" s="2985" t="s">
        <v>682</v>
      </c>
      <c r="B2988" s="2985"/>
      <c r="C2988" s="2985"/>
      <c r="D2988" s="2985"/>
      <c r="E2988" s="2985"/>
      <c r="F2988" s="2985"/>
      <c r="G2988" s="2985"/>
      <c r="H2988" s="2985"/>
      <c r="I2988" s="2985"/>
      <c r="J2988" s="2985"/>
      <c r="K2988" s="2142" t="s">
        <v>69</v>
      </c>
      <c r="L2988" s="1865"/>
      <c r="M2988" s="2143"/>
      <c r="Q2988" s="105"/>
      <c r="S2988" s="1860"/>
      <c r="T2988" s="1860"/>
      <c r="U2988" s="1555"/>
    </row>
    <row r="2989" spans="1:24" hidden="1" outlineLevel="1" x14ac:dyDescent="0.35">
      <c r="A2989" s="2986"/>
      <c r="B2989" s="2986"/>
      <c r="C2989" s="2986"/>
      <c r="D2989" s="2986"/>
      <c r="E2989" s="2986"/>
      <c r="F2989" s="2986"/>
      <c r="G2989" s="2986"/>
      <c r="H2989" s="2986"/>
      <c r="I2989" s="2986"/>
      <c r="J2989" s="2986"/>
      <c r="K2989" s="2142" t="s">
        <v>70</v>
      </c>
      <c r="L2989" s="1865"/>
      <c r="M2989" s="2143"/>
      <c r="Q2989" s="105"/>
      <c r="S2989" s="1860"/>
      <c r="T2989" s="1860"/>
      <c r="U2989" s="1555"/>
    </row>
    <row r="2990" spans="1:24" ht="16" hidden="1" outlineLevel="1" thickBot="1" x14ac:dyDescent="0.4">
      <c r="A2990" s="2986"/>
      <c r="B2990" s="2986"/>
      <c r="C2990" s="2986"/>
      <c r="D2990" s="2986"/>
      <c r="E2990" s="2986"/>
      <c r="F2990" s="2986"/>
      <c r="G2990" s="2986"/>
      <c r="H2990" s="2986"/>
      <c r="I2990" s="2986"/>
      <c r="J2990" s="2986"/>
      <c r="K2990" s="2144" t="s">
        <v>71</v>
      </c>
      <c r="L2990" s="2145"/>
      <c r="M2990" s="2146"/>
      <c r="Q2990" s="102"/>
      <c r="R2990" s="40"/>
      <c r="S2990" s="2074"/>
      <c r="T2990" s="2074"/>
      <c r="U2990" s="2060"/>
    </row>
    <row r="2991" spans="1:24" ht="16" hidden="1" outlineLevel="1" thickBot="1" x14ac:dyDescent="0.4">
      <c r="A2991" s="8"/>
      <c r="B2991" s="9"/>
      <c r="C2991" s="8"/>
      <c r="D2991" s="2163"/>
      <c r="E2991" s="2164"/>
      <c r="F2991" s="10"/>
      <c r="G2991" s="11"/>
      <c r="H2991" s="12"/>
      <c r="I2991" s="8"/>
      <c r="J2991" s="12"/>
      <c r="K2991" s="8"/>
      <c r="L2991" s="8"/>
      <c r="M2991" s="8"/>
      <c r="N2991" s="8"/>
      <c r="O2991" s="8"/>
      <c r="P2991" s="8"/>
      <c r="Q2991" s="8"/>
      <c r="R2991" s="8"/>
      <c r="S2991" s="8"/>
      <c r="T2991" s="8"/>
      <c r="U2991" s="8"/>
      <c r="V2991" s="8"/>
      <c r="W2991" s="8"/>
    </row>
    <row r="2992" spans="1:24" ht="16" hidden="1" outlineLevel="1" thickBot="1" x14ac:dyDescent="0.4">
      <c r="A2992" s="1619" t="s">
        <v>25</v>
      </c>
      <c r="B2992" s="1996" t="s">
        <v>26</v>
      </c>
      <c r="C2992" s="1621" t="s">
        <v>27</v>
      </c>
      <c r="D2992" s="1622">
        <f>D2977+7</f>
        <v>44407</v>
      </c>
      <c r="E2992" s="1623" t="s">
        <v>28</v>
      </c>
      <c r="F2992" s="3036" t="s">
        <v>29</v>
      </c>
      <c r="G2992" s="3037"/>
      <c r="H2992" s="3038"/>
      <c r="I2992" s="1481"/>
      <c r="J2992" s="1144"/>
      <c r="K2992" s="1643"/>
      <c r="O2992" s="3042" t="s">
        <v>31</v>
      </c>
      <c r="P2992" s="3043"/>
      <c r="T2992" s="247"/>
      <c r="U2992" s="1123"/>
      <c r="V2992" s="247"/>
    </row>
    <row r="2993" spans="1:23" ht="16" hidden="1" outlineLevel="1" thickBot="1" x14ac:dyDescent="0.4">
      <c r="A2993" s="1973" t="s">
        <v>32</v>
      </c>
      <c r="B2993" s="1997" t="str">
        <f ca="1">TEXT(TODAY(),"ddd")</f>
        <v>Sun</v>
      </c>
      <c r="C2993" s="1998">
        <v>34935</v>
      </c>
      <c r="D2993" s="1980">
        <f>C2993-C2978</f>
        <v>-126</v>
      </c>
      <c r="E2993" s="1977">
        <f>(C2993-C2978)/C2978</f>
        <v>-3.5937366304440834E-3</v>
      </c>
      <c r="F2993" s="3039"/>
      <c r="G2993" s="3040"/>
      <c r="H2993" s="3041"/>
      <c r="I2993" s="1602"/>
      <c r="J2993" s="1602">
        <f>C2994</f>
        <v>14672</v>
      </c>
      <c r="K2993" s="2061" t="s">
        <v>234</v>
      </c>
      <c r="L2993" s="2062" t="s">
        <v>34</v>
      </c>
      <c r="M2993" s="2063" t="s">
        <v>35</v>
      </c>
      <c r="N2993" s="2995"/>
      <c r="O2993" s="2996"/>
      <c r="P2993" s="2996"/>
      <c r="Q2993" s="2996"/>
      <c r="R2993" s="2996"/>
      <c r="S2993" s="2996"/>
      <c r="T2993" s="2996"/>
      <c r="U2993" s="3044"/>
    </row>
    <row r="2994" spans="1:23" hidden="1" outlineLevel="1" x14ac:dyDescent="0.35">
      <c r="A2994" s="1978" t="s">
        <v>36</v>
      </c>
      <c r="B2994" s="1979"/>
      <c r="C2994" s="1979">
        <v>14672</v>
      </c>
      <c r="D2994" s="1980">
        <f>C2994-C2979</f>
        <v>-164</v>
      </c>
      <c r="E2994" s="1977">
        <f>(C2994-C2979)/C2979</f>
        <v>-1.1054192504718252E-2</v>
      </c>
      <c r="F2994" s="1744" t="s">
        <v>37</v>
      </c>
      <c r="G2994" s="1745" t="s">
        <v>38</v>
      </c>
      <c r="H2994" s="1746" t="s">
        <v>144</v>
      </c>
      <c r="I2994" s="1747" t="s">
        <v>40</v>
      </c>
      <c r="J2994" s="2064" t="s">
        <v>41</v>
      </c>
      <c r="K2994" s="3033" t="s">
        <v>42</v>
      </c>
      <c r="L2994" s="3034"/>
      <c r="M2994" s="3034"/>
      <c r="N2994" s="2065" t="s">
        <v>244</v>
      </c>
      <c r="Q2994" s="1831" t="s">
        <v>44</v>
      </c>
      <c r="R2994" s="1832" t="s">
        <v>45</v>
      </c>
      <c r="S2994" s="1832" t="s">
        <v>46</v>
      </c>
      <c r="T2994" s="1832" t="s">
        <v>47</v>
      </c>
      <c r="U2994" s="1833" t="s">
        <v>48</v>
      </c>
    </row>
    <row r="2995" spans="1:23" hidden="1" outlineLevel="1" x14ac:dyDescent="0.35">
      <c r="A2995" s="2081" t="s">
        <v>49</v>
      </c>
      <c r="B2995" s="1531">
        <v>200</v>
      </c>
      <c r="C2995" s="1643">
        <v>194.99</v>
      </c>
      <c r="D2995" s="2082">
        <f t="shared" ref="D2995:D2999" si="1050">C2995*B2995</f>
        <v>38998</v>
      </c>
      <c r="E2995" s="2110">
        <f t="shared" ref="E2995:E2997" si="1051">(C2995-C2980)/C2980</f>
        <v>-3.016668370999097E-3</v>
      </c>
      <c r="F2995" s="1146">
        <f t="shared" ref="F2995:F2996" si="1052">D2995/$D$3002</f>
        <v>0.20029522976556194</v>
      </c>
      <c r="G2995" s="2157">
        <v>91</v>
      </c>
      <c r="H2995" s="1820" t="s">
        <v>145</v>
      </c>
      <c r="I2995" s="2112">
        <v>0.86</v>
      </c>
      <c r="J2995" s="2113">
        <v>13.49</v>
      </c>
      <c r="K2995" s="3032" t="s">
        <v>679</v>
      </c>
      <c r="L2995" s="3032"/>
      <c r="M2995" s="3032"/>
      <c r="N2995" s="2114"/>
      <c r="O2995" s="3"/>
      <c r="P2995" s="3"/>
      <c r="Q2995" s="2115"/>
      <c r="R2995" s="2116">
        <f>RIGHT(K2995,6)*B2995</f>
        <v>38668</v>
      </c>
      <c r="S2995" s="1223">
        <f>D2995</f>
        <v>38998</v>
      </c>
      <c r="T2995" s="1223">
        <f t="shared" ref="T2995:T2999" si="1053">S2995-R2995</f>
        <v>330</v>
      </c>
      <c r="U2995" s="54">
        <f>(S2995-R2995)/R2995</f>
        <v>8.5341884762594397E-3</v>
      </c>
      <c r="V2995" s="2117" t="str">
        <f>A2995</f>
        <v>NVDA</v>
      </c>
    </row>
    <row r="2996" spans="1:23" hidden="1" outlineLevel="1" x14ac:dyDescent="0.35">
      <c r="A2996" s="2048" t="s">
        <v>96</v>
      </c>
      <c r="B2996" s="2119">
        <v>100</v>
      </c>
      <c r="C2996" s="2083">
        <v>991.46</v>
      </c>
      <c r="D2996" s="2083">
        <f t="shared" si="1050"/>
        <v>99146</v>
      </c>
      <c r="E2996" s="2110">
        <f t="shared" si="1051"/>
        <v>1.5361612354832762E-2</v>
      </c>
      <c r="F2996" s="1146">
        <f t="shared" si="1052"/>
        <v>0.50921767399190732</v>
      </c>
      <c r="G2996" s="2161">
        <v>96</v>
      </c>
      <c r="H2996" s="2165" t="s">
        <v>350</v>
      </c>
      <c r="I2996" s="2122">
        <v>0.42</v>
      </c>
      <c r="J2996" s="2122">
        <v>3.05</v>
      </c>
      <c r="K2996" s="3032" t="s">
        <v>680</v>
      </c>
      <c r="L2996" s="3032"/>
      <c r="M2996" s="3032"/>
      <c r="N2996" s="46"/>
      <c r="Q2996" s="47"/>
      <c r="R2996" s="2116">
        <f>RIGHT(K2996,6)*B2996</f>
        <v>93189</v>
      </c>
      <c r="S2996" s="1223">
        <f t="shared" ref="S2996:S2999" si="1054">D2996</f>
        <v>99146</v>
      </c>
      <c r="T2996" s="1223">
        <f t="shared" si="1053"/>
        <v>5957</v>
      </c>
      <c r="U2996" s="54">
        <f t="shared" ref="U2996:U2999" si="1055">(S2996-R2996)/R2996</f>
        <v>6.3923853673716849E-2</v>
      </c>
      <c r="V2996" s="2117" t="str">
        <f t="shared" ref="V2996:V2999" si="1056">A2996</f>
        <v>ISRG</v>
      </c>
    </row>
    <row r="2997" spans="1:23" hidden="1" outlineLevel="1" x14ac:dyDescent="0.35">
      <c r="A2997" s="2048" t="s">
        <v>51</v>
      </c>
      <c r="B2997" s="2119">
        <v>125</v>
      </c>
      <c r="C2997" s="2083">
        <v>348.16</v>
      </c>
      <c r="D2997" s="2083">
        <f t="shared" si="1050"/>
        <v>43520</v>
      </c>
      <c r="E2997" s="2167">
        <f t="shared" si="1051"/>
        <v>8.5422122459159602E-2</v>
      </c>
      <c r="F2997" s="1146">
        <f>D2997/$D$3002</f>
        <v>0.22352039590228359</v>
      </c>
      <c r="G2997" s="2162">
        <v>26</v>
      </c>
      <c r="H2997" s="1894" t="s">
        <v>145</v>
      </c>
      <c r="I2997" s="2122">
        <v>0.52</v>
      </c>
      <c r="J2997" s="2122">
        <v>3.1</v>
      </c>
      <c r="K2997" s="3032" t="s">
        <v>681</v>
      </c>
      <c r="L2997" s="3032"/>
      <c r="M2997" s="3032"/>
      <c r="N2997" s="46"/>
      <c r="Q2997" s="47"/>
      <c r="R2997" s="2116">
        <f t="shared" ref="R2997" si="1057">RIGHT(K2997,6)*B2997</f>
        <v>38881.25</v>
      </c>
      <c r="S2997" s="1223">
        <f t="shared" si="1054"/>
        <v>43520</v>
      </c>
      <c r="T2997" s="1223">
        <f t="shared" si="1053"/>
        <v>4638.75</v>
      </c>
      <c r="U2997" s="54">
        <f t="shared" si="1055"/>
        <v>0.11930557788136956</v>
      </c>
      <c r="V2997" s="2117" t="str">
        <f t="shared" si="1056"/>
        <v>KLAC</v>
      </c>
    </row>
    <row r="2998" spans="1:23" hidden="1" outlineLevel="1" x14ac:dyDescent="0.35">
      <c r="A2998" s="2168" t="s">
        <v>394</v>
      </c>
      <c r="B2998" s="2119">
        <v>50</v>
      </c>
      <c r="C2998" s="2083">
        <v>88.85</v>
      </c>
      <c r="D2998" s="2083">
        <f t="shared" si="1050"/>
        <v>4442.5</v>
      </c>
      <c r="E2998" s="2110"/>
      <c r="F2998" s="1146">
        <f t="shared" ref="F2998:F2999" si="1058">D2998/$D$3002</f>
        <v>2.2816851075273318E-2</v>
      </c>
      <c r="G2998" s="2162">
        <v>152</v>
      </c>
      <c r="H2998" s="1894" t="s">
        <v>229</v>
      </c>
      <c r="I2998" s="2122">
        <v>0.52</v>
      </c>
      <c r="J2998" s="2122">
        <v>3.1</v>
      </c>
      <c r="K2998" s="3032" t="s">
        <v>683</v>
      </c>
      <c r="L2998" s="3032"/>
      <c r="M2998" s="3032"/>
      <c r="N2998" s="46"/>
      <c r="Q2998" s="47"/>
      <c r="R2998" s="2116">
        <f>RIGHT(K2998,7)*B2998</f>
        <v>4434.8900000000003</v>
      </c>
      <c r="S2998" s="1223">
        <f t="shared" si="1054"/>
        <v>4442.5</v>
      </c>
      <c r="T2998" s="1223">
        <f t="shared" si="1053"/>
        <v>7.6099999999996726</v>
      </c>
      <c r="U2998" s="54">
        <f t="shared" si="1055"/>
        <v>1.7159388395201847E-3</v>
      </c>
      <c r="V2998" s="2117" t="str">
        <f t="shared" si="1056"/>
        <v>CSGP</v>
      </c>
    </row>
    <row r="2999" spans="1:23" hidden="1" outlineLevel="1" x14ac:dyDescent="0.35">
      <c r="A2999" s="2168" t="s">
        <v>447</v>
      </c>
      <c r="B2999" s="2119">
        <v>20</v>
      </c>
      <c r="C2999" s="2083">
        <v>248.91</v>
      </c>
      <c r="D2999" s="2083">
        <f t="shared" si="1050"/>
        <v>4978.2</v>
      </c>
      <c r="E2999" s="2110"/>
      <c r="F2999" s="1146">
        <f t="shared" si="1058"/>
        <v>2.5568226904428955E-2</v>
      </c>
      <c r="G2999" s="2162">
        <v>759</v>
      </c>
      <c r="H2999" s="1894"/>
      <c r="I2999" s="2122">
        <v>0.52</v>
      </c>
      <c r="J2999" s="2122">
        <v>3.1</v>
      </c>
      <c r="K2999" s="3032" t="s">
        <v>684</v>
      </c>
      <c r="L2999" s="3032"/>
      <c r="M2999" s="3032"/>
      <c r="N2999" s="46"/>
      <c r="Q2999" s="47"/>
      <c r="R2999" s="2116">
        <f>RIGHT(K2999,8)*B2999</f>
        <v>5186.5840000000007</v>
      </c>
      <c r="S2999" s="1223">
        <f t="shared" si="1054"/>
        <v>4978.2</v>
      </c>
      <c r="T2999" s="1223">
        <f t="shared" si="1053"/>
        <v>-208.38400000000092</v>
      </c>
      <c r="U2999" s="54">
        <f t="shared" si="1055"/>
        <v>-4.0177504114461637E-2</v>
      </c>
      <c r="V2999" s="2117" t="str">
        <f t="shared" si="1056"/>
        <v>FVRR</v>
      </c>
    </row>
    <row r="3000" spans="1:23" hidden="1" outlineLevel="1" x14ac:dyDescent="0.35">
      <c r="A3000" s="55" t="s">
        <v>7</v>
      </c>
      <c r="B3000" s="56"/>
      <c r="C3000" s="1881"/>
      <c r="D3000" s="57">
        <v>2320.87</v>
      </c>
      <c r="E3000" s="1977"/>
      <c r="F3000" s="1506">
        <f t="shared" ref="F3000:F3001" si="1059">D3000/$D$2830</f>
        <v>1.0846952333410152E-2</v>
      </c>
      <c r="G3000" s="2053"/>
      <c r="H3000" s="1789" t="s">
        <v>59</v>
      </c>
      <c r="I3000" s="2089"/>
      <c r="J3000" s="2068"/>
      <c r="K3000" s="58"/>
      <c r="L3000" s="58"/>
      <c r="M3000" s="58"/>
      <c r="R3000" s="2137">
        <f>SUM(R2995:R2997)</f>
        <v>170738.25</v>
      </c>
      <c r="S3000" s="2137"/>
      <c r="T3000" s="2137">
        <f>SUM(T2995:T2997)</f>
        <v>10925.75</v>
      </c>
      <c r="U3000" s="2137">
        <f>SUM(U2995:U2997)</f>
        <v>0.19176362003134584</v>
      </c>
    </row>
    <row r="3001" spans="1:23" ht="16" hidden="1" outlineLevel="1" thickBot="1" x14ac:dyDescent="0.4">
      <c r="A3001" s="55" t="s">
        <v>60</v>
      </c>
      <c r="B3001" s="56"/>
      <c r="C3001" s="2166">
        <f>SUM(D2995:D2997)</f>
        <v>181664</v>
      </c>
      <c r="D3001" s="57">
        <v>1297.02</v>
      </c>
      <c r="E3001" s="1977"/>
      <c r="F3001" s="1506">
        <f t="shared" si="1059"/>
        <v>6.0618277264472527E-3</v>
      </c>
      <c r="G3001" s="1734"/>
      <c r="H3001" s="1723" t="s">
        <v>61</v>
      </c>
      <c r="I3001" s="60">
        <v>0</v>
      </c>
      <c r="J3001" s="61"/>
      <c r="K3001" s="2090"/>
      <c r="L3001" s="2070"/>
      <c r="M3001" s="2070"/>
      <c r="Q3001" s="62"/>
      <c r="R3001" s="64"/>
      <c r="S3001" s="64"/>
      <c r="T3001" s="64"/>
      <c r="U3001" s="1553"/>
    </row>
    <row r="3002" spans="1:23" ht="19" hidden="1" outlineLevel="1" thickBot="1" x14ac:dyDescent="0.5">
      <c r="A3002" s="66" t="s">
        <v>62</v>
      </c>
      <c r="B3002" s="67"/>
      <c r="C3002" s="68">
        <f>SUM(D2995:D2999)</f>
        <v>191084.7</v>
      </c>
      <c r="D3002" s="84">
        <f>SUM(D2995:D3001)</f>
        <v>194702.59</v>
      </c>
      <c r="E3002" s="73">
        <f>(D3002-D2987)+I3001</f>
        <v>4412.4499999999825</v>
      </c>
      <c r="F3002" s="71"/>
      <c r="G3002" s="72" t="s">
        <v>63</v>
      </c>
      <c r="H3002" s="73">
        <f>E3002+E2987+E2972+E2956+E2940</f>
        <v>-25.079999999987194</v>
      </c>
      <c r="I3002" s="74"/>
      <c r="J3002" s="75"/>
      <c r="K3002" s="2138" t="s">
        <v>67</v>
      </c>
      <c r="L3002" s="2139"/>
      <c r="M3002" s="2140"/>
      <c r="Q3002" s="105"/>
      <c r="S3002" s="1860"/>
      <c r="T3002" s="1860"/>
      <c r="U3002" s="2141"/>
    </row>
    <row r="3003" spans="1:23" hidden="1" outlineLevel="1" x14ac:dyDescent="0.35">
      <c r="A3003" s="2985" t="s">
        <v>536</v>
      </c>
      <c r="B3003" s="2985"/>
      <c r="C3003" s="2985"/>
      <c r="D3003" s="2985"/>
      <c r="E3003" s="2985"/>
      <c r="F3003" s="2985"/>
      <c r="G3003" s="2985"/>
      <c r="H3003" s="2985"/>
      <c r="I3003" s="2985"/>
      <c r="J3003" s="2985"/>
      <c r="K3003" s="2142" t="s">
        <v>69</v>
      </c>
      <c r="L3003" s="1865"/>
      <c r="M3003" s="2143"/>
      <c r="Q3003" s="105"/>
      <c r="S3003" s="1860"/>
      <c r="T3003" s="1860"/>
      <c r="U3003" s="1555"/>
    </row>
    <row r="3004" spans="1:23" hidden="1" outlineLevel="1" x14ac:dyDescent="0.35">
      <c r="A3004" s="2986"/>
      <c r="B3004" s="2986"/>
      <c r="C3004" s="2986"/>
      <c r="D3004" s="2986"/>
      <c r="E3004" s="2986"/>
      <c r="F3004" s="2986"/>
      <c r="G3004" s="2986"/>
      <c r="H3004" s="2986"/>
      <c r="I3004" s="2986"/>
      <c r="J3004" s="2986"/>
      <c r="K3004" s="2142" t="s">
        <v>70</v>
      </c>
      <c r="L3004" s="1865"/>
      <c r="M3004" s="2143"/>
      <c r="Q3004" s="105"/>
      <c r="S3004" s="1860"/>
      <c r="T3004" s="1860"/>
      <c r="U3004" s="1555"/>
    </row>
    <row r="3005" spans="1:23" ht="16" hidden="1" outlineLevel="1" thickBot="1" x14ac:dyDescent="0.4">
      <c r="A3005" s="2986"/>
      <c r="B3005" s="2986"/>
      <c r="C3005" s="2986"/>
      <c r="D3005" s="2986"/>
      <c r="E3005" s="2986"/>
      <c r="F3005" s="2986"/>
      <c r="G3005" s="2986"/>
      <c r="H3005" s="2986"/>
      <c r="I3005" s="2986"/>
      <c r="J3005" s="2986"/>
      <c r="K3005" s="2144" t="s">
        <v>71</v>
      </c>
      <c r="L3005" s="2145"/>
      <c r="M3005" s="2146"/>
      <c r="Q3005" s="102"/>
      <c r="R3005" s="40"/>
      <c r="S3005" s="2074"/>
      <c r="T3005" s="2074"/>
      <c r="U3005" s="2060"/>
    </row>
    <row r="3006" spans="1:23" ht="16" hidden="1" outlineLevel="1" thickBot="1" x14ac:dyDescent="0.4">
      <c r="A3006" s="8"/>
      <c r="B3006" s="9"/>
      <c r="C3006" s="8"/>
      <c r="D3006" s="2163"/>
      <c r="E3006" s="2164"/>
      <c r="F3006" s="10"/>
      <c r="G3006" s="11"/>
      <c r="H3006" s="12"/>
      <c r="I3006" s="8"/>
      <c r="J3006" s="12"/>
      <c r="K3006" s="8"/>
      <c r="L3006" s="8"/>
      <c r="M3006" s="8"/>
      <c r="N3006" s="8"/>
      <c r="O3006" s="8"/>
      <c r="P3006" s="8"/>
      <c r="Q3006" s="8"/>
      <c r="R3006" s="8"/>
      <c r="S3006" s="8"/>
      <c r="T3006" s="8"/>
      <c r="U3006" s="8"/>
      <c r="V3006" s="8"/>
      <c r="W3006" s="8"/>
    </row>
    <row r="3007" spans="1:23" ht="16" hidden="1" outlineLevel="1" thickBot="1" x14ac:dyDescent="0.4">
      <c r="A3007" s="1619" t="s">
        <v>25</v>
      </c>
      <c r="B3007" s="1996" t="s">
        <v>26</v>
      </c>
      <c r="C3007" s="1621" t="s">
        <v>27</v>
      </c>
      <c r="D3007" s="1622">
        <f>D2992+7</f>
        <v>44414</v>
      </c>
      <c r="E3007" s="1623" t="s">
        <v>28</v>
      </c>
      <c r="F3007" s="3036" t="s">
        <v>29</v>
      </c>
      <c r="G3007" s="3037"/>
      <c r="H3007" s="3038"/>
      <c r="I3007" s="1481"/>
      <c r="J3007" s="1144"/>
      <c r="K3007" s="1643"/>
      <c r="O3007" s="3042" t="s">
        <v>31</v>
      </c>
      <c r="P3007" s="3043"/>
      <c r="T3007" s="247"/>
      <c r="U3007" s="1123"/>
      <c r="V3007" s="247"/>
    </row>
    <row r="3008" spans="1:23" ht="16" hidden="1" outlineLevel="1" thickBot="1" x14ac:dyDescent="0.4">
      <c r="A3008" s="1973" t="s">
        <v>32</v>
      </c>
      <c r="B3008" s="1997" t="str">
        <f ca="1">TEXT(TODAY(),"ddd")</f>
        <v>Sun</v>
      </c>
      <c r="C3008" s="1998">
        <v>35208</v>
      </c>
      <c r="D3008" s="1980">
        <f>C3008-C2993</f>
        <v>273</v>
      </c>
      <c r="E3008" s="1977">
        <f>(C3008-C2993)/C2993</f>
        <v>7.8145126663804205E-3</v>
      </c>
      <c r="F3008" s="3039"/>
      <c r="G3008" s="3040"/>
      <c r="H3008" s="3041"/>
      <c r="I3008" s="1602"/>
      <c r="J3008" s="1602">
        <f>C3009</f>
        <v>14835</v>
      </c>
      <c r="K3008" s="2061" t="s">
        <v>234</v>
      </c>
      <c r="L3008" s="2062" t="s">
        <v>34</v>
      </c>
      <c r="M3008" s="2063" t="s">
        <v>35</v>
      </c>
      <c r="N3008" s="2995"/>
      <c r="O3008" s="2996"/>
      <c r="P3008" s="2996"/>
      <c r="Q3008" s="2996"/>
      <c r="R3008" s="2996"/>
      <c r="S3008" s="2996"/>
      <c r="T3008" s="2996"/>
      <c r="U3008" s="3044"/>
    </row>
    <row r="3009" spans="1:22" hidden="1" outlineLevel="1" x14ac:dyDescent="0.35">
      <c r="A3009" s="1978" t="s">
        <v>36</v>
      </c>
      <c r="B3009" s="1979"/>
      <c r="C3009" s="1979">
        <v>14835</v>
      </c>
      <c r="D3009" s="1980">
        <f>C3009-C2994</f>
        <v>163</v>
      </c>
      <c r="E3009" s="1977">
        <f>(C3009-C2994)/C2994</f>
        <v>1.1109596510359868E-2</v>
      </c>
      <c r="F3009" s="1744" t="s">
        <v>37</v>
      </c>
      <c r="G3009" s="1745" t="s">
        <v>38</v>
      </c>
      <c r="H3009" s="1746" t="s">
        <v>144</v>
      </c>
      <c r="I3009" s="1747" t="s">
        <v>40</v>
      </c>
      <c r="J3009" s="2064" t="s">
        <v>41</v>
      </c>
      <c r="K3009" s="3033" t="s">
        <v>42</v>
      </c>
      <c r="L3009" s="3034"/>
      <c r="M3009" s="3034"/>
      <c r="N3009" s="2065" t="s">
        <v>244</v>
      </c>
      <c r="Q3009" s="1831" t="s">
        <v>44</v>
      </c>
      <c r="R3009" s="1832" t="s">
        <v>45</v>
      </c>
      <c r="S3009" s="1832" t="s">
        <v>46</v>
      </c>
      <c r="T3009" s="1832" t="s">
        <v>47</v>
      </c>
      <c r="U3009" s="1833" t="s">
        <v>48</v>
      </c>
    </row>
    <row r="3010" spans="1:22" hidden="1" outlineLevel="1" x14ac:dyDescent="0.35">
      <c r="A3010" s="2081" t="s">
        <v>49</v>
      </c>
      <c r="B3010" s="1531">
        <v>200</v>
      </c>
      <c r="C3010" s="1643">
        <v>203.66</v>
      </c>
      <c r="D3010" s="2082">
        <f t="shared" ref="D3010:D3013" si="1060">C3010*B3010</f>
        <v>40732</v>
      </c>
      <c r="E3010" s="2110">
        <f>(C3010-C2995)/C2995</f>
        <v>4.4463818657366976E-2</v>
      </c>
      <c r="F3010" s="1146">
        <f>D3010/$D$3016</f>
        <v>0.20341596187054389</v>
      </c>
      <c r="G3010" s="2111">
        <v>91</v>
      </c>
      <c r="H3010" s="2165" t="s">
        <v>350</v>
      </c>
      <c r="I3010" s="2112">
        <v>0.86</v>
      </c>
      <c r="J3010" s="2113">
        <v>13.49</v>
      </c>
      <c r="K3010" s="3032" t="s">
        <v>679</v>
      </c>
      <c r="L3010" s="3032"/>
      <c r="M3010" s="3032"/>
      <c r="N3010" s="2114"/>
      <c r="O3010" s="3"/>
      <c r="P3010" s="3"/>
      <c r="Q3010" s="2115"/>
      <c r="R3010" s="2116">
        <f>RIGHT(K3010,6)*B3010</f>
        <v>38668</v>
      </c>
      <c r="S3010" s="1223">
        <f>D3010</f>
        <v>40732</v>
      </c>
      <c r="T3010" s="1223">
        <f t="shared" ref="T3010:T3013" si="1061">S3010-R3010</f>
        <v>2064</v>
      </c>
      <c r="U3010" s="54">
        <f>(S3010-R3010)/R3010</f>
        <v>5.3377469742422676E-2</v>
      </c>
      <c r="V3010" s="2117" t="str">
        <f>A3010</f>
        <v>NVDA</v>
      </c>
    </row>
    <row r="3011" spans="1:22" hidden="1" outlineLevel="1" x14ac:dyDescent="0.35">
      <c r="A3011" s="2048" t="s">
        <v>96</v>
      </c>
      <c r="B3011" s="2119">
        <v>100</v>
      </c>
      <c r="C3011" s="2083">
        <v>1030.02</v>
      </c>
      <c r="D3011" s="2083">
        <f t="shared" si="1060"/>
        <v>103002</v>
      </c>
      <c r="E3011" s="2110">
        <f t="shared" ref="E3011" si="1062">(C3011-C2996)/C2996</f>
        <v>3.889213886591486E-2</v>
      </c>
      <c r="F3011" s="1146">
        <f>D3011/$D$3016</f>
        <v>0.51439288285843476</v>
      </c>
      <c r="G3011" s="2121">
        <v>96</v>
      </c>
      <c r="H3011" s="1820" t="s">
        <v>145</v>
      </c>
      <c r="I3011" s="2122">
        <v>0.42</v>
      </c>
      <c r="J3011" s="2122">
        <v>3.05</v>
      </c>
      <c r="K3011" s="3032" t="s">
        <v>680</v>
      </c>
      <c r="L3011" s="3032"/>
      <c r="M3011" s="3032"/>
      <c r="N3011" s="46"/>
      <c r="Q3011" s="47"/>
      <c r="R3011" s="2116">
        <f>RIGHT(K3011,6)*B3011</f>
        <v>93189</v>
      </c>
      <c r="S3011" s="1223">
        <f t="shared" ref="S3011:S3013" si="1063">D3011</f>
        <v>103002</v>
      </c>
      <c r="T3011" s="1223">
        <f t="shared" si="1061"/>
        <v>9813</v>
      </c>
      <c r="U3011" s="54">
        <f t="shared" ref="U3011:U3013" si="1064">(S3011-R3011)/R3011</f>
        <v>0.1053021279335544</v>
      </c>
      <c r="V3011" s="2117" t="str">
        <f t="shared" ref="V3011:V3013" si="1065">A3011</f>
        <v>ISRG</v>
      </c>
    </row>
    <row r="3012" spans="1:22" hidden="1" outlineLevel="1" x14ac:dyDescent="0.35">
      <c r="A3012" s="2048" t="s">
        <v>51</v>
      </c>
      <c r="B3012" s="2119">
        <v>125</v>
      </c>
      <c r="C3012" s="2083">
        <v>353.35</v>
      </c>
      <c r="D3012" s="2083">
        <f t="shared" si="1060"/>
        <v>44168.75</v>
      </c>
      <c r="E3012" s="2110">
        <f>(C3012-C2997)/C2997</f>
        <v>1.4906939338235286E-2</v>
      </c>
      <c r="F3012" s="1146">
        <f>D3012/$D$3016</f>
        <v>0.22057912122826245</v>
      </c>
      <c r="G3012" s="2169">
        <v>26</v>
      </c>
      <c r="H3012" s="2165" t="s">
        <v>350</v>
      </c>
      <c r="I3012" s="2122">
        <v>0.52</v>
      </c>
      <c r="J3012" s="2122">
        <v>3.1</v>
      </c>
      <c r="K3012" s="3032" t="s">
        <v>681</v>
      </c>
      <c r="L3012" s="3032"/>
      <c r="M3012" s="3032"/>
      <c r="N3012" s="46"/>
      <c r="Q3012" s="47"/>
      <c r="R3012" s="2116">
        <f t="shared" ref="R3012" si="1066">RIGHT(K3012,6)*B3012</f>
        <v>38881.25</v>
      </c>
      <c r="S3012" s="1223">
        <f t="shared" si="1063"/>
        <v>44168.75</v>
      </c>
      <c r="T3012" s="1223">
        <f t="shared" si="1061"/>
        <v>5287.5</v>
      </c>
      <c r="U3012" s="54">
        <f t="shared" si="1064"/>
        <v>0.13599099823179553</v>
      </c>
      <c r="V3012" s="2117" t="str">
        <f t="shared" si="1065"/>
        <v>KLAC</v>
      </c>
    </row>
    <row r="3013" spans="1:22" hidden="1" outlineLevel="1" x14ac:dyDescent="0.35">
      <c r="A3013" s="2048" t="s">
        <v>685</v>
      </c>
      <c r="B3013" s="2119">
        <v>100</v>
      </c>
      <c r="C3013" s="2083">
        <v>84.04</v>
      </c>
      <c r="D3013" s="2083">
        <f t="shared" si="1060"/>
        <v>8404</v>
      </c>
      <c r="E3013" s="2110"/>
      <c r="F3013" s="1146">
        <f>D3013/$D$3016</f>
        <v>4.196964901208021E-2</v>
      </c>
      <c r="G3013" s="2169">
        <v>177</v>
      </c>
      <c r="H3013" s="2165" t="s">
        <v>350</v>
      </c>
      <c r="I3013" s="2122">
        <v>0.79</v>
      </c>
      <c r="J3013" s="2122">
        <v>27.71</v>
      </c>
      <c r="K3013" s="3032" t="s">
        <v>686</v>
      </c>
      <c r="L3013" s="3032"/>
      <c r="M3013" s="3032"/>
      <c r="N3013" s="46"/>
      <c r="Q3013" s="47"/>
      <c r="R3013" s="2116">
        <f>RIGHT(K3013,6)*B3013</f>
        <v>8644</v>
      </c>
      <c r="S3013" s="1223">
        <f t="shared" si="1063"/>
        <v>8404</v>
      </c>
      <c r="T3013" s="1223">
        <f t="shared" si="1061"/>
        <v>-240</v>
      </c>
      <c r="U3013" s="54">
        <f t="shared" si="1064"/>
        <v>-2.7764923646459973E-2</v>
      </c>
      <c r="V3013" s="2117" t="str">
        <f t="shared" si="1065"/>
        <v>TTD</v>
      </c>
    </row>
    <row r="3014" spans="1:22" hidden="1" outlineLevel="1" x14ac:dyDescent="0.35">
      <c r="A3014" s="55" t="s">
        <v>7</v>
      </c>
      <c r="B3014" s="56"/>
      <c r="C3014" s="1881"/>
      <c r="D3014" s="57">
        <v>2324.81</v>
      </c>
      <c r="E3014" s="1977"/>
      <c r="F3014" s="1506">
        <f t="shared" ref="F3014:F3015" si="1067">D3014/$D$2830</f>
        <v>1.0865366545405496E-2</v>
      </c>
      <c r="G3014" s="2053"/>
      <c r="H3014" s="1789" t="s">
        <v>59</v>
      </c>
      <c r="I3014" s="2089"/>
      <c r="J3014" s="2068"/>
      <c r="K3014" s="58"/>
      <c r="L3014" s="58"/>
      <c r="M3014" s="58"/>
      <c r="R3014" s="2137">
        <f>SUM(R3010:R3012)</f>
        <v>170738.25</v>
      </c>
      <c r="S3014" s="2137"/>
      <c r="T3014" s="2137">
        <f>SUM(T3010:T3012)</f>
        <v>17164.5</v>
      </c>
      <c r="U3014" s="2137">
        <f>SUM(U3010:U3012)</f>
        <v>0.29467059590777256</v>
      </c>
    </row>
    <row r="3015" spans="1:22" ht="16" hidden="1" outlineLevel="1" thickBot="1" x14ac:dyDescent="0.4">
      <c r="A3015" s="55" t="s">
        <v>60</v>
      </c>
      <c r="B3015" s="56"/>
      <c r="C3015" s="2166">
        <f>SUM(D3010:D3013)</f>
        <v>196306.75</v>
      </c>
      <c r="D3015" s="57">
        <v>1608.38</v>
      </c>
      <c r="E3015" s="1977"/>
      <c r="F3015" s="1506">
        <f t="shared" si="1067"/>
        <v>7.51701783986618E-3</v>
      </c>
      <c r="G3015" s="1734"/>
      <c r="H3015" s="1723" t="s">
        <v>61</v>
      </c>
      <c r="I3015" s="60">
        <v>0</v>
      </c>
      <c r="J3015" s="61"/>
      <c r="K3015" s="2090"/>
      <c r="L3015" s="2070"/>
      <c r="M3015" s="2070"/>
      <c r="Q3015" s="62"/>
      <c r="R3015" s="64"/>
      <c r="S3015" s="64"/>
      <c r="T3015" s="64"/>
      <c r="U3015" s="1553"/>
    </row>
    <row r="3016" spans="1:22" ht="19" hidden="1" outlineLevel="1" thickBot="1" x14ac:dyDescent="0.5">
      <c r="A3016" s="66" t="s">
        <v>62</v>
      </c>
      <c r="B3016" s="67"/>
      <c r="C3016" s="68">
        <f>SUM(D3010:D3013)</f>
        <v>196306.75</v>
      </c>
      <c r="D3016" s="84">
        <f>SUM(D3010:D3015)</f>
        <v>200239.94</v>
      </c>
      <c r="E3016" s="73">
        <f>(D3016-D3002)+I3015</f>
        <v>5537.3500000000058</v>
      </c>
      <c r="F3016" s="71"/>
      <c r="G3016" s="72" t="s">
        <v>63</v>
      </c>
      <c r="H3016" s="73">
        <f>E3016+E3002+E2987+E2972+E2956</f>
        <v>292.23999999999069</v>
      </c>
      <c r="I3016" s="74"/>
      <c r="J3016" s="75"/>
      <c r="K3016" s="2138" t="s">
        <v>67</v>
      </c>
      <c r="L3016" s="2139"/>
      <c r="M3016" s="2140"/>
      <c r="Q3016" s="105"/>
      <c r="S3016" s="1860"/>
      <c r="T3016" s="1860"/>
      <c r="U3016" s="2141"/>
    </row>
    <row r="3017" spans="1:22" hidden="1" outlineLevel="1" x14ac:dyDescent="0.35">
      <c r="A3017" s="2985" t="s">
        <v>687</v>
      </c>
      <c r="B3017" s="2985"/>
      <c r="C3017" s="2985"/>
      <c r="D3017" s="2985"/>
      <c r="E3017" s="2985"/>
      <c r="F3017" s="2985"/>
      <c r="G3017" s="2985"/>
      <c r="H3017" s="2985"/>
      <c r="I3017" s="2985"/>
      <c r="J3017" s="2985"/>
      <c r="K3017" s="2142" t="s">
        <v>69</v>
      </c>
      <c r="L3017" s="1865"/>
      <c r="M3017" s="2143"/>
      <c r="Q3017" s="105"/>
      <c r="S3017" s="1860"/>
      <c r="T3017" s="1860"/>
      <c r="U3017" s="1555"/>
    </row>
    <row r="3018" spans="1:22" hidden="1" outlineLevel="1" x14ac:dyDescent="0.35">
      <c r="A3018" s="2986"/>
      <c r="B3018" s="2986"/>
      <c r="C3018" s="2986"/>
      <c r="D3018" s="2986"/>
      <c r="E3018" s="2986"/>
      <c r="F3018" s="2986"/>
      <c r="G3018" s="2986"/>
      <c r="H3018" s="2986"/>
      <c r="I3018" s="2986"/>
      <c r="J3018" s="2986"/>
      <c r="K3018" s="2142" t="s">
        <v>70</v>
      </c>
      <c r="L3018" s="1865"/>
      <c r="M3018" s="2143"/>
      <c r="Q3018" s="105"/>
      <c r="S3018" s="1860"/>
      <c r="T3018" s="1860"/>
      <c r="U3018" s="1555"/>
    </row>
    <row r="3019" spans="1:22" ht="16" hidden="1" outlineLevel="1" thickBot="1" x14ac:dyDescent="0.4">
      <c r="A3019" s="2986"/>
      <c r="B3019" s="2986"/>
      <c r="C3019" s="2986"/>
      <c r="D3019" s="2986"/>
      <c r="E3019" s="2986"/>
      <c r="F3019" s="2986"/>
      <c r="G3019" s="2986"/>
      <c r="H3019" s="2986"/>
      <c r="I3019" s="2986"/>
      <c r="J3019" s="2986"/>
      <c r="K3019" s="2144" t="s">
        <v>71</v>
      </c>
      <c r="L3019" s="2145"/>
      <c r="M3019" s="2146"/>
      <c r="Q3019" s="102"/>
      <c r="R3019" s="40"/>
      <c r="S3019" s="2074"/>
      <c r="T3019" s="2074"/>
      <c r="U3019" s="2060"/>
    </row>
    <row r="3020" spans="1:22" ht="16" hidden="1" outlineLevel="1" collapsed="1" thickBot="1" x14ac:dyDescent="0.4">
      <c r="A3020" s="8"/>
      <c r="B3020" s="9"/>
      <c r="C3020" s="8"/>
      <c r="D3020" s="2163"/>
      <c r="E3020" s="2164"/>
      <c r="F3020" s="10"/>
      <c r="G3020" s="11"/>
      <c r="H3020" s="12"/>
      <c r="I3020" s="8"/>
      <c r="J3020" s="12"/>
      <c r="K3020" s="8"/>
      <c r="L3020" s="8"/>
      <c r="M3020" s="8"/>
      <c r="N3020" s="8"/>
      <c r="O3020" s="8"/>
      <c r="P3020" s="8"/>
      <c r="Q3020" s="8"/>
      <c r="R3020" s="8"/>
      <c r="S3020" s="8"/>
      <c r="T3020" s="8"/>
      <c r="U3020" s="8"/>
      <c r="V3020" s="8"/>
    </row>
    <row r="3021" spans="1:22" ht="16" hidden="1" outlineLevel="1" thickBot="1" x14ac:dyDescent="0.4">
      <c r="A3021" s="1619" t="s">
        <v>25</v>
      </c>
      <c r="B3021" s="1996" t="s">
        <v>26</v>
      </c>
      <c r="C3021" s="1621" t="s">
        <v>27</v>
      </c>
      <c r="D3021" s="1622">
        <f>D3007+7</f>
        <v>44421</v>
      </c>
      <c r="E3021" s="1623" t="s">
        <v>28</v>
      </c>
      <c r="F3021" s="3036" t="s">
        <v>29</v>
      </c>
      <c r="G3021" s="3037"/>
      <c r="H3021" s="3038"/>
      <c r="I3021" s="1481"/>
      <c r="J3021" s="1144"/>
      <c r="K3021" s="1643"/>
      <c r="O3021" s="3042" t="s">
        <v>31</v>
      </c>
      <c r="P3021" s="3043"/>
      <c r="T3021" s="247"/>
      <c r="U3021" s="1123"/>
      <c r="V3021" s="247"/>
    </row>
    <row r="3022" spans="1:22" ht="16" hidden="1" outlineLevel="1" thickBot="1" x14ac:dyDescent="0.4">
      <c r="A3022" s="1973" t="s">
        <v>32</v>
      </c>
      <c r="B3022" s="1997" t="str">
        <f ca="1">TEXT(TODAY(),"ddd")</f>
        <v>Sun</v>
      </c>
      <c r="C3022" s="1998">
        <v>35515</v>
      </c>
      <c r="D3022" s="1980">
        <f>C3022-C3008</f>
        <v>307</v>
      </c>
      <c r="E3022" s="1977">
        <f>(C3022-C3008)/C3008</f>
        <v>8.7196091797318784E-3</v>
      </c>
      <c r="F3022" s="3039"/>
      <c r="G3022" s="3040"/>
      <c r="H3022" s="3041"/>
      <c r="I3022" s="1602"/>
      <c r="J3022" s="1602">
        <f>C3023</f>
        <v>14822</v>
      </c>
      <c r="K3022" s="2061" t="s">
        <v>234</v>
      </c>
      <c r="L3022" s="2062" t="s">
        <v>34</v>
      </c>
      <c r="M3022" s="2063" t="s">
        <v>35</v>
      </c>
      <c r="N3022" s="2995"/>
      <c r="O3022" s="2996"/>
      <c r="P3022" s="2996"/>
      <c r="Q3022" s="2996"/>
      <c r="R3022" s="2996"/>
      <c r="S3022" s="2996"/>
      <c r="T3022" s="2996"/>
      <c r="U3022" s="3044"/>
    </row>
    <row r="3023" spans="1:22" hidden="1" outlineLevel="1" x14ac:dyDescent="0.35">
      <c r="A3023" s="1978" t="s">
        <v>36</v>
      </c>
      <c r="B3023" s="1979"/>
      <c r="C3023" s="1979">
        <v>14822</v>
      </c>
      <c r="D3023" s="1980">
        <f>C3023-C3009</f>
        <v>-13</v>
      </c>
      <c r="E3023" s="1977">
        <f t="shared" ref="E3023:E3026" si="1068">(C3023-C3009)/C3009</f>
        <v>-8.7630603302999658E-4</v>
      </c>
      <c r="F3023" s="1744" t="s">
        <v>37</v>
      </c>
      <c r="G3023" s="2170" t="s">
        <v>38</v>
      </c>
      <c r="H3023" s="1746" t="s">
        <v>144</v>
      </c>
      <c r="I3023" s="1747" t="s">
        <v>40</v>
      </c>
      <c r="J3023" s="2064" t="s">
        <v>41</v>
      </c>
      <c r="K3023" s="3033" t="s">
        <v>42</v>
      </c>
      <c r="L3023" s="3034"/>
      <c r="M3023" s="3034"/>
      <c r="N3023" s="2065" t="s">
        <v>244</v>
      </c>
      <c r="Q3023" s="1831" t="s">
        <v>44</v>
      </c>
      <c r="R3023" s="1832" t="s">
        <v>45</v>
      </c>
      <c r="S3023" s="1832" t="s">
        <v>46</v>
      </c>
      <c r="T3023" s="1832" t="s">
        <v>47</v>
      </c>
      <c r="U3023" s="1833" t="s">
        <v>48</v>
      </c>
    </row>
    <row r="3024" spans="1:22" hidden="1" outlineLevel="1" x14ac:dyDescent="0.35">
      <c r="A3024" s="2081" t="s">
        <v>49</v>
      </c>
      <c r="B3024" s="1531">
        <v>200</v>
      </c>
      <c r="C3024" s="1643">
        <v>201.88</v>
      </c>
      <c r="D3024" s="2082">
        <f t="shared" ref="D3024:D3026" si="1069">C3024*B3024</f>
        <v>40376</v>
      </c>
      <c r="E3024" s="1977">
        <f t="shared" si="1068"/>
        <v>-8.7400569576745607E-3</v>
      </c>
      <c r="F3024" s="1146">
        <f>D3024/$D$3029</f>
        <v>0.20887516666920156</v>
      </c>
      <c r="G3024" s="2171">
        <v>94</v>
      </c>
      <c r="H3024" s="2165" t="s">
        <v>350</v>
      </c>
      <c r="I3024" s="2112">
        <v>0.86</v>
      </c>
      <c r="J3024" s="2113">
        <v>13.49</v>
      </c>
      <c r="K3024" s="3032" t="s">
        <v>679</v>
      </c>
      <c r="L3024" s="3032"/>
      <c r="M3024" s="3032"/>
      <c r="N3024" s="2114"/>
      <c r="O3024" s="3"/>
      <c r="P3024" s="3"/>
      <c r="Q3024" s="2115"/>
      <c r="R3024" s="2116">
        <f>RIGHT(K3024,6)*B3024</f>
        <v>38668</v>
      </c>
      <c r="S3024" s="1223">
        <f>D3024</f>
        <v>40376</v>
      </c>
      <c r="T3024" s="1223">
        <f t="shared" ref="T3024:T3026" si="1070">S3024-R3024</f>
        <v>1708</v>
      </c>
      <c r="U3024" s="54">
        <f>(S3024-R3024)/R3024</f>
        <v>4.4170890658942794E-2</v>
      </c>
      <c r="V3024" s="2117" t="str">
        <f>A3024</f>
        <v>NVDA</v>
      </c>
    </row>
    <row r="3025" spans="1:22" hidden="1" outlineLevel="1" x14ac:dyDescent="0.35">
      <c r="A3025" s="2048" t="s">
        <v>96</v>
      </c>
      <c r="B3025" s="2119">
        <v>100</v>
      </c>
      <c r="C3025" s="2083">
        <v>1003.04</v>
      </c>
      <c r="D3025" s="2083">
        <f t="shared" si="1069"/>
        <v>100304</v>
      </c>
      <c r="E3025" s="1977">
        <f t="shared" si="1068"/>
        <v>-2.6193666142405019E-2</v>
      </c>
      <c r="F3025" s="1146">
        <f t="shared" ref="F3025:F3026" si="1071">D3025/$D$3029</f>
        <v>0.51889772928441635</v>
      </c>
      <c r="G3025" s="2172">
        <v>74</v>
      </c>
      <c r="H3025" s="1820" t="s">
        <v>145</v>
      </c>
      <c r="I3025" s="2122">
        <v>0.42</v>
      </c>
      <c r="J3025" s="2122">
        <v>3.05</v>
      </c>
      <c r="K3025" s="3032" t="s">
        <v>680</v>
      </c>
      <c r="L3025" s="3032"/>
      <c r="M3025" s="3032"/>
      <c r="N3025" s="46"/>
      <c r="Q3025" s="47"/>
      <c r="R3025" s="2116">
        <f>RIGHT(K3025,6)*B3025</f>
        <v>93189</v>
      </c>
      <c r="S3025" s="1223">
        <f t="shared" ref="S3025:S3026" si="1072">D3025</f>
        <v>100304</v>
      </c>
      <c r="T3025" s="1223">
        <f t="shared" si="1070"/>
        <v>7115</v>
      </c>
      <c r="U3025" s="54">
        <f t="shared" ref="U3025:U3026" si="1073">(S3025-R3025)/R3025</f>
        <v>7.6350213007973039E-2</v>
      </c>
      <c r="V3025" s="2117" t="str">
        <f t="shared" ref="V3025:V3026" si="1074">A3025</f>
        <v>ISRG</v>
      </c>
    </row>
    <row r="3026" spans="1:22" hidden="1" outlineLevel="1" x14ac:dyDescent="0.35">
      <c r="A3026" s="2048" t="s">
        <v>51</v>
      </c>
      <c r="B3026" s="2119">
        <v>145</v>
      </c>
      <c r="C3026" s="2083">
        <v>327.88</v>
      </c>
      <c r="D3026" s="2083">
        <f t="shared" si="1069"/>
        <v>47542.6</v>
      </c>
      <c r="E3026" s="1977">
        <f t="shared" si="1068"/>
        <v>-7.2081505589359066E-2</v>
      </c>
      <c r="F3026" s="1146">
        <f t="shared" si="1071"/>
        <v>0.24594978449789928</v>
      </c>
      <c r="G3026" s="2173">
        <v>24</v>
      </c>
      <c r="H3026" s="2165" t="s">
        <v>350</v>
      </c>
      <c r="I3026" s="2122">
        <v>0.52</v>
      </c>
      <c r="J3026" s="2122">
        <v>3.1</v>
      </c>
      <c r="K3026" s="3032" t="s">
        <v>681</v>
      </c>
      <c r="L3026" s="3032"/>
      <c r="M3026" s="3032"/>
      <c r="N3026" s="46"/>
      <c r="Q3026" s="47"/>
      <c r="R3026" s="2116">
        <f t="shared" ref="R3026" si="1075">RIGHT(K3026,6)*B3026</f>
        <v>45102.25</v>
      </c>
      <c r="S3026" s="1223">
        <f t="shared" si="1072"/>
        <v>47542.6</v>
      </c>
      <c r="T3026" s="1223">
        <f t="shared" si="1070"/>
        <v>2440.3499999999985</v>
      </c>
      <c r="U3026" s="54">
        <f t="shared" si="1073"/>
        <v>5.4107056743288827E-2</v>
      </c>
      <c r="V3026" s="2117" t="str">
        <f t="shared" si="1074"/>
        <v>KLAC</v>
      </c>
    </row>
    <row r="3027" spans="1:22" hidden="1" outlineLevel="1" x14ac:dyDescent="0.35">
      <c r="A3027" s="55" t="s">
        <v>7</v>
      </c>
      <c r="B3027" s="56"/>
      <c r="C3027" s="1881"/>
      <c r="D3027" s="57">
        <v>3220.33</v>
      </c>
      <c r="E3027" s="1977"/>
      <c r="F3027" s="1506">
        <f t="shared" ref="F3027:F3028" si="1076">D3027/$D$2830</f>
        <v>1.5050720638316974E-2</v>
      </c>
      <c r="G3027" s="2053"/>
      <c r="H3027" s="1789" t="s">
        <v>59</v>
      </c>
      <c r="I3027" s="2089"/>
      <c r="J3027" s="2068"/>
      <c r="K3027" s="58"/>
      <c r="L3027" s="58"/>
      <c r="M3027" s="58"/>
      <c r="R3027" s="2137">
        <f>SUM(R3024:R3026)</f>
        <v>176959.25</v>
      </c>
      <c r="S3027" s="2137"/>
      <c r="T3027" s="2137">
        <f>SUM(T3024:T3026)</f>
        <v>11263.349999999999</v>
      </c>
      <c r="U3027" s="2137">
        <f>SUM(U3024:U3026)</f>
        <v>0.17462816041020465</v>
      </c>
    </row>
    <row r="3028" spans="1:22" ht="16" hidden="1" outlineLevel="1" thickBot="1" x14ac:dyDescent="0.4">
      <c r="A3028" s="55" t="s">
        <v>60</v>
      </c>
      <c r="B3028" s="56"/>
      <c r="C3028" s="2166">
        <f>SUM(D3024:D3026)</f>
        <v>188222.6</v>
      </c>
      <c r="D3028" s="57">
        <v>1859.13</v>
      </c>
      <c r="E3028" s="1977"/>
      <c r="F3028" s="1506">
        <f t="shared" si="1076"/>
        <v>8.6889375499760082E-3</v>
      </c>
      <c r="G3028" s="1734"/>
      <c r="H3028" s="1723" t="s">
        <v>61</v>
      </c>
      <c r="I3028" s="60">
        <v>0</v>
      </c>
      <c r="J3028" s="61"/>
      <c r="K3028" s="2090"/>
      <c r="L3028" s="2070"/>
      <c r="M3028" s="2070"/>
      <c r="Q3028" s="62"/>
      <c r="R3028" s="64"/>
      <c r="S3028" s="64"/>
      <c r="T3028" s="64"/>
      <c r="U3028" s="1553"/>
    </row>
    <row r="3029" spans="1:22" ht="19" hidden="1" outlineLevel="1" thickBot="1" x14ac:dyDescent="0.5">
      <c r="A3029" s="66" t="s">
        <v>62</v>
      </c>
      <c r="B3029" s="67"/>
      <c r="C3029" s="68">
        <f>SUM(D3024:D3026)</f>
        <v>188222.6</v>
      </c>
      <c r="D3029" s="84">
        <f>SUM(D3024:D3028)</f>
        <v>193302.06</v>
      </c>
      <c r="E3029" s="73">
        <f>(D3029-D3016)+I3028</f>
        <v>-6937.8800000000047</v>
      </c>
      <c r="F3029" s="71"/>
      <c r="G3029" s="72" t="s">
        <v>63</v>
      </c>
      <c r="H3029" s="73">
        <f>E3029+E3016+E3001+E2986+E2970</f>
        <v>-1400.5299999999988</v>
      </c>
      <c r="I3029" s="74"/>
      <c r="J3029" s="75"/>
      <c r="K3029" s="2138" t="s">
        <v>67</v>
      </c>
      <c r="L3029" s="2139"/>
      <c r="M3029" s="2140"/>
      <c r="Q3029" s="105"/>
      <c r="S3029" s="1860"/>
      <c r="T3029" s="1860"/>
      <c r="U3029" s="2141"/>
    </row>
    <row r="3030" spans="1:22" hidden="1" outlineLevel="1" x14ac:dyDescent="0.35">
      <c r="A3030" s="2985" t="s">
        <v>688</v>
      </c>
      <c r="B3030" s="2985"/>
      <c r="C3030" s="2985"/>
      <c r="D3030" s="2985"/>
      <c r="E3030" s="2985"/>
      <c r="F3030" s="2985"/>
      <c r="G3030" s="2985"/>
      <c r="H3030" s="2985"/>
      <c r="I3030" s="2985"/>
      <c r="J3030" s="2985"/>
      <c r="K3030" s="2142" t="s">
        <v>69</v>
      </c>
      <c r="L3030" s="1865"/>
      <c r="M3030" s="2143"/>
      <c r="Q3030" s="105"/>
      <c r="S3030" s="1860"/>
      <c r="T3030" s="1860"/>
      <c r="U3030" s="1555"/>
    </row>
    <row r="3031" spans="1:22" hidden="1" outlineLevel="1" x14ac:dyDescent="0.35">
      <c r="A3031" s="2986"/>
      <c r="B3031" s="2986"/>
      <c r="C3031" s="2986"/>
      <c r="D3031" s="2986"/>
      <c r="E3031" s="2986"/>
      <c r="F3031" s="2986"/>
      <c r="G3031" s="2986"/>
      <c r="H3031" s="2986"/>
      <c r="I3031" s="2986"/>
      <c r="J3031" s="2986"/>
      <c r="K3031" s="2142" t="s">
        <v>70</v>
      </c>
      <c r="L3031" s="1865"/>
      <c r="M3031" s="2143"/>
      <c r="Q3031" s="105"/>
      <c r="S3031" s="1860"/>
      <c r="T3031" s="1860"/>
      <c r="U3031" s="1555"/>
    </row>
    <row r="3032" spans="1:22" ht="16" hidden="1" outlineLevel="1" thickBot="1" x14ac:dyDescent="0.4">
      <c r="A3032" s="2986"/>
      <c r="B3032" s="2986"/>
      <c r="C3032" s="2986"/>
      <c r="D3032" s="2986"/>
      <c r="E3032" s="2986"/>
      <c r="F3032" s="2986"/>
      <c r="G3032" s="2986"/>
      <c r="H3032" s="2986"/>
      <c r="I3032" s="2986"/>
      <c r="J3032" s="2986"/>
      <c r="K3032" s="2144" t="s">
        <v>71</v>
      </c>
      <c r="L3032" s="2145"/>
      <c r="M3032" s="2146"/>
      <c r="Q3032" s="102"/>
      <c r="R3032" s="40"/>
      <c r="S3032" s="2074"/>
      <c r="T3032" s="2074"/>
      <c r="U3032" s="2060"/>
    </row>
    <row r="3033" spans="1:22" ht="16" hidden="1" outlineLevel="1" thickBot="1" x14ac:dyDescent="0.4">
      <c r="A3033" s="8"/>
      <c r="B3033" s="9"/>
      <c r="C3033" s="8"/>
      <c r="D3033" s="2163"/>
      <c r="E3033" s="2164"/>
      <c r="F3033" s="10"/>
      <c r="G3033" s="11"/>
      <c r="H3033" s="12"/>
      <c r="I3033" s="8"/>
      <c r="J3033" s="12"/>
      <c r="K3033" s="8"/>
      <c r="L3033" s="8"/>
      <c r="M3033" s="8"/>
      <c r="N3033" s="8"/>
      <c r="O3033" s="8"/>
      <c r="P3033" s="8"/>
      <c r="Q3033" s="8"/>
      <c r="R3033" s="8"/>
      <c r="S3033" s="8"/>
      <c r="T3033" s="8"/>
      <c r="U3033" s="8"/>
      <c r="V3033" s="8"/>
    </row>
    <row r="3034" spans="1:22" ht="16" hidden="1" outlineLevel="1" thickBot="1" x14ac:dyDescent="0.4">
      <c r="A3034" s="1619" t="s">
        <v>25</v>
      </c>
      <c r="B3034" s="1996" t="s">
        <v>26</v>
      </c>
      <c r="C3034" s="1621" t="s">
        <v>27</v>
      </c>
      <c r="D3034" s="1622">
        <f>D3021+7</f>
        <v>44428</v>
      </c>
      <c r="E3034" s="1623" t="s">
        <v>28</v>
      </c>
      <c r="F3034" s="3036" t="s">
        <v>29</v>
      </c>
      <c r="G3034" s="3037"/>
      <c r="H3034" s="3038"/>
      <c r="I3034" s="1481"/>
      <c r="J3034" s="1144"/>
      <c r="K3034" s="1643"/>
      <c r="O3034" s="3042" t="s">
        <v>31</v>
      </c>
      <c r="P3034" s="3043"/>
      <c r="T3034" s="247"/>
      <c r="U3034" s="1123"/>
      <c r="V3034" s="247"/>
    </row>
    <row r="3035" spans="1:22" ht="16" hidden="1" outlineLevel="1" thickBot="1" x14ac:dyDescent="0.4">
      <c r="A3035" s="1973" t="s">
        <v>32</v>
      </c>
      <c r="B3035" s="1997" t="str">
        <f ca="1">TEXT(TODAY(),"ddd")</f>
        <v>Sun</v>
      </c>
      <c r="C3035" s="1998">
        <v>35120</v>
      </c>
      <c r="D3035" s="1980">
        <f>C3035-C3022</f>
        <v>-395</v>
      </c>
      <c r="E3035" s="1977">
        <f>(C3035-C3022)/C3022</f>
        <v>-1.1122061100943263E-2</v>
      </c>
      <c r="F3035" s="3039"/>
      <c r="G3035" s="3040"/>
      <c r="H3035" s="3041"/>
      <c r="I3035" s="1602"/>
      <c r="J3035" s="1602">
        <f>C3036</f>
        <v>14714</v>
      </c>
      <c r="K3035" s="2061" t="s">
        <v>234</v>
      </c>
      <c r="L3035" s="2062" t="s">
        <v>34</v>
      </c>
      <c r="M3035" s="2063" t="s">
        <v>35</v>
      </c>
      <c r="N3035" s="2995"/>
      <c r="O3035" s="2996"/>
      <c r="P3035" s="2996"/>
      <c r="Q3035" s="2996"/>
      <c r="R3035" s="2996"/>
      <c r="S3035" s="2996"/>
      <c r="T3035" s="2996"/>
      <c r="U3035" s="3044"/>
    </row>
    <row r="3036" spans="1:22" hidden="1" outlineLevel="1" x14ac:dyDescent="0.35">
      <c r="A3036" s="1978" t="s">
        <v>36</v>
      </c>
      <c r="B3036" s="1979"/>
      <c r="C3036" s="1979">
        <v>14714</v>
      </c>
      <c r="D3036" s="1980">
        <f>C3036-C3023</f>
        <v>-108</v>
      </c>
      <c r="E3036" s="1977">
        <f t="shared" ref="E3036:E3039" si="1077">(C3036-C3023)/C3023</f>
        <v>-7.2864660639589797E-3</v>
      </c>
      <c r="F3036" s="1744" t="s">
        <v>37</v>
      </c>
      <c r="G3036" s="2170" t="s">
        <v>38</v>
      </c>
      <c r="H3036" s="1746" t="s">
        <v>144</v>
      </c>
      <c r="I3036" s="1747" t="s">
        <v>40</v>
      </c>
      <c r="J3036" s="2064" t="s">
        <v>41</v>
      </c>
      <c r="K3036" s="3033" t="s">
        <v>42</v>
      </c>
      <c r="L3036" s="3034"/>
      <c r="M3036" s="3034"/>
      <c r="N3036" s="2065" t="s">
        <v>244</v>
      </c>
      <c r="Q3036" s="1831" t="s">
        <v>44</v>
      </c>
      <c r="R3036" s="1832" t="s">
        <v>45</v>
      </c>
      <c r="S3036" s="1832" t="s">
        <v>46</v>
      </c>
      <c r="T3036" s="1832" t="s">
        <v>47</v>
      </c>
      <c r="U3036" s="1833" t="s">
        <v>48</v>
      </c>
    </row>
    <row r="3037" spans="1:22" hidden="1" outlineLevel="1" x14ac:dyDescent="0.35">
      <c r="A3037" s="2081" t="s">
        <v>49</v>
      </c>
      <c r="B3037" s="1531">
        <v>200</v>
      </c>
      <c r="C3037" s="1643">
        <v>208.16</v>
      </c>
      <c r="D3037" s="2082">
        <f t="shared" ref="D3037:D3039" si="1078">C3037*B3037</f>
        <v>41632</v>
      </c>
      <c r="E3037" s="1977">
        <f t="shared" si="1077"/>
        <v>3.1107588666534583E-2</v>
      </c>
      <c r="F3037" s="1146">
        <f>D3037/$D$3042</f>
        <v>0.21460006202123236</v>
      </c>
      <c r="G3037" s="2171">
        <v>94</v>
      </c>
      <c r="H3037" s="2165" t="s">
        <v>350</v>
      </c>
      <c r="I3037" s="2112">
        <v>0.86</v>
      </c>
      <c r="J3037" s="2113">
        <v>13.49</v>
      </c>
      <c r="K3037" s="3053" t="s">
        <v>679</v>
      </c>
      <c r="L3037" s="3053"/>
      <c r="M3037" s="3053"/>
      <c r="N3037" s="2114"/>
      <c r="O3037" s="3"/>
      <c r="P3037" s="3"/>
      <c r="Q3037" s="2115"/>
      <c r="R3037" s="2116">
        <f>RIGHT(K3037,6)*B3037</f>
        <v>38668</v>
      </c>
      <c r="S3037" s="1223">
        <f>D3037</f>
        <v>41632</v>
      </c>
      <c r="T3037" s="1223">
        <f t="shared" ref="T3037:T3039" si="1079">S3037-R3037</f>
        <v>2964</v>
      </c>
      <c r="U3037" s="54">
        <f>(S3037-R3037)/R3037</f>
        <v>7.6652529223130234E-2</v>
      </c>
      <c r="V3037" s="2117" t="str">
        <f>A3037</f>
        <v>NVDA</v>
      </c>
    </row>
    <row r="3038" spans="1:22" hidden="1" outlineLevel="1" x14ac:dyDescent="0.35">
      <c r="A3038" s="2048" t="s">
        <v>689</v>
      </c>
      <c r="B3038" s="2119">
        <v>100</v>
      </c>
      <c r="C3038" s="2083">
        <v>1043.82</v>
      </c>
      <c r="D3038" s="2083">
        <f t="shared" si="1078"/>
        <v>104382</v>
      </c>
      <c r="E3038" s="1977">
        <f t="shared" si="1077"/>
        <v>4.0656404530228084E-2</v>
      </c>
      <c r="F3038" s="1146">
        <f t="shared" ref="F3038:F3039" si="1080">D3038/$D$3042</f>
        <v>0.53805687149068693</v>
      </c>
      <c r="G3038" s="2172">
        <v>74</v>
      </c>
      <c r="H3038" s="1820" t="s">
        <v>145</v>
      </c>
      <c r="I3038" s="2122">
        <v>0.42</v>
      </c>
      <c r="J3038" s="2122">
        <v>3.05</v>
      </c>
      <c r="K3038" s="3053" t="s">
        <v>680</v>
      </c>
      <c r="L3038" s="3053"/>
      <c r="M3038" s="3053"/>
      <c r="N3038" s="46"/>
      <c r="Q3038" s="47"/>
      <c r="R3038" s="2116">
        <f>RIGHT(K3038,6)*B3038</f>
        <v>93189</v>
      </c>
      <c r="S3038" s="1223">
        <f t="shared" ref="S3038:S3039" si="1081">D3038</f>
        <v>104382</v>
      </c>
      <c r="T3038" s="1223">
        <f t="shared" si="1079"/>
        <v>11193</v>
      </c>
      <c r="U3038" s="54">
        <f t="shared" ref="U3038:U3039" si="1082">(S3038-R3038)/R3038</f>
        <v>0.12011074268422239</v>
      </c>
      <c r="V3038" s="2117" t="str">
        <f t="shared" ref="V3038:V3039" si="1083">A3038</f>
        <v>ISRG (3 for 1)</v>
      </c>
    </row>
    <row r="3039" spans="1:22" hidden="1" outlineLevel="1" x14ac:dyDescent="0.35">
      <c r="A3039" s="2048" t="s">
        <v>51</v>
      </c>
      <c r="B3039" s="2119">
        <v>125</v>
      </c>
      <c r="C3039" s="2083">
        <v>319.97000000000003</v>
      </c>
      <c r="D3039" s="2083">
        <f t="shared" si="1078"/>
        <v>39996.25</v>
      </c>
      <c r="E3039" s="1977">
        <f t="shared" si="1077"/>
        <v>-2.4124679760888033E-2</v>
      </c>
      <c r="F3039" s="1146">
        <f t="shared" si="1080"/>
        <v>0.20616827754171585</v>
      </c>
      <c r="G3039" s="2173">
        <v>24</v>
      </c>
      <c r="H3039" s="2165" t="s">
        <v>350</v>
      </c>
      <c r="I3039" s="2122">
        <v>0.52</v>
      </c>
      <c r="J3039" s="2122">
        <v>3.1</v>
      </c>
      <c r="K3039" s="3053" t="s">
        <v>681</v>
      </c>
      <c r="L3039" s="3053"/>
      <c r="M3039" s="3053"/>
      <c r="N3039" s="46"/>
      <c r="Q3039" s="47"/>
      <c r="R3039" s="2116">
        <f t="shared" ref="R3039" si="1084">RIGHT(K3039,6)*B3039</f>
        <v>38881.25</v>
      </c>
      <c r="S3039" s="1223">
        <f t="shared" si="1081"/>
        <v>39996.25</v>
      </c>
      <c r="T3039" s="1223">
        <f t="shared" si="1079"/>
        <v>1115</v>
      </c>
      <c r="U3039" s="54">
        <f t="shared" si="1082"/>
        <v>2.8677061565664685E-2</v>
      </c>
      <c r="V3039" s="2117" t="str">
        <f t="shared" si="1083"/>
        <v>KLAC</v>
      </c>
    </row>
    <row r="3040" spans="1:22" hidden="1" outlineLevel="1" x14ac:dyDescent="0.35">
      <c r="A3040" s="55" t="s">
        <v>7</v>
      </c>
      <c r="B3040" s="56"/>
      <c r="C3040" s="1881"/>
      <c r="D3040" s="57">
        <v>2301.94</v>
      </c>
      <c r="E3040" s="1977"/>
      <c r="F3040" s="1506">
        <f t="shared" ref="F3040:F3041" si="1085">D3040/$D$2830</f>
        <v>1.0758479989990894E-2</v>
      </c>
      <c r="G3040" s="2053"/>
      <c r="H3040" s="1789" t="s">
        <v>59</v>
      </c>
      <c r="I3040" s="2089"/>
      <c r="J3040" s="2068"/>
      <c r="K3040" s="58"/>
      <c r="L3040" s="58"/>
      <c r="M3040" s="58"/>
      <c r="R3040" s="2137">
        <f>SUM(R3037:R3039)</f>
        <v>170738.25</v>
      </c>
      <c r="S3040" s="2137"/>
      <c r="T3040" s="2137">
        <f>SUM(T3037:T3039)</f>
        <v>15272</v>
      </c>
      <c r="U3040" s="2137">
        <f>SUM(U3037:U3039)</f>
        <v>0.22544033347301731</v>
      </c>
    </row>
    <row r="3041" spans="1:23" ht="16" hidden="1" outlineLevel="1" thickBot="1" x14ac:dyDescent="0.4">
      <c r="A3041" s="55" t="s">
        <v>60</v>
      </c>
      <c r="B3041" s="56"/>
      <c r="C3041" s="2166">
        <f>SUM(D3037:D3039)</f>
        <v>186010.25</v>
      </c>
      <c r="D3041" s="57">
        <f>6185.89-500</f>
        <v>5685.89</v>
      </c>
      <c r="E3041" s="1977"/>
      <c r="F3041" s="1506">
        <f t="shared" si="1085"/>
        <v>2.6573904528480033E-2</v>
      </c>
      <c r="G3041" s="1734"/>
      <c r="H3041" s="1723" t="s">
        <v>61</v>
      </c>
      <c r="I3041" s="60">
        <v>-2200</v>
      </c>
      <c r="J3041" s="61"/>
      <c r="K3041" s="2090"/>
      <c r="L3041" s="2070"/>
      <c r="M3041" s="2070"/>
      <c r="Q3041" s="62"/>
      <c r="R3041" s="64"/>
      <c r="S3041" s="64"/>
      <c r="T3041" s="64"/>
      <c r="U3041" s="1553"/>
    </row>
    <row r="3042" spans="1:23" ht="19" hidden="1" outlineLevel="1" thickBot="1" x14ac:dyDescent="0.5">
      <c r="A3042" s="66" t="s">
        <v>62</v>
      </c>
      <c r="B3042" s="67"/>
      <c r="C3042" s="68">
        <f>SUM(D3037:D3039)</f>
        <v>186010.25</v>
      </c>
      <c r="D3042" s="84">
        <f>SUM(D3037:D3041)</f>
        <v>193998.08000000002</v>
      </c>
      <c r="E3042" s="73">
        <f>(D3042-D3029)+I3041</f>
        <v>-1503.9799999999814</v>
      </c>
      <c r="F3042" s="71"/>
      <c r="G3042" s="72" t="s">
        <v>63</v>
      </c>
      <c r="H3042" s="73">
        <f>E3042+E3029+E3014+E2999+E2983</f>
        <v>-8441.859999999986</v>
      </c>
      <c r="I3042" s="74"/>
      <c r="J3042" s="75"/>
      <c r="K3042" s="2138" t="s">
        <v>67</v>
      </c>
      <c r="L3042" s="2139"/>
      <c r="M3042" s="2140"/>
      <c r="Q3042" s="105"/>
      <c r="S3042" s="1860"/>
      <c r="T3042" s="1860"/>
      <c r="U3042" s="2141"/>
      <c r="V3042" s="2174">
        <v>22</v>
      </c>
      <c r="W3042" s="2175">
        <v>44428</v>
      </c>
    </row>
    <row r="3043" spans="1:23" hidden="1" outlineLevel="1" x14ac:dyDescent="0.35">
      <c r="A3043" s="2985" t="s">
        <v>690</v>
      </c>
      <c r="B3043" s="2985"/>
      <c r="C3043" s="2985"/>
      <c r="D3043" s="2985"/>
      <c r="E3043" s="2985"/>
      <c r="F3043" s="2985"/>
      <c r="G3043" s="2985"/>
      <c r="H3043" s="2985"/>
      <c r="I3043" s="2985"/>
      <c r="J3043" s="2985"/>
      <c r="K3043" s="2142" t="s">
        <v>69</v>
      </c>
      <c r="L3043" s="1865"/>
      <c r="M3043" s="2143"/>
      <c r="Q3043" s="105"/>
      <c r="S3043" s="1860"/>
      <c r="T3043" s="1860"/>
      <c r="U3043" s="1555"/>
    </row>
    <row r="3044" spans="1:23" hidden="1" outlineLevel="1" x14ac:dyDescent="0.35">
      <c r="A3044" s="2986"/>
      <c r="B3044" s="2986"/>
      <c r="C3044" s="2986"/>
      <c r="D3044" s="2986"/>
      <c r="E3044" s="2986"/>
      <c r="F3044" s="2986"/>
      <c r="G3044" s="2986"/>
      <c r="H3044" s="2986"/>
      <c r="I3044" s="2986"/>
      <c r="J3044" s="2986"/>
      <c r="K3044" s="2142" t="s">
        <v>70</v>
      </c>
      <c r="L3044" s="1865"/>
      <c r="M3044" s="2143"/>
      <c r="Q3044" s="105"/>
      <c r="S3044" s="1860"/>
      <c r="T3044" s="1860"/>
      <c r="U3044" s="1555"/>
    </row>
    <row r="3045" spans="1:23" ht="16" hidden="1" outlineLevel="1" thickBot="1" x14ac:dyDescent="0.4">
      <c r="A3045" s="2986"/>
      <c r="B3045" s="2986"/>
      <c r="C3045" s="2986"/>
      <c r="D3045" s="2986"/>
      <c r="E3045" s="2986"/>
      <c r="F3045" s="2986"/>
      <c r="G3045" s="2986"/>
      <c r="H3045" s="2986"/>
      <c r="I3045" s="2986"/>
      <c r="J3045" s="2986"/>
      <c r="K3045" s="2144" t="s">
        <v>71</v>
      </c>
      <c r="L3045" s="2145"/>
      <c r="M3045" s="2146"/>
      <c r="Q3045" s="102"/>
      <c r="R3045" s="40"/>
      <c r="S3045" s="2074"/>
      <c r="T3045" s="2074"/>
      <c r="U3045" s="2060"/>
    </row>
    <row r="3046" spans="1:23" ht="16" hidden="1" outlineLevel="1" thickBot="1" x14ac:dyDescent="0.4">
      <c r="A3046" s="8"/>
      <c r="B3046" s="9"/>
      <c r="C3046" s="8"/>
      <c r="D3046" s="2163"/>
      <c r="E3046" s="2164"/>
      <c r="F3046" s="10"/>
      <c r="G3046" s="11"/>
      <c r="H3046" s="12"/>
      <c r="I3046" s="8"/>
      <c r="J3046" s="12"/>
      <c r="K3046" s="8"/>
      <c r="L3046" s="8"/>
      <c r="M3046" s="8"/>
      <c r="N3046" s="8"/>
      <c r="O3046" s="8"/>
      <c r="P3046" s="8"/>
      <c r="Q3046" s="8"/>
      <c r="R3046" s="8"/>
      <c r="S3046" s="8"/>
      <c r="T3046" s="8"/>
      <c r="U3046" s="8"/>
      <c r="V3046" s="8"/>
    </row>
    <row r="3047" spans="1:23" ht="16" hidden="1" outlineLevel="1" thickBot="1" x14ac:dyDescent="0.4">
      <c r="A3047" s="1619" t="s">
        <v>25</v>
      </c>
      <c r="B3047" s="1996" t="s">
        <v>26</v>
      </c>
      <c r="C3047" s="1621" t="s">
        <v>27</v>
      </c>
      <c r="D3047" s="1622">
        <f>D3034+14</f>
        <v>44442</v>
      </c>
      <c r="E3047" s="1623" t="s">
        <v>28</v>
      </c>
      <c r="F3047" s="3036" t="s">
        <v>29</v>
      </c>
      <c r="G3047" s="3037"/>
      <c r="H3047" s="3038"/>
      <c r="I3047" s="1481"/>
      <c r="J3047" s="1144"/>
      <c r="K3047" s="1643"/>
      <c r="O3047" s="3042" t="s">
        <v>31</v>
      </c>
      <c r="P3047" s="3043"/>
      <c r="T3047" s="247"/>
      <c r="U3047" s="1123"/>
      <c r="V3047" s="247"/>
    </row>
    <row r="3048" spans="1:23" ht="16" hidden="1" outlineLevel="1" thickBot="1" x14ac:dyDescent="0.4">
      <c r="A3048" s="1973" t="s">
        <v>32</v>
      </c>
      <c r="B3048" s="1997" t="str">
        <f ca="1">TEXT(TODAY(),"ddd")</f>
        <v>Sun</v>
      </c>
      <c r="C3048" s="1998">
        <v>35369</v>
      </c>
      <c r="D3048" s="1980">
        <f>C3048-C3035</f>
        <v>249</v>
      </c>
      <c r="E3048" s="1977">
        <f>(C3048-C3035)/C3035</f>
        <v>7.0899772209567198E-3</v>
      </c>
      <c r="F3048" s="3039"/>
      <c r="G3048" s="3040"/>
      <c r="H3048" s="3041"/>
      <c r="I3048" s="1602"/>
      <c r="J3048" s="1602">
        <f>C3049</f>
        <v>15363</v>
      </c>
      <c r="K3048" s="2061" t="s">
        <v>234</v>
      </c>
      <c r="L3048" s="2062" t="s">
        <v>34</v>
      </c>
      <c r="M3048" s="2063" t="s">
        <v>35</v>
      </c>
      <c r="N3048" s="2995"/>
      <c r="O3048" s="2996"/>
      <c r="P3048" s="2996"/>
      <c r="Q3048" s="2996"/>
      <c r="R3048" s="2996"/>
      <c r="S3048" s="2996"/>
      <c r="T3048" s="2996"/>
      <c r="U3048" s="3044"/>
    </row>
    <row r="3049" spans="1:23" hidden="1" outlineLevel="1" x14ac:dyDescent="0.35">
      <c r="A3049" s="1978" t="s">
        <v>36</v>
      </c>
      <c r="B3049" s="1979"/>
      <c r="C3049" s="1979">
        <v>15363</v>
      </c>
      <c r="D3049" s="1980">
        <f>C3049-C3036</f>
        <v>649</v>
      </c>
      <c r="E3049" s="1977">
        <f t="shared" ref="E3049:E3052" si="1086">(C3049-C3036)/C3036</f>
        <v>4.4107652575778172E-2</v>
      </c>
      <c r="F3049" s="1744" t="s">
        <v>37</v>
      </c>
      <c r="G3049" s="2170" t="s">
        <v>38</v>
      </c>
      <c r="H3049" s="1746" t="s">
        <v>144</v>
      </c>
      <c r="I3049" s="1747" t="s">
        <v>40</v>
      </c>
      <c r="J3049" s="2064" t="s">
        <v>41</v>
      </c>
      <c r="K3049" s="3033" t="s">
        <v>42</v>
      </c>
      <c r="L3049" s="3034"/>
      <c r="M3049" s="3034"/>
      <c r="N3049" s="2065" t="s">
        <v>244</v>
      </c>
      <c r="Q3049" s="1831" t="s">
        <v>44</v>
      </c>
      <c r="R3049" s="1832" t="s">
        <v>45</v>
      </c>
      <c r="S3049" s="1832" t="s">
        <v>46</v>
      </c>
      <c r="T3049" s="1832" t="s">
        <v>47</v>
      </c>
      <c r="U3049" s="1833" t="s">
        <v>48</v>
      </c>
    </row>
    <row r="3050" spans="1:23" hidden="1" outlineLevel="1" x14ac:dyDescent="0.35">
      <c r="A3050" s="2176" t="s">
        <v>49</v>
      </c>
      <c r="B3050" s="2177">
        <v>200</v>
      </c>
      <c r="C3050" s="44">
        <v>228.43</v>
      </c>
      <c r="D3050" s="82">
        <f t="shared" ref="D3050:D3052" si="1087">C3050*B3050</f>
        <v>45686</v>
      </c>
      <c r="E3050" s="1977">
        <f t="shared" si="1086"/>
        <v>9.7377017678708738E-2</v>
      </c>
      <c r="F3050" s="1146">
        <f>D3050/$D$3042</f>
        <v>0.23549717605452589</v>
      </c>
      <c r="G3050" s="2171">
        <v>94</v>
      </c>
      <c r="H3050" s="2165" t="s">
        <v>350</v>
      </c>
      <c r="I3050" s="2112">
        <v>0.86</v>
      </c>
      <c r="J3050" s="2113">
        <v>13.49</v>
      </c>
      <c r="K3050" s="3032" t="s">
        <v>679</v>
      </c>
      <c r="L3050" s="3032"/>
      <c r="M3050" s="3032"/>
      <c r="N3050" s="2114"/>
      <c r="O3050" s="3"/>
      <c r="P3050" s="3"/>
      <c r="Q3050" s="2115"/>
      <c r="R3050" s="2116">
        <f>RIGHT(K3050,6)*B3050</f>
        <v>38668</v>
      </c>
      <c r="S3050" s="1223">
        <f>D3050</f>
        <v>45686</v>
      </c>
      <c r="T3050" s="1223">
        <f t="shared" ref="T3050:T3052" si="1088">S3050-R3050</f>
        <v>7018</v>
      </c>
      <c r="U3050" s="54">
        <f>(S3050-R3050)/R3050</f>
        <v>0.18149374159511741</v>
      </c>
      <c r="V3050" s="2117" t="str">
        <f>A3050</f>
        <v>NVDA</v>
      </c>
    </row>
    <row r="3051" spans="1:23" hidden="1" outlineLevel="1" x14ac:dyDescent="0.35">
      <c r="A3051" s="2178" t="s">
        <v>96</v>
      </c>
      <c r="B3051" s="2179">
        <v>100</v>
      </c>
      <c r="C3051" s="2180">
        <v>1071.77</v>
      </c>
      <c r="D3051" s="2180">
        <f t="shared" si="1087"/>
        <v>107177</v>
      </c>
      <c r="E3051" s="1977">
        <f t="shared" si="1086"/>
        <v>2.6776647314671158E-2</v>
      </c>
      <c r="F3051" s="1146">
        <f t="shared" ref="F3051:F3052" si="1089">D3051/$D$3042</f>
        <v>0.55246423057382832</v>
      </c>
      <c r="G3051" s="2172">
        <v>74</v>
      </c>
      <c r="H3051" s="1820" t="s">
        <v>145</v>
      </c>
      <c r="I3051" s="2122">
        <v>0.42</v>
      </c>
      <c r="J3051" s="2122">
        <v>3.05</v>
      </c>
      <c r="K3051" s="3032" t="s">
        <v>680</v>
      </c>
      <c r="L3051" s="3032"/>
      <c r="M3051" s="3032"/>
      <c r="N3051" s="46"/>
      <c r="Q3051" s="47"/>
      <c r="R3051" s="2116">
        <f>RIGHT(K3051,6)*B3051</f>
        <v>93189</v>
      </c>
      <c r="S3051" s="1223">
        <f t="shared" ref="S3051:S3052" si="1090">D3051</f>
        <v>107177</v>
      </c>
      <c r="T3051" s="1223">
        <f t="shared" si="1088"/>
        <v>13988</v>
      </c>
      <c r="U3051" s="54">
        <f t="shared" ref="U3051:U3052" si="1091">(S3051-R3051)/R3051</f>
        <v>0.15010355299445213</v>
      </c>
      <c r="V3051" s="2117" t="str">
        <f t="shared" ref="V3051:V3052" si="1092">A3051</f>
        <v>ISRG</v>
      </c>
    </row>
    <row r="3052" spans="1:23" hidden="1" outlineLevel="1" x14ac:dyDescent="0.35">
      <c r="A3052" s="2178" t="s">
        <v>51</v>
      </c>
      <c r="B3052" s="2179">
        <v>125.44499999999999</v>
      </c>
      <c r="C3052" s="2180">
        <v>341.75</v>
      </c>
      <c r="D3052" s="2180">
        <f t="shared" si="1087"/>
        <v>42870.828750000001</v>
      </c>
      <c r="E3052" s="1977">
        <f t="shared" si="1086"/>
        <v>6.8068881457636565E-2</v>
      </c>
      <c r="F3052" s="1146">
        <f t="shared" si="1089"/>
        <v>0.2209858404268743</v>
      </c>
      <c r="G3052" s="2173">
        <v>24</v>
      </c>
      <c r="H3052" s="2165" t="s">
        <v>350</v>
      </c>
      <c r="I3052" s="2122">
        <v>0.52</v>
      </c>
      <c r="J3052" s="2122">
        <v>3.1</v>
      </c>
      <c r="K3052" s="3032" t="s">
        <v>681</v>
      </c>
      <c r="L3052" s="3032"/>
      <c r="M3052" s="3032"/>
      <c r="N3052" s="46"/>
      <c r="Q3052" s="47"/>
      <c r="R3052" s="2116">
        <f t="shared" ref="R3052" si="1093">RIGHT(K3052,6)*B3052</f>
        <v>39019.667249999999</v>
      </c>
      <c r="S3052" s="1223">
        <f t="shared" si="1090"/>
        <v>42870.828750000001</v>
      </c>
      <c r="T3052" s="1223">
        <f t="shared" si="1088"/>
        <v>3851.161500000002</v>
      </c>
      <c r="U3052" s="54">
        <f t="shared" si="1091"/>
        <v>9.8697958527567964E-2</v>
      </c>
      <c r="V3052" s="2117" t="str">
        <f t="shared" si="1092"/>
        <v>KLAC</v>
      </c>
    </row>
    <row r="3053" spans="1:23" hidden="1" outlineLevel="1" x14ac:dyDescent="0.35">
      <c r="A3053" s="55" t="s">
        <v>7</v>
      </c>
      <c r="B3053" s="56"/>
      <c r="C3053" s="1881"/>
      <c r="D3053" s="57">
        <v>2348.2800000000002</v>
      </c>
      <c r="E3053" s="1977"/>
      <c r="F3053" s="1506">
        <f t="shared" ref="F3053:F3054" si="1094">D3053/$D$2830</f>
        <v>1.0975057295540205E-2</v>
      </c>
      <c r="G3053" s="2053"/>
      <c r="H3053" s="1789" t="s">
        <v>59</v>
      </c>
      <c r="I3053" s="2089"/>
      <c r="J3053" s="2068"/>
      <c r="K3053" s="58"/>
      <c r="L3053" s="58"/>
      <c r="M3053" s="58"/>
      <c r="R3053" s="2137">
        <f>SUM(R3050:R3052)</f>
        <v>170876.66725</v>
      </c>
      <c r="S3053" s="2137"/>
      <c r="T3053" s="2137">
        <f>SUM(T3050:T3052)</f>
        <v>24857.161500000002</v>
      </c>
      <c r="U3053" s="2137">
        <f>SUM(U3050:U3052)</f>
        <v>0.43029525311713751</v>
      </c>
    </row>
    <row r="3054" spans="1:23" ht="16" hidden="1" outlineLevel="1" thickBot="1" x14ac:dyDescent="0.4">
      <c r="A3054" s="55" t="s">
        <v>60</v>
      </c>
      <c r="B3054" s="56"/>
      <c r="C3054" s="2166">
        <f>SUM(D3050:D3052)</f>
        <v>195733.82874999999</v>
      </c>
      <c r="D3054" s="57">
        <v>1185.92</v>
      </c>
      <c r="E3054" s="1977"/>
      <c r="F3054" s="1506">
        <f t="shared" si="1094"/>
        <v>5.5425843374414634E-3</v>
      </c>
      <c r="G3054" s="1734"/>
      <c r="H3054" s="1723" t="s">
        <v>61</v>
      </c>
      <c r="I3054" s="60"/>
      <c r="J3054" s="61"/>
      <c r="K3054" s="2090"/>
      <c r="L3054" s="2070"/>
      <c r="M3054" s="2070"/>
      <c r="Q3054" s="62"/>
      <c r="R3054" s="64"/>
      <c r="S3054" s="64"/>
      <c r="T3054" s="64"/>
      <c r="U3054" s="1553"/>
    </row>
    <row r="3055" spans="1:23" ht="19" hidden="1" outlineLevel="1" thickBot="1" x14ac:dyDescent="0.5">
      <c r="A3055" s="66" t="s">
        <v>62</v>
      </c>
      <c r="B3055" s="67"/>
      <c r="C3055" s="68">
        <f>SUM(D3050:D3052)</f>
        <v>195733.82874999999</v>
      </c>
      <c r="D3055" s="84">
        <f>SUM(D3050:D3054)+I3054</f>
        <v>199268.02875</v>
      </c>
      <c r="E3055" s="73">
        <f>(D3055-D3042)+I3054</f>
        <v>5269.9487499999814</v>
      </c>
      <c r="F3055" s="71"/>
      <c r="G3055" s="72" t="s">
        <v>63</v>
      </c>
      <c r="H3055" s="73">
        <f>E3055+E3042+E3029+E3012+E2996</f>
        <v>-3171.8809814483116</v>
      </c>
      <c r="I3055" s="74"/>
      <c r="J3055" s="75"/>
      <c r="K3055" s="2138" t="s">
        <v>67</v>
      </c>
      <c r="L3055" s="2139"/>
      <c r="M3055" s="2140"/>
      <c r="Q3055" s="105"/>
      <c r="S3055" s="1860"/>
      <c r="T3055" s="1860"/>
      <c r="U3055" s="2141"/>
    </row>
    <row r="3056" spans="1:23" hidden="1" outlineLevel="1" x14ac:dyDescent="0.35">
      <c r="A3056" s="2985" t="s">
        <v>688</v>
      </c>
      <c r="B3056" s="2985"/>
      <c r="C3056" s="2985"/>
      <c r="D3056" s="2985"/>
      <c r="E3056" s="2985"/>
      <c r="F3056" s="2985"/>
      <c r="G3056" s="2985"/>
      <c r="H3056" s="2985"/>
      <c r="I3056" s="2985"/>
      <c r="J3056" s="2985"/>
      <c r="K3056" s="2142" t="s">
        <v>69</v>
      </c>
      <c r="L3056" s="1865"/>
      <c r="M3056" s="2143"/>
      <c r="Q3056" s="105"/>
      <c r="S3056" s="1860"/>
      <c r="T3056" s="1860"/>
      <c r="U3056" s="1555"/>
    </row>
    <row r="3057" spans="1:23" hidden="1" outlineLevel="1" x14ac:dyDescent="0.35">
      <c r="A3057" s="2986"/>
      <c r="B3057" s="2986"/>
      <c r="C3057" s="2986"/>
      <c r="D3057" s="2986"/>
      <c r="E3057" s="2986"/>
      <c r="F3057" s="2986"/>
      <c r="G3057" s="2986"/>
      <c r="H3057" s="2986"/>
      <c r="I3057" s="2986"/>
      <c r="J3057" s="2986"/>
      <c r="K3057" s="2142" t="s">
        <v>70</v>
      </c>
      <c r="L3057" s="1865"/>
      <c r="M3057" s="2143"/>
      <c r="Q3057" s="105"/>
      <c r="S3057" s="1860"/>
      <c r="T3057" s="1860"/>
      <c r="U3057" s="1555"/>
    </row>
    <row r="3058" spans="1:23" ht="16" hidden="1" outlineLevel="1" thickBot="1" x14ac:dyDescent="0.4">
      <c r="A3058" s="2986"/>
      <c r="B3058" s="2986"/>
      <c r="C3058" s="2986"/>
      <c r="D3058" s="2986"/>
      <c r="E3058" s="2986"/>
      <c r="F3058" s="2986"/>
      <c r="G3058" s="2986"/>
      <c r="H3058" s="2986"/>
      <c r="I3058" s="2986"/>
      <c r="J3058" s="2986"/>
      <c r="K3058" s="2144" t="s">
        <v>71</v>
      </c>
      <c r="L3058" s="2145"/>
      <c r="M3058" s="2146"/>
      <c r="Q3058" s="102"/>
      <c r="R3058" s="40"/>
      <c r="S3058" s="2074"/>
      <c r="T3058" s="2074"/>
      <c r="U3058" s="2060"/>
    </row>
    <row r="3059" spans="1:23" hidden="1" outlineLevel="1" x14ac:dyDescent="0.35">
      <c r="A3059" s="8"/>
      <c r="B3059" s="9"/>
      <c r="C3059" s="8"/>
      <c r="D3059" s="8"/>
      <c r="E3059" s="8"/>
      <c r="F3059" s="10"/>
      <c r="G3059" s="11"/>
      <c r="H3059" s="12"/>
      <c r="I3059" s="8"/>
      <c r="J3059" s="12"/>
      <c r="K3059" s="8"/>
      <c r="L3059" s="8"/>
      <c r="M3059" s="8"/>
      <c r="N3059" s="8"/>
      <c r="O3059" s="8"/>
      <c r="P3059" s="8"/>
      <c r="Q3059" s="8"/>
      <c r="R3059" s="8"/>
      <c r="S3059" s="8"/>
      <c r="T3059" s="8"/>
      <c r="U3059" s="8"/>
      <c r="V3059" s="8"/>
    </row>
    <row r="3060" spans="1:23" ht="16" hidden="1" outlineLevel="1" thickBot="1" x14ac:dyDescent="0.4">
      <c r="A3060" s="1619" t="s">
        <v>25</v>
      </c>
      <c r="B3060" s="1996" t="s">
        <v>26</v>
      </c>
      <c r="C3060" s="1621" t="s">
        <v>27</v>
      </c>
      <c r="D3060" s="1622">
        <f>D3047+7</f>
        <v>44449</v>
      </c>
      <c r="E3060" s="1623" t="s">
        <v>28</v>
      </c>
      <c r="F3060" s="3036" t="s">
        <v>29</v>
      </c>
      <c r="G3060" s="3037"/>
      <c r="H3060" s="3038"/>
      <c r="I3060" s="1481"/>
      <c r="J3060" s="1144"/>
      <c r="K3060" s="1643"/>
      <c r="O3060" s="3042" t="s">
        <v>31</v>
      </c>
      <c r="P3060" s="3043"/>
      <c r="T3060" s="247"/>
      <c r="U3060" s="1123"/>
      <c r="V3060" s="247"/>
    </row>
    <row r="3061" spans="1:23" ht="16" hidden="1" outlineLevel="1" thickBot="1" x14ac:dyDescent="0.4">
      <c r="A3061" s="1973" t="s">
        <v>32</v>
      </c>
      <c r="B3061" s="1997" t="str">
        <f ca="1">TEXT(TODAY(),"ddd")</f>
        <v>Sun</v>
      </c>
      <c r="C3061" s="1998">
        <v>34607.72</v>
      </c>
      <c r="D3061" s="1980">
        <f>C3061-C3048</f>
        <v>-761.27999999999884</v>
      </c>
      <c r="E3061" s="1977">
        <f>(C3061-C3048)/C3048</f>
        <v>-2.1523933387995103E-2</v>
      </c>
      <c r="F3061" s="3039"/>
      <c r="G3061" s="3040"/>
      <c r="H3061" s="3041"/>
      <c r="I3061" s="1602"/>
      <c r="J3061" s="1602">
        <f>C3062</f>
        <v>15115.49</v>
      </c>
      <c r="K3061" s="2061" t="s">
        <v>234</v>
      </c>
      <c r="L3061" s="2062" t="s">
        <v>34</v>
      </c>
      <c r="M3061" s="2063" t="s">
        <v>35</v>
      </c>
      <c r="N3061" s="2995"/>
      <c r="O3061" s="2996"/>
      <c r="P3061" s="2996"/>
      <c r="Q3061" s="2996"/>
      <c r="R3061" s="2996"/>
      <c r="S3061" s="2996"/>
      <c r="T3061" s="2996"/>
      <c r="U3061" s="3044"/>
    </row>
    <row r="3062" spans="1:23" hidden="1" outlineLevel="1" x14ac:dyDescent="0.35">
      <c r="A3062" s="1978" t="s">
        <v>36</v>
      </c>
      <c r="B3062" s="1979"/>
      <c r="C3062" s="1979">
        <v>15115.49</v>
      </c>
      <c r="D3062" s="1980">
        <f>C3062-C3049</f>
        <v>-247.51000000000022</v>
      </c>
      <c r="E3062" s="1977">
        <f t="shared" ref="E3062:E3065" si="1095">(C3062-C3049)/C3049</f>
        <v>-1.6110785653843666E-2</v>
      </c>
      <c r="F3062" s="1744" t="s">
        <v>37</v>
      </c>
      <c r="G3062" s="2170" t="s">
        <v>38</v>
      </c>
      <c r="H3062" s="1746" t="s">
        <v>144</v>
      </c>
      <c r="I3062" s="1747" t="s">
        <v>40</v>
      </c>
      <c r="J3062" s="2064" t="s">
        <v>41</v>
      </c>
      <c r="K3062" s="3033" t="s">
        <v>42</v>
      </c>
      <c r="L3062" s="3034"/>
      <c r="M3062" s="3034"/>
      <c r="N3062" s="2065" t="s">
        <v>244</v>
      </c>
      <c r="Q3062" s="1831" t="s">
        <v>44</v>
      </c>
      <c r="R3062" s="1832" t="s">
        <v>45</v>
      </c>
      <c r="S3062" s="1832" t="s">
        <v>46</v>
      </c>
      <c r="T3062" s="1832" t="s">
        <v>47</v>
      </c>
      <c r="U3062" s="1833" t="s">
        <v>48</v>
      </c>
    </row>
    <row r="3063" spans="1:23" hidden="1" outlineLevel="1" x14ac:dyDescent="0.35">
      <c r="A3063" s="2176" t="s">
        <v>49</v>
      </c>
      <c r="B3063" s="2177">
        <v>200</v>
      </c>
      <c r="C3063" s="44">
        <v>224.78</v>
      </c>
      <c r="D3063" s="82">
        <f t="shared" ref="D3063:D3065" si="1096">C3063*B3063</f>
        <v>44956</v>
      </c>
      <c r="E3063" s="1977">
        <f t="shared" si="1095"/>
        <v>-1.5978636781508584E-2</v>
      </c>
      <c r="F3063" s="1146">
        <f>D3063/$D$3042</f>
        <v>0.23173425221527963</v>
      </c>
      <c r="G3063" s="2171">
        <v>94</v>
      </c>
      <c r="H3063" s="2165" t="s">
        <v>350</v>
      </c>
      <c r="I3063" s="2112">
        <v>0.86</v>
      </c>
      <c r="J3063" s="2113">
        <v>13.49</v>
      </c>
      <c r="K3063" s="3032" t="s">
        <v>679</v>
      </c>
      <c r="L3063" s="3032"/>
      <c r="M3063" s="3032"/>
      <c r="N3063" s="2114"/>
      <c r="O3063" s="3"/>
      <c r="P3063" s="3"/>
      <c r="Q3063" s="2115"/>
      <c r="R3063" s="2116">
        <f>RIGHT(K3063,6)*B3063</f>
        <v>38668</v>
      </c>
      <c r="S3063" s="1223">
        <f>D3063</f>
        <v>44956</v>
      </c>
      <c r="T3063" s="1223">
        <f t="shared" ref="T3063:T3065" si="1097">S3063-R3063</f>
        <v>6288</v>
      </c>
      <c r="U3063" s="54">
        <f>(S3063-R3063)/R3063</f>
        <v>0.16261508223854348</v>
      </c>
      <c r="V3063" s="2117" t="str">
        <f>A3063</f>
        <v>NVDA</v>
      </c>
    </row>
    <row r="3064" spans="1:23" hidden="1" outlineLevel="1" x14ac:dyDescent="0.35">
      <c r="A3064" s="2178" t="s">
        <v>96</v>
      </c>
      <c r="B3064" s="2179">
        <v>100</v>
      </c>
      <c r="C3064" s="2180">
        <v>1023.47</v>
      </c>
      <c r="D3064" s="2180">
        <f t="shared" si="1096"/>
        <v>102347</v>
      </c>
      <c r="E3064" s="1977">
        <f t="shared" si="1095"/>
        <v>-4.5065639083012171E-2</v>
      </c>
      <c r="F3064" s="1146">
        <f t="shared" ref="F3064:F3065" si="1098">D3064/$D$3042</f>
        <v>0.52756707695251415</v>
      </c>
      <c r="G3064" s="2172">
        <v>74</v>
      </c>
      <c r="H3064" s="1820" t="s">
        <v>145</v>
      </c>
      <c r="I3064" s="2122">
        <v>0.42</v>
      </c>
      <c r="J3064" s="2122">
        <v>3.05</v>
      </c>
      <c r="K3064" s="3032" t="s">
        <v>680</v>
      </c>
      <c r="L3064" s="3032"/>
      <c r="M3064" s="3032"/>
      <c r="N3064" s="46"/>
      <c r="Q3064" s="47"/>
      <c r="R3064" s="2116">
        <f>RIGHT(K3064,6)*B3064</f>
        <v>93189</v>
      </c>
      <c r="S3064" s="1223">
        <f t="shared" ref="S3064:S3065" si="1099">D3064</f>
        <v>102347</v>
      </c>
      <c r="T3064" s="1223">
        <f t="shared" si="1097"/>
        <v>9158</v>
      </c>
      <c r="U3064" s="54">
        <f t="shared" ref="U3064:U3065" si="1100">(S3064-R3064)/R3064</f>
        <v>9.8273401367114141E-2</v>
      </c>
      <c r="V3064" s="2117" t="str">
        <f t="shared" ref="V3064:V3065" si="1101">A3064</f>
        <v>ISRG</v>
      </c>
    </row>
    <row r="3065" spans="1:23" hidden="1" outlineLevel="1" x14ac:dyDescent="0.35">
      <c r="A3065" s="2178" t="s">
        <v>51</v>
      </c>
      <c r="B3065" s="2179">
        <v>125.44499999999999</v>
      </c>
      <c r="C3065" s="2180">
        <v>350.57</v>
      </c>
      <c r="D3065" s="2180">
        <f t="shared" si="1096"/>
        <v>43977.253649999999</v>
      </c>
      <c r="E3065" s="1977">
        <f t="shared" si="1095"/>
        <v>2.5808339429407443E-2</v>
      </c>
      <c r="F3065" s="1146">
        <f t="shared" si="1098"/>
        <v>0.22668911800570396</v>
      </c>
      <c r="G3065" s="2173">
        <v>24</v>
      </c>
      <c r="H3065" s="2165" t="s">
        <v>350</v>
      </c>
      <c r="I3065" s="2122">
        <v>0.52</v>
      </c>
      <c r="J3065" s="2122">
        <v>3.1</v>
      </c>
      <c r="K3065" s="3032" t="s">
        <v>681</v>
      </c>
      <c r="L3065" s="3032"/>
      <c r="M3065" s="3032"/>
      <c r="N3065" s="46"/>
      <c r="Q3065" s="47"/>
      <c r="R3065" s="2116">
        <f t="shared" ref="R3065" si="1102">RIGHT(K3065,6)*B3065</f>
        <v>39019.667249999999</v>
      </c>
      <c r="S3065" s="1223">
        <f t="shared" si="1099"/>
        <v>43977.253649999999</v>
      </c>
      <c r="T3065" s="1223">
        <f t="shared" si="1097"/>
        <v>4957.5864000000001</v>
      </c>
      <c r="U3065" s="54">
        <f t="shared" si="1100"/>
        <v>0.12705352837164444</v>
      </c>
      <c r="V3065" s="2117" t="str">
        <f t="shared" si="1101"/>
        <v>KLAC</v>
      </c>
    </row>
    <row r="3066" spans="1:23" hidden="1" outlineLevel="1" x14ac:dyDescent="0.35">
      <c r="A3066" s="55" t="s">
        <v>7</v>
      </c>
      <c r="B3066" s="56"/>
      <c r="C3066" s="1881"/>
      <c r="D3066" s="57">
        <v>2339.15</v>
      </c>
      <c r="E3066" s="1977"/>
      <c r="F3066" s="1506">
        <f t="shared" ref="F3066:F3067" si="1103">D3066/$D$2830</f>
        <v>1.0932386799215965E-2</v>
      </c>
      <c r="G3066" s="2053"/>
      <c r="H3066" s="1789" t="s">
        <v>59</v>
      </c>
      <c r="I3066" s="2089"/>
      <c r="J3066" s="2068"/>
      <c r="K3066" s="58"/>
      <c r="L3066" s="58"/>
      <c r="M3066" s="58"/>
      <c r="R3066" s="2137">
        <f>SUM(R3063:R3065)</f>
        <v>170876.66725</v>
      </c>
      <c r="S3066" s="2137"/>
      <c r="T3066" s="2137">
        <f>SUM(T3063:T3065)</f>
        <v>20403.5864</v>
      </c>
      <c r="U3066" s="2137">
        <f>SUM(U3063:U3065)</f>
        <v>0.38794201197730205</v>
      </c>
    </row>
    <row r="3067" spans="1:23" ht="16" hidden="1" outlineLevel="1" thickBot="1" x14ac:dyDescent="0.4">
      <c r="A3067" s="55" t="s">
        <v>60</v>
      </c>
      <c r="B3067" s="56"/>
      <c r="C3067" s="2166">
        <f>SUM(D3063:D3065)</f>
        <v>191280.25365</v>
      </c>
      <c r="D3067" s="57">
        <v>185.92</v>
      </c>
      <c r="E3067" s="1977"/>
      <c r="F3067" s="1506">
        <f t="shared" si="1103"/>
        <v>8.689264706026685E-4</v>
      </c>
      <c r="G3067" s="1734"/>
      <c r="H3067" s="1723" t="s">
        <v>61</v>
      </c>
      <c r="I3067" s="60">
        <v>0</v>
      </c>
      <c r="J3067" s="61"/>
      <c r="K3067" s="2090"/>
      <c r="L3067" s="2070"/>
      <c r="M3067" s="2070"/>
      <c r="Q3067" s="62"/>
      <c r="R3067" s="64"/>
      <c r="S3067" s="64"/>
      <c r="T3067" s="64"/>
      <c r="U3067" s="1553"/>
    </row>
    <row r="3068" spans="1:23" ht="19" hidden="1" outlineLevel="1" thickBot="1" x14ac:dyDescent="0.5">
      <c r="A3068" s="66" t="s">
        <v>62</v>
      </c>
      <c r="B3068" s="67"/>
      <c r="C3068" s="68">
        <f>SUM(D3063:D3065)</f>
        <v>191280.25365</v>
      </c>
      <c r="D3068" s="84">
        <f>SUM(D3063:D3067)</f>
        <v>193805.32365000001</v>
      </c>
      <c r="E3068" s="73">
        <f>(D3068-D3055)+I3067</f>
        <v>-5462.7050999999919</v>
      </c>
      <c r="F3068" s="71"/>
      <c r="G3068" s="72" t="s">
        <v>63</v>
      </c>
      <c r="H3068" s="73">
        <f>E3068+E3055+E3042+E3029+E3009</f>
        <v>-8634.6052404034854</v>
      </c>
      <c r="I3068" s="74"/>
      <c r="J3068" s="75"/>
      <c r="K3068" s="2138" t="s">
        <v>67</v>
      </c>
      <c r="L3068" s="2139"/>
      <c r="M3068" s="2140"/>
      <c r="Q3068" s="105"/>
      <c r="S3068" s="1860"/>
      <c r="T3068" s="1860"/>
      <c r="U3068" s="2141"/>
      <c r="V3068" s="2174">
        <v>34</v>
      </c>
      <c r="W3068" s="2175">
        <v>44449</v>
      </c>
    </row>
    <row r="3069" spans="1:23" hidden="1" outlineLevel="1" x14ac:dyDescent="0.35">
      <c r="A3069" s="2985" t="s">
        <v>688</v>
      </c>
      <c r="B3069" s="2985"/>
      <c r="C3069" s="2985"/>
      <c r="D3069" s="2985"/>
      <c r="E3069" s="2985"/>
      <c r="F3069" s="2985"/>
      <c r="G3069" s="2985"/>
      <c r="H3069" s="2985"/>
      <c r="I3069" s="2985"/>
      <c r="J3069" s="2985"/>
      <c r="K3069" s="2142" t="s">
        <v>69</v>
      </c>
      <c r="L3069" s="1865"/>
      <c r="M3069" s="2143"/>
      <c r="Q3069" s="105"/>
      <c r="S3069" s="1860"/>
      <c r="T3069" s="1860"/>
      <c r="U3069" s="1555"/>
    </row>
    <row r="3070" spans="1:23" hidden="1" outlineLevel="1" x14ac:dyDescent="0.35">
      <c r="A3070" s="2986"/>
      <c r="B3070" s="2986"/>
      <c r="C3070" s="2986"/>
      <c r="D3070" s="2986"/>
      <c r="E3070" s="2986"/>
      <c r="F3070" s="2986"/>
      <c r="G3070" s="2986"/>
      <c r="H3070" s="2986"/>
      <c r="I3070" s="2986"/>
      <c r="J3070" s="2986"/>
      <c r="K3070" s="2142" t="s">
        <v>70</v>
      </c>
      <c r="L3070" s="1865"/>
      <c r="M3070" s="2143"/>
      <c r="Q3070" s="105"/>
      <c r="S3070" s="1860"/>
      <c r="T3070" s="1860"/>
      <c r="U3070" s="1555"/>
    </row>
    <row r="3071" spans="1:23" ht="16" hidden="1" outlineLevel="1" thickBot="1" x14ac:dyDescent="0.4">
      <c r="A3071" s="2986"/>
      <c r="B3071" s="2986"/>
      <c r="C3071" s="2986"/>
      <c r="D3071" s="2986"/>
      <c r="E3071" s="2986"/>
      <c r="F3071" s="2986"/>
      <c r="G3071" s="2986"/>
      <c r="H3071" s="2986"/>
      <c r="I3071" s="2986"/>
      <c r="J3071" s="2986"/>
      <c r="K3071" s="2144" t="s">
        <v>71</v>
      </c>
      <c r="L3071" s="2145"/>
      <c r="M3071" s="2146"/>
      <c r="Q3071" s="102"/>
      <c r="R3071" s="40"/>
      <c r="S3071" s="2074"/>
      <c r="T3071" s="2074"/>
      <c r="U3071" s="2060"/>
    </row>
    <row r="3072" spans="1:23" hidden="1" outlineLevel="1" x14ac:dyDescent="0.35">
      <c r="A3072" s="8"/>
      <c r="B3072" s="9"/>
      <c r="C3072" s="8"/>
      <c r="D3072" s="8"/>
      <c r="E3072" s="8"/>
      <c r="F3072" s="10"/>
      <c r="G3072" s="11"/>
      <c r="H3072" s="12"/>
      <c r="I3072" s="8"/>
      <c r="J3072" s="12"/>
      <c r="K3072" s="8"/>
      <c r="L3072" s="8"/>
      <c r="M3072" s="8"/>
      <c r="N3072" s="8"/>
      <c r="O3072" s="8"/>
      <c r="P3072" s="8"/>
      <c r="Q3072" s="8"/>
      <c r="R3072" s="8"/>
      <c r="S3072" s="8"/>
      <c r="T3072" s="8"/>
      <c r="U3072" s="8"/>
      <c r="V3072" s="8"/>
    </row>
    <row r="3073" spans="1:22" ht="16" hidden="1" outlineLevel="1" thickBot="1" x14ac:dyDescent="0.4">
      <c r="A3073" s="1619" t="s">
        <v>25</v>
      </c>
      <c r="B3073" s="1996" t="s">
        <v>26</v>
      </c>
      <c r="C3073" s="1621" t="s">
        <v>27</v>
      </c>
      <c r="D3073" s="1622">
        <f>D3060+7</f>
        <v>44456</v>
      </c>
      <c r="E3073" s="1623" t="s">
        <v>28</v>
      </c>
      <c r="F3073" s="3036" t="s">
        <v>29</v>
      </c>
      <c r="G3073" s="3037"/>
      <c r="H3073" s="3038"/>
      <c r="I3073" s="1481"/>
      <c r="J3073" s="1144"/>
      <c r="K3073" s="1643"/>
      <c r="O3073" s="3042" t="s">
        <v>31</v>
      </c>
      <c r="P3073" s="3043"/>
      <c r="T3073" s="247"/>
      <c r="U3073" s="1123"/>
      <c r="V3073" s="247"/>
    </row>
    <row r="3074" spans="1:22" ht="16" hidden="1" outlineLevel="1" thickBot="1" x14ac:dyDescent="0.4">
      <c r="A3074" s="1973" t="s">
        <v>32</v>
      </c>
      <c r="B3074" s="1997" t="str">
        <f ca="1">TEXT(TODAY(),"ddd")</f>
        <v>Sun</v>
      </c>
      <c r="C3074" s="1998">
        <v>35515</v>
      </c>
      <c r="D3074" s="1980">
        <f>C3074-C3061</f>
        <v>907.27999999999884</v>
      </c>
      <c r="E3074" s="1977">
        <f>(C3074-C3061)/C3061</f>
        <v>2.6216115941760938E-2</v>
      </c>
      <c r="F3074" s="3039"/>
      <c r="G3074" s="3040"/>
      <c r="H3074" s="3041"/>
      <c r="I3074" s="1602"/>
      <c r="J3074" s="1602">
        <f>C3075</f>
        <v>14822</v>
      </c>
      <c r="K3074" s="2061" t="s">
        <v>234</v>
      </c>
      <c r="L3074" s="2062" t="s">
        <v>34</v>
      </c>
      <c r="M3074" s="2063" t="s">
        <v>35</v>
      </c>
      <c r="N3074" s="2995"/>
      <c r="O3074" s="2996"/>
      <c r="P3074" s="2996"/>
      <c r="Q3074" s="2996"/>
      <c r="R3074" s="2996"/>
      <c r="S3074" s="2996"/>
      <c r="T3074" s="2996"/>
      <c r="U3074" s="3044"/>
    </row>
    <row r="3075" spans="1:22" hidden="1" outlineLevel="1" x14ac:dyDescent="0.35">
      <c r="A3075" s="1978" t="s">
        <v>36</v>
      </c>
      <c r="B3075" s="1979"/>
      <c r="C3075" s="1979">
        <v>14822</v>
      </c>
      <c r="D3075" s="1980">
        <f>C3075-C3062</f>
        <v>-293.48999999999978</v>
      </c>
      <c r="E3075" s="1977">
        <f t="shared" ref="E3075:E3078" si="1104">(C3075-C3062)/C3062</f>
        <v>-1.9416505849297626E-2</v>
      </c>
      <c r="F3075" s="1744" t="s">
        <v>37</v>
      </c>
      <c r="G3075" s="2170" t="s">
        <v>38</v>
      </c>
      <c r="H3075" s="1746" t="s">
        <v>144</v>
      </c>
      <c r="I3075" s="1747" t="s">
        <v>40</v>
      </c>
      <c r="J3075" s="2064" t="s">
        <v>41</v>
      </c>
      <c r="K3075" s="3033" t="s">
        <v>42</v>
      </c>
      <c r="L3075" s="3034"/>
      <c r="M3075" s="3034"/>
      <c r="N3075" s="2065" t="s">
        <v>244</v>
      </c>
      <c r="Q3075" s="1831" t="s">
        <v>44</v>
      </c>
      <c r="R3075" s="1832" t="s">
        <v>45</v>
      </c>
      <c r="S3075" s="1832" t="s">
        <v>46</v>
      </c>
      <c r="T3075" s="1832" t="s">
        <v>47</v>
      </c>
      <c r="U3075" s="1833" t="s">
        <v>48</v>
      </c>
    </row>
    <row r="3076" spans="1:22" hidden="1" outlineLevel="1" x14ac:dyDescent="0.35">
      <c r="A3076" s="2176" t="s">
        <v>49</v>
      </c>
      <c r="B3076" s="2177">
        <v>200</v>
      </c>
      <c r="C3076" s="44">
        <v>219</v>
      </c>
      <c r="D3076" s="82">
        <f t="shared" ref="D3076:D3078" si="1105">C3076*B3076</f>
        <v>43800</v>
      </c>
      <c r="E3076" s="1977">
        <f t="shared" si="1104"/>
        <v>-2.5714031497464193E-2</v>
      </c>
      <c r="F3076" s="1146">
        <f>D3076/$D$3042</f>
        <v>0.22577543035477463</v>
      </c>
      <c r="G3076" s="2171">
        <v>80</v>
      </c>
      <c r="H3076" s="2165" t="s">
        <v>350</v>
      </c>
      <c r="I3076" s="2112">
        <v>0.86</v>
      </c>
      <c r="J3076" s="2113">
        <v>13.49</v>
      </c>
      <c r="K3076" s="3032" t="s">
        <v>679</v>
      </c>
      <c r="L3076" s="3032"/>
      <c r="M3076" s="3032"/>
      <c r="N3076" s="2114"/>
      <c r="O3076" s="3"/>
      <c r="P3076" s="3"/>
      <c r="Q3076" s="2115"/>
      <c r="R3076" s="2116">
        <f>RIGHT(K3076,6)*B3076</f>
        <v>38668</v>
      </c>
      <c r="S3076" s="1223">
        <f>D3076</f>
        <v>43800</v>
      </c>
      <c r="T3076" s="1223">
        <f t="shared" ref="T3076:T3078" si="1106">S3076-R3076</f>
        <v>5132</v>
      </c>
      <c r="U3076" s="54">
        <f>(S3076-R3076)/R3076</f>
        <v>0.13271956139443467</v>
      </c>
      <c r="V3076" s="2117">
        <v>44398</v>
      </c>
    </row>
    <row r="3077" spans="1:22" hidden="1" outlineLevel="1" x14ac:dyDescent="0.35">
      <c r="A3077" s="2178" t="s">
        <v>96</v>
      </c>
      <c r="B3077" s="2179">
        <v>100</v>
      </c>
      <c r="C3077" s="2180">
        <v>1037.27</v>
      </c>
      <c r="D3077" s="2180">
        <f t="shared" si="1105"/>
        <v>103727</v>
      </c>
      <c r="E3077" s="1977">
        <f t="shared" si="1104"/>
        <v>1.3483541286017132E-2</v>
      </c>
      <c r="F3077" s="1146">
        <f t="shared" ref="F3077:F3078" si="1107">D3077/$D$3042</f>
        <v>0.53468054941574672</v>
      </c>
      <c r="G3077" s="2172">
        <v>76</v>
      </c>
      <c r="H3077" s="1820" t="s">
        <v>145</v>
      </c>
      <c r="I3077" s="2122">
        <v>0.42</v>
      </c>
      <c r="J3077" s="2122">
        <v>3.05</v>
      </c>
      <c r="K3077" s="3032" t="s">
        <v>680</v>
      </c>
      <c r="L3077" s="3032"/>
      <c r="M3077" s="3032"/>
      <c r="N3077" s="46"/>
      <c r="Q3077" s="47"/>
      <c r="R3077" s="2116">
        <f>RIGHT(K3077,6)*B3077</f>
        <v>93189</v>
      </c>
      <c r="S3077" s="1223">
        <f t="shared" ref="S3077:S3078" si="1108">D3077</f>
        <v>103727</v>
      </c>
      <c r="T3077" s="1223">
        <f t="shared" si="1106"/>
        <v>10538</v>
      </c>
      <c r="U3077" s="54">
        <f t="shared" ref="U3077:U3078" si="1109">(S3077-R3077)/R3077</f>
        <v>0.11308201611778214</v>
      </c>
      <c r="V3077" s="2117">
        <v>44398</v>
      </c>
    </row>
    <row r="3078" spans="1:22" hidden="1" outlineLevel="1" x14ac:dyDescent="0.35">
      <c r="A3078" s="2178" t="s">
        <v>51</v>
      </c>
      <c r="B3078" s="2179">
        <v>110.44499999999999</v>
      </c>
      <c r="C3078" s="2180">
        <v>369.81</v>
      </c>
      <c r="D3078" s="2180">
        <f t="shared" si="1105"/>
        <v>40843.66545</v>
      </c>
      <c r="E3078" s="1977">
        <f t="shared" si="1104"/>
        <v>5.4882049234104488E-2</v>
      </c>
      <c r="F3078" s="1146">
        <f t="shared" si="1107"/>
        <v>0.21053644164931939</v>
      </c>
      <c r="G3078" s="2173">
        <v>26</v>
      </c>
      <c r="H3078" s="2165" t="s">
        <v>350</v>
      </c>
      <c r="I3078" s="2122">
        <v>0.52</v>
      </c>
      <c r="J3078" s="2122">
        <v>3.1</v>
      </c>
      <c r="K3078" s="3032" t="s">
        <v>681</v>
      </c>
      <c r="L3078" s="3032"/>
      <c r="M3078" s="3032"/>
      <c r="N3078" s="46"/>
      <c r="Q3078" s="47"/>
      <c r="R3078" s="2116">
        <f t="shared" ref="R3078" si="1110">RIGHT(K3078,6)*B3078</f>
        <v>34353.917249999999</v>
      </c>
      <c r="S3078" s="1223">
        <f t="shared" si="1108"/>
        <v>40843.66545</v>
      </c>
      <c r="T3078" s="1223">
        <f t="shared" si="1106"/>
        <v>6489.7482000000018</v>
      </c>
      <c r="U3078" s="54">
        <f t="shared" si="1109"/>
        <v>0.18890853560520823</v>
      </c>
      <c r="V3078" s="2117">
        <v>44398</v>
      </c>
    </row>
    <row r="3079" spans="1:22" hidden="1" outlineLevel="1" x14ac:dyDescent="0.35">
      <c r="A3079" s="55" t="s">
        <v>7</v>
      </c>
      <c r="B3079" s="56"/>
      <c r="C3079" s="1881"/>
      <c r="D3079" s="57">
        <v>2332.7600000000002</v>
      </c>
      <c r="E3079" s="1977"/>
      <c r="F3079" s="1506">
        <f t="shared" ref="F3079:F3080" si="1111">D3079/$D$2830</f>
        <v>1.0902522125446866E-2</v>
      </c>
      <c r="G3079" s="2053"/>
      <c r="H3079" s="1789" t="s">
        <v>59</v>
      </c>
      <c r="I3079" s="2089"/>
      <c r="J3079" s="2068"/>
      <c r="K3079" s="58"/>
      <c r="L3079" s="58"/>
      <c r="M3079" s="58"/>
      <c r="R3079" s="2137">
        <f>SUM(R3076:R3078)</f>
        <v>166210.91725</v>
      </c>
      <c r="S3079" s="2137"/>
      <c r="T3079" s="2137">
        <f>SUM(T3076:T3078)</f>
        <v>22159.748200000002</v>
      </c>
      <c r="U3079" s="2137">
        <f>SUM(U3076:U3078)</f>
        <v>0.43471011311742502</v>
      </c>
    </row>
    <row r="3080" spans="1:22" ht="16" hidden="1" outlineLevel="1" thickBot="1" x14ac:dyDescent="0.4">
      <c r="A3080" s="55" t="s">
        <v>60</v>
      </c>
      <c r="B3080" s="56"/>
      <c r="C3080" s="2166">
        <f>SUM(D3076:D3078)</f>
        <v>188370.66545</v>
      </c>
      <c r="D3080" s="57">
        <v>5478.72</v>
      </c>
      <c r="E3080" s="1977"/>
      <c r="F3080" s="1506">
        <f t="shared" si="1111"/>
        <v>2.5605662828207039E-2</v>
      </c>
      <c r="G3080" s="1734"/>
      <c r="H3080" s="1723" t="s">
        <v>61</v>
      </c>
      <c r="I3080" s="60">
        <v>0</v>
      </c>
      <c r="J3080" s="61"/>
      <c r="K3080" s="2090"/>
      <c r="L3080" s="2070"/>
      <c r="M3080" s="2070"/>
      <c r="Q3080" s="62"/>
      <c r="R3080" s="64"/>
      <c r="S3080" s="64"/>
      <c r="T3080" s="64"/>
      <c r="U3080" s="1553"/>
    </row>
    <row r="3081" spans="1:22" ht="19" hidden="1" outlineLevel="1" thickBot="1" x14ac:dyDescent="0.5">
      <c r="A3081" s="66" t="s">
        <v>62</v>
      </c>
      <c r="B3081" s="67"/>
      <c r="C3081" s="68">
        <f>SUM(D3076:D3078)</f>
        <v>188370.66545</v>
      </c>
      <c r="D3081" s="2181">
        <f>SUM(D3076:D3080)</f>
        <v>196182.14545000001</v>
      </c>
      <c r="E3081" s="73">
        <f>(D3081-D3068)+I3080</f>
        <v>2376.8218000000052</v>
      </c>
      <c r="F3081" s="71"/>
      <c r="G3081" s="72" t="s">
        <v>63</v>
      </c>
      <c r="H3081" s="73">
        <f>E3081+E3068+E3053+E3038+E3022</f>
        <v>-3085.8339239862767</v>
      </c>
      <c r="I3081" s="74"/>
      <c r="J3081" s="75"/>
      <c r="K3081" s="2138" t="s">
        <v>67</v>
      </c>
      <c r="L3081" s="2139"/>
      <c r="M3081" s="2140"/>
      <c r="Q3081" s="105"/>
      <c r="S3081" s="1860"/>
      <c r="T3081" s="1860"/>
      <c r="U3081" s="2141"/>
    </row>
    <row r="3082" spans="1:22" hidden="1" outlineLevel="1" x14ac:dyDescent="0.35">
      <c r="A3082" s="2985" t="s">
        <v>688</v>
      </c>
      <c r="B3082" s="2985"/>
      <c r="C3082" s="2985"/>
      <c r="D3082" s="2985"/>
      <c r="E3082" s="2985"/>
      <c r="F3082" s="2985"/>
      <c r="G3082" s="2985"/>
      <c r="H3082" s="2985"/>
      <c r="I3082" s="2985"/>
      <c r="J3082" s="2985"/>
      <c r="K3082" s="2142" t="s">
        <v>69</v>
      </c>
      <c r="L3082" s="1865"/>
      <c r="M3082" s="2143"/>
      <c r="Q3082" s="105"/>
      <c r="S3082" s="1860"/>
      <c r="T3082" s="1860"/>
      <c r="U3082" s="1555"/>
    </row>
    <row r="3083" spans="1:22" hidden="1" outlineLevel="1" x14ac:dyDescent="0.35">
      <c r="A3083" s="2986"/>
      <c r="B3083" s="2986"/>
      <c r="C3083" s="2986"/>
      <c r="D3083" s="2986"/>
      <c r="E3083" s="2986"/>
      <c r="F3083" s="2986"/>
      <c r="G3083" s="2986"/>
      <c r="H3083" s="2986"/>
      <c r="I3083" s="2986"/>
      <c r="J3083" s="2986"/>
      <c r="K3083" s="2142" t="s">
        <v>70</v>
      </c>
      <c r="L3083" s="1865"/>
      <c r="M3083" s="2143"/>
      <c r="Q3083" s="105"/>
      <c r="S3083" s="1860"/>
      <c r="T3083" s="1860"/>
      <c r="U3083" s="1555"/>
    </row>
    <row r="3084" spans="1:22" ht="16" hidden="1" outlineLevel="1" thickBot="1" x14ac:dyDescent="0.4">
      <c r="A3084" s="2986"/>
      <c r="B3084" s="2986"/>
      <c r="C3084" s="2986"/>
      <c r="D3084" s="2986"/>
      <c r="E3084" s="2986"/>
      <c r="F3084" s="2986"/>
      <c r="G3084" s="2986"/>
      <c r="H3084" s="2986"/>
      <c r="I3084" s="2986"/>
      <c r="J3084" s="2986"/>
      <c r="K3084" s="2144" t="s">
        <v>71</v>
      </c>
      <c r="L3084" s="2145"/>
      <c r="M3084" s="2146"/>
      <c r="Q3084" s="102"/>
      <c r="R3084" s="40"/>
      <c r="S3084" s="2074"/>
      <c r="T3084" s="2074"/>
      <c r="U3084" s="2060"/>
    </row>
    <row r="3085" spans="1:22" hidden="1" outlineLevel="1" x14ac:dyDescent="0.35">
      <c r="A3085" s="8"/>
      <c r="B3085" s="9"/>
      <c r="C3085" s="8"/>
      <c r="D3085" s="8"/>
      <c r="E3085" s="8"/>
      <c r="F3085" s="10"/>
      <c r="G3085" s="11"/>
      <c r="H3085" s="12"/>
      <c r="I3085" s="8"/>
      <c r="J3085" s="12"/>
      <c r="K3085" s="8"/>
      <c r="L3085" s="8"/>
      <c r="M3085" s="8"/>
      <c r="N3085" s="8"/>
      <c r="O3085" s="8"/>
      <c r="P3085" s="8"/>
      <c r="Q3085" s="8"/>
      <c r="R3085" s="8"/>
      <c r="S3085" s="8"/>
      <c r="T3085" s="8"/>
      <c r="U3085" s="8"/>
      <c r="V3085" s="8"/>
    </row>
    <row r="3086" spans="1:22" ht="16" hidden="1" outlineLevel="1" thickBot="1" x14ac:dyDescent="0.4">
      <c r="A3086" s="1619" t="s">
        <v>25</v>
      </c>
      <c r="B3086" s="1996" t="s">
        <v>26</v>
      </c>
      <c r="C3086" s="1621" t="s">
        <v>27</v>
      </c>
      <c r="D3086" s="1622">
        <f>D3073+7</f>
        <v>44463</v>
      </c>
      <c r="E3086" s="1623" t="s">
        <v>28</v>
      </c>
      <c r="F3086" s="3036" t="s">
        <v>29</v>
      </c>
      <c r="G3086" s="3037"/>
      <c r="H3086" s="3038"/>
      <c r="I3086" s="1481"/>
      <c r="J3086" s="1144"/>
      <c r="K3086" s="1643"/>
      <c r="O3086" s="3042" t="s">
        <v>31</v>
      </c>
      <c r="P3086" s="3043"/>
      <c r="T3086" s="247"/>
      <c r="U3086" s="1123"/>
      <c r="V3086" s="247"/>
    </row>
    <row r="3087" spans="1:22" ht="16" hidden="1" outlineLevel="1" thickBot="1" x14ac:dyDescent="0.4">
      <c r="A3087" s="1973" t="s">
        <v>32</v>
      </c>
      <c r="B3087" s="1997" t="str">
        <f ca="1">TEXT(TODAY(),"ddd")</f>
        <v>Sun</v>
      </c>
      <c r="C3087" s="1998">
        <v>34798</v>
      </c>
      <c r="D3087" s="1980">
        <f>C3087-C3074</f>
        <v>-717</v>
      </c>
      <c r="E3087" s="1977">
        <f>(C3087-C3074)/C3074</f>
        <v>-2.0188652681965367E-2</v>
      </c>
      <c r="F3087" s="3039"/>
      <c r="G3087" s="3040"/>
      <c r="H3087" s="3041"/>
      <c r="I3087" s="2182" t="s">
        <v>691</v>
      </c>
      <c r="J3087" s="2182" t="s">
        <v>692</v>
      </c>
      <c r="K3087" s="2061" t="s">
        <v>234</v>
      </c>
      <c r="L3087" s="2062" t="s">
        <v>34</v>
      </c>
      <c r="M3087" s="2063" t="s">
        <v>35</v>
      </c>
      <c r="N3087" s="2995"/>
      <c r="O3087" s="2996"/>
      <c r="P3087" s="2996"/>
      <c r="Q3087" s="2996"/>
      <c r="R3087" s="2996"/>
      <c r="S3087" s="2996"/>
      <c r="T3087" s="2996"/>
      <c r="U3087" s="3044"/>
    </row>
    <row r="3088" spans="1:22" hidden="1" outlineLevel="1" x14ac:dyDescent="0.35">
      <c r="A3088" s="1978" t="s">
        <v>36</v>
      </c>
      <c r="B3088" s="1979"/>
      <c r="C3088" s="1979">
        <v>15047</v>
      </c>
      <c r="D3088" s="1980">
        <f>C3088-C3075</f>
        <v>225</v>
      </c>
      <c r="E3088" s="1977">
        <f t="shared" ref="E3088:E3091" si="1112">(C3088-C3075)/C3075</f>
        <v>1.5180137633247874E-2</v>
      </c>
      <c r="F3088" s="1744" t="s">
        <v>37</v>
      </c>
      <c r="G3088" s="2170" t="s">
        <v>38</v>
      </c>
      <c r="H3088" s="1746" t="s">
        <v>144</v>
      </c>
      <c r="I3088" s="1747" t="s">
        <v>40</v>
      </c>
      <c r="J3088" s="2064" t="s">
        <v>41</v>
      </c>
      <c r="K3088" s="3033" t="s">
        <v>42</v>
      </c>
      <c r="L3088" s="3034"/>
      <c r="M3088" s="3034"/>
      <c r="N3088" s="2065" t="s">
        <v>244</v>
      </c>
      <c r="Q3088" s="1831" t="s">
        <v>44</v>
      </c>
      <c r="R3088" s="1832" t="s">
        <v>45</v>
      </c>
      <c r="S3088" s="1832" t="s">
        <v>46</v>
      </c>
      <c r="T3088" s="1832" t="s">
        <v>47</v>
      </c>
      <c r="U3088" s="1833" t="s">
        <v>48</v>
      </c>
    </row>
    <row r="3089" spans="1:23" hidden="1" outlineLevel="1" x14ac:dyDescent="0.35">
      <c r="A3089" s="2176" t="s">
        <v>49</v>
      </c>
      <c r="B3089" s="2177">
        <v>200.03800000000001</v>
      </c>
      <c r="C3089" s="44">
        <v>220.81</v>
      </c>
      <c r="D3089" s="82">
        <f t="shared" ref="D3089:D3091" si="1113">C3089*B3089</f>
        <v>44170.390780000002</v>
      </c>
      <c r="E3089" s="1977">
        <f t="shared" si="1112"/>
        <v>8.2648401826484127E-3</v>
      </c>
      <c r="F3089" s="1146">
        <f>D3089/$D$3042</f>
        <v>0.22768468007518425</v>
      </c>
      <c r="G3089" s="2171">
        <v>75</v>
      </c>
      <c r="H3089" s="2165" t="s">
        <v>350</v>
      </c>
      <c r="I3089" s="2112">
        <v>0.86</v>
      </c>
      <c r="J3089" s="2113">
        <v>13.49</v>
      </c>
      <c r="K3089" s="3032" t="s">
        <v>679</v>
      </c>
      <c r="L3089" s="3032"/>
      <c r="M3089" s="3032"/>
      <c r="N3089" s="2114"/>
      <c r="O3089" s="3"/>
      <c r="P3089" s="3"/>
      <c r="Q3089" s="2115"/>
      <c r="R3089" s="2116">
        <f>RIGHT(K3089,6)*B3089</f>
        <v>38675.346920000004</v>
      </c>
      <c r="S3089" s="1223">
        <f>D3089</f>
        <v>44170.390780000002</v>
      </c>
      <c r="T3089" s="1223">
        <f t="shared" ref="T3089:T3091" si="1114">S3089-R3089</f>
        <v>5495.0438599999979</v>
      </c>
      <c r="U3089" s="54">
        <f>(S3089-R3089)/R3089</f>
        <v>0.1420813075411192</v>
      </c>
      <c r="V3089" s="2117" t="str">
        <f>A3089</f>
        <v>NVDA</v>
      </c>
      <c r="W3089" s="118"/>
    </row>
    <row r="3090" spans="1:23" hidden="1" outlineLevel="1" x14ac:dyDescent="0.35">
      <c r="A3090" s="2178" t="s">
        <v>96</v>
      </c>
      <c r="B3090" s="2179">
        <v>100</v>
      </c>
      <c r="C3090" s="2180">
        <v>1043.33</v>
      </c>
      <c r="D3090" s="2180">
        <f t="shared" si="1113"/>
        <v>104333</v>
      </c>
      <c r="E3090" s="1977">
        <f t="shared" si="1112"/>
        <v>5.8422590068159166E-3</v>
      </c>
      <c r="F3090" s="1146">
        <f t="shared" ref="F3090:F3091" si="1115">D3090/$D$3042</f>
        <v>0.53780429167134025</v>
      </c>
      <c r="G3090" s="2172">
        <v>75</v>
      </c>
      <c r="H3090" s="1820" t="s">
        <v>145</v>
      </c>
      <c r="I3090" s="2122">
        <v>0.42</v>
      </c>
      <c r="J3090" s="2122">
        <v>3.05</v>
      </c>
      <c r="K3090" s="3032" t="s">
        <v>680</v>
      </c>
      <c r="L3090" s="3032"/>
      <c r="M3090" s="3032"/>
      <c r="N3090" s="46"/>
      <c r="Q3090" s="47"/>
      <c r="R3090" s="2116">
        <f>RIGHT(K3090,6)*B3090</f>
        <v>93189</v>
      </c>
      <c r="S3090" s="1223">
        <f t="shared" ref="S3090:S3091" si="1116">D3090</f>
        <v>104333</v>
      </c>
      <c r="T3090" s="1223">
        <f t="shared" si="1114"/>
        <v>11144</v>
      </c>
      <c r="U3090" s="54">
        <f t="shared" ref="U3090:U3091" si="1117">(S3090-R3090)/R3090</f>
        <v>0.11958492955177114</v>
      </c>
      <c r="V3090" s="2117" t="str">
        <f t="shared" ref="V3090:V3091" si="1118">A3090</f>
        <v>ISRG</v>
      </c>
      <c r="W3090" s="118"/>
    </row>
    <row r="3091" spans="1:23" hidden="1" outlineLevel="1" x14ac:dyDescent="0.35">
      <c r="A3091" s="2178" t="s">
        <v>51</v>
      </c>
      <c r="B3091" s="2179">
        <v>110.44499999999999</v>
      </c>
      <c r="C3091" s="2180">
        <v>369.53</v>
      </c>
      <c r="D3091" s="2180">
        <f t="shared" si="1113"/>
        <v>40812.740849999995</v>
      </c>
      <c r="E3091" s="1977">
        <f t="shared" si="1112"/>
        <v>-7.5714556123422714E-4</v>
      </c>
      <c r="F3091" s="1146">
        <f t="shared" si="1115"/>
        <v>0.21037703491704657</v>
      </c>
      <c r="G3091" s="2173">
        <v>26</v>
      </c>
      <c r="H3091" s="2165" t="s">
        <v>350</v>
      </c>
      <c r="I3091" s="2122">
        <v>0.52</v>
      </c>
      <c r="J3091" s="2122">
        <v>3.1</v>
      </c>
      <c r="K3091" s="3032" t="s">
        <v>681</v>
      </c>
      <c r="L3091" s="3032"/>
      <c r="M3091" s="3032"/>
      <c r="N3091" s="46"/>
      <c r="Q3091" s="47"/>
      <c r="R3091" s="2116">
        <f t="shared" ref="R3091" si="1119">RIGHT(K3091,6)*B3091</f>
        <v>34353.917249999999</v>
      </c>
      <c r="S3091" s="1223">
        <f t="shared" si="1116"/>
        <v>40812.740849999995</v>
      </c>
      <c r="T3091" s="1223">
        <f t="shared" si="1114"/>
        <v>6458.8235999999961</v>
      </c>
      <c r="U3091" s="54">
        <f t="shared" si="1117"/>
        <v>0.18800835878476119</v>
      </c>
      <c r="V3091" s="2117" t="str">
        <f t="shared" si="1118"/>
        <v>KLAC</v>
      </c>
      <c r="W3091" s="118"/>
    </row>
    <row r="3092" spans="1:23" hidden="1" outlineLevel="1" x14ac:dyDescent="0.35">
      <c r="A3092" s="55" t="s">
        <v>7</v>
      </c>
      <c r="B3092" s="56"/>
      <c r="C3092" s="1881"/>
      <c r="D3092" s="57">
        <v>2319.69</v>
      </c>
      <c r="E3092" s="1977"/>
      <c r="F3092" s="1506">
        <f t="shared" ref="F3092:F3093" si="1120">D3092/$D$2830</f>
        <v>1.0841437417127283E-2</v>
      </c>
      <c r="G3092" s="2053"/>
      <c r="H3092" s="1789" t="s">
        <v>59</v>
      </c>
      <c r="I3092" s="2089"/>
      <c r="J3092" s="2068"/>
      <c r="K3092" s="58"/>
      <c r="L3092" s="58"/>
      <c r="M3092" s="58"/>
      <c r="R3092" s="2137">
        <f>SUM(R3089:R3091)</f>
        <v>166218.26417000001</v>
      </c>
      <c r="S3092" s="2137"/>
      <c r="T3092" s="2137">
        <f>SUM(T3089:T3091)</f>
        <v>23097.867459999994</v>
      </c>
      <c r="U3092" s="2137">
        <f>SUM(U3089:U3091)</f>
        <v>0.44967459587765152</v>
      </c>
    </row>
    <row r="3093" spans="1:23" ht="16" hidden="1" outlineLevel="1" thickBot="1" x14ac:dyDescent="0.4">
      <c r="A3093" s="55" t="s">
        <v>60</v>
      </c>
      <c r="B3093" s="56"/>
      <c r="C3093" s="2166">
        <f>SUM(D3089:D3091)</f>
        <v>189316.13163000002</v>
      </c>
      <c r="D3093" s="57">
        <v>4478.72</v>
      </c>
      <c r="E3093" s="1977"/>
      <c r="F3093" s="1506">
        <f t="shared" si="1120"/>
        <v>2.0932004961368246E-2</v>
      </c>
      <c r="G3093" s="1734"/>
      <c r="H3093" s="1723" t="s">
        <v>61</v>
      </c>
      <c r="I3093" s="60">
        <v>0</v>
      </c>
      <c r="J3093" s="61"/>
      <c r="K3093" s="2090"/>
      <c r="L3093" s="2070"/>
      <c r="M3093" s="2070"/>
      <c r="Q3093" s="62"/>
      <c r="R3093" s="64"/>
      <c r="S3093" s="64"/>
      <c r="T3093" s="64"/>
      <c r="U3093" s="1553"/>
    </row>
    <row r="3094" spans="1:23" ht="19" hidden="1" outlineLevel="1" thickBot="1" x14ac:dyDescent="0.5">
      <c r="A3094" s="66" t="s">
        <v>62</v>
      </c>
      <c r="B3094" s="67"/>
      <c r="C3094" s="68">
        <f>SUM(D3089:D3091)</f>
        <v>189316.13163000002</v>
      </c>
      <c r="D3094" s="84">
        <f>SUM(D3089:D3093)</f>
        <v>196114.54163000002</v>
      </c>
      <c r="E3094" s="73">
        <f>(D3094-D3081)+I3093</f>
        <v>-67.603819999989355</v>
      </c>
      <c r="F3094" s="71"/>
      <c r="G3094" s="72" t="s">
        <v>63</v>
      </c>
      <c r="H3094" s="73">
        <f>E3094+E3081+E3066+E3051+E3035</f>
        <v>2309.2336345862295</v>
      </c>
      <c r="I3094" s="74"/>
      <c r="J3094" s="75"/>
      <c r="K3094" s="2138" t="s">
        <v>67</v>
      </c>
      <c r="L3094" s="2139"/>
      <c r="M3094" s="2140"/>
      <c r="Q3094" s="105"/>
      <c r="S3094" s="1860"/>
      <c r="T3094" s="1860"/>
      <c r="U3094" s="2141"/>
    </row>
    <row r="3095" spans="1:23" hidden="1" outlineLevel="1" x14ac:dyDescent="0.35">
      <c r="A3095" s="2985" t="s">
        <v>688</v>
      </c>
      <c r="B3095" s="2985"/>
      <c r="C3095" s="2985"/>
      <c r="D3095" s="2985"/>
      <c r="E3095" s="2985"/>
      <c r="F3095" s="2985"/>
      <c r="G3095" s="2985"/>
      <c r="H3095" s="2985"/>
      <c r="I3095" s="2985"/>
      <c r="J3095" s="2985"/>
      <c r="K3095" s="2142" t="s">
        <v>69</v>
      </c>
      <c r="L3095" s="1865"/>
      <c r="M3095" s="2143"/>
      <c r="Q3095" s="105"/>
      <c r="S3095" s="1860"/>
      <c r="T3095" s="1860"/>
      <c r="U3095" s="1555"/>
    </row>
    <row r="3096" spans="1:23" hidden="1" outlineLevel="1" x14ac:dyDescent="0.35">
      <c r="A3096" s="2986"/>
      <c r="B3096" s="2986"/>
      <c r="C3096" s="2986"/>
      <c r="D3096" s="2986"/>
      <c r="E3096" s="2986"/>
      <c r="F3096" s="2986"/>
      <c r="G3096" s="2986"/>
      <c r="H3096" s="2986"/>
      <c r="I3096" s="2986"/>
      <c r="J3096" s="2986"/>
      <c r="K3096" s="2142" t="s">
        <v>70</v>
      </c>
      <c r="L3096" s="1865"/>
      <c r="M3096" s="2143"/>
      <c r="Q3096" s="105"/>
      <c r="S3096" s="1860"/>
      <c r="T3096" s="1860"/>
      <c r="U3096" s="1555"/>
    </row>
    <row r="3097" spans="1:23" ht="16" hidden="1" outlineLevel="1" thickBot="1" x14ac:dyDescent="0.4">
      <c r="A3097" s="2986"/>
      <c r="B3097" s="2986"/>
      <c r="C3097" s="2986"/>
      <c r="D3097" s="2986"/>
      <c r="E3097" s="2986"/>
      <c r="F3097" s="2986"/>
      <c r="G3097" s="2986"/>
      <c r="H3097" s="2986"/>
      <c r="I3097" s="2986"/>
      <c r="J3097" s="2986"/>
      <c r="K3097" s="2144" t="s">
        <v>71</v>
      </c>
      <c r="L3097" s="2145"/>
      <c r="M3097" s="2146"/>
      <c r="Q3097" s="102"/>
      <c r="R3097" s="40"/>
      <c r="S3097" s="2074"/>
      <c r="T3097" s="2074"/>
      <c r="U3097" s="2060"/>
    </row>
    <row r="3098" spans="1:23" hidden="1" outlineLevel="1" x14ac:dyDescent="0.35">
      <c r="A3098" s="8"/>
      <c r="B3098" s="9"/>
      <c r="C3098" s="8"/>
      <c r="D3098" s="8"/>
      <c r="E3098" s="8"/>
      <c r="F3098" s="10"/>
      <c r="G3098" s="11"/>
      <c r="H3098" s="12"/>
      <c r="I3098" s="8"/>
      <c r="J3098" s="12"/>
      <c r="K3098" s="8"/>
      <c r="L3098" s="8"/>
      <c r="M3098" s="8"/>
      <c r="N3098" s="8"/>
      <c r="O3098" s="8"/>
      <c r="P3098" s="8"/>
      <c r="Q3098" s="8"/>
      <c r="R3098" s="8"/>
      <c r="S3098" s="8"/>
      <c r="T3098" s="8"/>
      <c r="U3098" s="8"/>
      <c r="V3098" s="8"/>
    </row>
    <row r="3099" spans="1:23" ht="16" hidden="1" outlineLevel="1" thickBot="1" x14ac:dyDescent="0.4">
      <c r="A3099" s="1619" t="s">
        <v>25</v>
      </c>
      <c r="B3099" s="1996" t="s">
        <v>26</v>
      </c>
      <c r="C3099" s="1621" t="s">
        <v>27</v>
      </c>
      <c r="D3099" s="1622">
        <f>D3086+7</f>
        <v>44470</v>
      </c>
      <c r="E3099" s="1623" t="s">
        <v>28</v>
      </c>
      <c r="F3099" s="3036" t="s">
        <v>29</v>
      </c>
      <c r="G3099" s="3037"/>
      <c r="H3099" s="3038"/>
      <c r="I3099" s="1481"/>
      <c r="J3099" s="1144"/>
      <c r="K3099" s="1643"/>
      <c r="O3099" s="3042" t="s">
        <v>31</v>
      </c>
      <c r="P3099" s="3043"/>
      <c r="T3099" s="247"/>
      <c r="U3099" s="1123"/>
      <c r="V3099" s="247"/>
    </row>
    <row r="3100" spans="1:23" ht="16" hidden="1" outlineLevel="1" thickBot="1" x14ac:dyDescent="0.4">
      <c r="A3100" s="1973" t="s">
        <v>32</v>
      </c>
      <c r="B3100" s="1997" t="str">
        <f ca="1">TEXT(TODAY(),"ddd")</f>
        <v>Sun</v>
      </c>
      <c r="C3100" s="1998">
        <v>34455</v>
      </c>
      <c r="D3100" s="1980">
        <f>C3100-C3087</f>
        <v>-343</v>
      </c>
      <c r="E3100" s="1977">
        <f>(C3100-C3087)/C3087</f>
        <v>-9.8568883269153397E-3</v>
      </c>
      <c r="F3100" s="3039"/>
      <c r="G3100" s="3040"/>
      <c r="H3100" s="3041"/>
      <c r="I3100" s="2182" t="s">
        <v>691</v>
      </c>
      <c r="J3100" s="2182" t="s">
        <v>693</v>
      </c>
      <c r="K3100" s="2061" t="s">
        <v>234</v>
      </c>
      <c r="L3100" s="2062" t="s">
        <v>34</v>
      </c>
      <c r="M3100" s="2063" t="s">
        <v>35</v>
      </c>
      <c r="N3100" s="2995"/>
      <c r="O3100" s="2996"/>
      <c r="P3100" s="2996"/>
      <c r="Q3100" s="2996"/>
      <c r="R3100" s="2996"/>
      <c r="S3100" s="2996"/>
      <c r="T3100" s="2996"/>
      <c r="U3100" s="3044"/>
    </row>
    <row r="3101" spans="1:23" hidden="1" outlineLevel="1" x14ac:dyDescent="0.35">
      <c r="A3101" s="1978" t="s">
        <v>36</v>
      </c>
      <c r="B3101" s="1979"/>
      <c r="C3101" s="1979">
        <v>14622</v>
      </c>
      <c r="D3101" s="1980">
        <f>C3101-C3088</f>
        <v>-425</v>
      </c>
      <c r="E3101" s="1977">
        <f t="shared" ref="E3101:E3104" si="1121">(C3101-C3088)/C3088</f>
        <v>-2.8244832857047916E-2</v>
      </c>
      <c r="F3101" s="1744" t="s">
        <v>37</v>
      </c>
      <c r="G3101" s="2170" t="s">
        <v>38</v>
      </c>
      <c r="H3101" s="1746" t="s">
        <v>144</v>
      </c>
      <c r="I3101" s="1747" t="s">
        <v>40</v>
      </c>
      <c r="J3101" s="2064" t="s">
        <v>41</v>
      </c>
      <c r="K3101" s="3045" t="s">
        <v>42</v>
      </c>
      <c r="L3101" s="3046"/>
      <c r="M3101" s="3047"/>
      <c r="N3101" s="2065" t="s">
        <v>244</v>
      </c>
      <c r="Q3101" s="1831" t="s">
        <v>44</v>
      </c>
      <c r="R3101" s="1832" t="s">
        <v>45</v>
      </c>
      <c r="S3101" s="1832" t="s">
        <v>46</v>
      </c>
      <c r="T3101" s="1832" t="s">
        <v>47</v>
      </c>
      <c r="U3101" s="1833" t="s">
        <v>48</v>
      </c>
    </row>
    <row r="3102" spans="1:23" hidden="1" outlineLevel="1" x14ac:dyDescent="0.35">
      <c r="A3102" s="2176" t="s">
        <v>49</v>
      </c>
      <c r="B3102" s="2177">
        <v>200</v>
      </c>
      <c r="C3102" s="44">
        <v>209.44</v>
      </c>
      <c r="D3102" s="82">
        <f t="shared" ref="D3102:D3104" si="1122">C3102*B3102</f>
        <v>41888</v>
      </c>
      <c r="E3102" s="1977">
        <f t="shared" si="1121"/>
        <v>-5.1492233141614982E-2</v>
      </c>
      <c r="F3102" s="1146">
        <f>D3102/$D$3042</f>
        <v>0.21591966271006391</v>
      </c>
      <c r="G3102" s="2171">
        <v>74</v>
      </c>
      <c r="H3102" s="2165" t="s">
        <v>350</v>
      </c>
      <c r="I3102" s="2112">
        <v>0.86</v>
      </c>
      <c r="J3102" s="2113">
        <v>13.49</v>
      </c>
      <c r="K3102" s="3048" t="s">
        <v>679</v>
      </c>
      <c r="L3102" s="3032"/>
      <c r="M3102" s="3049"/>
      <c r="N3102" s="2114"/>
      <c r="O3102" s="3"/>
      <c r="P3102" s="3"/>
      <c r="Q3102" s="2115"/>
      <c r="R3102" s="2116">
        <f>RIGHT(K3102,6)*B3102</f>
        <v>38668</v>
      </c>
      <c r="S3102" s="1223">
        <f>D3102</f>
        <v>41888</v>
      </c>
      <c r="T3102" s="1223">
        <f t="shared" ref="T3102:T3104" si="1123">S3102-R3102</f>
        <v>3220</v>
      </c>
      <c r="U3102" s="54">
        <f>(S3102-R3102)/R3102</f>
        <v>8.3272990586531495E-2</v>
      </c>
      <c r="V3102" s="2117" t="str">
        <f>A3102</f>
        <v>NVDA</v>
      </c>
    </row>
    <row r="3103" spans="1:23" hidden="1" outlineLevel="1" x14ac:dyDescent="0.35">
      <c r="A3103" s="2178" t="s">
        <v>96</v>
      </c>
      <c r="B3103" s="2179">
        <v>100</v>
      </c>
      <c r="C3103" s="2180">
        <v>1006.49</v>
      </c>
      <c r="D3103" s="2180">
        <f t="shared" si="1122"/>
        <v>100649</v>
      </c>
      <c r="E3103" s="1977">
        <f t="shared" si="1121"/>
        <v>-3.5310016964910353E-2</v>
      </c>
      <c r="F3103" s="1146">
        <f t="shared" ref="F3103:F3104" si="1124">D3103/$D$3042</f>
        <v>0.51881441300862352</v>
      </c>
      <c r="G3103" s="2172">
        <v>74</v>
      </c>
      <c r="H3103" s="1820" t="s">
        <v>145</v>
      </c>
      <c r="I3103" s="2122">
        <v>0.42</v>
      </c>
      <c r="J3103" s="2122">
        <v>3.05</v>
      </c>
      <c r="K3103" s="3048" t="s">
        <v>680</v>
      </c>
      <c r="L3103" s="3032"/>
      <c r="M3103" s="3049"/>
      <c r="N3103" s="46"/>
      <c r="Q3103" s="47"/>
      <c r="R3103" s="2116">
        <f>RIGHT(K3103,6)*B3103</f>
        <v>93189</v>
      </c>
      <c r="S3103" s="1223">
        <f t="shared" ref="S3103:S3104" si="1125">D3103</f>
        <v>100649</v>
      </c>
      <c r="T3103" s="1223">
        <f t="shared" si="1123"/>
        <v>7460</v>
      </c>
      <c r="U3103" s="54">
        <f t="shared" ref="U3103:U3104" si="1126">(S3103-R3103)/R3103</f>
        <v>8.0052366695640045E-2</v>
      </c>
      <c r="V3103" s="2117" t="str">
        <f t="shared" ref="V3103:V3104" si="1127">A3103</f>
        <v>ISRG</v>
      </c>
    </row>
    <row r="3104" spans="1:23" ht="16" hidden="1" outlineLevel="1" thickBot="1" x14ac:dyDescent="0.4">
      <c r="A3104" s="2178" t="s">
        <v>51</v>
      </c>
      <c r="B3104" s="2179">
        <v>110.44499999999999</v>
      </c>
      <c r="C3104" s="2180">
        <v>338.42</v>
      </c>
      <c r="D3104" s="2180">
        <f t="shared" si="1122"/>
        <v>37376.796900000001</v>
      </c>
      <c r="E3104" s="1977">
        <f t="shared" si="1121"/>
        <v>-8.4188022623332234E-2</v>
      </c>
      <c r="F3104" s="1146">
        <f t="shared" si="1124"/>
        <v>0.19266580834202068</v>
      </c>
      <c r="G3104" s="2173">
        <v>26</v>
      </c>
      <c r="H3104" s="2165" t="s">
        <v>350</v>
      </c>
      <c r="I3104" s="2122">
        <v>0.52</v>
      </c>
      <c r="J3104" s="2122">
        <v>3.1</v>
      </c>
      <c r="K3104" s="3050" t="s">
        <v>681</v>
      </c>
      <c r="L3104" s="3051"/>
      <c r="M3104" s="3052"/>
      <c r="N3104" s="46"/>
      <c r="Q3104" s="47"/>
      <c r="R3104" s="2116">
        <f t="shared" ref="R3104" si="1128">RIGHT(K3104,6)*B3104</f>
        <v>34353.917249999999</v>
      </c>
      <c r="S3104" s="1223">
        <f t="shared" si="1125"/>
        <v>37376.796900000001</v>
      </c>
      <c r="T3104" s="1223">
        <f t="shared" si="1123"/>
        <v>3022.8796500000026</v>
      </c>
      <c r="U3104" s="54">
        <f t="shared" si="1126"/>
        <v>8.7992284198681964E-2</v>
      </c>
      <c r="V3104" s="2117" t="str">
        <f t="shared" si="1127"/>
        <v>KLAC</v>
      </c>
    </row>
    <row r="3105" spans="1:22" hidden="1" outlineLevel="1" x14ac:dyDescent="0.35">
      <c r="A3105" s="55" t="s">
        <v>7</v>
      </c>
      <c r="B3105" s="56"/>
      <c r="C3105" s="1881"/>
      <c r="D3105" s="57">
        <v>2319.69</v>
      </c>
      <c r="E3105" s="1977"/>
      <c r="F3105" s="1506">
        <f t="shared" ref="F3105:F3106" si="1129">D3105/$D$2830</f>
        <v>1.0841437417127283E-2</v>
      </c>
      <c r="G3105" s="2053"/>
      <c r="H3105" s="1789" t="s">
        <v>59</v>
      </c>
      <c r="I3105" s="2089"/>
      <c r="J3105" s="2068"/>
      <c r="K3105" s="2183"/>
      <c r="L3105" s="2183"/>
      <c r="M3105" s="2183"/>
      <c r="R3105" s="2137">
        <f>SUM(R3102:R3104)</f>
        <v>166210.91725</v>
      </c>
      <c r="S3105" s="2137"/>
      <c r="T3105" s="2137">
        <f>SUM(T3102:T3104)</f>
        <v>13702.879650000003</v>
      </c>
      <c r="U3105" s="2137">
        <f>SUM(U3102:U3104)</f>
        <v>0.2513176414808535</v>
      </c>
    </row>
    <row r="3106" spans="1:22" ht="16" hidden="1" outlineLevel="1" thickBot="1" x14ac:dyDescent="0.4">
      <c r="A3106" s="55" t="s">
        <v>60</v>
      </c>
      <c r="B3106" s="56"/>
      <c r="C3106" s="2166">
        <f>SUM(D3102:D3104)</f>
        <v>179913.79690000002</v>
      </c>
      <c r="D3106" s="57">
        <v>4478.72</v>
      </c>
      <c r="E3106" s="1977"/>
      <c r="F3106" s="1506">
        <f t="shared" si="1129"/>
        <v>2.0932004961368246E-2</v>
      </c>
      <c r="G3106" s="1734"/>
      <c r="H3106" s="1723" t="s">
        <v>61</v>
      </c>
      <c r="I3106" s="60">
        <v>0</v>
      </c>
      <c r="J3106" s="61"/>
      <c r="K3106" s="2090"/>
      <c r="L3106" s="2070"/>
      <c r="M3106" s="2070"/>
      <c r="Q3106" s="62"/>
      <c r="R3106" s="64"/>
      <c r="S3106" s="64"/>
      <c r="T3106" s="64"/>
      <c r="U3106" s="1553"/>
    </row>
    <row r="3107" spans="1:22" ht="19" hidden="1" outlineLevel="1" thickBot="1" x14ac:dyDescent="0.5">
      <c r="A3107" s="66" t="s">
        <v>62</v>
      </c>
      <c r="B3107" s="67"/>
      <c r="C3107" s="68">
        <f>SUM(D3102:D3104)</f>
        <v>179913.79690000002</v>
      </c>
      <c r="D3107" s="84">
        <f>SUM(D3102:D3106)</f>
        <v>186712.20690000002</v>
      </c>
      <c r="E3107" s="73">
        <f>(D3107-D3094)+I3106</f>
        <v>-9402.3347300000023</v>
      </c>
      <c r="F3107" s="71"/>
      <c r="G3107" s="72" t="s">
        <v>63</v>
      </c>
      <c r="H3107" s="73">
        <f>E3107+E3094+E3079+E3064+E3048</f>
        <v>-9469.9765256618521</v>
      </c>
      <c r="I3107" s="74"/>
      <c r="J3107" s="75"/>
      <c r="K3107" s="2138" t="s">
        <v>67</v>
      </c>
      <c r="L3107" s="2139"/>
      <c r="M3107" s="2140"/>
      <c r="Q3107" s="105"/>
      <c r="S3107" s="1860"/>
      <c r="T3107" s="1860"/>
      <c r="U3107" s="2141"/>
    </row>
    <row r="3108" spans="1:22" hidden="1" outlineLevel="1" x14ac:dyDescent="0.35">
      <c r="A3108" s="2985" t="s">
        <v>688</v>
      </c>
      <c r="B3108" s="2985"/>
      <c r="C3108" s="2985"/>
      <c r="D3108" s="2985"/>
      <c r="E3108" s="2985"/>
      <c r="F3108" s="2985"/>
      <c r="G3108" s="2985"/>
      <c r="H3108" s="2985"/>
      <c r="I3108" s="2985"/>
      <c r="J3108" s="2985"/>
      <c r="K3108" s="2142" t="s">
        <v>69</v>
      </c>
      <c r="L3108" s="1865"/>
      <c r="M3108" s="2143"/>
      <c r="Q3108" s="105"/>
      <c r="S3108" s="1860"/>
      <c r="T3108" s="1860"/>
      <c r="U3108" s="1555"/>
    </row>
    <row r="3109" spans="1:22" hidden="1" outlineLevel="1" x14ac:dyDescent="0.35">
      <c r="A3109" s="2986"/>
      <c r="B3109" s="2986"/>
      <c r="C3109" s="2986"/>
      <c r="D3109" s="2986"/>
      <c r="E3109" s="2986"/>
      <c r="F3109" s="2986"/>
      <c r="G3109" s="2986"/>
      <c r="H3109" s="2986"/>
      <c r="I3109" s="2986"/>
      <c r="J3109" s="2986"/>
      <c r="K3109" s="2142" t="s">
        <v>70</v>
      </c>
      <c r="L3109" s="1865"/>
      <c r="M3109" s="2143"/>
      <c r="Q3109" s="105"/>
      <c r="S3109" s="1860"/>
      <c r="T3109" s="1860"/>
      <c r="U3109" s="1555"/>
    </row>
    <row r="3110" spans="1:22" ht="16" hidden="1" outlineLevel="1" thickBot="1" x14ac:dyDescent="0.4">
      <c r="A3110" s="2986"/>
      <c r="B3110" s="2986"/>
      <c r="C3110" s="2986"/>
      <c r="D3110" s="2986"/>
      <c r="E3110" s="2986"/>
      <c r="F3110" s="2986"/>
      <c r="G3110" s="2986"/>
      <c r="H3110" s="2986"/>
      <c r="I3110" s="2986"/>
      <c r="J3110" s="2986"/>
      <c r="K3110" s="2144" t="s">
        <v>71</v>
      </c>
      <c r="L3110" s="2145"/>
      <c r="M3110" s="2146"/>
      <c r="Q3110" s="102"/>
      <c r="R3110" s="40"/>
      <c r="S3110" s="2074"/>
      <c r="T3110" s="2074"/>
      <c r="U3110" s="2060"/>
    </row>
    <row r="3111" spans="1:22" hidden="1" outlineLevel="1" x14ac:dyDescent="0.35">
      <c r="A3111" s="8"/>
      <c r="B3111" s="9"/>
      <c r="C3111" s="8"/>
      <c r="D3111" s="8"/>
      <c r="E3111" s="8"/>
      <c r="F3111" s="10"/>
      <c r="G3111" s="11"/>
      <c r="H3111" s="12"/>
      <c r="I3111" s="8"/>
      <c r="J3111" s="12"/>
      <c r="K3111" s="8"/>
      <c r="L3111" s="8"/>
      <c r="M3111" s="8"/>
      <c r="N3111" s="8"/>
      <c r="O3111" s="8"/>
      <c r="P3111" s="8"/>
      <c r="Q3111" s="8"/>
      <c r="R3111" s="8"/>
      <c r="S3111" s="8"/>
      <c r="T3111" s="8"/>
      <c r="U3111" s="8"/>
      <c r="V3111" s="8"/>
    </row>
    <row r="3112" spans="1:22" ht="16" hidden="1" outlineLevel="1" thickBot="1" x14ac:dyDescent="0.4">
      <c r="A3112" s="1619" t="s">
        <v>25</v>
      </c>
      <c r="B3112" s="1996" t="s">
        <v>26</v>
      </c>
      <c r="C3112" s="1621" t="s">
        <v>27</v>
      </c>
      <c r="D3112" s="1622">
        <f>D3099+7</f>
        <v>44477</v>
      </c>
      <c r="E3112" s="1623" t="s">
        <v>28</v>
      </c>
      <c r="F3112" s="3036" t="s">
        <v>29</v>
      </c>
      <c r="G3112" s="3037"/>
      <c r="H3112" s="3038"/>
      <c r="I3112" s="2184" t="s">
        <v>30</v>
      </c>
      <c r="J3112" s="22">
        <v>18.77</v>
      </c>
      <c r="K3112" s="1643"/>
      <c r="O3112" s="3042" t="s">
        <v>31</v>
      </c>
      <c r="P3112" s="3043"/>
      <c r="T3112" s="247"/>
      <c r="U3112" s="1123"/>
      <c r="V3112" s="247"/>
    </row>
    <row r="3113" spans="1:22" ht="16" hidden="1" outlineLevel="1" thickBot="1" x14ac:dyDescent="0.4">
      <c r="A3113" s="1973" t="s">
        <v>32</v>
      </c>
      <c r="B3113" s="1997" t="str">
        <f ca="1">TEXT(TODAY(),"ddd")</f>
        <v>Sun</v>
      </c>
      <c r="C3113" s="1998">
        <v>34746</v>
      </c>
      <c r="D3113" s="1980">
        <f>C3113-C3100</f>
        <v>291</v>
      </c>
      <c r="E3113" s="1977">
        <f>(C3113-C3100)/C3100</f>
        <v>8.4457988680888118E-3</v>
      </c>
      <c r="F3113" s="3039"/>
      <c r="G3113" s="3040"/>
      <c r="H3113" s="3041"/>
      <c r="I3113" s="2185" t="s">
        <v>33</v>
      </c>
      <c r="J3113" s="2185">
        <v>33</v>
      </c>
      <c r="K3113" s="2061" t="s">
        <v>234</v>
      </c>
      <c r="L3113" s="2062" t="s">
        <v>34</v>
      </c>
      <c r="M3113" s="2063" t="s">
        <v>35</v>
      </c>
      <c r="N3113" s="2995"/>
      <c r="O3113" s="2996"/>
      <c r="P3113" s="2996"/>
      <c r="Q3113" s="2996"/>
      <c r="R3113" s="2996"/>
      <c r="S3113" s="2996"/>
      <c r="T3113" s="2996"/>
      <c r="U3113" s="3044"/>
    </row>
    <row r="3114" spans="1:22" hidden="1" outlineLevel="1" x14ac:dyDescent="0.35">
      <c r="A3114" s="1978" t="s">
        <v>36</v>
      </c>
      <c r="B3114" s="1979"/>
      <c r="C3114" s="1979">
        <v>14579</v>
      </c>
      <c r="D3114" s="1980">
        <f>C3114-C3101</f>
        <v>-43</v>
      </c>
      <c r="E3114" s="1977">
        <f t="shared" ref="E3114:E3117" si="1130">(C3114-C3101)/C3101</f>
        <v>-2.94077417589933E-3</v>
      </c>
      <c r="F3114" s="1744" t="s">
        <v>37</v>
      </c>
      <c r="G3114" s="2170" t="s">
        <v>38</v>
      </c>
      <c r="H3114" s="1746" t="s">
        <v>144</v>
      </c>
      <c r="I3114" s="1747" t="s">
        <v>40</v>
      </c>
      <c r="J3114" s="2064" t="s">
        <v>41</v>
      </c>
      <c r="K3114" s="3033" t="s">
        <v>42</v>
      </c>
      <c r="L3114" s="3034"/>
      <c r="M3114" s="3034"/>
      <c r="N3114" s="2065" t="s">
        <v>244</v>
      </c>
      <c r="Q3114" s="1831" t="s">
        <v>44</v>
      </c>
      <c r="R3114" s="1832" t="s">
        <v>45</v>
      </c>
      <c r="S3114" s="1832" t="s">
        <v>46</v>
      </c>
      <c r="T3114" s="1832" t="s">
        <v>47</v>
      </c>
      <c r="U3114" s="1833" t="s">
        <v>48</v>
      </c>
    </row>
    <row r="3115" spans="1:22" hidden="1" outlineLevel="1" x14ac:dyDescent="0.35">
      <c r="A3115" s="2176" t="s">
        <v>49</v>
      </c>
      <c r="B3115" s="2177">
        <v>200</v>
      </c>
      <c r="C3115" s="44">
        <v>208.31</v>
      </c>
      <c r="D3115" s="82">
        <f t="shared" ref="D3115:D3117" si="1131">C3115*B3115</f>
        <v>41662</v>
      </c>
      <c r="E3115" s="1977">
        <f t="shared" si="1130"/>
        <v>-5.3953399541634616E-3</v>
      </c>
      <c r="F3115" s="1146">
        <f>D3115/$D$3042</f>
        <v>0.21475470272695479</v>
      </c>
      <c r="G3115" s="2171">
        <v>72</v>
      </c>
      <c r="H3115" s="2165" t="s">
        <v>350</v>
      </c>
      <c r="I3115" s="2112">
        <v>0.86</v>
      </c>
      <c r="J3115" s="2113">
        <v>13.49</v>
      </c>
      <c r="K3115" s="3032" t="s">
        <v>679</v>
      </c>
      <c r="L3115" s="3032"/>
      <c r="M3115" s="3032"/>
      <c r="N3115" s="2114"/>
      <c r="O3115" s="3"/>
      <c r="P3115" s="3"/>
      <c r="Q3115" s="2115"/>
      <c r="R3115" s="2116">
        <f>RIGHT(K3115,6)*B3115</f>
        <v>38668</v>
      </c>
      <c r="S3115" s="1223">
        <f>D3115</f>
        <v>41662</v>
      </c>
      <c r="T3115" s="1223">
        <f t="shared" ref="T3115:T3117" si="1132">S3115-R3115</f>
        <v>2994</v>
      </c>
      <c r="U3115" s="54">
        <f>(S3115-R3115)/R3115</f>
        <v>7.7428364539153818E-2</v>
      </c>
      <c r="V3115" s="2117" t="str">
        <f>A3115</f>
        <v>NVDA</v>
      </c>
    </row>
    <row r="3116" spans="1:22" hidden="1" outlineLevel="1" x14ac:dyDescent="0.35">
      <c r="A3116" s="2178" t="s">
        <v>96</v>
      </c>
      <c r="B3116" s="2179">
        <v>300</v>
      </c>
      <c r="C3116" s="2180">
        <v>328.54</v>
      </c>
      <c r="D3116" s="2180">
        <f t="shared" si="1131"/>
        <v>98562</v>
      </c>
      <c r="E3116" s="1977">
        <f>(C3116-(C3103/3))/(C3103/3)</f>
        <v>-2.0735427078262026E-2</v>
      </c>
      <c r="F3116" s="1146">
        <f t="shared" ref="F3116:F3117" si="1133">D3116/$D$3042</f>
        <v>0.50805657458053188</v>
      </c>
      <c r="G3116" s="2172">
        <v>75</v>
      </c>
      <c r="H3116" s="1820" t="s">
        <v>145</v>
      </c>
      <c r="I3116" s="2122">
        <v>0.42</v>
      </c>
      <c r="J3116" s="2122">
        <v>3.05</v>
      </c>
      <c r="K3116" s="3032" t="s">
        <v>694</v>
      </c>
      <c r="L3116" s="3032"/>
      <c r="M3116" s="3032"/>
      <c r="N3116" s="46"/>
      <c r="Q3116" s="47"/>
      <c r="R3116" s="2116">
        <f>RIGHT(K3116,6)*B3116</f>
        <v>96999</v>
      </c>
      <c r="S3116" s="1223">
        <f t="shared" ref="S3116:S3117" si="1134">D3116</f>
        <v>98562</v>
      </c>
      <c r="T3116" s="1223">
        <f t="shared" si="1132"/>
        <v>1563</v>
      </c>
      <c r="U3116" s="54">
        <f t="shared" ref="U3116:U3117" si="1135">(S3116-R3116)/R3116</f>
        <v>1.611356818111527E-2</v>
      </c>
      <c r="V3116" s="2117" t="str">
        <f t="shared" ref="V3116:V3117" si="1136">A3116</f>
        <v>ISRG</v>
      </c>
    </row>
    <row r="3117" spans="1:22" hidden="1" outlineLevel="1" x14ac:dyDescent="0.35">
      <c r="A3117" s="2178" t="s">
        <v>51</v>
      </c>
      <c r="B3117" s="2179">
        <v>110.44499999999999</v>
      </c>
      <c r="C3117" s="2180">
        <v>326.05</v>
      </c>
      <c r="D3117" s="2180">
        <f t="shared" si="1131"/>
        <v>36010.592250000002</v>
      </c>
      <c r="E3117" s="1977">
        <f t="shared" si="1130"/>
        <v>-3.6552213226168681E-2</v>
      </c>
      <c r="F3117" s="1146">
        <f t="shared" si="1133"/>
        <v>0.18562344663411101</v>
      </c>
      <c r="G3117" s="2173">
        <v>26</v>
      </c>
      <c r="H3117" s="2165" t="s">
        <v>350</v>
      </c>
      <c r="I3117" s="2122">
        <v>0.52</v>
      </c>
      <c r="J3117" s="2122">
        <v>3.1</v>
      </c>
      <c r="K3117" s="3032" t="s">
        <v>681</v>
      </c>
      <c r="L3117" s="3032"/>
      <c r="M3117" s="3032"/>
      <c r="N3117" s="46"/>
      <c r="Q3117" s="47"/>
      <c r="R3117" s="2116">
        <f t="shared" ref="R3117" si="1137">RIGHT(K3117,6)*B3117</f>
        <v>34353.917249999999</v>
      </c>
      <c r="S3117" s="1223">
        <f t="shared" si="1134"/>
        <v>36010.592250000002</v>
      </c>
      <c r="T3117" s="1223">
        <f t="shared" si="1132"/>
        <v>1656.6750000000029</v>
      </c>
      <c r="U3117" s="54">
        <f t="shared" si="1135"/>
        <v>4.8223758238225452E-2</v>
      </c>
      <c r="V3117" s="2117" t="str">
        <f t="shared" si="1136"/>
        <v>KLAC</v>
      </c>
    </row>
    <row r="3118" spans="1:22" hidden="1" outlineLevel="1" x14ac:dyDescent="0.35">
      <c r="A3118" s="55" t="s">
        <v>7</v>
      </c>
      <c r="B3118" s="56"/>
      <c r="C3118" s="1881"/>
      <c r="D3118" s="57">
        <v>2319.69</v>
      </c>
      <c r="E3118" s="1977"/>
      <c r="F3118" s="1506">
        <f t="shared" ref="F3118:F3119" si="1138">D3118/$D$2830</f>
        <v>1.0841437417127283E-2</v>
      </c>
      <c r="G3118" s="2053"/>
      <c r="H3118" s="1789" t="s">
        <v>59</v>
      </c>
      <c r="I3118" s="2089"/>
      <c r="J3118" s="2068"/>
      <c r="K3118" s="58"/>
      <c r="L3118" s="58"/>
      <c r="M3118" s="58"/>
      <c r="R3118" s="2137">
        <f>SUM(R3115:R3117)</f>
        <v>170020.91725</v>
      </c>
      <c r="S3118" s="2137"/>
      <c r="T3118" s="2137">
        <f>SUM(T3115:T3117)</f>
        <v>6213.6750000000029</v>
      </c>
      <c r="U3118" s="2137">
        <f>SUM(U3115:U3117)</f>
        <v>0.14176569095849453</v>
      </c>
    </row>
    <row r="3119" spans="1:22" ht="16" hidden="1" outlineLevel="1" thickBot="1" x14ac:dyDescent="0.4">
      <c r="A3119" s="55" t="s">
        <v>60</v>
      </c>
      <c r="B3119" s="56"/>
      <c r="C3119" s="2166">
        <f>SUM(D3115:D3117)</f>
        <v>176234.59224999999</v>
      </c>
      <c r="D3119" s="57">
        <v>1859.13</v>
      </c>
      <c r="E3119" s="1977"/>
      <c r="F3119" s="1506">
        <f t="shared" si="1138"/>
        <v>8.6889375499760082E-3</v>
      </c>
      <c r="G3119" s="1734"/>
      <c r="H3119" s="1723" t="s">
        <v>61</v>
      </c>
      <c r="I3119" s="60">
        <v>0</v>
      </c>
      <c r="J3119" s="61"/>
      <c r="K3119" s="2090"/>
      <c r="L3119" s="2070"/>
      <c r="M3119" s="2070"/>
      <c r="Q3119" s="62"/>
      <c r="R3119" s="64"/>
      <c r="S3119" s="64"/>
      <c r="T3119" s="64"/>
      <c r="U3119" s="1553"/>
    </row>
    <row r="3120" spans="1:22" ht="19" hidden="1" outlineLevel="1" thickBot="1" x14ac:dyDescent="0.5">
      <c r="A3120" s="66" t="s">
        <v>62</v>
      </c>
      <c r="B3120" s="67"/>
      <c r="C3120" s="68">
        <f>SUM(D3115:D3117)</f>
        <v>176234.59224999999</v>
      </c>
      <c r="D3120" s="84">
        <f>SUM(D3115:D3119)</f>
        <v>180413.41224999999</v>
      </c>
      <c r="E3120" s="73">
        <f>(D3120-D3107)+I3119</f>
        <v>-6298.7946500000253</v>
      </c>
      <c r="F3120" s="71"/>
      <c r="G3120" s="72" t="s">
        <v>63</v>
      </c>
      <c r="H3120" s="73">
        <f>E3120+E3107+E3094+E3081+E3068</f>
        <v>-18854.616500000004</v>
      </c>
      <c r="I3120" s="74"/>
      <c r="J3120" s="75"/>
      <c r="K3120" s="2138" t="s">
        <v>67</v>
      </c>
      <c r="L3120" s="2139"/>
      <c r="M3120" s="2140"/>
      <c r="N3120" s="64"/>
      <c r="O3120" s="64"/>
      <c r="P3120" s="1553"/>
      <c r="Q3120" s="105"/>
      <c r="S3120" s="1860"/>
      <c r="T3120" s="1860"/>
      <c r="U3120" s="2141"/>
    </row>
    <row r="3121" spans="1:23" hidden="1" outlineLevel="1" x14ac:dyDescent="0.35">
      <c r="A3121" s="2985" t="s">
        <v>688</v>
      </c>
      <c r="B3121" s="2985"/>
      <c r="C3121" s="2985"/>
      <c r="D3121" s="2985"/>
      <c r="E3121" s="2985"/>
      <c r="F3121" s="2985"/>
      <c r="G3121" s="2985"/>
      <c r="H3121" s="2985"/>
      <c r="I3121" s="2985"/>
      <c r="J3121" s="2985"/>
      <c r="K3121" s="2142" t="s">
        <v>69</v>
      </c>
      <c r="L3121" s="1865"/>
      <c r="M3121" s="2143"/>
      <c r="P3121" s="1555"/>
      <c r="Q3121" s="105"/>
      <c r="S3121" s="1860"/>
      <c r="T3121" s="1860"/>
      <c r="U3121" s="1555"/>
    </row>
    <row r="3122" spans="1:23" hidden="1" outlineLevel="1" x14ac:dyDescent="0.35">
      <c r="A3122" s="2986"/>
      <c r="B3122" s="2986"/>
      <c r="C3122" s="2986"/>
      <c r="D3122" s="2986"/>
      <c r="E3122" s="2986"/>
      <c r="F3122" s="2986"/>
      <c r="G3122" s="2986"/>
      <c r="H3122" s="2986"/>
      <c r="I3122" s="2986"/>
      <c r="J3122" s="2986"/>
      <c r="K3122" s="2142" t="s">
        <v>70</v>
      </c>
      <c r="L3122" s="1865"/>
      <c r="M3122" s="2143"/>
      <c r="P3122" s="1555"/>
      <c r="Q3122" s="105"/>
      <c r="S3122" s="1860"/>
      <c r="T3122" s="1860"/>
      <c r="U3122" s="1555"/>
    </row>
    <row r="3123" spans="1:23" ht="16" hidden="1" outlineLevel="1" thickBot="1" x14ac:dyDescent="0.4">
      <c r="A3123" s="2986"/>
      <c r="B3123" s="2986"/>
      <c r="C3123" s="2986"/>
      <c r="D3123" s="2986"/>
      <c r="E3123" s="2986"/>
      <c r="F3123" s="2986"/>
      <c r="G3123" s="2986"/>
      <c r="H3123" s="2986"/>
      <c r="I3123" s="2986"/>
      <c r="J3123" s="2986"/>
      <c r="K3123" s="2144" t="s">
        <v>71</v>
      </c>
      <c r="L3123" s="2145"/>
      <c r="M3123" s="2146"/>
      <c r="N3123" s="40"/>
      <c r="O3123" s="40"/>
      <c r="P3123" s="103"/>
      <c r="Q3123" s="102"/>
      <c r="R3123" s="40"/>
      <c r="S3123" s="2074"/>
      <c r="T3123" s="2074"/>
      <c r="U3123" s="2060"/>
    </row>
    <row r="3124" spans="1:23" hidden="1" outlineLevel="1" x14ac:dyDescent="0.35">
      <c r="A3124" s="8"/>
      <c r="B3124" s="9"/>
      <c r="C3124" s="8"/>
      <c r="D3124" s="8"/>
      <c r="E3124" s="8"/>
      <c r="F3124" s="10"/>
      <c r="G3124" s="11"/>
      <c r="H3124" s="12"/>
      <c r="I3124" s="8"/>
      <c r="J3124" s="12"/>
      <c r="K3124" s="8"/>
      <c r="L3124" s="8"/>
      <c r="M3124" s="8"/>
      <c r="N3124" s="8"/>
      <c r="O3124" s="8"/>
      <c r="P3124" s="8"/>
      <c r="Q3124" s="8"/>
      <c r="R3124" s="8"/>
      <c r="S3124" s="8"/>
      <c r="T3124" s="8"/>
      <c r="U3124" s="8"/>
      <c r="V3124" s="8"/>
    </row>
    <row r="3125" spans="1:23" ht="16" hidden="1" outlineLevel="1" thickBot="1" x14ac:dyDescent="0.4">
      <c r="A3125" s="1619" t="s">
        <v>25</v>
      </c>
      <c r="B3125" s="1996" t="s">
        <v>26</v>
      </c>
      <c r="C3125" s="1621" t="s">
        <v>27</v>
      </c>
      <c r="D3125" s="1622">
        <f>D3112+7</f>
        <v>44484</v>
      </c>
      <c r="E3125" s="1623" t="s">
        <v>28</v>
      </c>
      <c r="F3125" s="3036" t="s">
        <v>29</v>
      </c>
      <c r="G3125" s="3037"/>
      <c r="H3125" s="3038"/>
      <c r="I3125" s="2184" t="s">
        <v>30</v>
      </c>
      <c r="J3125" s="22">
        <v>18.77</v>
      </c>
      <c r="K3125" s="1643"/>
      <c r="O3125" s="3042" t="s">
        <v>31</v>
      </c>
      <c r="P3125" s="3043"/>
      <c r="T3125" s="247"/>
      <c r="U3125" s="1123"/>
      <c r="V3125" s="247"/>
    </row>
    <row r="3126" spans="1:23" ht="16" hidden="1" outlineLevel="1" thickBot="1" x14ac:dyDescent="0.4">
      <c r="A3126" s="1973" t="s">
        <v>32</v>
      </c>
      <c r="B3126" s="1997" t="str">
        <f ca="1">TEXT(TODAY(),"ddd")</f>
        <v>Sun</v>
      </c>
      <c r="C3126" s="1998">
        <v>35295</v>
      </c>
      <c r="D3126" s="1980">
        <f>C3126-C3113</f>
        <v>549</v>
      </c>
      <c r="E3126" s="1977">
        <f>(C3126-C3113)/C3113</f>
        <v>1.5800379899844588E-2</v>
      </c>
      <c r="F3126" s="3039"/>
      <c r="G3126" s="3040"/>
      <c r="H3126" s="3041"/>
      <c r="I3126" s="2185" t="s">
        <v>33</v>
      </c>
      <c r="J3126" s="2185">
        <v>33</v>
      </c>
      <c r="K3126" s="2061"/>
      <c r="L3126" s="2062" t="s">
        <v>34</v>
      </c>
      <c r="M3126" s="2063" t="s">
        <v>35</v>
      </c>
      <c r="N3126" s="2995"/>
      <c r="O3126" s="2996"/>
      <c r="P3126" s="2996"/>
      <c r="Q3126" s="2996"/>
      <c r="R3126" s="2996"/>
      <c r="S3126" s="2996"/>
      <c r="T3126" s="2996"/>
      <c r="U3126" s="3044"/>
      <c r="W3126">
        <f>931.89/3</f>
        <v>310.63</v>
      </c>
    </row>
    <row r="3127" spans="1:23" hidden="1" outlineLevel="1" x14ac:dyDescent="0.35">
      <c r="A3127" s="1978" t="s">
        <v>36</v>
      </c>
      <c r="B3127" s="1979"/>
      <c r="C3127" s="1979">
        <v>14897</v>
      </c>
      <c r="D3127" s="1980">
        <f>C3127-C3114</f>
        <v>318</v>
      </c>
      <c r="E3127" s="1977">
        <f t="shared" ref="E3127:E3130" si="1139">(C3127-C3114)/C3114</f>
        <v>2.1812195623842512E-2</v>
      </c>
      <c r="F3127" s="1744" t="s">
        <v>37</v>
      </c>
      <c r="G3127" s="2170" t="s">
        <v>38</v>
      </c>
      <c r="H3127" s="1746" t="s">
        <v>144</v>
      </c>
      <c r="I3127" s="1747" t="s">
        <v>40</v>
      </c>
      <c r="J3127" s="2064" t="s">
        <v>41</v>
      </c>
      <c r="K3127" s="3033" t="s">
        <v>42</v>
      </c>
      <c r="L3127" s="3034"/>
      <c r="M3127" s="3034"/>
      <c r="N3127" s="2065" t="s">
        <v>244</v>
      </c>
      <c r="Q3127" s="1831" t="s">
        <v>44</v>
      </c>
      <c r="R3127" s="1832" t="s">
        <v>45</v>
      </c>
      <c r="S3127" s="1832" t="s">
        <v>46</v>
      </c>
      <c r="T3127" s="1832" t="s">
        <v>47</v>
      </c>
      <c r="U3127" s="1833" t="s">
        <v>48</v>
      </c>
    </row>
    <row r="3128" spans="1:23" hidden="1" outlineLevel="1" x14ac:dyDescent="0.35">
      <c r="A3128" s="2176" t="s">
        <v>49</v>
      </c>
      <c r="B3128" s="2177">
        <v>5.0380000000000003</v>
      </c>
      <c r="C3128" s="44">
        <v>218.62</v>
      </c>
      <c r="D3128" s="82">
        <f t="shared" ref="D3128:D3130" si="1140">C3128*B3128</f>
        <v>1101.4075600000001</v>
      </c>
      <c r="E3128" s="1977">
        <f t="shared" si="1139"/>
        <v>4.9493543276847018E-2</v>
      </c>
      <c r="F3128" s="1146">
        <f>D3128/$D$3042</f>
        <v>5.677414745547997E-3</v>
      </c>
      <c r="G3128" s="2171">
        <v>75</v>
      </c>
      <c r="H3128" s="2165" t="s">
        <v>350</v>
      </c>
      <c r="I3128" s="2112">
        <v>0.86</v>
      </c>
      <c r="J3128" s="2113">
        <v>13.49</v>
      </c>
      <c r="K3128" s="3032" t="s">
        <v>679</v>
      </c>
      <c r="L3128" s="3032"/>
      <c r="M3128" s="3032"/>
      <c r="N3128" s="2114"/>
      <c r="O3128" s="3"/>
      <c r="P3128" s="3"/>
      <c r="Q3128" s="2115"/>
      <c r="R3128" s="2116">
        <f>RIGHT(K3128,6)*B3128</f>
        <v>974.04692000000011</v>
      </c>
      <c r="S3128" s="1223">
        <f>D3128</f>
        <v>1101.4075600000001</v>
      </c>
      <c r="T3128" s="1223">
        <f t="shared" ref="T3128:T3130" si="1141">S3128-R3128</f>
        <v>127.36063999999999</v>
      </c>
      <c r="U3128" s="54">
        <f>(S3128-R3128)/R3128</f>
        <v>0.1307541119271749</v>
      </c>
      <c r="V3128" s="2117" t="str">
        <f>A3128</f>
        <v>NVDA</v>
      </c>
    </row>
    <row r="3129" spans="1:23" hidden="1" outlineLevel="1" x14ac:dyDescent="0.35">
      <c r="A3129" s="2178" t="s">
        <v>96</v>
      </c>
      <c r="B3129" s="2179">
        <v>5</v>
      </c>
      <c r="C3129" s="2180">
        <v>331.5</v>
      </c>
      <c r="D3129" s="2180">
        <f t="shared" si="1140"/>
        <v>1657.5</v>
      </c>
      <c r="E3129" s="1977">
        <f>(C3129-C3116)/C3116</f>
        <v>9.0095574359285915E-3</v>
      </c>
      <c r="F3129" s="1146">
        <f t="shared" ref="F3129:F3130" si="1142">D3129/$D$3042</f>
        <v>8.5438989911652725E-3</v>
      </c>
      <c r="G3129" s="2172">
        <v>75</v>
      </c>
      <c r="H3129" s="1820" t="s">
        <v>145</v>
      </c>
      <c r="I3129" s="2122">
        <v>0.42</v>
      </c>
      <c r="J3129" s="2122">
        <v>3.05</v>
      </c>
      <c r="K3129" s="3032" t="s">
        <v>680</v>
      </c>
      <c r="L3129" s="3032"/>
      <c r="M3129" s="3032"/>
      <c r="N3129" s="46"/>
      <c r="Q3129" s="47"/>
      <c r="R3129" s="2116">
        <f>RIGHT(K3129,6)*B3129</f>
        <v>4659.45</v>
      </c>
      <c r="S3129" s="1223">
        <f t="shared" ref="S3129:S3130" si="1143">D3129</f>
        <v>1657.5</v>
      </c>
      <c r="T3129" s="1223">
        <f t="shared" si="1141"/>
        <v>-3001.95</v>
      </c>
      <c r="U3129" s="54">
        <f t="shared" ref="U3129:U3130" si="1144">(S3129-R3129)/R3129</f>
        <v>-0.64427131957634487</v>
      </c>
      <c r="V3129" s="2117" t="str">
        <f t="shared" ref="V3129:V3130" si="1145">A3129</f>
        <v>ISRG</v>
      </c>
    </row>
    <row r="3130" spans="1:23" hidden="1" outlineLevel="1" x14ac:dyDescent="0.35">
      <c r="A3130" s="2178" t="s">
        <v>51</v>
      </c>
      <c r="B3130" s="2179">
        <v>5.4450000000000003</v>
      </c>
      <c r="C3130" s="2180">
        <v>329.1</v>
      </c>
      <c r="D3130" s="2180">
        <f t="shared" si="1140"/>
        <v>1791.9495000000002</v>
      </c>
      <c r="E3130" s="1977">
        <f t="shared" si="1139"/>
        <v>9.3543934979298006E-3</v>
      </c>
      <c r="F3130" s="1146">
        <f t="shared" si="1142"/>
        <v>9.2369445099662849E-3</v>
      </c>
      <c r="G3130" s="2173">
        <v>26</v>
      </c>
      <c r="H3130" s="2165" t="s">
        <v>350</v>
      </c>
      <c r="I3130" s="2122">
        <v>0.52</v>
      </c>
      <c r="J3130" s="2122">
        <v>3.1</v>
      </c>
      <c r="K3130" s="3032" t="s">
        <v>681</v>
      </c>
      <c r="L3130" s="3032"/>
      <c r="M3130" s="3032"/>
      <c r="N3130" s="46"/>
      <c r="Q3130" s="47"/>
      <c r="R3130" s="2116">
        <f t="shared" ref="R3130" si="1146">RIGHT(K3130,6)*B3130</f>
        <v>1693.6672500000002</v>
      </c>
      <c r="S3130" s="1223">
        <f t="shared" si="1143"/>
        <v>1791.9495000000002</v>
      </c>
      <c r="T3130" s="1223">
        <f t="shared" si="1141"/>
        <v>98.282249999999976</v>
      </c>
      <c r="U3130" s="54">
        <f t="shared" si="1144"/>
        <v>5.8029255746664503E-2</v>
      </c>
      <c r="V3130" s="2117" t="str">
        <f t="shared" si="1145"/>
        <v>KLAC</v>
      </c>
    </row>
    <row r="3131" spans="1:23" hidden="1" outlineLevel="1" x14ac:dyDescent="0.35">
      <c r="A3131" s="55" t="s">
        <v>7</v>
      </c>
      <c r="B3131" s="56"/>
      <c r="C3131" s="1881"/>
      <c r="D3131" s="57">
        <v>2317.6</v>
      </c>
      <c r="E3131" s="1977"/>
      <c r="F3131" s="1506">
        <f t="shared" ref="F3131:F3132" si="1147">D3131/$D$2830</f>
        <v>1.083166947218559E-2</v>
      </c>
      <c r="G3131" s="2053"/>
      <c r="H3131" s="1789" t="s">
        <v>59</v>
      </c>
      <c r="I3131" s="2089"/>
      <c r="J3131" s="2068"/>
      <c r="K3131" s="58"/>
      <c r="L3131" s="58"/>
      <c r="M3131" s="58"/>
      <c r="R3131" s="2137">
        <f>SUM(R3128:R3130)</f>
        <v>7327.16417</v>
      </c>
      <c r="S3131" s="2137"/>
      <c r="T3131" s="2137">
        <f>SUM(T3128:T3130)</f>
        <v>-2776.3071099999997</v>
      </c>
      <c r="U3131" s="2137">
        <f>SUM(U3128:U3130)</f>
        <v>-0.45548795190250546</v>
      </c>
    </row>
    <row r="3132" spans="1:23" ht="16" hidden="1" outlineLevel="1" thickBot="1" x14ac:dyDescent="0.4">
      <c r="A3132" s="55" t="s">
        <v>60</v>
      </c>
      <c r="B3132" s="56"/>
      <c r="C3132" s="2166">
        <f>SUM(D3128:D3130)</f>
        <v>4550.8570600000003</v>
      </c>
      <c r="D3132" s="57">
        <v>170450.72</v>
      </c>
      <c r="E3132" s="1977"/>
      <c r="F3132" s="1506">
        <f t="shared" si="1147"/>
        <v>0.79662834843633656</v>
      </c>
      <c r="G3132" s="1734"/>
      <c r="H3132" s="1723" t="s">
        <v>61</v>
      </c>
      <c r="I3132" s="60">
        <v>0</v>
      </c>
      <c r="J3132" s="61"/>
      <c r="K3132" s="2090"/>
      <c r="L3132" s="2070"/>
      <c r="M3132" s="2070"/>
      <c r="Q3132" s="62"/>
      <c r="R3132" s="64"/>
      <c r="S3132" s="64"/>
      <c r="T3132" s="64"/>
      <c r="U3132" s="1553"/>
    </row>
    <row r="3133" spans="1:23" ht="19" hidden="1" outlineLevel="1" thickBot="1" x14ac:dyDescent="0.5">
      <c r="A3133" s="66" t="s">
        <v>62</v>
      </c>
      <c r="B3133" s="67"/>
      <c r="C3133" s="68">
        <f>SUM(D3128:D3130)</f>
        <v>4550.8570600000003</v>
      </c>
      <c r="D3133" s="84">
        <f>SUM(D3128:D3132)</f>
        <v>177319.17706000002</v>
      </c>
      <c r="E3133" s="73">
        <f>(D3133-D3120)+I3132</f>
        <v>-3094.2351899999776</v>
      </c>
      <c r="F3133" s="71"/>
      <c r="G3133" s="72" t="s">
        <v>63</v>
      </c>
      <c r="H3133" s="73">
        <f>E3133+E3120+E3105+E3090+E3074</f>
        <v>-9392.9977816250539</v>
      </c>
      <c r="I3133" s="74"/>
      <c r="J3133" s="75"/>
      <c r="K3133" s="2138" t="s">
        <v>67</v>
      </c>
      <c r="L3133" s="2139"/>
      <c r="M3133" s="2140"/>
      <c r="N3133" s="64"/>
      <c r="O3133" s="64"/>
      <c r="P3133" s="1553"/>
      <c r="Q3133" s="105"/>
      <c r="S3133" s="1860"/>
      <c r="T3133" s="1860"/>
      <c r="U3133" s="2141"/>
    </row>
    <row r="3134" spans="1:23" hidden="1" outlineLevel="1" x14ac:dyDescent="0.35">
      <c r="A3134" s="2985" t="s">
        <v>695</v>
      </c>
      <c r="B3134" s="2985"/>
      <c r="C3134" s="2985"/>
      <c r="D3134" s="2985"/>
      <c r="E3134" s="2985"/>
      <c r="F3134" s="2985"/>
      <c r="G3134" s="2985"/>
      <c r="H3134" s="2985"/>
      <c r="I3134" s="2985"/>
      <c r="J3134" s="2985"/>
      <c r="K3134" s="2142" t="s">
        <v>69</v>
      </c>
      <c r="L3134" s="1865"/>
      <c r="M3134" s="2143"/>
      <c r="P3134" s="1555"/>
      <c r="Q3134" s="105"/>
      <c r="S3134" s="1860"/>
      <c r="T3134" s="1860"/>
      <c r="U3134" s="1555"/>
    </row>
    <row r="3135" spans="1:23" hidden="1" outlineLevel="1" x14ac:dyDescent="0.35">
      <c r="A3135" s="2986"/>
      <c r="B3135" s="2986"/>
      <c r="C3135" s="2986"/>
      <c r="D3135" s="2986"/>
      <c r="E3135" s="2986"/>
      <c r="F3135" s="2986"/>
      <c r="G3135" s="2986"/>
      <c r="H3135" s="2986"/>
      <c r="I3135" s="2986"/>
      <c r="J3135" s="2986"/>
      <c r="K3135" s="2142" t="s">
        <v>70</v>
      </c>
      <c r="L3135" s="1865"/>
      <c r="M3135" s="2143"/>
      <c r="P3135" s="1555"/>
      <c r="Q3135" s="105"/>
      <c r="S3135" s="1860"/>
      <c r="T3135" s="1860"/>
      <c r="U3135" s="1555"/>
    </row>
    <row r="3136" spans="1:23" ht="16" hidden="1" outlineLevel="1" thickBot="1" x14ac:dyDescent="0.4">
      <c r="A3136" s="2986"/>
      <c r="B3136" s="2986"/>
      <c r="C3136" s="2986"/>
      <c r="D3136" s="2986"/>
      <c r="E3136" s="2986"/>
      <c r="F3136" s="2986"/>
      <c r="G3136" s="2986"/>
      <c r="H3136" s="2986"/>
      <c r="I3136" s="2986"/>
      <c r="J3136" s="2986"/>
      <c r="K3136" s="2144" t="s">
        <v>71</v>
      </c>
      <c r="L3136" s="2145"/>
      <c r="M3136" s="2146"/>
      <c r="N3136" s="40"/>
      <c r="O3136" s="40"/>
      <c r="P3136" s="103"/>
      <c r="Q3136" s="102"/>
      <c r="R3136" s="40"/>
      <c r="S3136" s="2074"/>
      <c r="T3136" s="2074"/>
      <c r="U3136" s="2060"/>
    </row>
    <row r="3137" spans="1:30" ht="11.25" hidden="1" customHeight="1" outlineLevel="1" thickBot="1" x14ac:dyDescent="0.4">
      <c r="A3137" s="8"/>
      <c r="B3137" s="9"/>
      <c r="C3137" s="8"/>
      <c r="D3137" s="8"/>
      <c r="E3137" s="8"/>
      <c r="F3137" s="10"/>
      <c r="G3137" s="11"/>
      <c r="H3137" s="12"/>
      <c r="I3137" s="8"/>
      <c r="J3137" s="12"/>
      <c r="K3137" s="8"/>
      <c r="L3137" s="8"/>
      <c r="M3137" s="8"/>
      <c r="N3137" s="8"/>
      <c r="O3137" s="8"/>
      <c r="P3137" s="8"/>
      <c r="Q3137" s="8"/>
      <c r="R3137" s="8"/>
      <c r="S3137" s="8"/>
      <c r="T3137" s="8"/>
      <c r="U3137" s="8"/>
      <c r="V3137" s="8"/>
    </row>
    <row r="3138" spans="1:30" ht="16.5" hidden="1" customHeight="1" outlineLevel="1" thickBot="1" x14ac:dyDescent="0.4">
      <c r="A3138" s="1619" t="s">
        <v>25</v>
      </c>
      <c r="B3138" s="1996" t="s">
        <v>26</v>
      </c>
      <c r="C3138" s="1621" t="s">
        <v>27</v>
      </c>
      <c r="D3138" s="1622">
        <f>D3125+7</f>
        <v>44491</v>
      </c>
      <c r="E3138" s="1623" t="s">
        <v>28</v>
      </c>
      <c r="F3138" s="3002" t="s">
        <v>29</v>
      </c>
      <c r="G3138" s="3024"/>
      <c r="H3138" s="3025"/>
      <c r="I3138" s="2184" t="s">
        <v>30</v>
      </c>
      <c r="J3138" s="22">
        <v>16.329999999999998</v>
      </c>
      <c r="K3138" s="2186">
        <f>D3138-4</f>
        <v>44487</v>
      </c>
      <c r="L3138" s="2187">
        <f>K3138+1</f>
        <v>44488</v>
      </c>
      <c r="M3138" s="2188"/>
      <c r="N3138" s="2189"/>
      <c r="O3138" s="3035" t="s">
        <v>31</v>
      </c>
      <c r="P3138" s="3035"/>
      <c r="Q3138" s="2189"/>
      <c r="R3138" s="2189">
        <f>L3138+1</f>
        <v>44489</v>
      </c>
      <c r="S3138" s="2189">
        <f>R3138+1</f>
        <v>44490</v>
      </c>
      <c r="T3138" s="2189">
        <f t="shared" ref="T3138" si="1148">S3138+1</f>
        <v>44491</v>
      </c>
      <c r="U3138" s="2190"/>
      <c r="V3138" s="2191"/>
    </row>
    <row r="3139" spans="1:30" ht="16" hidden="1" outlineLevel="1" thickBot="1" x14ac:dyDescent="0.4">
      <c r="A3139" s="1973" t="s">
        <v>32</v>
      </c>
      <c r="B3139" s="1997" t="str">
        <f ca="1">TEXT(TODAY(),"ddd")</f>
        <v>Sun</v>
      </c>
      <c r="C3139" s="1998">
        <v>35677</v>
      </c>
      <c r="D3139" s="1980">
        <f>C3139-C3126</f>
        <v>382</v>
      </c>
      <c r="E3139" s="1977">
        <f>(C3139-C3126)/C3126</f>
        <v>1.0823062756764415E-2</v>
      </c>
      <c r="F3139" s="3026"/>
      <c r="G3139" s="3027"/>
      <c r="H3139" s="3028"/>
      <c r="I3139" s="2185" t="s">
        <v>33</v>
      </c>
      <c r="J3139" s="2185">
        <v>62</v>
      </c>
      <c r="K3139" s="2061"/>
      <c r="L3139" s="2062" t="s">
        <v>34</v>
      </c>
      <c r="M3139" s="2063" t="s">
        <v>35</v>
      </c>
      <c r="N3139" s="2995"/>
      <c r="O3139" s="2996"/>
      <c r="P3139" s="2996"/>
      <c r="Q3139" s="2996"/>
      <c r="R3139" s="2996"/>
      <c r="S3139" s="2996"/>
      <c r="T3139" s="2996"/>
      <c r="U3139" s="2996"/>
      <c r="V3139" s="2192"/>
      <c r="W3139" s="2193"/>
      <c r="X3139" s="62"/>
      <c r="Y3139" s="64"/>
      <c r="Z3139" s="64"/>
      <c r="AA3139" s="64"/>
      <c r="AB3139" s="64"/>
      <c r="AC3139" s="64"/>
      <c r="AD3139" s="1553"/>
    </row>
    <row r="3140" spans="1:30" hidden="1" outlineLevel="1" x14ac:dyDescent="0.35">
      <c r="A3140" s="1978" t="s">
        <v>36</v>
      </c>
      <c r="B3140" s="1979"/>
      <c r="C3140" s="1979">
        <v>15090</v>
      </c>
      <c r="D3140" s="1980">
        <f>C3140-C3127</f>
        <v>193</v>
      </c>
      <c r="E3140" s="1977">
        <f t="shared" ref="E3140:E3143" si="1149">(C3140-C3127)/C3127</f>
        <v>1.295562865006377E-2</v>
      </c>
      <c r="F3140" s="1744" t="s">
        <v>37</v>
      </c>
      <c r="G3140" s="2170" t="s">
        <v>38</v>
      </c>
      <c r="H3140" s="2194" t="s">
        <v>39</v>
      </c>
      <c r="I3140" s="1747" t="s">
        <v>40</v>
      </c>
      <c r="J3140" s="2064" t="s">
        <v>41</v>
      </c>
      <c r="K3140" s="3033" t="s">
        <v>42</v>
      </c>
      <c r="L3140" s="3034"/>
      <c r="M3140" s="3034"/>
      <c r="N3140" s="2065" t="s">
        <v>244</v>
      </c>
      <c r="Q3140" s="1831" t="s">
        <v>44</v>
      </c>
      <c r="R3140" s="1832" t="s">
        <v>45</v>
      </c>
      <c r="S3140" s="1832" t="s">
        <v>46</v>
      </c>
      <c r="T3140" s="1832" t="s">
        <v>47</v>
      </c>
      <c r="U3140" s="1751" t="s">
        <v>48</v>
      </c>
      <c r="V3140" s="2195" t="s">
        <v>244</v>
      </c>
      <c r="W3140" s="2196" t="s">
        <v>696</v>
      </c>
      <c r="X3140" s="105"/>
      <c r="Z3140">
        <v>160000</v>
      </c>
      <c r="AD3140" s="1555"/>
    </row>
    <row r="3141" spans="1:30" hidden="1" outlineLevel="1" x14ac:dyDescent="0.35">
      <c r="A3141" s="2176" t="s">
        <v>49</v>
      </c>
      <c r="B3141" s="2177">
        <v>155.03800000000001</v>
      </c>
      <c r="C3141" s="44">
        <v>227.26</v>
      </c>
      <c r="D3141" s="44">
        <f t="shared" ref="D3141:D3147" si="1150">C3141*B3141</f>
        <v>35233.935880000005</v>
      </c>
      <c r="E3141" s="1977">
        <f t="shared" si="1149"/>
        <v>3.9520629402616352E-2</v>
      </c>
      <c r="F3141" s="1506">
        <f>D3141/$D$3150</f>
        <v>0.19508969859693726</v>
      </c>
      <c r="G3141" s="2171">
        <v>75</v>
      </c>
      <c r="H3141" s="2197">
        <v>44517</v>
      </c>
      <c r="I3141" s="2112">
        <v>0.6</v>
      </c>
      <c r="J3141" s="2113">
        <v>12.29</v>
      </c>
      <c r="K3141" s="3032" t="s">
        <v>697</v>
      </c>
      <c r="L3141" s="3032"/>
      <c r="M3141" s="3032"/>
      <c r="N3141" s="2114"/>
      <c r="O3141" s="3"/>
      <c r="P3141" s="3"/>
      <c r="Q3141" s="2115"/>
      <c r="R3141" s="2116">
        <f>RIGHT(K3141,6)*B3141</f>
        <v>34272.700280000005</v>
      </c>
      <c r="S3141" s="1223">
        <f>D3141</f>
        <v>35233.935880000005</v>
      </c>
      <c r="T3141" s="1223">
        <f>S3141-R3141</f>
        <v>961.23559999999998</v>
      </c>
      <c r="U3141" s="54">
        <f>(S3141-R3141)/R3141</f>
        <v>2.8046684158147105E-2</v>
      </c>
      <c r="V3141" s="2198" t="str">
        <f>A3141</f>
        <v>NVDA</v>
      </c>
      <c r="W3141" s="2199">
        <f ca="1">H3141-TODAY()</f>
        <v>-655</v>
      </c>
      <c r="X3141" s="2200" t="s">
        <v>698</v>
      </c>
      <c r="Y3141" s="2201">
        <v>150</v>
      </c>
      <c r="Z3141" s="2202">
        <f>Y3141*C3141</f>
        <v>34089</v>
      </c>
      <c r="AA3141" s="2203">
        <f t="shared" ref="AA3141:AA3147" si="1151">Z3141/$D$3150</f>
        <v>0.18875020826855729</v>
      </c>
      <c r="AB3141" s="2203">
        <f t="shared" ref="AB3141:AB3147" si="1152">Z3141/$Z$3149</f>
        <v>0.21542491425249186</v>
      </c>
      <c r="AC3141" s="2109">
        <f t="shared" ref="AC3141:AC3147" si="1153">AB3141*$Z$3140</f>
        <v>34467.986280398698</v>
      </c>
      <c r="AD3141" s="2204">
        <f t="shared" ref="AD3141:AD3147" si="1154">AC3141/C3141</f>
        <v>151.66763302120347</v>
      </c>
    </row>
    <row r="3142" spans="1:30" hidden="1" outlineLevel="1" x14ac:dyDescent="0.35">
      <c r="A3142" s="2178" t="s">
        <v>96</v>
      </c>
      <c r="B3142" s="2179">
        <v>5</v>
      </c>
      <c r="C3142" s="2180">
        <v>341.52</v>
      </c>
      <c r="D3142" s="44">
        <f t="shared" si="1150"/>
        <v>1707.6</v>
      </c>
      <c r="E3142" s="1977">
        <f t="shared" si="1149"/>
        <v>3.0226244343891349E-2</v>
      </c>
      <c r="F3142" s="1506">
        <f t="shared" ref="F3142:F3149" si="1155">D3142/$D$3150</f>
        <v>9.4549519093956522E-3</v>
      </c>
      <c r="G3142" s="2172">
        <v>75</v>
      </c>
      <c r="H3142" s="2197">
        <v>44580</v>
      </c>
      <c r="I3142" s="2122">
        <v>0.3</v>
      </c>
      <c r="J3142" s="2122">
        <v>3.07</v>
      </c>
      <c r="K3142" s="3032" t="s">
        <v>699</v>
      </c>
      <c r="L3142" s="3032"/>
      <c r="M3142" s="3032"/>
      <c r="N3142" s="46"/>
      <c r="Q3142" s="47"/>
      <c r="R3142" s="2116">
        <f>RIGHT(K3142,6)*B3142</f>
        <v>1553.15</v>
      </c>
      <c r="S3142" s="1223">
        <f t="shared" ref="S3142:S3147" si="1156">D3142</f>
        <v>1707.6</v>
      </c>
      <c r="T3142" s="1223">
        <f t="shared" ref="T3142:T3147" si="1157">S3142-R3142</f>
        <v>154.44999999999982</v>
      </c>
      <c r="U3142" s="54">
        <f t="shared" ref="U3142:U3147" si="1158">(S3142-R3142)/R3142</f>
        <v>9.9443067314811714E-2</v>
      </c>
      <c r="V3142" s="2198" t="str">
        <f t="shared" ref="V3142:V3147" si="1159">A3142</f>
        <v>ISRG</v>
      </c>
      <c r="W3142" s="2199">
        <f ca="1">H3142-TODAY()</f>
        <v>-592</v>
      </c>
      <c r="X3142" s="2205" t="s">
        <v>700</v>
      </c>
      <c r="Y3142" s="603">
        <v>15</v>
      </c>
      <c r="Z3142" s="2109">
        <v>0</v>
      </c>
      <c r="AA3142" s="2203">
        <f t="shared" si="1151"/>
        <v>0</v>
      </c>
      <c r="AB3142" s="2203">
        <f t="shared" si="1152"/>
        <v>0</v>
      </c>
      <c r="AC3142" s="2109">
        <f t="shared" si="1153"/>
        <v>0</v>
      </c>
      <c r="AD3142" s="2204">
        <f t="shared" si="1154"/>
        <v>0</v>
      </c>
    </row>
    <row r="3143" spans="1:30" hidden="1" outlineLevel="1" x14ac:dyDescent="0.35">
      <c r="A3143" s="2178" t="s">
        <v>51</v>
      </c>
      <c r="B3143" s="2179">
        <v>150.44499999999999</v>
      </c>
      <c r="C3143" s="2180">
        <v>343.03</v>
      </c>
      <c r="D3143" s="44">
        <f t="shared" si="1150"/>
        <v>51607.148349999996</v>
      </c>
      <c r="E3143" s="1977">
        <f t="shared" si="1149"/>
        <v>4.2327560012154208E-2</v>
      </c>
      <c r="F3143" s="1506">
        <f t="shared" si="1155"/>
        <v>0.28574789519225646</v>
      </c>
      <c r="G3143" s="2173">
        <v>26</v>
      </c>
      <c r="H3143" s="2197">
        <v>44496</v>
      </c>
      <c r="I3143" s="2122">
        <v>0.56000000000000005</v>
      </c>
      <c r="J3143" s="2122">
        <v>3.51</v>
      </c>
      <c r="K3143" s="3032" t="s">
        <v>52</v>
      </c>
      <c r="L3143" s="3032"/>
      <c r="M3143" s="3032"/>
      <c r="N3143" s="46"/>
      <c r="Q3143" s="47"/>
      <c r="R3143" s="2116">
        <f t="shared" ref="R3143:R3147" si="1160">RIGHT(K3143,6)*B3143</f>
        <v>49169.939349999993</v>
      </c>
      <c r="S3143" s="1223">
        <f t="shared" si="1156"/>
        <v>51607.148349999996</v>
      </c>
      <c r="T3143" s="1223">
        <f t="shared" si="1157"/>
        <v>2437.2090000000026</v>
      </c>
      <c r="U3143" s="54">
        <f t="shared" si="1158"/>
        <v>4.9567053208089892E-2</v>
      </c>
      <c r="V3143" s="2198" t="str">
        <f t="shared" si="1159"/>
        <v>KLAC</v>
      </c>
      <c r="W3143" s="2199">
        <f t="shared" ref="W3143:W3147" ca="1" si="1161">H3143-TODAY()</f>
        <v>-676</v>
      </c>
      <c r="X3143" s="2200" t="s">
        <v>698</v>
      </c>
      <c r="Y3143" s="603">
        <v>150</v>
      </c>
      <c r="Z3143" s="2202">
        <f>Y3143*C3143</f>
        <v>51454.499999999993</v>
      </c>
      <c r="AA3143" s="2203">
        <f t="shared" si="1151"/>
        <v>0.28490268389669626</v>
      </c>
      <c r="AB3143" s="2203">
        <f t="shared" si="1152"/>
        <v>0.32516592597039634</v>
      </c>
      <c r="AC3143" s="2109">
        <f t="shared" si="1153"/>
        <v>52026.548155263416</v>
      </c>
      <c r="AD3143" s="2204">
        <f t="shared" si="1154"/>
        <v>151.66763302120344</v>
      </c>
    </row>
    <row r="3144" spans="1:30" hidden="1" outlineLevel="1" x14ac:dyDescent="0.35">
      <c r="A3144" s="2178" t="s">
        <v>53</v>
      </c>
      <c r="B3144" s="2179">
        <v>75</v>
      </c>
      <c r="C3144" s="2180">
        <v>321.73</v>
      </c>
      <c r="D3144" s="44">
        <f t="shared" si="1150"/>
        <v>24129.75</v>
      </c>
      <c r="E3144" s="2206"/>
      <c r="F3144" s="1506">
        <f t="shared" si="1155"/>
        <v>0.13360601185039808</v>
      </c>
      <c r="G3144" s="2173">
        <v>41</v>
      </c>
      <c r="H3144" s="2197">
        <v>44540</v>
      </c>
      <c r="I3144" s="2122">
        <v>0.84</v>
      </c>
      <c r="J3144" s="2122">
        <v>14.34</v>
      </c>
      <c r="K3144" s="3032" t="s">
        <v>701</v>
      </c>
      <c r="L3144" s="3032"/>
      <c r="M3144" s="3032"/>
      <c r="N3144" s="46"/>
      <c r="Q3144" s="47"/>
      <c r="R3144" s="2116">
        <f t="shared" si="1160"/>
        <v>23072.25</v>
      </c>
      <c r="S3144" s="1223">
        <f t="shared" si="1156"/>
        <v>24129.75</v>
      </c>
      <c r="T3144" s="1223">
        <f t="shared" si="1157"/>
        <v>1057.5</v>
      </c>
      <c r="U3144" s="54">
        <f t="shared" si="1158"/>
        <v>4.5834281441992003E-2</v>
      </c>
      <c r="V3144" s="2198" t="str">
        <f t="shared" si="1159"/>
        <v>ODFL</v>
      </c>
      <c r="W3144" s="2199">
        <f t="shared" ca="1" si="1161"/>
        <v>-632</v>
      </c>
      <c r="X3144" s="2207" t="s">
        <v>702</v>
      </c>
      <c r="Y3144" s="603">
        <v>75</v>
      </c>
      <c r="Z3144" s="2202">
        <f>Y3144*C3144</f>
        <v>24129.75</v>
      </c>
      <c r="AA3144" s="2203">
        <f t="shared" si="1151"/>
        <v>0.13360601185039808</v>
      </c>
      <c r="AB3144" s="2203">
        <f t="shared" si="1152"/>
        <v>0.15248758616222433</v>
      </c>
      <c r="AC3144" s="2109">
        <f t="shared" si="1153"/>
        <v>24398.013785955893</v>
      </c>
      <c r="AD3144" s="2204">
        <f t="shared" si="1154"/>
        <v>75.833816510601721</v>
      </c>
    </row>
    <row r="3145" spans="1:30" hidden="1" outlineLevel="1" x14ac:dyDescent="0.35">
      <c r="A3145" s="2178" t="s">
        <v>329</v>
      </c>
      <c r="B3145" s="2179">
        <v>75</v>
      </c>
      <c r="C3145" s="2180">
        <v>283.39</v>
      </c>
      <c r="D3145" s="44">
        <f t="shared" si="1150"/>
        <v>21254.25</v>
      </c>
      <c r="E3145" s="2206"/>
      <c r="F3145" s="1506">
        <f t="shared" si="1155"/>
        <v>0.11768441767408794</v>
      </c>
      <c r="G3145" s="2173">
        <v>657</v>
      </c>
      <c r="H3145" s="2197">
        <v>44536</v>
      </c>
      <c r="I3145" s="2122">
        <v>0.93</v>
      </c>
      <c r="J3145" s="2122">
        <v>3.84</v>
      </c>
      <c r="K3145" s="3032" t="s">
        <v>703</v>
      </c>
      <c r="L3145" s="3032"/>
      <c r="M3145" s="3032"/>
      <c r="N3145" s="46"/>
      <c r="Q3145" s="47"/>
      <c r="R3145" s="2116">
        <f t="shared" si="1160"/>
        <v>21405</v>
      </c>
      <c r="S3145" s="1223">
        <f t="shared" si="1156"/>
        <v>21254.25</v>
      </c>
      <c r="T3145" s="1223">
        <f t="shared" si="1157"/>
        <v>-150.75</v>
      </c>
      <c r="U3145" s="54">
        <f t="shared" si="1158"/>
        <v>-7.0427470217238964E-3</v>
      </c>
      <c r="V3145" s="2198" t="str">
        <f t="shared" si="1159"/>
        <v>CRWD</v>
      </c>
      <c r="W3145" s="2199">
        <f t="shared" ca="1" si="1161"/>
        <v>-636</v>
      </c>
      <c r="X3145" s="2207" t="s">
        <v>702</v>
      </c>
      <c r="Y3145" s="603">
        <v>50</v>
      </c>
      <c r="Z3145" s="2202">
        <f>Y3145*C3145</f>
        <v>14169.5</v>
      </c>
      <c r="AA3145" s="2203">
        <f t="shared" si="1151"/>
        <v>7.8456278449391958E-2</v>
      </c>
      <c r="AB3145" s="2203">
        <f t="shared" si="1152"/>
        <v>8.9543938587247601E-2</v>
      </c>
      <c r="AC3145" s="2109">
        <f t="shared" si="1153"/>
        <v>14327.030173959616</v>
      </c>
      <c r="AD3145" s="2204">
        <f t="shared" si="1154"/>
        <v>50.555877673734486</v>
      </c>
    </row>
    <row r="3146" spans="1:30" hidden="1" outlineLevel="1" x14ac:dyDescent="0.35">
      <c r="A3146" s="2178" t="s">
        <v>704</v>
      </c>
      <c r="B3146" s="2179">
        <v>100</v>
      </c>
      <c r="C3146" s="2180">
        <v>43.14</v>
      </c>
      <c r="D3146" s="44">
        <f t="shared" si="1150"/>
        <v>4314</v>
      </c>
      <c r="E3146" s="2206"/>
      <c r="F3146" s="1506">
        <f t="shared" si="1155"/>
        <v>2.3886544001600403E-2</v>
      </c>
      <c r="G3146" s="2173">
        <v>-36</v>
      </c>
      <c r="H3146" s="2197">
        <v>44510</v>
      </c>
      <c r="I3146" s="2122">
        <v>0.99</v>
      </c>
      <c r="J3146" s="2122"/>
      <c r="K3146" s="3032" t="s">
        <v>705</v>
      </c>
      <c r="L3146" s="3032"/>
      <c r="M3146" s="3032"/>
      <c r="N3146" s="46"/>
      <c r="Q3146" s="47"/>
      <c r="R3146" s="2116">
        <f t="shared" si="1160"/>
        <v>4322</v>
      </c>
      <c r="S3146" s="1223">
        <f t="shared" si="1156"/>
        <v>4314</v>
      </c>
      <c r="T3146" s="1223">
        <f t="shared" si="1157"/>
        <v>-8</v>
      </c>
      <c r="U3146" s="54">
        <f t="shared" si="1158"/>
        <v>-1.8509949097639982E-3</v>
      </c>
      <c r="V3146" s="2198" t="str">
        <f t="shared" si="1159"/>
        <v>XPENG</v>
      </c>
      <c r="W3146" s="2199">
        <f t="shared" ca="1" si="1161"/>
        <v>-662</v>
      </c>
      <c r="X3146" s="2207" t="s">
        <v>702</v>
      </c>
      <c r="Y3146" s="603">
        <v>100</v>
      </c>
      <c r="Z3146" s="2109">
        <f>Y3146*C3146</f>
        <v>4314</v>
      </c>
      <c r="AA3146" s="2203">
        <f t="shared" si="1151"/>
        <v>2.3886544001600403E-2</v>
      </c>
      <c r="AB3146" s="2203">
        <f t="shared" si="1152"/>
        <v>2.7262257035561319E-2</v>
      </c>
      <c r="AC3146" s="2109">
        <f t="shared" si="1153"/>
        <v>4361.9611256898115</v>
      </c>
      <c r="AD3146" s="2204">
        <f t="shared" si="1154"/>
        <v>101.11175534746897</v>
      </c>
    </row>
    <row r="3147" spans="1:30" hidden="1" outlineLevel="1" x14ac:dyDescent="0.35">
      <c r="A3147" s="2178" t="s">
        <v>591</v>
      </c>
      <c r="B3147" s="2179">
        <v>100</v>
      </c>
      <c r="C3147" s="2180">
        <v>300.83999999999997</v>
      </c>
      <c r="D3147" s="44">
        <f t="shared" si="1150"/>
        <v>30083.999999999996</v>
      </c>
      <c r="E3147" s="2206"/>
      <c r="F3147" s="1506">
        <f t="shared" si="1155"/>
        <v>0.16657459196665425</v>
      </c>
      <c r="G3147" s="2173">
        <v>36</v>
      </c>
      <c r="H3147" s="2197">
        <v>44510</v>
      </c>
      <c r="I3147" s="2122">
        <v>-0.12</v>
      </c>
      <c r="J3147" s="2122"/>
      <c r="K3147" s="3032" t="s">
        <v>706</v>
      </c>
      <c r="L3147" s="3032"/>
      <c r="M3147" s="3032"/>
      <c r="N3147" s="46"/>
      <c r="Q3147" s="47"/>
      <c r="R3147" s="2116">
        <f t="shared" si="1160"/>
        <v>29404.000000000004</v>
      </c>
      <c r="S3147" s="1223">
        <f t="shared" si="1156"/>
        <v>30083.999999999996</v>
      </c>
      <c r="T3147" s="1223">
        <f t="shared" si="1157"/>
        <v>679.99999999999272</v>
      </c>
      <c r="U3147" s="54">
        <f t="shared" si="1158"/>
        <v>2.3126105291796786E-2</v>
      </c>
      <c r="V3147" s="2198" t="str">
        <f t="shared" si="1159"/>
        <v>COIN</v>
      </c>
      <c r="W3147" s="2199">
        <f t="shared" ca="1" si="1161"/>
        <v>-662</v>
      </c>
      <c r="X3147" s="2207" t="s">
        <v>702</v>
      </c>
      <c r="Y3147" s="603">
        <v>100</v>
      </c>
      <c r="Z3147" s="2202">
        <f>Y3147*C3147</f>
        <v>30083.999999999996</v>
      </c>
      <c r="AA3147" s="2203">
        <f t="shared" si="1151"/>
        <v>0.16657459196665425</v>
      </c>
      <c r="AB3147" s="2203">
        <f t="shared" si="1152"/>
        <v>0.1901153779920785</v>
      </c>
      <c r="AC3147" s="2109">
        <f t="shared" si="1153"/>
        <v>30418.460478732562</v>
      </c>
      <c r="AD3147" s="2204">
        <f t="shared" si="1154"/>
        <v>101.11175534746897</v>
      </c>
    </row>
    <row r="3148" spans="1:30" ht="16" hidden="1" outlineLevel="1" thickBot="1" x14ac:dyDescent="0.4">
      <c r="A3148" s="55" t="s">
        <v>7</v>
      </c>
      <c r="B3148" s="56"/>
      <c r="C3148" s="1881"/>
      <c r="D3148" s="57">
        <v>2331.12</v>
      </c>
      <c r="E3148" s="1977"/>
      <c r="F3148" s="1506">
        <f t="shared" si="1155"/>
        <v>1.2907371454105407E-2</v>
      </c>
      <c r="G3148" s="2053"/>
      <c r="H3148" s="1789" t="s">
        <v>59</v>
      </c>
      <c r="I3148" s="2089"/>
      <c r="J3148" s="2068"/>
      <c r="K3148" s="58"/>
      <c r="L3148" s="58"/>
      <c r="M3148" s="58"/>
      <c r="R3148" s="2137">
        <f>SUM(R3141:R3147)</f>
        <v>163199.03963000001</v>
      </c>
      <c r="S3148" s="2137">
        <f>SUM(S3141:S3147)</f>
        <v>168330.68423000001</v>
      </c>
      <c r="T3148" s="2137">
        <f>SUM(T3141:T3147)</f>
        <v>5131.6445999999951</v>
      </c>
      <c r="U3148" s="2208">
        <f>SUM(U3141:U3143)</f>
        <v>0.17705680468104873</v>
      </c>
      <c r="V3148" s="2209"/>
      <c r="W3148" s="2210"/>
      <c r="X3148" s="105"/>
      <c r="AA3148" s="117">
        <f>SUM(AA3141:AA3147)</f>
        <v>0.87617631843329824</v>
      </c>
      <c r="AC3148" s="193">
        <f>SUM(AC3141:AC3147)</f>
        <v>160000</v>
      </c>
      <c r="AD3148" s="1555"/>
    </row>
    <row r="3149" spans="1:30" ht="16" hidden="1" outlineLevel="1" thickBot="1" x14ac:dyDescent="0.4">
      <c r="A3149" s="55" t="s">
        <v>60</v>
      </c>
      <c r="B3149" s="56"/>
      <c r="C3149" s="2166">
        <f>SUM(D3141:D3143)</f>
        <v>88548.684229999999</v>
      </c>
      <c r="D3149" s="57">
        <v>9941.9699999999993</v>
      </c>
      <c r="E3149" s="1977"/>
      <c r="F3149" s="1506">
        <f t="shared" si="1155"/>
        <v>5.5048517354564473E-2</v>
      </c>
      <c r="G3149" s="1734"/>
      <c r="H3149" s="1723" t="s">
        <v>61</v>
      </c>
      <c r="I3149" s="60">
        <v>0</v>
      </c>
      <c r="J3149" s="61"/>
      <c r="K3149" s="2090"/>
      <c r="L3149" s="2070"/>
      <c r="M3149" s="2070"/>
      <c r="Q3149" s="62"/>
      <c r="R3149" s="64"/>
      <c r="S3149" s="64"/>
      <c r="T3149" s="64"/>
      <c r="U3149" s="64"/>
      <c r="X3149" s="105"/>
      <c r="Z3149" s="193">
        <f>SUM(Z3141:Z3147)</f>
        <v>158240.75</v>
      </c>
      <c r="AD3149" s="1555"/>
    </row>
    <row r="3150" spans="1:30" ht="19" hidden="1" outlineLevel="1" thickBot="1" x14ac:dyDescent="0.5">
      <c r="A3150" s="66" t="s">
        <v>62</v>
      </c>
      <c r="B3150" s="67"/>
      <c r="C3150" s="68">
        <f>SUM(D3141:D3143)</f>
        <v>88548.684229999999</v>
      </c>
      <c r="D3150" s="84">
        <f>SUM(D3141:D3149)</f>
        <v>180603.77423000001</v>
      </c>
      <c r="E3150" s="73">
        <f>(D3150-D3133)+I3149</f>
        <v>3284.5971699999936</v>
      </c>
      <c r="F3150" s="71">
        <f>SUM(F3141:F3149)</f>
        <v>0.99999999999999989</v>
      </c>
      <c r="G3150" s="72" t="s">
        <v>63</v>
      </c>
      <c r="H3150" s="73">
        <f>E3150+E3133+E3120+E3107+E3094</f>
        <v>-15578.371220000001</v>
      </c>
      <c r="I3150" s="74"/>
      <c r="J3150" s="75"/>
      <c r="K3150" s="2138" t="s">
        <v>67</v>
      </c>
      <c r="L3150" s="2139"/>
      <c r="M3150" s="2140"/>
      <c r="N3150" s="64"/>
      <c r="O3150" s="64"/>
      <c r="P3150" s="1553"/>
      <c r="Q3150" s="105"/>
      <c r="S3150" s="1860"/>
      <c r="T3150" s="1860"/>
      <c r="U3150" s="193"/>
      <c r="V3150" s="193"/>
      <c r="W3150" s="193"/>
      <c r="X3150" s="105"/>
      <c r="AA3150" s="193">
        <f>Z3149-Z3140</f>
        <v>-1759.25</v>
      </c>
      <c r="AD3150" s="1555"/>
    </row>
    <row r="3151" spans="1:30" hidden="1" outlineLevel="1" x14ac:dyDescent="0.35">
      <c r="A3151" s="2985" t="s">
        <v>707</v>
      </c>
      <c r="B3151" s="2985"/>
      <c r="C3151" s="2985"/>
      <c r="D3151" s="2985"/>
      <c r="E3151" s="2985"/>
      <c r="F3151" s="2985"/>
      <c r="G3151" s="2985"/>
      <c r="H3151" s="2985"/>
      <c r="I3151" s="2985"/>
      <c r="J3151" s="2985"/>
      <c r="K3151" s="2142" t="s">
        <v>69</v>
      </c>
      <c r="L3151" s="1865"/>
      <c r="M3151" s="2143"/>
      <c r="P3151" s="1555"/>
      <c r="Q3151" s="105"/>
      <c r="S3151" s="1860"/>
      <c r="T3151" s="1860"/>
      <c r="X3151" s="105"/>
      <c r="Y3151" t="s">
        <v>704</v>
      </c>
      <c r="AD3151" s="1555"/>
    </row>
    <row r="3152" spans="1:30" ht="16" hidden="1" outlineLevel="1" thickBot="1" x14ac:dyDescent="0.4">
      <c r="A3152" s="2986"/>
      <c r="B3152" s="2986"/>
      <c r="C3152" s="2986"/>
      <c r="D3152" s="2986"/>
      <c r="E3152" s="2986"/>
      <c r="F3152" s="2986"/>
      <c r="G3152" s="2986"/>
      <c r="H3152" s="2986"/>
      <c r="I3152" s="2986"/>
      <c r="J3152" s="2986"/>
      <c r="K3152" s="2142" t="s">
        <v>70</v>
      </c>
      <c r="L3152" s="1865"/>
      <c r="M3152" s="2143"/>
      <c r="P3152" s="1555"/>
      <c r="Q3152" s="105"/>
      <c r="S3152" s="1860"/>
      <c r="T3152" s="1860"/>
      <c r="X3152" s="102"/>
      <c r="Y3152" s="40" t="s">
        <v>591</v>
      </c>
      <c r="Z3152" s="2211">
        <f>SUM(Z3141,Z3143:Z3144,Z3145:Z3145,Z3147)</f>
        <v>153926.75</v>
      </c>
      <c r="AA3152" s="40"/>
      <c r="AB3152" s="40"/>
      <c r="AC3152" s="40"/>
      <c r="AD3152" s="103"/>
    </row>
    <row r="3153" spans="1:27" ht="16" hidden="1" outlineLevel="1" thickBot="1" x14ac:dyDescent="0.4">
      <c r="A3153" s="2986"/>
      <c r="B3153" s="2986"/>
      <c r="C3153" s="2986"/>
      <c r="D3153" s="2986"/>
      <c r="E3153" s="2986"/>
      <c r="F3153" s="2986"/>
      <c r="G3153" s="2986"/>
      <c r="H3153" s="2986"/>
      <c r="I3153" s="2986"/>
      <c r="J3153" s="2986"/>
      <c r="K3153" s="2144" t="s">
        <v>71</v>
      </c>
      <c r="L3153" s="2145"/>
      <c r="M3153" s="2146"/>
      <c r="N3153" s="40"/>
      <c r="O3153" s="40"/>
      <c r="P3153" s="103"/>
      <c r="Q3153" s="102"/>
      <c r="R3153" s="40"/>
      <c r="S3153" s="2074"/>
      <c r="T3153" s="2074"/>
      <c r="U3153" s="2060"/>
      <c r="V3153" s="193"/>
      <c r="W3153" s="193"/>
    </row>
    <row r="3154" spans="1:27" ht="6.75" hidden="1" customHeight="1" outlineLevel="1" thickBot="1" x14ac:dyDescent="0.4">
      <c r="A3154" s="8"/>
      <c r="B3154" s="9"/>
      <c r="C3154" s="8"/>
      <c r="D3154" s="8"/>
      <c r="E3154" s="8"/>
      <c r="F3154" s="10"/>
      <c r="G3154" s="11"/>
      <c r="H3154" s="12"/>
      <c r="I3154" s="8"/>
      <c r="J3154" s="12"/>
      <c r="K3154" s="8"/>
      <c r="L3154" s="8"/>
      <c r="M3154" s="8"/>
      <c r="N3154" s="8"/>
      <c r="O3154" s="8"/>
      <c r="P3154" s="8"/>
      <c r="Q3154" s="8"/>
      <c r="R3154" s="8"/>
      <c r="S3154" s="8"/>
      <c r="T3154" s="8"/>
      <c r="U3154" s="8"/>
    </row>
    <row r="3155" spans="1:27" ht="16.5" hidden="1" customHeight="1" outlineLevel="1" thickBot="1" x14ac:dyDescent="0.4">
      <c r="A3155" s="1619" t="s">
        <v>25</v>
      </c>
      <c r="B3155" s="1996" t="s">
        <v>26</v>
      </c>
      <c r="C3155" s="1621" t="s">
        <v>27</v>
      </c>
      <c r="D3155" s="1622">
        <f>D3138+7</f>
        <v>44498</v>
      </c>
      <c r="E3155" s="1623" t="s">
        <v>28</v>
      </c>
      <c r="F3155" s="3002" t="s">
        <v>29</v>
      </c>
      <c r="G3155" s="3024"/>
      <c r="H3155" s="3025"/>
      <c r="I3155" s="2184" t="s">
        <v>30</v>
      </c>
      <c r="J3155" s="22">
        <v>17.38</v>
      </c>
      <c r="K3155" s="2188">
        <f>D3155-4</f>
        <v>44494</v>
      </c>
      <c r="L3155" s="2188">
        <f>K3155+1</f>
        <v>44495</v>
      </c>
      <c r="M3155" s="2188"/>
      <c r="N3155" s="2188"/>
      <c r="O3155" s="3030" t="s">
        <v>31</v>
      </c>
      <c r="P3155" s="3030"/>
      <c r="Q3155" s="2188"/>
      <c r="R3155" s="2188">
        <f>L3155+1</f>
        <v>44496</v>
      </c>
      <c r="S3155" s="2188">
        <f>R3155+1</f>
        <v>44497</v>
      </c>
      <c r="T3155" s="2188">
        <f t="shared" ref="T3155" si="1162">S3155+1</f>
        <v>44498</v>
      </c>
      <c r="U3155" s="24"/>
    </row>
    <row r="3156" spans="1:27" ht="16" hidden="1" outlineLevel="1" thickBot="1" x14ac:dyDescent="0.4">
      <c r="A3156" s="1973" t="s">
        <v>32</v>
      </c>
      <c r="B3156" s="1997" t="str">
        <f ca="1">TEXT(TODAY(),"ddd")</f>
        <v>Sun</v>
      </c>
      <c r="C3156" s="1998">
        <v>35819</v>
      </c>
      <c r="D3156" s="1980">
        <f>C3156-C3139</f>
        <v>142</v>
      </c>
      <c r="E3156" s="1977">
        <f>(C3156-C3139)/C3139</f>
        <v>3.9801552821145279E-3</v>
      </c>
      <c r="F3156" s="3026"/>
      <c r="G3156" s="3027"/>
      <c r="H3156" s="3028"/>
      <c r="I3156" s="2185" t="s">
        <v>33</v>
      </c>
      <c r="J3156" s="2185">
        <v>72</v>
      </c>
      <c r="K3156" s="2061"/>
      <c r="L3156" s="2062" t="s">
        <v>34</v>
      </c>
      <c r="M3156" s="2063" t="s">
        <v>35</v>
      </c>
      <c r="N3156" s="2995"/>
      <c r="O3156" s="2996"/>
      <c r="P3156" s="2996"/>
      <c r="Q3156" s="2996"/>
      <c r="R3156" s="2996"/>
      <c r="S3156" s="2996"/>
      <c r="T3156" s="2996"/>
      <c r="U3156" s="2996"/>
      <c r="X3156" s="3031" t="s">
        <v>708</v>
      </c>
      <c r="Y3156" s="3031"/>
      <c r="Z3156" s="3031" t="s">
        <v>708</v>
      </c>
      <c r="AA3156" s="3031"/>
    </row>
    <row r="3157" spans="1:27" ht="16" hidden="1" outlineLevel="1" thickBot="1" x14ac:dyDescent="0.4">
      <c r="A3157" s="2212" t="s">
        <v>36</v>
      </c>
      <c r="B3157" s="2213"/>
      <c r="C3157" s="2213">
        <v>15498</v>
      </c>
      <c r="D3157" s="2214">
        <f>C3157-C3140</f>
        <v>408</v>
      </c>
      <c r="E3157" s="2215">
        <f t="shared" ref="E3157" si="1163">(C3157-C3140)/C3140</f>
        <v>2.7037773359840953E-2</v>
      </c>
      <c r="F3157" s="2216" t="s">
        <v>37</v>
      </c>
      <c r="G3157" s="36" t="s">
        <v>38</v>
      </c>
      <c r="H3157" s="37" t="s">
        <v>39</v>
      </c>
      <c r="I3157" s="38" t="s">
        <v>40</v>
      </c>
      <c r="J3157" s="39" t="s">
        <v>41</v>
      </c>
      <c r="K3157" s="3022" t="s">
        <v>42</v>
      </c>
      <c r="L3157" s="3023"/>
      <c r="M3157" s="3023"/>
      <c r="N3157" s="2217" t="s">
        <v>43</v>
      </c>
      <c r="O3157" s="40"/>
      <c r="P3157" s="40"/>
      <c r="Q3157" s="2218" t="s">
        <v>44</v>
      </c>
      <c r="R3157" s="2219" t="s">
        <v>45</v>
      </c>
      <c r="S3157" s="2219" t="s">
        <v>46</v>
      </c>
      <c r="T3157" s="2219" t="s">
        <v>47</v>
      </c>
      <c r="U3157" s="2220" t="s">
        <v>48</v>
      </c>
      <c r="V3157" s="2221" t="s">
        <v>244</v>
      </c>
      <c r="W3157" s="2221" t="s">
        <v>696</v>
      </c>
      <c r="X3157" s="2222" t="s">
        <v>709</v>
      </c>
      <c r="Y3157" s="2222" t="s">
        <v>710</v>
      </c>
      <c r="Z3157" s="2222" t="s">
        <v>709</v>
      </c>
      <c r="AA3157" s="2222" t="s">
        <v>710</v>
      </c>
    </row>
    <row r="3158" spans="1:27" hidden="1" outlineLevel="1" x14ac:dyDescent="0.35">
      <c r="A3158" s="51" t="s">
        <v>51</v>
      </c>
      <c r="B3158" s="2179">
        <v>150.44499999999999</v>
      </c>
      <c r="C3158" s="2180">
        <v>372.76</v>
      </c>
      <c r="D3158" s="69">
        <f t="shared" ref="D3158:D3167" si="1164">C3158*B3158</f>
        <v>56079.878199999999</v>
      </c>
      <c r="E3158" s="1977">
        <f>(C3158-C3143)/C3143</f>
        <v>8.6668804477742528E-2</v>
      </c>
      <c r="F3158" s="2223">
        <f t="shared" ref="F3158:F3169" si="1165">D3158/$D$3170</f>
        <v>0.3054550706744103</v>
      </c>
      <c r="G3158" s="2224">
        <v>26</v>
      </c>
      <c r="H3158" s="2225">
        <f>"10/27/2021"+90</f>
        <v>44586</v>
      </c>
      <c r="I3158" s="2226">
        <v>0.56000000000000005</v>
      </c>
      <c r="J3158" s="2122">
        <v>3.51</v>
      </c>
      <c r="K3158" s="3020" t="s">
        <v>52</v>
      </c>
      <c r="L3158" s="3021"/>
      <c r="M3158" s="2227"/>
      <c r="N3158" s="2228"/>
      <c r="O3158" s="1374"/>
      <c r="P3158" s="1374"/>
      <c r="Q3158" s="2229"/>
      <c r="R3158" s="2230">
        <f t="shared" ref="R3158:R3167" si="1166">RIGHT(K3158,6)*B3158</f>
        <v>49169.939349999993</v>
      </c>
      <c r="S3158" s="2231">
        <f t="shared" ref="S3158:S3167" si="1167">D3158</f>
        <v>56079.878199999999</v>
      </c>
      <c r="T3158" s="2231">
        <f t="shared" ref="T3158:T3167" si="1168">S3158-R3158</f>
        <v>6909.9388500000059</v>
      </c>
      <c r="U3158" s="2232">
        <f t="shared" ref="U3158:U3167" si="1169">(S3158-R3158)/R3158</f>
        <v>0.14053177492886224</v>
      </c>
      <c r="V3158" s="2233" t="str">
        <f t="shared" ref="V3158:V3167" si="1170">A3158</f>
        <v>KLAC</v>
      </c>
      <c r="W3158" s="2234">
        <f t="shared" ref="W3158:W3167" ca="1" si="1171">H3158-TODAY()</f>
        <v>-586</v>
      </c>
      <c r="X3158" s="2235">
        <f t="shared" ref="X3158:X3167" si="1172">C3158/(1+I3158)</f>
        <v>238.94871794871793</v>
      </c>
      <c r="Y3158" s="2235">
        <f>C3158/(1+J3158)</f>
        <v>82.651884700665192</v>
      </c>
      <c r="Z3158" s="2236">
        <f t="shared" ref="Z3158:Z3167" si="1173">(C3158-X3158)*B3158</f>
        <v>20131.238328205131</v>
      </c>
      <c r="AA3158" s="2236">
        <f>(C3158-Y3158)*C3158</f>
        <v>108140.70105898005</v>
      </c>
    </row>
    <row r="3159" spans="1:27" hidden="1" outlineLevel="1" x14ac:dyDescent="0.35">
      <c r="A3159" s="2178" t="s">
        <v>49</v>
      </c>
      <c r="B3159" s="2179">
        <v>150.03800000000001</v>
      </c>
      <c r="C3159" s="2180">
        <v>255.67</v>
      </c>
      <c r="D3159" s="82">
        <f t="shared" si="1164"/>
        <v>38360.215459999999</v>
      </c>
      <c r="E3159" s="1977">
        <f>(C3159-C3141)/C3141</f>
        <v>0.12501100061603448</v>
      </c>
      <c r="F3159" s="1506">
        <f t="shared" si="1165"/>
        <v>0.20893986756946822</v>
      </c>
      <c r="G3159" s="2172">
        <v>75</v>
      </c>
      <c r="H3159" s="2225">
        <v>44517</v>
      </c>
      <c r="I3159" s="2122">
        <v>0.6</v>
      </c>
      <c r="J3159" s="2237">
        <v>12.29</v>
      </c>
      <c r="K3159" s="2983" t="s">
        <v>697</v>
      </c>
      <c r="L3159" s="2984"/>
      <c r="M3159" s="45"/>
      <c r="N3159" s="46"/>
      <c r="Q3159" s="47"/>
      <c r="R3159" s="48">
        <f t="shared" si="1166"/>
        <v>33167.400280000002</v>
      </c>
      <c r="S3159" s="49">
        <f t="shared" si="1167"/>
        <v>38360.215459999999</v>
      </c>
      <c r="T3159" s="49">
        <f t="shared" si="1168"/>
        <v>5192.8151799999978</v>
      </c>
      <c r="U3159" s="2238">
        <f t="shared" si="1169"/>
        <v>0.15656382882475339</v>
      </c>
      <c r="V3159" s="2239" t="str">
        <f t="shared" si="1170"/>
        <v>NVDA</v>
      </c>
      <c r="W3159" s="2240">
        <f t="shared" ca="1" si="1171"/>
        <v>-655</v>
      </c>
      <c r="X3159" s="2241">
        <f t="shared" si="1172"/>
        <v>159.79374999999999</v>
      </c>
      <c r="Y3159" s="2241">
        <f>C3159/(1+J3159)</f>
        <v>19.237772761474794</v>
      </c>
      <c r="Z3159" s="2242">
        <f t="shared" si="1173"/>
        <v>14385.080797500001</v>
      </c>
      <c r="AA3159" s="2242">
        <f>(C3159-Y3159)*C3159</f>
        <v>60448.627538073735</v>
      </c>
    </row>
    <row r="3160" spans="1:27" hidden="1" outlineLevel="1" x14ac:dyDescent="0.35">
      <c r="A3160" s="2178" t="s">
        <v>591</v>
      </c>
      <c r="B3160" s="2179">
        <v>100</v>
      </c>
      <c r="C3160" s="2180">
        <v>319.42</v>
      </c>
      <c r="D3160" s="82">
        <f t="shared" si="1164"/>
        <v>31942</v>
      </c>
      <c r="E3160" s="1977">
        <f>(C3160-C3147)/C3147</f>
        <v>6.1760404201569079E-2</v>
      </c>
      <c r="F3160" s="1506">
        <f t="shared" si="1165"/>
        <v>0.17398122429377913</v>
      </c>
      <c r="G3160" s="2243" t="s">
        <v>228</v>
      </c>
      <c r="H3160" s="2225">
        <v>44509</v>
      </c>
      <c r="I3160" s="2122">
        <v>-0.12</v>
      </c>
      <c r="J3160" s="2122"/>
      <c r="K3160" s="2983" t="s">
        <v>706</v>
      </c>
      <c r="L3160" s="2984"/>
      <c r="M3160" s="45"/>
      <c r="N3160" s="46"/>
      <c r="Q3160" s="47"/>
      <c r="R3160" s="48">
        <f t="shared" si="1166"/>
        <v>29404.000000000004</v>
      </c>
      <c r="S3160" s="49">
        <f t="shared" si="1167"/>
        <v>31942</v>
      </c>
      <c r="T3160" s="49">
        <f t="shared" si="1168"/>
        <v>2537.9999999999964</v>
      </c>
      <c r="U3160" s="2238">
        <f t="shared" si="1169"/>
        <v>8.6314787103795268E-2</v>
      </c>
      <c r="V3160" s="2239" t="str">
        <f t="shared" si="1170"/>
        <v>COIN</v>
      </c>
      <c r="W3160" s="2240">
        <f t="shared" ca="1" si="1171"/>
        <v>-663</v>
      </c>
      <c r="X3160" s="2241">
        <f t="shared" si="1172"/>
        <v>362.97727272727275</v>
      </c>
      <c r="Y3160" s="2241"/>
      <c r="Z3160" s="2242">
        <f t="shared" si="1173"/>
        <v>-4355.727272727273</v>
      </c>
      <c r="AA3160" s="2242"/>
    </row>
    <row r="3161" spans="1:27" hidden="1" outlineLevel="1" x14ac:dyDescent="0.35">
      <c r="A3161" s="2178" t="s">
        <v>53</v>
      </c>
      <c r="B3161" s="2179">
        <v>75</v>
      </c>
      <c r="C3161" s="2180">
        <v>341.35</v>
      </c>
      <c r="D3161" s="82">
        <f t="shared" si="1164"/>
        <v>25601.25</v>
      </c>
      <c r="E3161" s="1977">
        <f>(C3161-C3144)/C3144</f>
        <v>6.0982811674385365E-2</v>
      </c>
      <c r="F3161" s="1506">
        <f t="shared" si="1165"/>
        <v>0.1394445187668622</v>
      </c>
      <c r="G3161" s="2173">
        <v>41</v>
      </c>
      <c r="H3161" s="2225">
        <f>"10/27/2021"+90</f>
        <v>44586</v>
      </c>
      <c r="I3161" s="2122">
        <v>0.84</v>
      </c>
      <c r="J3161" s="2237">
        <v>14.34</v>
      </c>
      <c r="K3161" s="2983" t="s">
        <v>701</v>
      </c>
      <c r="L3161" s="2984"/>
      <c r="M3161" s="45"/>
      <c r="N3161" s="46"/>
      <c r="Q3161" s="47"/>
      <c r="R3161" s="48">
        <f t="shared" si="1166"/>
        <v>23072.25</v>
      </c>
      <c r="S3161" s="49">
        <f t="shared" si="1167"/>
        <v>25601.25</v>
      </c>
      <c r="T3161" s="49">
        <f t="shared" si="1168"/>
        <v>2529</v>
      </c>
      <c r="U3161" s="2238">
        <f t="shared" si="1169"/>
        <v>0.10961219646978514</v>
      </c>
      <c r="V3161" s="2239" t="str">
        <f t="shared" si="1170"/>
        <v>ODFL</v>
      </c>
      <c r="W3161" s="2240">
        <f t="shared" ca="1" si="1171"/>
        <v>-586</v>
      </c>
      <c r="X3161" s="2241">
        <f t="shared" si="1172"/>
        <v>185.51630434782612</v>
      </c>
      <c r="Y3161" s="2241">
        <f>C3161/(1+J3161)</f>
        <v>22.252281616688396</v>
      </c>
      <c r="Z3161" s="2242">
        <f t="shared" si="1173"/>
        <v>11687.527173913042</v>
      </c>
      <c r="AA3161" s="2242">
        <f>(C3161-Y3161)*C3161</f>
        <v>108924.00617014343</v>
      </c>
    </row>
    <row r="3162" spans="1:27" hidden="1" outlineLevel="1" x14ac:dyDescent="0.35">
      <c r="A3162" s="2244" t="s">
        <v>711</v>
      </c>
      <c r="B3162" s="2179">
        <v>300</v>
      </c>
      <c r="C3162" s="2180">
        <v>52.24</v>
      </c>
      <c r="D3162" s="82">
        <f t="shared" si="1164"/>
        <v>15672</v>
      </c>
      <c r="E3162" s="1977"/>
      <c r="F3162" s="1506">
        <f t="shared" si="1165"/>
        <v>8.536202326504623E-2</v>
      </c>
      <c r="G3162" s="2243">
        <v>-314.94</v>
      </c>
      <c r="H3162" s="2225">
        <v>44515</v>
      </c>
      <c r="I3162" s="2237">
        <v>20.440000000000001</v>
      </c>
      <c r="J3162" s="2122">
        <v>0.37530000000000002</v>
      </c>
      <c r="K3162" s="2983" t="s">
        <v>712</v>
      </c>
      <c r="L3162" s="2984"/>
      <c r="M3162" s="2149"/>
      <c r="N3162" s="46"/>
      <c r="Q3162" s="47"/>
      <c r="R3162" s="48">
        <f t="shared" si="1166"/>
        <v>15156.000000000002</v>
      </c>
      <c r="S3162" s="49">
        <f t="shared" si="1167"/>
        <v>15672</v>
      </c>
      <c r="T3162" s="49">
        <f t="shared" si="1168"/>
        <v>515.99999999999818</v>
      </c>
      <c r="U3162" s="2238">
        <f t="shared" si="1169"/>
        <v>3.404592240696741E-2</v>
      </c>
      <c r="V3162" s="2239" t="str">
        <f t="shared" si="1170"/>
        <v>MARA</v>
      </c>
      <c r="W3162" s="2240">
        <f t="shared" ca="1" si="1171"/>
        <v>-657</v>
      </c>
      <c r="X3162" s="2241">
        <f t="shared" si="1172"/>
        <v>2.4365671641791042</v>
      </c>
      <c r="Y3162" s="2241">
        <f>C3162/(1+J3162)</f>
        <v>37.984439758598128</v>
      </c>
      <c r="Z3162" s="2242">
        <f t="shared" si="1173"/>
        <v>14941.02985074627</v>
      </c>
      <c r="AA3162" s="2242">
        <f>(C3162-Y3162)*C3162</f>
        <v>744.7104670108339</v>
      </c>
    </row>
    <row r="3163" spans="1:27" hidden="1" outlineLevel="1" x14ac:dyDescent="0.35">
      <c r="A3163" s="2178" t="s">
        <v>704</v>
      </c>
      <c r="B3163" s="2179">
        <v>100</v>
      </c>
      <c r="C3163" s="2180">
        <v>46.63</v>
      </c>
      <c r="D3163" s="44">
        <f t="shared" si="1164"/>
        <v>4663</v>
      </c>
      <c r="E3163" s="1977">
        <f>(C3163-C3146)/C3146</f>
        <v>8.0899397311080243E-2</v>
      </c>
      <c r="F3163" s="1506">
        <f t="shared" si="1165"/>
        <v>2.5398361056974895E-2</v>
      </c>
      <c r="G3163" s="2243">
        <v>-39</v>
      </c>
      <c r="H3163" s="2225">
        <v>44510</v>
      </c>
      <c r="I3163" s="2122">
        <v>0.99</v>
      </c>
      <c r="J3163" s="2122"/>
      <c r="K3163" s="2983" t="s">
        <v>705</v>
      </c>
      <c r="L3163" s="2984"/>
      <c r="M3163" s="45"/>
      <c r="N3163" s="2245"/>
      <c r="O3163" s="1373"/>
      <c r="P3163" s="1373"/>
      <c r="Q3163" s="2246"/>
      <c r="R3163" s="48">
        <f t="shared" si="1166"/>
        <v>4322</v>
      </c>
      <c r="S3163" s="49">
        <f t="shared" si="1167"/>
        <v>4663</v>
      </c>
      <c r="T3163" s="49">
        <f t="shared" si="1168"/>
        <v>341</v>
      </c>
      <c r="U3163" s="2238">
        <f t="shared" si="1169"/>
        <v>7.8898658028690422E-2</v>
      </c>
      <c r="V3163" s="2239" t="str">
        <f t="shared" si="1170"/>
        <v>XPENG</v>
      </c>
      <c r="W3163" s="2240">
        <f t="shared" ca="1" si="1171"/>
        <v>-662</v>
      </c>
      <c r="X3163" s="2241">
        <f t="shared" si="1172"/>
        <v>23.432160804020103</v>
      </c>
      <c r="Y3163" s="2241"/>
      <c r="Z3163" s="2242">
        <f t="shared" si="1173"/>
        <v>2319.78391959799</v>
      </c>
      <c r="AA3163" s="2242"/>
    </row>
    <row r="3164" spans="1:27" hidden="1" outlineLevel="1" x14ac:dyDescent="0.35">
      <c r="A3164" s="2244" t="s">
        <v>713</v>
      </c>
      <c r="B3164" s="2179">
        <v>92</v>
      </c>
      <c r="C3164" s="2180">
        <v>36.99</v>
      </c>
      <c r="D3164" s="2180">
        <f t="shared" si="1164"/>
        <v>3403.0800000000004</v>
      </c>
      <c r="E3164" s="1977"/>
      <c r="F3164" s="2223">
        <f t="shared" si="1165"/>
        <v>1.8535846996733892E-2</v>
      </c>
      <c r="G3164" s="2243" t="s">
        <v>228</v>
      </c>
      <c r="H3164" s="2225">
        <v>44515</v>
      </c>
      <c r="I3164" s="2122">
        <v>2.67</v>
      </c>
      <c r="J3164" s="2122">
        <v>2.58</v>
      </c>
      <c r="K3164" s="3020" t="s">
        <v>714</v>
      </c>
      <c r="L3164" s="3021"/>
      <c r="M3164" s="2247"/>
      <c r="N3164" s="46"/>
      <c r="Q3164" s="47"/>
      <c r="R3164" s="2248">
        <f t="shared" si="1166"/>
        <v>3596.28</v>
      </c>
      <c r="S3164" s="2249">
        <f t="shared" si="1167"/>
        <v>3403.0800000000004</v>
      </c>
      <c r="T3164" s="2249">
        <f t="shared" si="1168"/>
        <v>-193.19999999999982</v>
      </c>
      <c r="U3164" s="2250">
        <f t="shared" si="1169"/>
        <v>-5.3722179585571704E-2</v>
      </c>
      <c r="V3164" s="2251" t="str">
        <f t="shared" si="1170"/>
        <v>LCID</v>
      </c>
      <c r="W3164" s="2252">
        <f t="shared" ca="1" si="1171"/>
        <v>-657</v>
      </c>
      <c r="X3164" s="2241">
        <f t="shared" si="1172"/>
        <v>10.079019073569484</v>
      </c>
      <c r="Y3164" s="2241">
        <f>C3164/(1+J3164)</f>
        <v>10.332402234636872</v>
      </c>
      <c r="Z3164" s="2242">
        <f t="shared" si="1173"/>
        <v>2475.8102452316075</v>
      </c>
      <c r="AA3164" s="2242">
        <f>(C3164-Y3164)*C3164</f>
        <v>986.06454134078217</v>
      </c>
    </row>
    <row r="3165" spans="1:27" hidden="1" outlineLevel="1" x14ac:dyDescent="0.35">
      <c r="A3165" s="2178" t="s">
        <v>96</v>
      </c>
      <c r="B3165" s="2179">
        <v>5</v>
      </c>
      <c r="C3165" s="2180">
        <v>361.13</v>
      </c>
      <c r="D3165" s="44">
        <f t="shared" si="1164"/>
        <v>1805.65</v>
      </c>
      <c r="E3165" s="1977">
        <f>(C3165-C3142)/C3142</f>
        <v>5.7419770438041737E-2</v>
      </c>
      <c r="F3165" s="1506">
        <f t="shared" si="1165"/>
        <v>9.8349883428107913E-3</v>
      </c>
      <c r="G3165" s="2172">
        <v>75</v>
      </c>
      <c r="H3165" s="2225">
        <f>"10/19/2021"+90</f>
        <v>44578</v>
      </c>
      <c r="I3165" s="2122">
        <v>0.3</v>
      </c>
      <c r="J3165" s="2122">
        <v>3.07</v>
      </c>
      <c r="K3165" s="2983" t="s">
        <v>699</v>
      </c>
      <c r="L3165" s="2984"/>
      <c r="M3165" s="45"/>
      <c r="N3165" s="46"/>
      <c r="Q3165" s="47"/>
      <c r="R3165" s="2253">
        <f t="shared" si="1166"/>
        <v>1553.15</v>
      </c>
      <c r="S3165" s="2254">
        <f t="shared" si="1167"/>
        <v>1805.65</v>
      </c>
      <c r="T3165" s="2254">
        <f t="shared" si="1168"/>
        <v>252.5</v>
      </c>
      <c r="U3165" s="2255">
        <f t="shared" si="1169"/>
        <v>0.16257283584972473</v>
      </c>
      <c r="V3165" s="2256" t="str">
        <f t="shared" si="1170"/>
        <v>ISRG</v>
      </c>
      <c r="W3165" s="2257">
        <f t="shared" ca="1" si="1171"/>
        <v>-594</v>
      </c>
      <c r="X3165" s="2241">
        <f t="shared" si="1172"/>
        <v>277.7923076923077</v>
      </c>
      <c r="Y3165" s="2241">
        <f>C3165/(1+J3165)</f>
        <v>88.729729729729726</v>
      </c>
      <c r="Z3165" s="2242">
        <f t="shared" si="1173"/>
        <v>416.68846153846147</v>
      </c>
      <c r="AA3165" s="2242">
        <f>(C3165-Y3165)*C3165</f>
        <v>98371.909602702697</v>
      </c>
    </row>
    <row r="3166" spans="1:27" hidden="1" outlineLevel="1" x14ac:dyDescent="0.35">
      <c r="A3166" s="2244" t="s">
        <v>715</v>
      </c>
      <c r="B3166" s="2179">
        <v>100</v>
      </c>
      <c r="C3166" s="2180">
        <v>11.84</v>
      </c>
      <c r="D3166" s="44">
        <f t="shared" si="1164"/>
        <v>1184</v>
      </c>
      <c r="E3166" s="1977"/>
      <c r="F3166" s="1506">
        <f t="shared" si="1165"/>
        <v>6.4489941006773055E-3</v>
      </c>
      <c r="G3166" s="2243">
        <v>-1.8420000000000001</v>
      </c>
      <c r="H3166" s="2225">
        <v>44508</v>
      </c>
      <c r="I3166" s="2237">
        <v>35.130000000000003</v>
      </c>
      <c r="J3166" s="2258">
        <v>-0.9284</v>
      </c>
      <c r="K3166" s="2983" t="s">
        <v>716</v>
      </c>
      <c r="L3166" s="2984"/>
      <c r="M3166" s="2149"/>
      <c r="N3166" s="46"/>
      <c r="Q3166" s="47"/>
      <c r="R3166" s="2253">
        <f t="shared" si="1166"/>
        <v>1057</v>
      </c>
      <c r="S3166" s="2254">
        <f t="shared" si="1167"/>
        <v>1184</v>
      </c>
      <c r="T3166" s="2254">
        <f t="shared" si="1168"/>
        <v>127</v>
      </c>
      <c r="U3166" s="2255">
        <f t="shared" si="1169"/>
        <v>0.12015137180700095</v>
      </c>
      <c r="V3166" s="2256" t="str">
        <f t="shared" si="1170"/>
        <v>OCGN</v>
      </c>
      <c r="W3166" s="2257">
        <f t="shared" ca="1" si="1171"/>
        <v>-664</v>
      </c>
      <c r="X3166" s="2241">
        <f t="shared" si="1172"/>
        <v>0.32770550788818154</v>
      </c>
      <c r="Y3166" s="2241">
        <f>C3166/(1+J3166)</f>
        <v>165.3631284916201</v>
      </c>
      <c r="Z3166" s="2242">
        <f t="shared" si="1173"/>
        <v>1151.2294492111819</v>
      </c>
      <c r="AA3166" s="2242">
        <f>(C3166-Y3166)*C3166</f>
        <v>-1817.713841340782</v>
      </c>
    </row>
    <row r="3167" spans="1:27" ht="16" hidden="1" outlineLevel="1" thickBot="1" x14ac:dyDescent="0.4">
      <c r="A3167" s="2244" t="s">
        <v>427</v>
      </c>
      <c r="B3167" s="2259">
        <v>100</v>
      </c>
      <c r="C3167" s="2260">
        <v>11.8</v>
      </c>
      <c r="D3167" s="44">
        <f t="shared" si="1164"/>
        <v>1180</v>
      </c>
      <c r="E3167" s="1977"/>
      <c r="F3167" s="1506">
        <f t="shared" si="1165"/>
        <v>6.4272069584452871E-3</v>
      </c>
      <c r="G3167" s="2261">
        <v>-13.93</v>
      </c>
      <c r="H3167" s="2225">
        <v>44504</v>
      </c>
      <c r="I3167" s="2258">
        <v>-0.41889999999999999</v>
      </c>
      <c r="J3167" s="2122">
        <v>0.19309999999999999</v>
      </c>
      <c r="K3167" s="2983" t="s">
        <v>717</v>
      </c>
      <c r="L3167" s="2984"/>
      <c r="M3167" s="2149"/>
      <c r="N3167" s="46"/>
      <c r="Q3167" s="47"/>
      <c r="R3167" s="2253">
        <f t="shared" si="1166"/>
        <v>1146</v>
      </c>
      <c r="S3167" s="2254">
        <f t="shared" si="1167"/>
        <v>1180</v>
      </c>
      <c r="T3167" s="2254">
        <f t="shared" si="1168"/>
        <v>34</v>
      </c>
      <c r="U3167" s="2255">
        <f t="shared" si="1169"/>
        <v>2.9668411867364748E-2</v>
      </c>
      <c r="V3167" s="2256" t="str">
        <f t="shared" si="1170"/>
        <v>NKLA</v>
      </c>
      <c r="W3167" s="2257">
        <f t="shared" ca="1" si="1171"/>
        <v>-668</v>
      </c>
      <c r="X3167" s="2241">
        <f t="shared" si="1172"/>
        <v>20.306315608329033</v>
      </c>
      <c r="Y3167" s="2241">
        <f>C3167/(1+J3167)</f>
        <v>9.8902019948034532</v>
      </c>
      <c r="Z3167" s="2242">
        <f t="shared" si="1173"/>
        <v>-850.63156083290323</v>
      </c>
      <c r="AA3167" s="2242">
        <f>(C3167-Y3167)*C3167</f>
        <v>22.535616461319261</v>
      </c>
    </row>
    <row r="3168" spans="1:27" ht="16" hidden="1" outlineLevel="1" thickBot="1" x14ac:dyDescent="0.4">
      <c r="A3168" s="55" t="s">
        <v>7</v>
      </c>
      <c r="B3168" s="2262" t="str">
        <f>"Risky "&amp;"7%"</f>
        <v>Risky 7%</v>
      </c>
      <c r="C3168" s="2263">
        <f>SUM(D3162,D3164,D3166:D3167)</f>
        <v>21439.08</v>
      </c>
      <c r="D3168" s="2264">
        <v>2345.89</v>
      </c>
      <c r="E3168" s="1977"/>
      <c r="F3168" s="1506">
        <f t="shared" si="1165"/>
        <v>1.2777559772667131E-2</v>
      </c>
      <c r="G3168" s="2053"/>
      <c r="H3168" s="1789" t="s">
        <v>59</v>
      </c>
      <c r="I3168" s="2089"/>
      <c r="J3168" s="2068"/>
      <c r="K3168" s="58"/>
      <c r="L3168" s="58"/>
      <c r="M3168" s="58"/>
      <c r="R3168" s="2265">
        <f>SUM(R3158:R3167)</f>
        <v>161644.01963</v>
      </c>
      <c r="S3168" s="2265">
        <f>SUM(S3158:S3167)</f>
        <v>179891.07365999999</v>
      </c>
      <c r="T3168" s="2265">
        <f>SUM(T3158:T3167)</f>
        <v>18247.054029999996</v>
      </c>
      <c r="U3168" s="2266">
        <f>AVERAGE(U3158:U3167)</f>
        <v>8.646376077013726E-2</v>
      </c>
      <c r="V3168" s="2208"/>
      <c r="W3168" s="2208"/>
      <c r="Z3168" s="2267">
        <f>SUM(Z3158:Z3167)</f>
        <v>62302.029392383512</v>
      </c>
      <c r="AA3168" s="2267">
        <f>SUM(AA3158:AA3167)</f>
        <v>375820.84115337208</v>
      </c>
    </row>
    <row r="3169" spans="1:27" ht="16" hidden="1" outlineLevel="1" thickBot="1" x14ac:dyDescent="0.4">
      <c r="A3169" s="55" t="s">
        <v>60</v>
      </c>
      <c r="B3169" s="2268"/>
      <c r="C3169" s="2269">
        <f>SUM(D3158:D3167)</f>
        <v>179891.07365999999</v>
      </c>
      <c r="D3169" s="57">
        <v>1357.56</v>
      </c>
      <c r="E3169" s="1977"/>
      <c r="F3169" s="1506">
        <f t="shared" si="1165"/>
        <v>7.394338202124563E-3</v>
      </c>
      <c r="G3169" s="1734"/>
      <c r="H3169" s="1723" t="s">
        <v>61</v>
      </c>
      <c r="I3169" s="60">
        <v>0</v>
      </c>
      <c r="J3169" s="61"/>
      <c r="K3169" s="2090"/>
      <c r="L3169" s="2070"/>
      <c r="M3169" s="2070"/>
      <c r="Q3169" s="62"/>
      <c r="R3169" s="64"/>
      <c r="S3169" s="64"/>
      <c r="T3169" s="64"/>
      <c r="U3169" s="64"/>
    </row>
    <row r="3170" spans="1:27" ht="19" hidden="1" outlineLevel="1" thickBot="1" x14ac:dyDescent="0.5">
      <c r="A3170" s="66" t="s">
        <v>62</v>
      </c>
      <c r="B3170" s="67"/>
      <c r="C3170" s="68">
        <f>SUM(D3158:D3160)</f>
        <v>126382.09366</v>
      </c>
      <c r="D3170" s="84">
        <f>SUM(D3158:D3169)</f>
        <v>183594.52366000001</v>
      </c>
      <c r="E3170" s="73">
        <f>(D3170-D3150)+I3169</f>
        <v>2990.7494299999962</v>
      </c>
      <c r="F3170" s="71">
        <f>SUM(F3158:F3169)</f>
        <v>1.0000000000000002</v>
      </c>
      <c r="G3170" s="72" t="s">
        <v>63</v>
      </c>
      <c r="H3170" s="73">
        <f>E3170+E3150+E3133+E3120+E3107</f>
        <v>-12520.017970000015</v>
      </c>
      <c r="I3170" s="74"/>
      <c r="J3170" s="75"/>
      <c r="K3170" s="2270" t="s">
        <v>67</v>
      </c>
      <c r="L3170" s="2271"/>
      <c r="M3170" s="2272"/>
      <c r="N3170" s="1358"/>
      <c r="O3170" s="1358"/>
      <c r="P3170" s="2273"/>
      <c r="Q3170" s="2274"/>
      <c r="R3170" s="1358"/>
      <c r="S3170" s="2275"/>
      <c r="T3170" s="2275"/>
      <c r="U3170" s="2276"/>
    </row>
    <row r="3171" spans="1:27" hidden="1" outlineLevel="1" x14ac:dyDescent="0.35">
      <c r="A3171" s="2985" t="s">
        <v>718</v>
      </c>
      <c r="B3171" s="2985"/>
      <c r="C3171" s="2985"/>
      <c r="D3171" s="2985"/>
      <c r="E3171" s="2985"/>
      <c r="F3171" s="2985"/>
      <c r="G3171" s="2985"/>
      <c r="H3171" s="2985"/>
      <c r="I3171" s="2985"/>
      <c r="J3171" s="2985"/>
      <c r="K3171" s="2277" t="s">
        <v>69</v>
      </c>
      <c r="L3171" s="1865"/>
      <c r="M3171" s="2143"/>
      <c r="P3171" s="1555"/>
      <c r="Q3171" s="105"/>
      <c r="S3171" s="1860"/>
      <c r="T3171" s="1860"/>
      <c r="U3171" s="2278"/>
    </row>
    <row r="3172" spans="1:27" hidden="1" outlineLevel="1" x14ac:dyDescent="0.35">
      <c r="A3172" s="2986"/>
      <c r="B3172" s="2986"/>
      <c r="C3172" s="2986"/>
      <c r="D3172" s="2986"/>
      <c r="E3172" s="2986"/>
      <c r="F3172" s="2986"/>
      <c r="G3172" s="2986"/>
      <c r="H3172" s="2986"/>
      <c r="I3172" s="2986"/>
      <c r="J3172" s="2986"/>
      <c r="K3172" s="2277" t="s">
        <v>70</v>
      </c>
      <c r="L3172" s="1865"/>
      <c r="M3172" s="2143"/>
      <c r="P3172" s="1555"/>
      <c r="Q3172" s="105"/>
      <c r="S3172" s="1860"/>
      <c r="T3172" s="1860"/>
      <c r="U3172" s="2278"/>
    </row>
    <row r="3173" spans="1:27" ht="19.5" hidden="1" customHeight="1" outlineLevel="1" x14ac:dyDescent="0.35">
      <c r="A3173" s="2986"/>
      <c r="B3173" s="2986"/>
      <c r="C3173" s="2986"/>
      <c r="D3173" s="2986"/>
      <c r="E3173" s="2986"/>
      <c r="F3173" s="2986"/>
      <c r="G3173" s="2986"/>
      <c r="H3173" s="2986"/>
      <c r="I3173" s="2986"/>
      <c r="J3173" s="2986"/>
      <c r="K3173" s="2279" t="s">
        <v>71</v>
      </c>
      <c r="L3173" s="1682"/>
      <c r="M3173" s="2280"/>
      <c r="N3173" s="1373"/>
      <c r="O3173" s="1373"/>
      <c r="P3173" s="2281"/>
      <c r="Q3173" s="96"/>
      <c r="R3173" s="1373"/>
      <c r="S3173" s="2282"/>
      <c r="T3173" s="2282"/>
      <c r="U3173" s="2283"/>
    </row>
    <row r="3174" spans="1:27" ht="3.65" hidden="1" customHeight="1" outlineLevel="1" x14ac:dyDescent="0.35"/>
    <row r="3175" spans="1:27" hidden="1" outlineLevel="1" x14ac:dyDescent="0.35">
      <c r="A3175" s="8"/>
      <c r="B3175" s="9"/>
      <c r="C3175" s="8"/>
      <c r="D3175" s="8"/>
      <c r="E3175" s="8"/>
      <c r="F3175" s="10"/>
      <c r="G3175" s="11"/>
      <c r="H3175" s="12"/>
      <c r="I3175" s="8"/>
      <c r="J3175" s="12"/>
      <c r="K3175" s="8"/>
      <c r="L3175" s="8"/>
      <c r="M3175" s="8"/>
      <c r="N3175" s="8"/>
      <c r="O3175" s="8"/>
      <c r="P3175" s="8"/>
      <c r="Q3175" s="8"/>
      <c r="R3175" s="8"/>
      <c r="S3175" s="8"/>
      <c r="T3175" s="8"/>
      <c r="U3175" s="8"/>
    </row>
    <row r="3176" spans="1:27" ht="16" hidden="1" outlineLevel="1" thickBot="1" x14ac:dyDescent="0.4">
      <c r="A3176" s="1619" t="s">
        <v>25</v>
      </c>
      <c r="B3176" s="1996" t="s">
        <v>26</v>
      </c>
      <c r="C3176" s="1621" t="s">
        <v>27</v>
      </c>
      <c r="D3176" s="1622">
        <f>D3155+7</f>
        <v>44505</v>
      </c>
      <c r="E3176" s="1623" t="s">
        <v>28</v>
      </c>
      <c r="F3176" s="3002" t="s">
        <v>29</v>
      </c>
      <c r="G3176" s="3024"/>
      <c r="H3176" s="3025"/>
      <c r="I3176" s="2184" t="s">
        <v>30</v>
      </c>
      <c r="J3176" s="22">
        <v>17.38</v>
      </c>
      <c r="K3176" s="2284">
        <f>D3176-4</f>
        <v>44501</v>
      </c>
      <c r="L3176" s="2284">
        <f>K3176+1</f>
        <v>44502</v>
      </c>
      <c r="M3176" s="2188"/>
      <c r="N3176" s="2188"/>
      <c r="O3176" s="3030" t="s">
        <v>31</v>
      </c>
      <c r="P3176" s="3030"/>
      <c r="Q3176" s="2188"/>
      <c r="R3176" s="2284">
        <f>L3176+1</f>
        <v>44503</v>
      </c>
      <c r="S3176" s="2188">
        <f>R3176+1</f>
        <v>44504</v>
      </c>
      <c r="T3176" s="2188">
        <f t="shared" ref="T3176" si="1174">S3176+1</f>
        <v>44505</v>
      </c>
      <c r="U3176" s="24"/>
    </row>
    <row r="3177" spans="1:27" ht="16" hidden="1" outlineLevel="1" thickBot="1" x14ac:dyDescent="0.4">
      <c r="A3177" s="1973" t="s">
        <v>32</v>
      </c>
      <c r="B3177" s="1997" t="str">
        <f ca="1">TEXT(TODAY(),"ddd")</f>
        <v>Sun</v>
      </c>
      <c r="C3177" s="1998">
        <v>36327</v>
      </c>
      <c r="D3177" s="1980">
        <f>C3177-C3156</f>
        <v>508</v>
      </c>
      <c r="E3177" s="1977">
        <f>(C3177-C3156)/C3156</f>
        <v>1.4182417152907675E-2</v>
      </c>
      <c r="F3177" s="3026"/>
      <c r="G3177" s="3027"/>
      <c r="H3177" s="3028"/>
      <c r="I3177" s="2185" t="s">
        <v>33</v>
      </c>
      <c r="J3177" s="2185">
        <v>85</v>
      </c>
      <c r="K3177" s="2061"/>
      <c r="L3177" s="2062" t="s">
        <v>34</v>
      </c>
      <c r="M3177" s="2063" t="s">
        <v>35</v>
      </c>
      <c r="N3177" s="2995"/>
      <c r="O3177" s="2996"/>
      <c r="P3177" s="2996"/>
      <c r="Q3177" s="2996"/>
      <c r="R3177" s="2996"/>
      <c r="S3177" s="2996"/>
      <c r="T3177" s="2996"/>
      <c r="U3177" s="2996"/>
      <c r="X3177" s="3031" t="s">
        <v>708</v>
      </c>
      <c r="Y3177" s="3031"/>
      <c r="Z3177" s="3031" t="s">
        <v>708</v>
      </c>
      <c r="AA3177" s="3031"/>
    </row>
    <row r="3178" spans="1:27" ht="16" hidden="1" outlineLevel="1" thickBot="1" x14ac:dyDescent="0.4">
      <c r="A3178" s="2212" t="s">
        <v>36</v>
      </c>
      <c r="B3178" s="2213"/>
      <c r="C3178" s="2213">
        <v>15971</v>
      </c>
      <c r="D3178" s="1980">
        <f>C3178-C3157</f>
        <v>473</v>
      </c>
      <c r="E3178" s="1977">
        <f>(C3178-C3157)/C3157</f>
        <v>3.0520067105432959E-2</v>
      </c>
      <c r="F3178" s="2216" t="s">
        <v>37</v>
      </c>
      <c r="G3178" s="36" t="s">
        <v>38</v>
      </c>
      <c r="H3178" s="37" t="s">
        <v>39</v>
      </c>
      <c r="I3178" s="38" t="s">
        <v>40</v>
      </c>
      <c r="J3178" s="39" t="s">
        <v>41</v>
      </c>
      <c r="K3178" s="3022" t="s">
        <v>42</v>
      </c>
      <c r="L3178" s="3023"/>
      <c r="M3178" s="3023"/>
      <c r="N3178" s="2217" t="s">
        <v>43</v>
      </c>
      <c r="O3178" s="40"/>
      <c r="P3178" s="40"/>
      <c r="Q3178" s="2218" t="s">
        <v>44</v>
      </c>
      <c r="R3178" s="2219" t="s">
        <v>45</v>
      </c>
      <c r="S3178" s="2219" t="s">
        <v>46</v>
      </c>
      <c r="T3178" s="2219" t="s">
        <v>47</v>
      </c>
      <c r="U3178" s="2285" t="s">
        <v>48</v>
      </c>
      <c r="V3178" s="2221" t="s">
        <v>244</v>
      </c>
      <c r="W3178" s="2221" t="s">
        <v>696</v>
      </c>
      <c r="X3178" s="2222" t="s">
        <v>709</v>
      </c>
      <c r="Y3178" s="2222" t="s">
        <v>710</v>
      </c>
      <c r="Z3178" s="2222" t="s">
        <v>709</v>
      </c>
      <c r="AA3178" s="2222" t="s">
        <v>710</v>
      </c>
    </row>
    <row r="3179" spans="1:27" hidden="1" outlineLevel="1" x14ac:dyDescent="0.35">
      <c r="A3179" s="51" t="s">
        <v>51</v>
      </c>
      <c r="B3179" s="2179">
        <v>150.44499999999999</v>
      </c>
      <c r="C3179" s="2180">
        <v>416.73</v>
      </c>
      <c r="D3179" s="69">
        <f t="shared" ref="D3179:D3186" si="1175">C3179*B3179</f>
        <v>62694.94485</v>
      </c>
      <c r="E3179" s="1977">
        <f t="shared" ref="E3179:E3184" si="1176">(C3179-C3158)/C3158</f>
        <v>0.11795793540079415</v>
      </c>
      <c r="F3179" s="2223">
        <f t="shared" ref="F3179:F3188" si="1177">D3179/$D$3189</f>
        <v>0.30566274764479673</v>
      </c>
      <c r="G3179" s="2224">
        <v>26</v>
      </c>
      <c r="H3179" s="2225">
        <f>"10/27/2021"+90</f>
        <v>44586</v>
      </c>
      <c r="I3179" s="2226">
        <v>0.56000000000000005</v>
      </c>
      <c r="J3179" s="2122">
        <v>3.51</v>
      </c>
      <c r="K3179" s="3020" t="s">
        <v>52</v>
      </c>
      <c r="L3179" s="3021"/>
      <c r="M3179" s="2227"/>
      <c r="N3179" s="2228"/>
      <c r="O3179" s="1374"/>
      <c r="P3179" s="1374"/>
      <c r="Q3179" s="2229"/>
      <c r="R3179" s="2230">
        <f t="shared" ref="R3179:R3185" si="1178">RIGHT(K3179,6)*B3179</f>
        <v>49169.939349999993</v>
      </c>
      <c r="S3179" s="2231">
        <f t="shared" ref="S3179:S3186" si="1179">D3179</f>
        <v>62694.94485</v>
      </c>
      <c r="T3179" s="2231">
        <f t="shared" ref="T3179:T3186" si="1180">S3179-R3179</f>
        <v>13525.005500000007</v>
      </c>
      <c r="U3179" s="2286">
        <f t="shared" ref="U3179:U3186" si="1181">(S3179-R3179)/R3179</f>
        <v>0.27506654835847399</v>
      </c>
      <c r="V3179" s="2233" t="str">
        <f t="shared" ref="V3179:V3186" si="1182">A3179</f>
        <v>KLAC</v>
      </c>
      <c r="W3179" s="2234">
        <f t="shared" ref="W3179:W3186" ca="1" si="1183">H3179-TODAY()</f>
        <v>-586</v>
      </c>
      <c r="X3179" s="2235">
        <f t="shared" ref="X3179:X3186" si="1184">C3179/(1+I3179)</f>
        <v>267.13461538461542</v>
      </c>
      <c r="Y3179" s="2235">
        <f>C3179/(1+J3179)</f>
        <v>92.401330376940138</v>
      </c>
      <c r="Z3179" s="2236">
        <f t="shared" ref="Z3179:Z3186" si="1185">(C3179-X3179)*B3179</f>
        <v>22505.877638461534</v>
      </c>
      <c r="AA3179" s="2236">
        <f>(C3179-Y3179)*C3179</f>
        <v>135157.48649201775</v>
      </c>
    </row>
    <row r="3180" spans="1:27" hidden="1" outlineLevel="1" x14ac:dyDescent="0.35">
      <c r="A3180" s="2178" t="s">
        <v>49</v>
      </c>
      <c r="B3180" s="2179">
        <v>150.03800000000001</v>
      </c>
      <c r="C3180" s="2180">
        <v>297.52</v>
      </c>
      <c r="D3180" s="82">
        <f t="shared" si="1175"/>
        <v>44639.305760000003</v>
      </c>
      <c r="E3180" s="1977">
        <f t="shared" si="1176"/>
        <v>0.16368756600305079</v>
      </c>
      <c r="F3180" s="2223">
        <f t="shared" si="1177"/>
        <v>0.2176343385292539</v>
      </c>
      <c r="G3180" s="2172">
        <v>75</v>
      </c>
      <c r="H3180" s="2225">
        <v>44517</v>
      </c>
      <c r="I3180" s="2122">
        <v>0.6</v>
      </c>
      <c r="J3180" s="2237">
        <v>12.29</v>
      </c>
      <c r="K3180" s="2983" t="s">
        <v>697</v>
      </c>
      <c r="L3180" s="2984"/>
      <c r="M3180" s="45"/>
      <c r="N3180" s="46"/>
      <c r="Q3180" s="47"/>
      <c r="R3180" s="48">
        <f t="shared" si="1178"/>
        <v>33167.400280000002</v>
      </c>
      <c r="S3180" s="49">
        <f t="shared" si="1179"/>
        <v>44639.305760000003</v>
      </c>
      <c r="T3180" s="49">
        <f t="shared" si="1180"/>
        <v>11471.905480000001</v>
      </c>
      <c r="U3180" s="50">
        <f t="shared" si="1181"/>
        <v>0.34587894689224646</v>
      </c>
      <c r="V3180" s="2239" t="str">
        <f t="shared" si="1182"/>
        <v>NVDA</v>
      </c>
      <c r="W3180" s="2240">
        <f t="shared" ca="1" si="1183"/>
        <v>-655</v>
      </c>
      <c r="X3180" s="2241">
        <f t="shared" si="1184"/>
        <v>185.95</v>
      </c>
      <c r="Y3180" s="2241">
        <f>C3180/(1+J3180)</f>
        <v>22.38675696012039</v>
      </c>
      <c r="Z3180" s="2242">
        <f t="shared" si="1185"/>
        <v>16739.739659999999</v>
      </c>
      <c r="AA3180" s="2242">
        <f>(C3180-Y3180)*C3180</f>
        <v>81857.642469224971</v>
      </c>
    </row>
    <row r="3181" spans="1:27" hidden="1" outlineLevel="1" x14ac:dyDescent="0.35">
      <c r="A3181" s="2178" t="s">
        <v>591</v>
      </c>
      <c r="B3181" s="2179">
        <v>100</v>
      </c>
      <c r="C3181" s="2180">
        <v>337.05</v>
      </c>
      <c r="D3181" s="82">
        <f t="shared" si="1175"/>
        <v>33705</v>
      </c>
      <c r="E3181" s="1977">
        <f t="shared" si="1176"/>
        <v>5.5193788742095032E-2</v>
      </c>
      <c r="F3181" s="2223">
        <f t="shared" si="1177"/>
        <v>0.16432525674943432</v>
      </c>
      <c r="G3181" s="2243" t="s">
        <v>228</v>
      </c>
      <c r="H3181" s="2225">
        <v>44509</v>
      </c>
      <c r="I3181" s="2122">
        <v>-0.12</v>
      </c>
      <c r="J3181" s="2122"/>
      <c r="K3181" s="2983" t="s">
        <v>706</v>
      </c>
      <c r="L3181" s="2984"/>
      <c r="M3181" s="45"/>
      <c r="N3181" s="46"/>
      <c r="Q3181" s="47"/>
      <c r="R3181" s="48">
        <f t="shared" si="1178"/>
        <v>29404.000000000004</v>
      </c>
      <c r="S3181" s="49">
        <f t="shared" si="1179"/>
        <v>33705</v>
      </c>
      <c r="T3181" s="49">
        <f t="shared" si="1180"/>
        <v>4300.9999999999964</v>
      </c>
      <c r="U3181" s="50">
        <f t="shared" si="1181"/>
        <v>0.14627261597061611</v>
      </c>
      <c r="V3181" s="2239" t="str">
        <f t="shared" si="1182"/>
        <v>COIN</v>
      </c>
      <c r="W3181" s="2240">
        <f t="shared" ca="1" si="1183"/>
        <v>-663</v>
      </c>
      <c r="X3181" s="2241">
        <f t="shared" si="1184"/>
        <v>383.01136363636363</v>
      </c>
      <c r="Y3181" s="2241"/>
      <c r="Z3181" s="2242">
        <f t="shared" si="1185"/>
        <v>-4596.1363636363612</v>
      </c>
      <c r="AA3181" s="2242"/>
    </row>
    <row r="3182" spans="1:27" hidden="1" outlineLevel="1" x14ac:dyDescent="0.35">
      <c r="A3182" s="2178" t="s">
        <v>53</v>
      </c>
      <c r="B3182" s="2179">
        <v>75</v>
      </c>
      <c r="C3182" s="2180">
        <v>348.83</v>
      </c>
      <c r="D3182" s="82">
        <f t="shared" si="1175"/>
        <v>26162.25</v>
      </c>
      <c r="E3182" s="1977">
        <f t="shared" si="1176"/>
        <v>2.1912992529661522E-2</v>
      </c>
      <c r="F3182" s="2223">
        <f t="shared" si="1177"/>
        <v>0.12755135583423491</v>
      </c>
      <c r="G3182" s="2173">
        <v>41</v>
      </c>
      <c r="H3182" s="2225">
        <f>"10/27/2021"+90</f>
        <v>44586</v>
      </c>
      <c r="I3182" s="2122">
        <v>0.84</v>
      </c>
      <c r="J3182" s="2237">
        <v>14.34</v>
      </c>
      <c r="K3182" s="2983" t="s">
        <v>701</v>
      </c>
      <c r="L3182" s="2984"/>
      <c r="M3182" s="45"/>
      <c r="N3182" s="46"/>
      <c r="Q3182" s="47"/>
      <c r="R3182" s="48">
        <f t="shared" si="1178"/>
        <v>23072.25</v>
      </c>
      <c r="S3182" s="49">
        <f t="shared" si="1179"/>
        <v>26162.25</v>
      </c>
      <c r="T3182" s="49">
        <f t="shared" si="1180"/>
        <v>3090</v>
      </c>
      <c r="U3182" s="50">
        <f t="shared" si="1181"/>
        <v>0.13392712024184897</v>
      </c>
      <c r="V3182" s="2239" t="str">
        <f t="shared" si="1182"/>
        <v>ODFL</v>
      </c>
      <c r="W3182" s="2240">
        <f t="shared" ca="1" si="1183"/>
        <v>-586</v>
      </c>
      <c r="X3182" s="2241">
        <f t="shared" si="1184"/>
        <v>189.58152173913044</v>
      </c>
      <c r="Y3182" s="2241">
        <f>C3182/(1+J3182)</f>
        <v>22.739895697522815</v>
      </c>
      <c r="Z3182" s="2242">
        <f t="shared" si="1185"/>
        <v>11943.635869565216</v>
      </c>
      <c r="AA3182" s="2242">
        <f>(C3182-Y3182)*C3182</f>
        <v>113750.01108383312</v>
      </c>
    </row>
    <row r="3183" spans="1:27" hidden="1" outlineLevel="1" x14ac:dyDescent="0.35">
      <c r="A3183" s="2244" t="s">
        <v>711</v>
      </c>
      <c r="B3183" s="2179">
        <v>300</v>
      </c>
      <c r="C3183" s="2180">
        <v>63.82</v>
      </c>
      <c r="D3183" s="2287">
        <f t="shared" si="1175"/>
        <v>19146</v>
      </c>
      <c r="E3183" s="1977">
        <f t="shared" si="1176"/>
        <v>0.22166921898928021</v>
      </c>
      <c r="F3183" s="2223">
        <f t="shared" si="1177"/>
        <v>9.3344351453038696E-2</v>
      </c>
      <c r="G3183" s="2243">
        <v>-314.94</v>
      </c>
      <c r="H3183" s="2225">
        <v>44515</v>
      </c>
      <c r="I3183" s="2237">
        <v>20.440000000000001</v>
      </c>
      <c r="J3183" s="2122">
        <v>0.37530000000000002</v>
      </c>
      <c r="K3183" s="2983" t="s">
        <v>712</v>
      </c>
      <c r="L3183" s="2984"/>
      <c r="M3183" s="2149"/>
      <c r="N3183" s="46"/>
      <c r="Q3183" s="47"/>
      <c r="R3183" s="48">
        <f t="shared" si="1178"/>
        <v>15156.000000000002</v>
      </c>
      <c r="S3183" s="49">
        <f t="shared" si="1179"/>
        <v>19146</v>
      </c>
      <c r="T3183" s="49">
        <f t="shared" si="1180"/>
        <v>3989.9999999999982</v>
      </c>
      <c r="U3183" s="50">
        <f t="shared" si="1181"/>
        <v>0.26326207442596977</v>
      </c>
      <c r="V3183" s="2239" t="str">
        <f t="shared" si="1182"/>
        <v>MARA</v>
      </c>
      <c r="W3183" s="2240">
        <f t="shared" ca="1" si="1183"/>
        <v>-657</v>
      </c>
      <c r="X3183" s="2241">
        <f t="shared" si="1184"/>
        <v>2.9766791044776117</v>
      </c>
      <c r="Y3183" s="2241">
        <f>C3183/(1+J3183)</f>
        <v>46.404420853631933</v>
      </c>
      <c r="Z3183" s="2242">
        <f t="shared" si="1185"/>
        <v>18252.996268656716</v>
      </c>
      <c r="AA3183" s="2242">
        <f>(C3183-Y3183)*C3183</f>
        <v>1111.4622611212101</v>
      </c>
    </row>
    <row r="3184" spans="1:27" hidden="1" outlineLevel="1" x14ac:dyDescent="0.35">
      <c r="A3184" s="2178" t="s">
        <v>704</v>
      </c>
      <c r="B3184" s="2179">
        <v>100</v>
      </c>
      <c r="C3184" s="2180">
        <v>46.39</v>
      </c>
      <c r="D3184" s="2288">
        <f t="shared" si="1175"/>
        <v>4639</v>
      </c>
      <c r="E3184" s="1977">
        <f t="shared" si="1176"/>
        <v>-5.1469011366073771E-3</v>
      </c>
      <c r="F3184" s="2223">
        <f t="shared" si="1177"/>
        <v>2.2616966801976734E-2</v>
      </c>
      <c r="G3184" s="2243">
        <v>-39</v>
      </c>
      <c r="H3184" s="2225">
        <v>44510</v>
      </c>
      <c r="I3184" s="2122">
        <v>0.99</v>
      </c>
      <c r="J3184" s="2122"/>
      <c r="K3184" s="2983" t="s">
        <v>705</v>
      </c>
      <c r="L3184" s="2984"/>
      <c r="M3184" s="45"/>
      <c r="N3184" s="2245"/>
      <c r="O3184" s="1373"/>
      <c r="P3184" s="1373"/>
      <c r="Q3184" s="2246"/>
      <c r="R3184" s="48">
        <f t="shared" si="1178"/>
        <v>4322</v>
      </c>
      <c r="S3184" s="49">
        <f t="shared" si="1179"/>
        <v>4639</v>
      </c>
      <c r="T3184" s="49">
        <f t="shared" si="1180"/>
        <v>317</v>
      </c>
      <c r="U3184" s="50">
        <f t="shared" si="1181"/>
        <v>7.3345673299398423E-2</v>
      </c>
      <c r="V3184" s="2239" t="str">
        <f t="shared" si="1182"/>
        <v>XPENG</v>
      </c>
      <c r="W3184" s="2240">
        <f t="shared" ca="1" si="1183"/>
        <v>-662</v>
      </c>
      <c r="X3184" s="2241">
        <f t="shared" si="1184"/>
        <v>23.311557788944725</v>
      </c>
      <c r="Y3184" s="2241"/>
      <c r="Z3184" s="2242">
        <f t="shared" si="1185"/>
        <v>2307.8442211055276</v>
      </c>
      <c r="AA3184" s="2242"/>
    </row>
    <row r="3185" spans="1:27" hidden="1" outlineLevel="1" x14ac:dyDescent="0.35">
      <c r="A3185" s="2244" t="s">
        <v>713</v>
      </c>
      <c r="B3185" s="2179">
        <v>152</v>
      </c>
      <c r="C3185" s="2180">
        <v>41.8</v>
      </c>
      <c r="D3185" s="2289">
        <f t="shared" si="1175"/>
        <v>6353.5999999999995</v>
      </c>
      <c r="E3185" s="1977">
        <f>(C3185-C3164)/C3164</f>
        <v>0.13003514463368465</v>
      </c>
      <c r="F3185" s="2223">
        <f t="shared" si="1177"/>
        <v>3.0976322542151186E-2</v>
      </c>
      <c r="G3185" s="2243" t="s">
        <v>228</v>
      </c>
      <c r="H3185" s="2225">
        <v>44515</v>
      </c>
      <c r="I3185" s="2122">
        <v>2.67</v>
      </c>
      <c r="J3185" s="2122">
        <v>2.58</v>
      </c>
      <c r="K3185" s="3020" t="s">
        <v>714</v>
      </c>
      <c r="L3185" s="3021"/>
      <c r="M3185" s="2247"/>
      <c r="N3185" s="46"/>
      <c r="Q3185" s="47"/>
      <c r="R3185" s="48">
        <f t="shared" si="1178"/>
        <v>5941.68</v>
      </c>
      <c r="S3185" s="49">
        <f t="shared" si="1179"/>
        <v>6353.5999999999995</v>
      </c>
      <c r="T3185" s="49">
        <f t="shared" si="1180"/>
        <v>411.91999999999916</v>
      </c>
      <c r="U3185" s="54">
        <f t="shared" si="1181"/>
        <v>6.9327193655666267E-2</v>
      </c>
      <c r="V3185" s="2239" t="str">
        <f t="shared" si="1182"/>
        <v>LCID</v>
      </c>
      <c r="W3185" s="2252">
        <f t="shared" ca="1" si="1183"/>
        <v>-657</v>
      </c>
      <c r="X3185" s="2241">
        <f t="shared" si="1184"/>
        <v>11.389645776566757</v>
      </c>
      <c r="Y3185" s="2241">
        <f>C3185/(1+J3185)</f>
        <v>11.675977653631284</v>
      </c>
      <c r="Z3185" s="2242">
        <f t="shared" si="1185"/>
        <v>4622.3738419618521</v>
      </c>
      <c r="AA3185" s="2242">
        <f>(C3185-Y3185)*C3185</f>
        <v>1259.1841340782121</v>
      </c>
    </row>
    <row r="3186" spans="1:27" hidden="1" outlineLevel="1" x14ac:dyDescent="0.35">
      <c r="A3186" s="2178" t="s">
        <v>96</v>
      </c>
      <c r="B3186" s="2179">
        <v>5</v>
      </c>
      <c r="C3186" s="2180">
        <v>364.95</v>
      </c>
      <c r="D3186" s="44">
        <f t="shared" si="1175"/>
        <v>1824.75</v>
      </c>
      <c r="E3186" s="1977">
        <f>(C3186-C3165)/C3165</f>
        <v>1.0577908232492435E-2</v>
      </c>
      <c r="F3186" s="2223">
        <f t="shared" si="1177"/>
        <v>8.8963807225494809E-3</v>
      </c>
      <c r="G3186" s="2172">
        <v>75</v>
      </c>
      <c r="H3186" s="2225">
        <f>"10/19/2021"+90</f>
        <v>44578</v>
      </c>
      <c r="I3186" s="2122">
        <v>0.3</v>
      </c>
      <c r="J3186" s="2122">
        <v>3.07</v>
      </c>
      <c r="K3186" s="2983" t="s">
        <v>699</v>
      </c>
      <c r="L3186" s="2984"/>
      <c r="M3186" s="45"/>
      <c r="N3186" s="46"/>
      <c r="Q3186" s="47"/>
      <c r="R3186" s="2253">
        <f>RIGHT(K3186,6)*B3186</f>
        <v>1553.15</v>
      </c>
      <c r="S3186" s="2254">
        <f t="shared" si="1179"/>
        <v>1824.75</v>
      </c>
      <c r="T3186" s="2254">
        <f t="shared" si="1180"/>
        <v>271.59999999999991</v>
      </c>
      <c r="U3186" s="2290">
        <f t="shared" si="1181"/>
        <v>0.17487042462093158</v>
      </c>
      <c r="V3186" s="2256" t="str">
        <f t="shared" si="1182"/>
        <v>ISRG</v>
      </c>
      <c r="W3186" s="2257">
        <f t="shared" ca="1" si="1183"/>
        <v>-594</v>
      </c>
      <c r="X3186" s="2241">
        <f t="shared" si="1184"/>
        <v>280.73076923076923</v>
      </c>
      <c r="Y3186" s="2241">
        <f>C3186/(1+J3186)</f>
        <v>89.668304668304657</v>
      </c>
      <c r="Z3186" s="2242">
        <f t="shared" si="1185"/>
        <v>421.09615384615381</v>
      </c>
      <c r="AA3186" s="2242">
        <f>(C3186-Y3186)*C3186</f>
        <v>100464.05471130222</v>
      </c>
    </row>
    <row r="3187" spans="1:27" ht="16" hidden="1" outlineLevel="1" thickBot="1" x14ac:dyDescent="0.4">
      <c r="A3187" s="55" t="s">
        <v>7</v>
      </c>
      <c r="B3187" s="2262" t="str">
        <f>"Risky "&amp;"15%"</f>
        <v>Risky 15%</v>
      </c>
      <c r="C3187" s="2291">
        <f>SUM(D3183:D3184,D3185)</f>
        <v>30138.6</v>
      </c>
      <c r="D3187" s="2264">
        <v>2363.96</v>
      </c>
      <c r="E3187" s="1977"/>
      <c r="F3187" s="2223">
        <f t="shared" si="1177"/>
        <v>1.1525243552748634E-2</v>
      </c>
      <c r="G3187" s="2053"/>
      <c r="H3187" s="1789" t="s">
        <v>59</v>
      </c>
      <c r="I3187" s="2089"/>
      <c r="J3187" s="2068"/>
      <c r="K3187" s="58"/>
      <c r="L3187" s="58"/>
      <c r="M3187" s="58"/>
      <c r="R3187" s="2265">
        <f>SUM(R3179:R3186)</f>
        <v>161786.41962999999</v>
      </c>
      <c r="S3187" s="2265">
        <f>SUM(S3179:S3186)</f>
        <v>199164.85060999999</v>
      </c>
      <c r="T3187" s="2265">
        <f>SUM(T3179:T3186)</f>
        <v>37378.430979999997</v>
      </c>
      <c r="U3187" s="2292">
        <f>AVERAGE(U3179:U3186)</f>
        <v>0.18524382468314396</v>
      </c>
      <c r="V3187" s="2208"/>
      <c r="W3187" s="2208"/>
      <c r="Z3187" s="2267">
        <f>SUM(Z3179:Z3186)</f>
        <v>72197.427289960629</v>
      </c>
      <c r="AA3187" s="2267">
        <f>SUM(AA3179:AA3186)</f>
        <v>433599.84115157748</v>
      </c>
    </row>
    <row r="3188" spans="1:27" ht="16" hidden="1" outlineLevel="1" thickBot="1" x14ac:dyDescent="0.4">
      <c r="A3188" s="55" t="s">
        <v>60</v>
      </c>
      <c r="B3188" s="2268"/>
      <c r="C3188" s="2269">
        <f>SUM(D3179:D3186)</f>
        <v>199164.85060999999</v>
      </c>
      <c r="D3188" s="57">
        <v>3582.69</v>
      </c>
      <c r="E3188" s="1977"/>
      <c r="F3188" s="2223">
        <f t="shared" si="1177"/>
        <v>1.7467036169815483E-2</v>
      </c>
      <c r="G3188" s="1734"/>
      <c r="H3188" s="1723" t="s">
        <v>61</v>
      </c>
      <c r="I3188" s="60">
        <v>0</v>
      </c>
      <c r="J3188" s="61"/>
      <c r="K3188" s="2090"/>
      <c r="L3188" s="2070"/>
      <c r="M3188" s="2070"/>
      <c r="Q3188" s="62"/>
      <c r="R3188" s="2293">
        <f>C3187/D3189</f>
        <v>0.14693764079716662</v>
      </c>
      <c r="S3188" s="64"/>
      <c r="T3188" s="64"/>
      <c r="U3188" s="64"/>
    </row>
    <row r="3189" spans="1:27" ht="19" hidden="1" outlineLevel="1" thickBot="1" x14ac:dyDescent="0.5">
      <c r="A3189" s="66" t="s">
        <v>62</v>
      </c>
      <c r="B3189" s="67"/>
      <c r="C3189" s="68">
        <f>SUM(D3179:D3181)</f>
        <v>141039.25060999999</v>
      </c>
      <c r="D3189" s="84">
        <f>SUM(D3179:D3188)</f>
        <v>205111.50060999999</v>
      </c>
      <c r="E3189" s="73">
        <f>(D3189-D3170)+I3189</f>
        <v>21516.976949999982</v>
      </c>
      <c r="F3189" s="71">
        <f>SUM(F3179:F3188)</f>
        <v>1.0000000000000002</v>
      </c>
      <c r="G3189" s="72" t="s">
        <v>63</v>
      </c>
      <c r="H3189" s="73">
        <f>E3189+E3170+E3150+E3133+E3120</f>
        <v>18399.293709999969</v>
      </c>
      <c r="I3189" s="74"/>
      <c r="J3189" s="75"/>
      <c r="K3189" s="2270" t="s">
        <v>67</v>
      </c>
      <c r="L3189" s="2271"/>
      <c r="M3189" s="2272"/>
      <c r="N3189" s="1358"/>
      <c r="O3189" s="1358"/>
      <c r="P3189" s="2273"/>
      <c r="Q3189" s="2274"/>
      <c r="R3189" s="1358"/>
      <c r="S3189" s="2275"/>
      <c r="T3189" s="2275"/>
      <c r="U3189" s="2276"/>
    </row>
    <row r="3190" spans="1:27" hidden="1" outlineLevel="1" x14ac:dyDescent="0.35">
      <c r="A3190" s="2985" t="s">
        <v>719</v>
      </c>
      <c r="B3190" s="2985"/>
      <c r="C3190" s="2985"/>
      <c r="D3190" s="2985"/>
      <c r="E3190" s="2985"/>
      <c r="F3190" s="2985"/>
      <c r="G3190" s="2985"/>
      <c r="H3190" s="2985"/>
      <c r="I3190" s="2985"/>
      <c r="J3190" s="2985"/>
      <c r="K3190" s="2277" t="s">
        <v>69</v>
      </c>
      <c r="L3190" s="1865"/>
      <c r="M3190" s="2143"/>
      <c r="P3190" s="1555"/>
      <c r="Q3190" s="105"/>
      <c r="S3190" s="1860"/>
      <c r="T3190" s="1860"/>
      <c r="U3190" s="2278"/>
    </row>
    <row r="3191" spans="1:27" hidden="1" outlineLevel="1" x14ac:dyDescent="0.35">
      <c r="A3191" s="2986"/>
      <c r="B3191" s="2986"/>
      <c r="C3191" s="2986"/>
      <c r="D3191" s="2986"/>
      <c r="E3191" s="2986"/>
      <c r="F3191" s="2986"/>
      <c r="G3191" s="2986"/>
      <c r="H3191" s="2986"/>
      <c r="I3191" s="2986"/>
      <c r="J3191" s="2986"/>
      <c r="K3191" s="2277" t="s">
        <v>70</v>
      </c>
      <c r="L3191" s="1865"/>
      <c r="M3191" s="2143"/>
      <c r="P3191" s="1555"/>
      <c r="Q3191" s="105"/>
      <c r="S3191" s="1860"/>
      <c r="T3191" s="1860"/>
      <c r="U3191" s="2278"/>
    </row>
    <row r="3192" spans="1:27" hidden="1" outlineLevel="1" x14ac:dyDescent="0.35">
      <c r="A3192" s="2986"/>
      <c r="B3192" s="2986"/>
      <c r="C3192" s="2986"/>
      <c r="D3192" s="2986"/>
      <c r="E3192" s="2986"/>
      <c r="F3192" s="2986"/>
      <c r="G3192" s="2986"/>
      <c r="H3192" s="2986"/>
      <c r="I3192" s="2986"/>
      <c r="J3192" s="2986"/>
      <c r="K3192" s="2279" t="s">
        <v>71</v>
      </c>
      <c r="L3192" s="1682"/>
      <c r="M3192" s="2280"/>
      <c r="N3192" s="1373"/>
      <c r="O3192" s="1373"/>
      <c r="P3192" s="2281"/>
      <c r="Q3192" s="96"/>
      <c r="R3192" s="1373"/>
      <c r="S3192" s="2282"/>
      <c r="T3192" s="2282"/>
      <c r="U3192" s="2283"/>
    </row>
    <row r="3193" spans="1:27" hidden="1" outlineLevel="1" x14ac:dyDescent="0.35">
      <c r="A3193" s="8"/>
      <c r="B3193" s="9"/>
      <c r="C3193" s="8"/>
      <c r="D3193" s="8"/>
      <c r="E3193" s="8"/>
      <c r="F3193" s="10"/>
      <c r="G3193" s="11"/>
      <c r="H3193" s="12"/>
      <c r="I3193" s="8"/>
      <c r="J3193" s="12"/>
      <c r="K3193" s="8"/>
      <c r="L3193" s="8"/>
      <c r="M3193" s="8"/>
      <c r="N3193" s="8"/>
      <c r="O3193" s="8"/>
      <c r="P3193" s="8"/>
      <c r="Q3193" s="8"/>
      <c r="R3193" s="8"/>
      <c r="S3193" s="8"/>
      <c r="T3193" s="8"/>
      <c r="U3193" s="8"/>
    </row>
    <row r="3194" spans="1:27" ht="16" hidden="1" outlineLevel="1" thickBot="1" x14ac:dyDescent="0.4">
      <c r="A3194" s="1619" t="s">
        <v>25</v>
      </c>
      <c r="B3194" s="1996" t="s">
        <v>26</v>
      </c>
      <c r="C3194" s="1621" t="s">
        <v>27</v>
      </c>
      <c r="D3194" s="1622">
        <f>D3176+7</f>
        <v>44512</v>
      </c>
      <c r="E3194" s="1623" t="s">
        <v>28</v>
      </c>
      <c r="F3194" s="3002" t="s">
        <v>29</v>
      </c>
      <c r="G3194" s="3024"/>
      <c r="H3194" s="3025"/>
      <c r="I3194" s="2184" t="s">
        <v>30</v>
      </c>
      <c r="J3194" s="22">
        <v>17.38</v>
      </c>
      <c r="K3194" s="2284">
        <f>D3194-4</f>
        <v>44508</v>
      </c>
      <c r="L3194" s="2284">
        <f>K3194+1</f>
        <v>44509</v>
      </c>
      <c r="M3194" s="2188"/>
      <c r="N3194" s="2188"/>
      <c r="O3194" s="3030" t="s">
        <v>31</v>
      </c>
      <c r="P3194" s="3030"/>
      <c r="Q3194" s="2188"/>
      <c r="R3194" s="2284">
        <f>L3194+1</f>
        <v>44510</v>
      </c>
      <c r="S3194" s="2188">
        <f>R3194+1</f>
        <v>44511</v>
      </c>
      <c r="T3194" s="2188">
        <f t="shared" ref="T3194" si="1186">S3194+1</f>
        <v>44512</v>
      </c>
      <c r="U3194" s="24"/>
    </row>
    <row r="3195" spans="1:27" ht="16" hidden="1" outlineLevel="1" thickBot="1" x14ac:dyDescent="0.4">
      <c r="A3195" s="1973" t="s">
        <v>32</v>
      </c>
      <c r="B3195" s="1997" t="str">
        <f ca="1">TEXT(TODAY(),"ddd")</f>
        <v>Sun</v>
      </c>
      <c r="C3195" s="1998">
        <v>36100</v>
      </c>
      <c r="D3195" s="1980">
        <f>C3195-C3177</f>
        <v>-227</v>
      </c>
      <c r="E3195" s="1977">
        <f>(C3195-C3177)/C3177</f>
        <v>-6.2487956616290915E-3</v>
      </c>
      <c r="F3195" s="3026"/>
      <c r="G3195" s="3027"/>
      <c r="H3195" s="3028"/>
      <c r="I3195" s="2185" t="s">
        <v>33</v>
      </c>
      <c r="J3195" s="2185">
        <v>82</v>
      </c>
      <c r="K3195" s="2061"/>
      <c r="L3195" s="2062" t="s">
        <v>34</v>
      </c>
      <c r="M3195" s="2063" t="s">
        <v>35</v>
      </c>
      <c r="N3195" s="2995"/>
      <c r="O3195" s="2996"/>
      <c r="P3195" s="2996"/>
      <c r="Q3195" s="2996"/>
      <c r="R3195" s="2996"/>
      <c r="S3195" s="2996"/>
      <c r="T3195" s="2996"/>
      <c r="U3195" s="2996"/>
      <c r="X3195" s="3019"/>
      <c r="Y3195" s="3019"/>
      <c r="Z3195" s="3019"/>
      <c r="AA3195" s="3019"/>
    </row>
    <row r="3196" spans="1:27" ht="16" hidden="1" outlineLevel="1" thickBot="1" x14ac:dyDescent="0.4">
      <c r="A3196" s="2212" t="s">
        <v>36</v>
      </c>
      <c r="B3196" s="2213"/>
      <c r="C3196" s="2213">
        <v>15860</v>
      </c>
      <c r="D3196" s="1980">
        <f>C3196-C3178</f>
        <v>-111</v>
      </c>
      <c r="E3196" s="1977">
        <f t="shared" ref="E3196:E3206" si="1187">(C3196-C3178)/C3178</f>
        <v>-6.9500970509047645E-3</v>
      </c>
      <c r="F3196" s="2216" t="s">
        <v>37</v>
      </c>
      <c r="G3196" s="36" t="s">
        <v>38</v>
      </c>
      <c r="H3196" s="37" t="s">
        <v>39</v>
      </c>
      <c r="I3196" s="38" t="s">
        <v>40</v>
      </c>
      <c r="J3196" s="39" t="s">
        <v>41</v>
      </c>
      <c r="K3196" s="3022" t="s">
        <v>42</v>
      </c>
      <c r="L3196" s="3023"/>
      <c r="M3196" s="3023"/>
      <c r="N3196" s="2217" t="s">
        <v>43</v>
      </c>
      <c r="O3196" s="40"/>
      <c r="P3196" s="40"/>
      <c r="Q3196" s="2218" t="s">
        <v>44</v>
      </c>
      <c r="R3196" s="2219" t="s">
        <v>45</v>
      </c>
      <c r="S3196" s="2219" t="s">
        <v>46</v>
      </c>
      <c r="T3196" s="2219" t="s">
        <v>47</v>
      </c>
      <c r="U3196" s="2285" t="s">
        <v>48</v>
      </c>
      <c r="V3196" s="2221" t="s">
        <v>244</v>
      </c>
      <c r="W3196" s="2221" t="s">
        <v>696</v>
      </c>
      <c r="X3196" s="603"/>
      <c r="Y3196" s="603"/>
      <c r="Z3196" s="603"/>
      <c r="AA3196" s="603"/>
    </row>
    <row r="3197" spans="1:27" hidden="1" outlineLevel="1" x14ac:dyDescent="0.35">
      <c r="A3197" s="51" t="s">
        <v>51</v>
      </c>
      <c r="B3197" s="2179">
        <v>150.44499999999999</v>
      </c>
      <c r="C3197" s="2180">
        <v>413.28</v>
      </c>
      <c r="D3197" s="69">
        <f t="shared" ref="D3197:D3204" si="1188">C3197*B3197</f>
        <v>62175.909599999992</v>
      </c>
      <c r="E3197" s="1977">
        <f t="shared" si="1187"/>
        <v>-8.2787416312721553E-3</v>
      </c>
      <c r="F3197" s="2223">
        <f>D3197/$D$3207</f>
        <v>0.2981667354472633</v>
      </c>
      <c r="G3197" s="2224">
        <v>23</v>
      </c>
      <c r="H3197" s="2225">
        <f>"10/27/2021"+90</f>
        <v>44586</v>
      </c>
      <c r="I3197" s="2226">
        <v>0.56000000000000005</v>
      </c>
      <c r="J3197" s="2122">
        <v>3.51</v>
      </c>
      <c r="K3197" s="3020" t="s">
        <v>52</v>
      </c>
      <c r="L3197" s="3021"/>
      <c r="M3197" s="2227"/>
      <c r="N3197" s="2228"/>
      <c r="O3197" s="1374"/>
      <c r="P3197" s="1374"/>
      <c r="Q3197" s="2229"/>
      <c r="R3197" s="2230">
        <f t="shared" ref="R3197:R3203" si="1189">RIGHT(K3197,6)*B3197</f>
        <v>49169.939349999993</v>
      </c>
      <c r="S3197" s="2231">
        <f t="shared" ref="S3197:S3204" si="1190">D3197</f>
        <v>62175.909599999992</v>
      </c>
      <c r="T3197" s="2231">
        <f t="shared" ref="T3197:T3204" si="1191">S3197-R3197</f>
        <v>13005.970249999998</v>
      </c>
      <c r="U3197" s="2286">
        <f t="shared" ref="U3197:U3204" si="1192">(S3197-R3197)/R3197</f>
        <v>0.2645106018419362</v>
      </c>
      <c r="V3197" s="2233" t="str">
        <f t="shared" ref="V3197:V3204" si="1193">A3197</f>
        <v>KLAC</v>
      </c>
      <c r="W3197" s="2234">
        <f t="shared" ref="W3197:W3204" ca="1" si="1194">H3197-TODAY()</f>
        <v>-586</v>
      </c>
      <c r="X3197" s="2294"/>
      <c r="Y3197" s="2294"/>
      <c r="Z3197" s="1857"/>
      <c r="AA3197" s="1857"/>
    </row>
    <row r="3198" spans="1:27" hidden="1" outlineLevel="1" x14ac:dyDescent="0.35">
      <c r="A3198" s="2295" t="s">
        <v>49</v>
      </c>
      <c r="B3198" s="2179">
        <v>150.03800000000001</v>
      </c>
      <c r="C3198" s="2180">
        <v>303.89999999999998</v>
      </c>
      <c r="D3198" s="82">
        <f t="shared" si="1188"/>
        <v>45596.548199999997</v>
      </c>
      <c r="E3198" s="1989">
        <f t="shared" si="1187"/>
        <v>2.1443936542081189E-2</v>
      </c>
      <c r="F3198" s="2223">
        <f t="shared" ref="F3198:F3206" si="1195">D3198/$D$3207</f>
        <v>0.21865983162806502</v>
      </c>
      <c r="G3198" s="2172">
        <v>105</v>
      </c>
      <c r="H3198" s="2225">
        <v>44517</v>
      </c>
      <c r="I3198" s="2122">
        <v>0.6</v>
      </c>
      <c r="J3198" s="2237">
        <v>12.29</v>
      </c>
      <c r="K3198" s="2983" t="s">
        <v>697</v>
      </c>
      <c r="L3198" s="2984"/>
      <c r="M3198" s="45"/>
      <c r="N3198" s="46"/>
      <c r="Q3198" s="47"/>
      <c r="R3198" s="48">
        <f t="shared" si="1189"/>
        <v>33167.400280000002</v>
      </c>
      <c r="S3198" s="49">
        <f t="shared" si="1190"/>
        <v>45596.548199999997</v>
      </c>
      <c r="T3198" s="49">
        <f t="shared" si="1191"/>
        <v>12429.147919999996</v>
      </c>
      <c r="U3198" s="50">
        <f t="shared" si="1192"/>
        <v>0.3747398896227267</v>
      </c>
      <c r="V3198" s="2239" t="str">
        <f t="shared" si="1193"/>
        <v>NVDA</v>
      </c>
      <c r="W3198" s="2240">
        <f t="shared" ca="1" si="1194"/>
        <v>-655</v>
      </c>
      <c r="X3198" s="2294"/>
      <c r="Y3198" s="2294"/>
      <c r="Z3198" s="1857"/>
      <c r="AA3198" s="1857"/>
    </row>
    <row r="3199" spans="1:27" hidden="1" outlineLevel="1" x14ac:dyDescent="0.35">
      <c r="A3199" s="2178" t="s">
        <v>591</v>
      </c>
      <c r="B3199" s="2179">
        <v>100</v>
      </c>
      <c r="C3199" s="2180">
        <v>342.98</v>
      </c>
      <c r="D3199" s="82">
        <f t="shared" si="1188"/>
        <v>34298</v>
      </c>
      <c r="E3199" s="1977">
        <f t="shared" si="1187"/>
        <v>1.7593828808782099E-2</v>
      </c>
      <c r="F3199" s="2223">
        <f t="shared" si="1195"/>
        <v>0.16447725104724867</v>
      </c>
      <c r="G3199" s="2243" t="s">
        <v>228</v>
      </c>
      <c r="H3199" s="2225">
        <v>44601</v>
      </c>
      <c r="I3199" s="2122">
        <v>-0.12</v>
      </c>
      <c r="J3199" s="2122"/>
      <c r="K3199" s="2983" t="s">
        <v>706</v>
      </c>
      <c r="L3199" s="2984"/>
      <c r="M3199" s="45"/>
      <c r="N3199" s="46"/>
      <c r="Q3199" s="47"/>
      <c r="R3199" s="48">
        <f t="shared" si="1189"/>
        <v>29404.000000000004</v>
      </c>
      <c r="S3199" s="49">
        <f t="shared" si="1190"/>
        <v>34298</v>
      </c>
      <c r="T3199" s="49">
        <f t="shared" si="1191"/>
        <v>4893.9999999999964</v>
      </c>
      <c r="U3199" s="50">
        <f t="shared" si="1192"/>
        <v>0.16643994014419791</v>
      </c>
      <c r="V3199" s="2239" t="str">
        <f t="shared" si="1193"/>
        <v>COIN</v>
      </c>
      <c r="W3199" s="2240">
        <f t="shared" ca="1" si="1194"/>
        <v>-571</v>
      </c>
      <c r="X3199" s="2294"/>
      <c r="Y3199" s="2294"/>
      <c r="Z3199" s="1857"/>
      <c r="AA3199" s="1857"/>
    </row>
    <row r="3200" spans="1:27" hidden="1" outlineLevel="1" x14ac:dyDescent="0.35">
      <c r="A3200" s="2178" t="s">
        <v>53</v>
      </c>
      <c r="B3200" s="2179">
        <v>75</v>
      </c>
      <c r="C3200" s="2180">
        <v>357.38</v>
      </c>
      <c r="D3200" s="82">
        <f t="shared" si="1188"/>
        <v>26803.5</v>
      </c>
      <c r="E3200" s="1977">
        <f t="shared" si="1187"/>
        <v>2.4510506550468745E-2</v>
      </c>
      <c r="F3200" s="2223">
        <f t="shared" si="1195"/>
        <v>0.12853711582147442</v>
      </c>
      <c r="G3200" s="2173">
        <v>42</v>
      </c>
      <c r="H3200" s="2225">
        <f>"10/27/2021"+90</f>
        <v>44586</v>
      </c>
      <c r="I3200" s="2122">
        <v>0.84</v>
      </c>
      <c r="J3200" s="2237">
        <v>14.34</v>
      </c>
      <c r="K3200" s="2983" t="s">
        <v>701</v>
      </c>
      <c r="L3200" s="2984"/>
      <c r="M3200" s="45"/>
      <c r="N3200" s="46"/>
      <c r="Q3200" s="47"/>
      <c r="R3200" s="48">
        <f t="shared" si="1189"/>
        <v>23072.25</v>
      </c>
      <c r="S3200" s="49">
        <f t="shared" si="1190"/>
        <v>26803.5</v>
      </c>
      <c r="T3200" s="49">
        <f t="shared" si="1191"/>
        <v>3731.25</v>
      </c>
      <c r="U3200" s="50">
        <f t="shared" si="1192"/>
        <v>0.16172024835029095</v>
      </c>
      <c r="V3200" s="2239" t="str">
        <f t="shared" si="1193"/>
        <v>ODFL</v>
      </c>
      <c r="W3200" s="2240">
        <f t="shared" ca="1" si="1194"/>
        <v>-586</v>
      </c>
      <c r="X3200" s="2294"/>
      <c r="Y3200" s="2294"/>
      <c r="Z3200" s="1857"/>
      <c r="AA3200" s="1857"/>
    </row>
    <row r="3201" spans="1:27" hidden="1" outlineLevel="1" x14ac:dyDescent="0.35">
      <c r="A3201" s="2048" t="s">
        <v>711</v>
      </c>
      <c r="B3201" s="2179">
        <v>300</v>
      </c>
      <c r="C3201" s="2180">
        <v>75.92</v>
      </c>
      <c r="D3201" s="82">
        <f t="shared" si="1188"/>
        <v>22776</v>
      </c>
      <c r="E3201" s="1977">
        <f t="shared" si="1187"/>
        <v>0.18959573801316204</v>
      </c>
      <c r="F3201" s="2223">
        <f t="shared" si="1195"/>
        <v>0.10922309959333301</v>
      </c>
      <c r="G3201" s="2243">
        <v>-314.94</v>
      </c>
      <c r="H3201" s="2225">
        <v>44603</v>
      </c>
      <c r="I3201" s="2237">
        <v>20.440000000000001</v>
      </c>
      <c r="J3201" s="2122">
        <v>0.37530000000000002</v>
      </c>
      <c r="K3201" s="2983" t="s">
        <v>712</v>
      </c>
      <c r="L3201" s="2984"/>
      <c r="M3201" s="2149"/>
      <c r="N3201" s="46"/>
      <c r="Q3201" s="47"/>
      <c r="R3201" s="48">
        <f t="shared" si="1189"/>
        <v>15156.000000000002</v>
      </c>
      <c r="S3201" s="49">
        <f t="shared" si="1190"/>
        <v>22776</v>
      </c>
      <c r="T3201" s="49">
        <f t="shared" si="1191"/>
        <v>7619.9999999999982</v>
      </c>
      <c r="U3201" s="50">
        <f t="shared" si="1192"/>
        <v>0.50277117973079954</v>
      </c>
      <c r="V3201" s="2239" t="str">
        <f t="shared" si="1193"/>
        <v>MARA</v>
      </c>
      <c r="W3201" s="2240">
        <f t="shared" ca="1" si="1194"/>
        <v>-569</v>
      </c>
      <c r="X3201" s="2294"/>
      <c r="Y3201" s="2294"/>
      <c r="Z3201" s="1857"/>
      <c r="AA3201" s="1857"/>
    </row>
    <row r="3202" spans="1:27" hidden="1" outlineLevel="1" x14ac:dyDescent="0.35">
      <c r="A3202" s="2295" t="s">
        <v>720</v>
      </c>
      <c r="B3202" s="2179">
        <v>120</v>
      </c>
      <c r="C3202" s="2180">
        <v>44.19</v>
      </c>
      <c r="D3202" s="44">
        <f t="shared" si="1188"/>
        <v>5302.7999999999993</v>
      </c>
      <c r="E3202" s="1977"/>
      <c r="F3202" s="2223">
        <f t="shared" si="1195"/>
        <v>2.542976170194618E-2</v>
      </c>
      <c r="G3202" s="2243">
        <v>-39</v>
      </c>
      <c r="H3202" s="2225">
        <v>44515</v>
      </c>
      <c r="I3202" s="2122">
        <v>0.99</v>
      </c>
      <c r="J3202" s="2122"/>
      <c r="K3202" s="2983" t="s">
        <v>721</v>
      </c>
      <c r="L3202" s="2984"/>
      <c r="M3202" s="45"/>
      <c r="N3202" s="2245"/>
      <c r="O3202" s="1373"/>
      <c r="P3202" s="1373"/>
      <c r="Q3202" s="2246"/>
      <c r="R3202" s="48">
        <f t="shared" si="1189"/>
        <v>4416</v>
      </c>
      <c r="S3202" s="49">
        <f t="shared" si="1190"/>
        <v>5302.7999999999993</v>
      </c>
      <c r="T3202" s="49">
        <f t="shared" si="1191"/>
        <v>886.79999999999927</v>
      </c>
      <c r="U3202" s="50">
        <f t="shared" si="1192"/>
        <v>0.20081521739130417</v>
      </c>
      <c r="V3202" s="2239" t="str">
        <f t="shared" si="1193"/>
        <v>RIOT</v>
      </c>
      <c r="W3202" s="2240">
        <f t="shared" ca="1" si="1194"/>
        <v>-657</v>
      </c>
      <c r="X3202" s="2294"/>
      <c r="Y3202" s="2294"/>
      <c r="Z3202" s="1857"/>
      <c r="AA3202" s="1857"/>
    </row>
    <row r="3203" spans="1:27" hidden="1" outlineLevel="1" x14ac:dyDescent="0.35">
      <c r="A3203" s="2295" t="s">
        <v>713</v>
      </c>
      <c r="B3203" s="2179">
        <v>152</v>
      </c>
      <c r="C3203" s="2180">
        <v>43.93</v>
      </c>
      <c r="D3203" s="2180">
        <f t="shared" si="1188"/>
        <v>6677.36</v>
      </c>
      <c r="E3203" s="1977">
        <f t="shared" si="1187"/>
        <v>5.0956937799043124E-2</v>
      </c>
      <c r="F3203" s="2223">
        <f t="shared" si="1195"/>
        <v>3.2021511955590887E-2</v>
      </c>
      <c r="G3203" s="2243" t="s">
        <v>228</v>
      </c>
      <c r="H3203" s="2225">
        <v>44515</v>
      </c>
      <c r="I3203" s="2122">
        <v>2.67</v>
      </c>
      <c r="J3203" s="2122">
        <v>2.58</v>
      </c>
      <c r="K3203" s="3020" t="s">
        <v>714</v>
      </c>
      <c r="L3203" s="3021"/>
      <c r="M3203" s="2247"/>
      <c r="N3203" s="46"/>
      <c r="Q3203" s="47"/>
      <c r="R3203" s="48">
        <f t="shared" si="1189"/>
        <v>5941.68</v>
      </c>
      <c r="S3203" s="49">
        <f t="shared" si="1190"/>
        <v>6677.36</v>
      </c>
      <c r="T3203" s="49">
        <f t="shared" si="1191"/>
        <v>735.67999999999938</v>
      </c>
      <c r="U3203" s="54">
        <f t="shared" si="1192"/>
        <v>0.12381683294960337</v>
      </c>
      <c r="V3203" s="2239" t="str">
        <f t="shared" si="1193"/>
        <v>LCID</v>
      </c>
      <c r="W3203" s="2252">
        <f t="shared" ca="1" si="1194"/>
        <v>-657</v>
      </c>
      <c r="X3203" s="2294"/>
      <c r="Y3203" s="2294"/>
      <c r="Z3203" s="1857"/>
      <c r="AA3203" s="1857"/>
    </row>
    <row r="3204" spans="1:27" hidden="1" outlineLevel="1" x14ac:dyDescent="0.35">
      <c r="A3204" s="2048" t="s">
        <v>55</v>
      </c>
      <c r="B3204" s="2179">
        <v>100</v>
      </c>
      <c r="C3204" s="2180">
        <v>19.63</v>
      </c>
      <c r="D3204" s="44">
        <f t="shared" si="1188"/>
        <v>1963</v>
      </c>
      <c r="E3204" s="1977"/>
      <c r="F3204" s="2223">
        <f t="shared" si="1195"/>
        <v>9.4136347252244783E-3</v>
      </c>
      <c r="G3204" s="2172">
        <v>75</v>
      </c>
      <c r="H3204" s="2225">
        <f>"10/19/2021"+90</f>
        <v>44578</v>
      </c>
      <c r="I3204" s="2122">
        <v>0.3</v>
      </c>
      <c r="J3204" s="2122">
        <v>3.07</v>
      </c>
      <c r="K3204" s="2983" t="s">
        <v>722</v>
      </c>
      <c r="L3204" s="2984"/>
      <c r="M3204" s="45"/>
      <c r="N3204" s="46"/>
      <c r="Q3204" s="47"/>
      <c r="R3204" s="2253">
        <f>RIGHT(K3204,6)*B3204</f>
        <v>2149</v>
      </c>
      <c r="S3204" s="2254">
        <f t="shared" si="1190"/>
        <v>1963</v>
      </c>
      <c r="T3204" s="2254">
        <f t="shared" si="1191"/>
        <v>-186</v>
      </c>
      <c r="U3204" s="2290">
        <f t="shared" si="1192"/>
        <v>-8.6551884597487208E-2</v>
      </c>
      <c r="V3204" s="2256" t="str">
        <f t="shared" si="1193"/>
        <v>LAZR</v>
      </c>
      <c r="W3204" s="2257">
        <f t="shared" ca="1" si="1194"/>
        <v>-594</v>
      </c>
      <c r="X3204" s="2294"/>
      <c r="Y3204" s="2294"/>
      <c r="Z3204" s="1857"/>
      <c r="AA3204" s="1857"/>
    </row>
    <row r="3205" spans="1:27" ht="16" hidden="1" outlineLevel="1" thickBot="1" x14ac:dyDescent="0.4">
      <c r="A3205" s="55" t="s">
        <v>7</v>
      </c>
      <c r="B3205" s="2262" t="str">
        <f>"Risky "&amp;"16%"</f>
        <v>Risky 16%</v>
      </c>
      <c r="C3205" s="2291">
        <f>SUM(D3201:D3202,D3203:D3204)</f>
        <v>36719.159999999996</v>
      </c>
      <c r="D3205" s="2264">
        <v>2363.4499999999998</v>
      </c>
      <c r="E3205" s="1977">
        <f>(D3205-D3187)/D3187</f>
        <v>-2.1573969102701326E-4</v>
      </c>
      <c r="F3205" s="2223">
        <f t="shared" si="1195"/>
        <v>1.1334006618100759E-2</v>
      </c>
      <c r="G3205" s="2053"/>
      <c r="H3205" s="1789" t="s">
        <v>59</v>
      </c>
      <c r="I3205" s="2089"/>
      <c r="J3205" s="2068"/>
      <c r="K3205" s="58"/>
      <c r="L3205" s="58"/>
      <c r="M3205" s="58"/>
      <c r="R3205" s="2265">
        <f>SUM(R3197:R3204)</f>
        <v>162476.26963</v>
      </c>
      <c r="S3205" s="2265">
        <f>SUM(S3197:S3204)</f>
        <v>205593.11779999995</v>
      </c>
      <c r="T3205" s="2265">
        <f>SUM(T3197:T3204)</f>
        <v>43116.84816999999</v>
      </c>
      <c r="U3205" s="2292">
        <f>AVERAGE(U3197:U3204)</f>
        <v>0.21353275317917148</v>
      </c>
      <c r="V3205" s="2208"/>
      <c r="W3205" s="2208"/>
      <c r="Z3205" s="2296"/>
      <c r="AA3205" s="2296"/>
    </row>
    <row r="3206" spans="1:27" ht="16" hidden="1" outlineLevel="1" thickBot="1" x14ac:dyDescent="0.4">
      <c r="A3206" s="55" t="s">
        <v>60</v>
      </c>
      <c r="B3206" s="2268"/>
      <c r="C3206" s="2269">
        <f>SUM(D3197:D3204)</f>
        <v>205593.11779999995</v>
      </c>
      <c r="D3206" s="57">
        <v>570.75</v>
      </c>
      <c r="E3206" s="1977">
        <f t="shared" si="1187"/>
        <v>3.2276112829706279E-2</v>
      </c>
      <c r="F3206" s="2223">
        <f t="shared" si="1195"/>
        <v>2.7370514617533728E-3</v>
      </c>
      <c r="G3206" s="1734"/>
      <c r="H3206" s="1723" t="s">
        <v>61</v>
      </c>
      <c r="I3206" s="60">
        <v>0</v>
      </c>
      <c r="J3206" s="61"/>
      <c r="K3206" s="2090"/>
      <c r="L3206" s="2070"/>
      <c r="M3206" s="2070"/>
      <c r="Q3206" s="62"/>
      <c r="R3206" s="2293">
        <f>C3205/D3207</f>
        <v>0.17608800797609456</v>
      </c>
      <c r="S3206" s="64"/>
      <c r="T3206" s="64"/>
      <c r="U3206" s="64"/>
    </row>
    <row r="3207" spans="1:27" ht="19" hidden="1" outlineLevel="1" thickBot="1" x14ac:dyDescent="0.5">
      <c r="A3207" s="66" t="s">
        <v>62</v>
      </c>
      <c r="B3207" s="67"/>
      <c r="C3207" s="68">
        <f>SUM(D3197:D3199)</f>
        <v>142070.45779999997</v>
      </c>
      <c r="D3207" s="84">
        <f>SUM(D3197:D3206)</f>
        <v>208527.31779999996</v>
      </c>
      <c r="E3207" s="73">
        <f>(D3207-D3189)+I3207</f>
        <v>3415.8171899999725</v>
      </c>
      <c r="F3207" s="71">
        <f>SUM(F3197:F3206)</f>
        <v>1</v>
      </c>
      <c r="G3207" s="72" t="s">
        <v>63</v>
      </c>
      <c r="H3207" s="73">
        <f>E3207+E3189+E3170+E3150+E3133</f>
        <v>28113.905549999967</v>
      </c>
      <c r="I3207" s="74"/>
      <c r="J3207" s="75"/>
      <c r="K3207" s="2270" t="s">
        <v>67</v>
      </c>
      <c r="L3207" s="2271"/>
      <c r="M3207" s="2271"/>
      <c r="N3207" s="1358"/>
      <c r="O3207" s="1358"/>
      <c r="P3207" s="1358"/>
      <c r="Q3207" s="1358"/>
      <c r="R3207" s="1358"/>
      <c r="S3207" s="2275"/>
      <c r="T3207" s="2275"/>
      <c r="U3207" s="2276"/>
    </row>
    <row r="3208" spans="1:27" hidden="1" outlineLevel="1" x14ac:dyDescent="0.35">
      <c r="A3208" s="2985" t="s">
        <v>723</v>
      </c>
      <c r="B3208" s="2985"/>
      <c r="C3208" s="2985"/>
      <c r="D3208" s="2985"/>
      <c r="E3208" s="2985"/>
      <c r="F3208" s="2985"/>
      <c r="G3208" s="2985"/>
      <c r="H3208" s="2985"/>
      <c r="I3208" s="2985"/>
      <c r="J3208" s="2985"/>
      <c r="K3208" s="2277" t="s">
        <v>69</v>
      </c>
      <c r="L3208" s="1865"/>
      <c r="M3208" s="1865"/>
      <c r="S3208" s="1860"/>
      <c r="T3208" s="1860"/>
      <c r="U3208" s="2278"/>
    </row>
    <row r="3209" spans="1:27" hidden="1" outlineLevel="1" x14ac:dyDescent="0.35">
      <c r="A3209" s="2986"/>
      <c r="B3209" s="2986"/>
      <c r="C3209" s="2986"/>
      <c r="D3209" s="2986"/>
      <c r="E3209" s="2986"/>
      <c r="F3209" s="2986"/>
      <c r="G3209" s="2986"/>
      <c r="H3209" s="2986"/>
      <c r="I3209" s="2986"/>
      <c r="J3209" s="2986"/>
      <c r="K3209" s="2277" t="s">
        <v>70</v>
      </c>
      <c r="L3209" s="1865"/>
      <c r="M3209" s="1865"/>
      <c r="S3209" s="1860"/>
      <c r="T3209" s="1860"/>
      <c r="U3209" s="2278"/>
    </row>
    <row r="3210" spans="1:27" hidden="1" outlineLevel="1" x14ac:dyDescent="0.35">
      <c r="A3210" s="2986"/>
      <c r="B3210" s="2986"/>
      <c r="C3210" s="2986"/>
      <c r="D3210" s="2986"/>
      <c r="E3210" s="2986"/>
      <c r="F3210" s="2986"/>
      <c r="G3210" s="2986"/>
      <c r="H3210" s="2986"/>
      <c r="I3210" s="2986"/>
      <c r="J3210" s="2986"/>
      <c r="K3210" s="2277" t="s">
        <v>71</v>
      </c>
      <c r="L3210" s="1865"/>
      <c r="M3210" s="1865"/>
      <c r="S3210" s="1860"/>
      <c r="T3210" s="1860"/>
      <c r="U3210" s="2297"/>
    </row>
    <row r="3211" spans="1:27" hidden="1" outlineLevel="1" x14ac:dyDescent="0.35">
      <c r="A3211" s="8"/>
      <c r="B3211" s="9"/>
      <c r="C3211" s="8"/>
      <c r="D3211" s="8"/>
      <c r="E3211" s="8"/>
      <c r="F3211" s="10"/>
      <c r="G3211" s="11"/>
      <c r="H3211" s="12"/>
      <c r="I3211" s="8"/>
      <c r="J3211" s="12"/>
      <c r="K3211" s="2298" t="s">
        <v>20</v>
      </c>
      <c r="L3211" s="1373"/>
      <c r="M3211" s="1373"/>
      <c r="N3211" s="1373"/>
      <c r="O3211" s="1373"/>
      <c r="P3211" s="1373"/>
      <c r="Q3211" s="1373"/>
      <c r="R3211" s="1373"/>
      <c r="S3211" s="1373"/>
      <c r="T3211" s="1373"/>
      <c r="U3211" s="2299"/>
    </row>
    <row r="3212" spans="1:27" hidden="1" outlineLevel="1" x14ac:dyDescent="0.35">
      <c r="A3212" s="8"/>
      <c r="B3212" s="9"/>
      <c r="C3212" s="8"/>
      <c r="D3212" s="8"/>
      <c r="E3212" s="8"/>
      <c r="F3212" s="10"/>
      <c r="G3212" s="11"/>
      <c r="H3212" s="12"/>
      <c r="I3212" s="8"/>
      <c r="J3212" s="12"/>
      <c r="K3212" s="8"/>
      <c r="L3212" s="8"/>
      <c r="M3212" s="8"/>
      <c r="N3212" s="8"/>
      <c r="O3212" s="8"/>
      <c r="P3212" s="8"/>
      <c r="Q3212" s="8"/>
      <c r="R3212" s="8"/>
      <c r="S3212" s="8"/>
      <c r="T3212" s="8"/>
      <c r="U3212" s="8"/>
    </row>
    <row r="3213" spans="1:27" ht="16" hidden="1" outlineLevel="1" thickBot="1" x14ac:dyDescent="0.4">
      <c r="A3213" s="1619" t="s">
        <v>25</v>
      </c>
      <c r="B3213" s="1996" t="s">
        <v>26</v>
      </c>
      <c r="C3213" s="1621" t="s">
        <v>27</v>
      </c>
      <c r="D3213" s="1622">
        <f>D3194+7</f>
        <v>44519</v>
      </c>
      <c r="E3213" s="1623" t="s">
        <v>28</v>
      </c>
      <c r="F3213" s="3002" t="s">
        <v>29</v>
      </c>
      <c r="G3213" s="3024"/>
      <c r="H3213" s="3025"/>
      <c r="I3213" s="2184" t="s">
        <v>30</v>
      </c>
      <c r="J3213" s="22">
        <v>17.38</v>
      </c>
      <c r="K3213" s="2188">
        <f>D3213-4</f>
        <v>44515</v>
      </c>
      <c r="L3213" s="23">
        <f>K3213+1</f>
        <v>44516</v>
      </c>
      <c r="M3213" s="23"/>
      <c r="N3213" s="23"/>
      <c r="O3213" s="3029" t="s">
        <v>31</v>
      </c>
      <c r="P3213" s="3029"/>
      <c r="Q3213" s="23"/>
      <c r="R3213" s="23">
        <f>L3213+1</f>
        <v>44517</v>
      </c>
      <c r="S3213" s="2284">
        <f>R3213+1</f>
        <v>44518</v>
      </c>
      <c r="T3213" s="23">
        <f t="shared" ref="T3213" si="1196">S3213+1</f>
        <v>44519</v>
      </c>
      <c r="U3213" s="24"/>
    </row>
    <row r="3214" spans="1:27" ht="16" hidden="1" outlineLevel="1" thickBot="1" x14ac:dyDescent="0.4">
      <c r="A3214" s="1973" t="s">
        <v>32</v>
      </c>
      <c r="B3214" s="1997" t="str">
        <f ca="1">TEXT(TODAY(),"ddd")</f>
        <v>Sun</v>
      </c>
      <c r="C3214" s="1998">
        <v>35592</v>
      </c>
      <c r="D3214" s="1980">
        <f>C3214-C3195</f>
        <v>-508</v>
      </c>
      <c r="E3214" s="1977">
        <f>(C3214-C3195)/C3195</f>
        <v>-1.407202216066482E-2</v>
      </c>
      <c r="F3214" s="3026"/>
      <c r="G3214" s="3027"/>
      <c r="H3214" s="3028"/>
      <c r="I3214" s="2185" t="s">
        <v>33</v>
      </c>
      <c r="J3214" s="2185">
        <v>83</v>
      </c>
      <c r="K3214" s="2300" t="s">
        <v>724</v>
      </c>
      <c r="L3214" s="2301">
        <f>SUM(D3218,D3221:D3222,D3224)</f>
        <v>43798.6</v>
      </c>
      <c r="M3214" s="2063" t="s">
        <v>35</v>
      </c>
      <c r="N3214" s="2995"/>
      <c r="O3214" s="2996"/>
      <c r="P3214" s="2996"/>
      <c r="Q3214" s="2996"/>
      <c r="R3214" s="2996"/>
      <c r="S3214" s="2996"/>
      <c r="T3214" s="2996"/>
      <c r="U3214" s="2996"/>
      <c r="X3214" s="3019"/>
      <c r="Y3214" s="3019"/>
      <c r="Z3214" s="3019"/>
      <c r="AA3214" s="3019"/>
    </row>
    <row r="3215" spans="1:27" ht="16" hidden="1" outlineLevel="1" thickBot="1" x14ac:dyDescent="0.4">
      <c r="A3215" s="2212" t="s">
        <v>36</v>
      </c>
      <c r="B3215" s="2213"/>
      <c r="C3215" s="2213">
        <v>16057</v>
      </c>
      <c r="D3215" s="1980">
        <f>C3215-C3196</f>
        <v>197</v>
      </c>
      <c r="E3215" s="1977">
        <f t="shared" ref="E3215:E3219" si="1197">(C3215-C3196)/C3196</f>
        <v>1.2421185372005044E-2</v>
      </c>
      <c r="F3215" s="2216" t="s">
        <v>37</v>
      </c>
      <c r="G3215" s="36" t="s">
        <v>38</v>
      </c>
      <c r="H3215" s="37" t="s">
        <v>39</v>
      </c>
      <c r="I3215" s="38" t="s">
        <v>40</v>
      </c>
      <c r="J3215" s="39" t="s">
        <v>41</v>
      </c>
      <c r="K3215" s="3022" t="s">
        <v>42</v>
      </c>
      <c r="L3215" s="3023"/>
      <c r="M3215" s="3023"/>
      <c r="N3215" s="2217" t="s">
        <v>43</v>
      </c>
      <c r="O3215" s="40"/>
      <c r="P3215" s="40"/>
      <c r="Q3215" s="2218" t="s">
        <v>44</v>
      </c>
      <c r="R3215" s="2219" t="s">
        <v>45</v>
      </c>
      <c r="S3215" s="2219" t="s">
        <v>46</v>
      </c>
      <c r="T3215" s="2219" t="s">
        <v>47</v>
      </c>
      <c r="U3215" s="2285" t="s">
        <v>48</v>
      </c>
      <c r="V3215" s="2221" t="s">
        <v>244</v>
      </c>
      <c r="W3215" s="2221" t="s">
        <v>696</v>
      </c>
      <c r="X3215" s="603"/>
      <c r="Y3215" s="603"/>
      <c r="Z3215" s="603"/>
      <c r="AA3215" s="603"/>
    </row>
    <row r="3216" spans="1:27" hidden="1" outlineLevel="1" x14ac:dyDescent="0.35">
      <c r="A3216" s="51" t="s">
        <v>51</v>
      </c>
      <c r="B3216" s="2179">
        <v>150.44499999999999</v>
      </c>
      <c r="C3216" s="2180">
        <v>422.09</v>
      </c>
      <c r="D3216" s="2302">
        <f t="shared" ref="D3216:D3224" si="1198">C3216*B3216</f>
        <v>63501.330049999997</v>
      </c>
      <c r="E3216" s="1977">
        <f t="shared" si="1197"/>
        <v>2.1317266744096019E-2</v>
      </c>
      <c r="F3216" s="2223">
        <f t="shared" ref="F3216:F3226" si="1199">D3216/$D$3227</f>
        <v>0.30695633124999339</v>
      </c>
      <c r="G3216" s="2224">
        <v>23</v>
      </c>
      <c r="H3216" s="2225">
        <f>"10/27/2021"+90</f>
        <v>44586</v>
      </c>
      <c r="I3216" s="2226">
        <v>0.56000000000000005</v>
      </c>
      <c r="J3216" s="2122">
        <v>3.51</v>
      </c>
      <c r="K3216" s="3020" t="s">
        <v>52</v>
      </c>
      <c r="L3216" s="3021"/>
      <c r="M3216" s="2227"/>
      <c r="N3216" s="2228"/>
      <c r="O3216" s="1374"/>
      <c r="P3216" s="1374"/>
      <c r="Q3216" s="2229"/>
      <c r="R3216" s="2230">
        <f t="shared" ref="R3216:R3222" si="1200">RIGHT(K3216,6)*B3216</f>
        <v>49169.939349999993</v>
      </c>
      <c r="S3216" s="2231">
        <f t="shared" ref="S3216:S3224" si="1201">D3216</f>
        <v>63501.330049999997</v>
      </c>
      <c r="T3216" s="2231">
        <f t="shared" ref="T3216:T3224" si="1202">S3216-R3216</f>
        <v>14331.390700000004</v>
      </c>
      <c r="U3216" s="2286">
        <f t="shared" ref="U3216:U3224" si="1203">(S3216-R3216)/R3216</f>
        <v>0.29146651164213822</v>
      </c>
      <c r="V3216" s="2233" t="str">
        <f t="shared" ref="V3216:V3224" si="1204">A3216</f>
        <v>KLAC</v>
      </c>
      <c r="W3216" s="2234">
        <f t="shared" ref="W3216:W3224" ca="1" si="1205">H3216-TODAY()</f>
        <v>-586</v>
      </c>
      <c r="X3216" s="2294"/>
      <c r="Y3216" s="2294"/>
      <c r="Z3216" s="1857"/>
      <c r="AA3216" s="1857"/>
    </row>
    <row r="3217" spans="1:27" hidden="1" outlineLevel="1" x14ac:dyDescent="0.35">
      <c r="A3217" s="2178" t="s">
        <v>49</v>
      </c>
      <c r="B3217" s="2179">
        <v>150.03800000000001</v>
      </c>
      <c r="C3217" s="2180">
        <v>329.33</v>
      </c>
      <c r="D3217" s="44">
        <f t="shared" si="1198"/>
        <v>49412.014540000004</v>
      </c>
      <c r="E3217" s="1989">
        <f t="shared" si="1197"/>
        <v>8.3678841724251427E-2</v>
      </c>
      <c r="F3217" s="2223">
        <f t="shared" si="1199"/>
        <v>0.23885059873434464</v>
      </c>
      <c r="G3217" s="2172">
        <v>105</v>
      </c>
      <c r="H3217" s="2225">
        <v>44609</v>
      </c>
      <c r="I3217" s="2122">
        <v>0.6</v>
      </c>
      <c r="J3217" s="2237">
        <v>12.29</v>
      </c>
      <c r="K3217" s="2983" t="s">
        <v>697</v>
      </c>
      <c r="L3217" s="2984"/>
      <c r="M3217" s="45"/>
      <c r="N3217" s="46"/>
      <c r="Q3217" s="47"/>
      <c r="R3217" s="48">
        <f t="shared" si="1200"/>
        <v>33167.400280000002</v>
      </c>
      <c r="S3217" s="49">
        <f t="shared" si="1201"/>
        <v>49412.014540000004</v>
      </c>
      <c r="T3217" s="49">
        <f t="shared" si="1202"/>
        <v>16244.614260000002</v>
      </c>
      <c r="U3217" s="50">
        <f t="shared" si="1203"/>
        <v>0.48977653125848192</v>
      </c>
      <c r="V3217" s="2239" t="str">
        <f t="shared" si="1204"/>
        <v>NVDA</v>
      </c>
      <c r="W3217" s="2240">
        <f t="shared" ca="1" si="1205"/>
        <v>-563</v>
      </c>
      <c r="X3217" s="2294"/>
      <c r="Y3217" s="2294"/>
      <c r="Z3217" s="1857"/>
      <c r="AA3217" s="1857"/>
    </row>
    <row r="3218" spans="1:27" hidden="1" outlineLevel="1" x14ac:dyDescent="0.35">
      <c r="A3218" s="2303" t="s">
        <v>591</v>
      </c>
      <c r="B3218" s="2179">
        <v>100</v>
      </c>
      <c r="C3218" s="2180">
        <v>333.08</v>
      </c>
      <c r="D3218" s="44">
        <f t="shared" si="1198"/>
        <v>33308</v>
      </c>
      <c r="E3218" s="1977">
        <f t="shared" si="1197"/>
        <v>-2.8864656831302214E-2</v>
      </c>
      <c r="F3218" s="2223">
        <f t="shared" si="1199"/>
        <v>0.16100609976553995</v>
      </c>
      <c r="G3218" s="2243" t="s">
        <v>228</v>
      </c>
      <c r="H3218" s="2225">
        <v>44601</v>
      </c>
      <c r="I3218" s="2122">
        <v>-0.12</v>
      </c>
      <c r="J3218" s="2122"/>
      <c r="K3218" s="2983" t="s">
        <v>706</v>
      </c>
      <c r="L3218" s="2984"/>
      <c r="M3218" s="45"/>
      <c r="N3218" s="46"/>
      <c r="Q3218" s="47"/>
      <c r="R3218" s="48">
        <f t="shared" si="1200"/>
        <v>29404.000000000004</v>
      </c>
      <c r="S3218" s="49">
        <f t="shared" si="1201"/>
        <v>33308</v>
      </c>
      <c r="T3218" s="49">
        <f t="shared" si="1202"/>
        <v>3903.9999999999964</v>
      </c>
      <c r="U3218" s="50">
        <f t="shared" si="1203"/>
        <v>0.13277105155761107</v>
      </c>
      <c r="V3218" s="2239" t="str">
        <f t="shared" si="1204"/>
        <v>COIN</v>
      </c>
      <c r="W3218" s="2240">
        <f t="shared" ca="1" si="1205"/>
        <v>-571</v>
      </c>
      <c r="X3218" s="2294" t="s">
        <v>725</v>
      </c>
      <c r="Y3218" s="2294"/>
      <c r="Z3218" s="1857"/>
      <c r="AA3218" s="1857"/>
    </row>
    <row r="3219" spans="1:27" hidden="1" outlineLevel="1" x14ac:dyDescent="0.35">
      <c r="A3219" s="2178" t="s">
        <v>53</v>
      </c>
      <c r="B3219" s="2179">
        <v>75</v>
      </c>
      <c r="C3219" s="2180">
        <v>351.14</v>
      </c>
      <c r="D3219" s="44">
        <f t="shared" si="1198"/>
        <v>26335.5</v>
      </c>
      <c r="E3219" s="1977">
        <f t="shared" si="1197"/>
        <v>-1.7460406290223319E-2</v>
      </c>
      <c r="F3219" s="2223">
        <f t="shared" si="1199"/>
        <v>0.12730203375691657</v>
      </c>
      <c r="G3219" s="2173">
        <v>42</v>
      </c>
      <c r="H3219" s="2225">
        <f>"10/27/2021"+90</f>
        <v>44586</v>
      </c>
      <c r="I3219" s="2122">
        <v>0.84</v>
      </c>
      <c r="J3219" s="2237">
        <v>14.34</v>
      </c>
      <c r="K3219" s="2983" t="s">
        <v>701</v>
      </c>
      <c r="L3219" s="2984"/>
      <c r="M3219" s="45"/>
      <c r="N3219" s="46"/>
      <c r="Q3219" s="47"/>
      <c r="R3219" s="48">
        <f t="shared" si="1200"/>
        <v>23072.25</v>
      </c>
      <c r="S3219" s="49">
        <f t="shared" si="1201"/>
        <v>26335.5</v>
      </c>
      <c r="T3219" s="49">
        <f t="shared" si="1202"/>
        <v>3263.25</v>
      </c>
      <c r="U3219" s="50">
        <f t="shared" si="1203"/>
        <v>0.14143614081851574</v>
      </c>
      <c r="V3219" s="2239" t="str">
        <f t="shared" si="1204"/>
        <v>ODFL</v>
      </c>
      <c r="W3219" s="2240">
        <f t="shared" ca="1" si="1205"/>
        <v>-586</v>
      </c>
      <c r="X3219" s="2294"/>
      <c r="Y3219" s="2294"/>
      <c r="Z3219" s="1857"/>
      <c r="AA3219" s="1857"/>
    </row>
    <row r="3220" spans="1:27" hidden="1" outlineLevel="1" x14ac:dyDescent="0.35">
      <c r="A3220" s="2048" t="s">
        <v>713</v>
      </c>
      <c r="B3220" s="2179">
        <v>252</v>
      </c>
      <c r="C3220" s="2180">
        <v>54.457599999999999</v>
      </c>
      <c r="D3220" s="2180">
        <f>C3220*B3220</f>
        <v>13723.315199999999</v>
      </c>
      <c r="E3220" s="1977">
        <f>(C3220-C3203)/C3203</f>
        <v>0.23964488959708627</v>
      </c>
      <c r="F3220" s="2223">
        <f t="shared" si="1199"/>
        <v>6.6336539456141194E-2</v>
      </c>
      <c r="G3220" s="2243" t="s">
        <v>228</v>
      </c>
      <c r="H3220" s="2225">
        <v>44607</v>
      </c>
      <c r="I3220" s="2122">
        <v>2.67</v>
      </c>
      <c r="J3220" s="2122">
        <v>2.58</v>
      </c>
      <c r="K3220" s="3020" t="s">
        <v>726</v>
      </c>
      <c r="L3220" s="3021"/>
      <c r="M3220" s="2247"/>
      <c r="N3220" s="46"/>
      <c r="Q3220" s="47"/>
      <c r="R3220" s="48">
        <f>RIGHT(K3220,6)*B3220</f>
        <v>11329.92</v>
      </c>
      <c r="S3220" s="49">
        <f>D3220</f>
        <v>13723.315199999999</v>
      </c>
      <c r="T3220" s="49">
        <f>S3220-R3220</f>
        <v>2393.395199999999</v>
      </c>
      <c r="U3220" s="54">
        <f>(S3220-R3220)/R3220</f>
        <v>0.21124555160142339</v>
      </c>
      <c r="V3220" s="2239" t="str">
        <f>A3220</f>
        <v>LCID</v>
      </c>
      <c r="W3220" s="2252">
        <f ca="1">H3220-TODAY()</f>
        <v>-565</v>
      </c>
      <c r="X3220" s="2294"/>
      <c r="Y3220" s="2294"/>
      <c r="Z3220" s="1857"/>
      <c r="AA3220" s="1857"/>
    </row>
    <row r="3221" spans="1:27" hidden="1" outlineLevel="1" x14ac:dyDescent="0.35">
      <c r="A3221" s="2303" t="s">
        <v>711</v>
      </c>
      <c r="B3221" s="2179">
        <v>100</v>
      </c>
      <c r="C3221" s="2180">
        <v>55.16</v>
      </c>
      <c r="D3221" s="44">
        <f t="shared" si="1198"/>
        <v>5516</v>
      </c>
      <c r="E3221" s="1977">
        <f>(C3221-C3201)/C3201</f>
        <v>-0.27344573234984199</v>
      </c>
      <c r="F3221" s="2223">
        <f t="shared" si="1199"/>
        <v>2.6663553690005955E-2</v>
      </c>
      <c r="G3221" s="2243">
        <v>-314.94</v>
      </c>
      <c r="H3221" s="2225">
        <v>44607</v>
      </c>
      <c r="I3221" s="2237">
        <v>20.440000000000001</v>
      </c>
      <c r="J3221" s="2122">
        <v>0.37530000000000002</v>
      </c>
      <c r="K3221" s="2983" t="s">
        <v>727</v>
      </c>
      <c r="L3221" s="2984"/>
      <c r="M3221" s="2149"/>
      <c r="N3221" s="46"/>
      <c r="Q3221" s="47"/>
      <c r="R3221" s="48">
        <f t="shared" si="1200"/>
        <v>5916</v>
      </c>
      <c r="S3221" s="49">
        <f t="shared" si="1201"/>
        <v>5516</v>
      </c>
      <c r="T3221" s="49">
        <f t="shared" si="1202"/>
        <v>-400</v>
      </c>
      <c r="U3221" s="50">
        <f t="shared" si="1203"/>
        <v>-6.7613252197430695E-2</v>
      </c>
      <c r="V3221" s="2239" t="str">
        <f t="shared" si="1204"/>
        <v>MARA</v>
      </c>
      <c r="W3221" s="2240">
        <f t="shared" ca="1" si="1205"/>
        <v>-565</v>
      </c>
      <c r="X3221" s="2294" t="s">
        <v>728</v>
      </c>
      <c r="Y3221" s="2294"/>
      <c r="Z3221" s="1857"/>
      <c r="AA3221" s="1857"/>
    </row>
    <row r="3222" spans="1:27" hidden="1" outlineLevel="1" x14ac:dyDescent="0.35">
      <c r="A3222" s="2303" t="s">
        <v>720</v>
      </c>
      <c r="B3222" s="2179">
        <v>120</v>
      </c>
      <c r="C3222" s="2180">
        <v>36.204999999999998</v>
      </c>
      <c r="D3222" s="44">
        <f t="shared" si="1198"/>
        <v>4344.5999999999995</v>
      </c>
      <c r="E3222" s="1977">
        <f>(C3222-C3202)/C3202</f>
        <v>-0.1806969902692917</v>
      </c>
      <c r="F3222" s="2223">
        <f t="shared" si="1199"/>
        <v>2.1001173923422746E-2</v>
      </c>
      <c r="G3222" s="2243">
        <v>-39</v>
      </c>
      <c r="H3222" s="2225">
        <v>44607</v>
      </c>
      <c r="I3222" s="2122">
        <v>0.99</v>
      </c>
      <c r="J3222" s="2122"/>
      <c r="K3222" s="2983" t="s">
        <v>721</v>
      </c>
      <c r="L3222" s="2984"/>
      <c r="M3222" s="45"/>
      <c r="N3222" s="2245"/>
      <c r="O3222" s="1373"/>
      <c r="P3222" s="1373"/>
      <c r="Q3222" s="2246"/>
      <c r="R3222" s="48">
        <f t="shared" si="1200"/>
        <v>4416</v>
      </c>
      <c r="S3222" s="49">
        <f t="shared" si="1201"/>
        <v>4344.5999999999995</v>
      </c>
      <c r="T3222" s="49">
        <f t="shared" si="1202"/>
        <v>-71.400000000000546</v>
      </c>
      <c r="U3222" s="50">
        <f t="shared" si="1203"/>
        <v>-1.616847826086969E-2</v>
      </c>
      <c r="V3222" s="2239" t="str">
        <f t="shared" si="1204"/>
        <v>RIOT</v>
      </c>
      <c r="W3222" s="2240">
        <f t="shared" ca="1" si="1205"/>
        <v>-565</v>
      </c>
      <c r="X3222" s="2294" t="s">
        <v>729</v>
      </c>
      <c r="Y3222" s="2294"/>
      <c r="Z3222" s="1857"/>
      <c r="AA3222" s="1857"/>
    </row>
    <row r="3223" spans="1:27" hidden="1" outlineLevel="1" x14ac:dyDescent="0.35">
      <c r="A3223" s="2048" t="s">
        <v>55</v>
      </c>
      <c r="B3223" s="2179">
        <v>100</v>
      </c>
      <c r="C3223" s="2180">
        <v>19.41</v>
      </c>
      <c r="D3223" s="44">
        <f t="shared" si="1198"/>
        <v>1941</v>
      </c>
      <c r="E3223" s="1977">
        <f>(C3223-C3204)/C3204</f>
        <v>-1.1207335710646912E-2</v>
      </c>
      <c r="F3223" s="2223">
        <f t="shared" si="1199"/>
        <v>9.38251590143248E-3</v>
      </c>
      <c r="G3223" s="2172">
        <v>75</v>
      </c>
      <c r="H3223" s="2225">
        <f>"10/19/2021"+90</f>
        <v>44578</v>
      </c>
      <c r="I3223" s="2122">
        <v>0.3</v>
      </c>
      <c r="J3223" s="2122">
        <v>3.07</v>
      </c>
      <c r="K3223" s="2983" t="s">
        <v>722</v>
      </c>
      <c r="L3223" s="2984"/>
      <c r="M3223" s="45"/>
      <c r="N3223" s="46"/>
      <c r="Q3223" s="47"/>
      <c r="R3223" s="2253">
        <f>RIGHT(K3223,6)*B3223</f>
        <v>2149</v>
      </c>
      <c r="S3223" s="2254">
        <f t="shared" si="1201"/>
        <v>1941</v>
      </c>
      <c r="T3223" s="2254">
        <f t="shared" si="1202"/>
        <v>-208</v>
      </c>
      <c r="U3223" s="2290">
        <f t="shared" si="1203"/>
        <v>-9.6789204281060956E-2</v>
      </c>
      <c r="V3223" s="2256" t="str">
        <f t="shared" si="1204"/>
        <v>LAZR</v>
      </c>
      <c r="W3223" s="2257">
        <f t="shared" ca="1" si="1205"/>
        <v>-594</v>
      </c>
      <c r="X3223" s="2294"/>
      <c r="Y3223" s="2294"/>
      <c r="Z3223" s="1857"/>
      <c r="AA3223" s="1857"/>
    </row>
    <row r="3224" spans="1:27" hidden="1" outlineLevel="1" x14ac:dyDescent="0.35">
      <c r="A3224" s="2303" t="s">
        <v>730</v>
      </c>
      <c r="B3224" s="2179">
        <v>150</v>
      </c>
      <c r="C3224" s="2180">
        <v>4.2</v>
      </c>
      <c r="D3224" s="44">
        <f t="shared" si="1198"/>
        <v>630</v>
      </c>
      <c r="E3224" s="1977"/>
      <c r="F3224" s="2223">
        <f t="shared" si="1199"/>
        <v>3.0453297361681931E-3</v>
      </c>
      <c r="G3224" s="2172"/>
      <c r="H3224" s="2225">
        <v>44564</v>
      </c>
      <c r="I3224" s="2131">
        <v>10.07</v>
      </c>
      <c r="J3224" s="2131">
        <v>60.69</v>
      </c>
      <c r="K3224" s="2983" t="s">
        <v>731</v>
      </c>
      <c r="L3224" s="2984"/>
      <c r="M3224" s="45"/>
      <c r="N3224" s="46"/>
      <c r="Q3224" s="47"/>
      <c r="R3224" s="2253">
        <f>RIGHT(K3224,5)*B3224</f>
        <v>648</v>
      </c>
      <c r="S3224" s="2254">
        <f t="shared" si="1201"/>
        <v>630</v>
      </c>
      <c r="T3224" s="2254">
        <f t="shared" si="1202"/>
        <v>-18</v>
      </c>
      <c r="U3224" s="2290">
        <f t="shared" si="1203"/>
        <v>-2.7777777777777776E-2</v>
      </c>
      <c r="V3224" s="2256" t="str">
        <f t="shared" si="1204"/>
        <v>HIVE</v>
      </c>
      <c r="W3224" s="2257">
        <f t="shared" ca="1" si="1205"/>
        <v>-608</v>
      </c>
      <c r="X3224" s="2294"/>
      <c r="Y3224" s="2294"/>
      <c r="Z3224" s="1857"/>
      <c r="AA3224" s="1857"/>
    </row>
    <row r="3225" spans="1:27" ht="16" hidden="1" outlineLevel="1" thickBot="1" x14ac:dyDescent="0.4">
      <c r="A3225" s="55" t="s">
        <v>7</v>
      </c>
      <c r="B3225" s="2262" t="str">
        <f>"Risky "&amp;"16%"</f>
        <v>Risky 16%</v>
      </c>
      <c r="C3225" s="2291">
        <f>SUM(D3221:D3222,D3220:D3223)</f>
        <v>35385.515199999994</v>
      </c>
      <c r="D3225" s="2264">
        <v>2360.39</v>
      </c>
      <c r="E3225" s="1977">
        <f>(D3225-D3205)/D3205</f>
        <v>-1.2947174681080394E-3</v>
      </c>
      <c r="F3225" s="2223">
        <f t="shared" si="1199"/>
        <v>1.1409787072942922E-2</v>
      </c>
      <c r="G3225" s="2053"/>
      <c r="H3225" s="1789" t="s">
        <v>59</v>
      </c>
      <c r="I3225" s="2089"/>
      <c r="J3225" s="2068"/>
      <c r="K3225" s="58"/>
      <c r="L3225" s="58"/>
      <c r="M3225" s="58"/>
      <c r="R3225" s="2265">
        <f>SUM(R3216:R3224)</f>
        <v>159272.50963000002</v>
      </c>
      <c r="S3225" s="2265">
        <f>SUM(S3216:S3224)</f>
        <v>198711.75979000001</v>
      </c>
      <c r="T3225" s="2265">
        <f>SUM(T3216:T3224)</f>
        <v>39439.250160000003</v>
      </c>
      <c r="U3225" s="2292">
        <f>AVERAGE(U3216:U3224)</f>
        <v>0.11759411937344792</v>
      </c>
      <c r="V3225" s="2208"/>
      <c r="W3225" s="2208"/>
      <c r="Z3225" s="2296"/>
      <c r="AA3225" s="2296"/>
    </row>
    <row r="3226" spans="1:27" ht="16" hidden="1" outlineLevel="1" thickBot="1" x14ac:dyDescent="0.4">
      <c r="A3226" s="55" t="s">
        <v>60</v>
      </c>
      <c r="B3226" s="2268"/>
      <c r="C3226" s="2269">
        <f>SUM(D3216:D3223)</f>
        <v>198081.75979000001</v>
      </c>
      <c r="D3226" s="59">
        <v>5802</v>
      </c>
      <c r="E3226" s="1977">
        <f>(C3226-C3207)/C3207</f>
        <v>0.39425016894680581</v>
      </c>
      <c r="F3226" s="2223">
        <f t="shared" si="1199"/>
        <v>2.8046036713091835E-2</v>
      </c>
      <c r="G3226" s="1734"/>
      <c r="H3226" s="1723" t="s">
        <v>61</v>
      </c>
      <c r="I3226" s="60">
        <v>0</v>
      </c>
      <c r="J3226" s="61"/>
      <c r="K3226" s="2090"/>
      <c r="L3226" s="2070"/>
      <c r="M3226" s="2070"/>
      <c r="Q3226" s="62"/>
      <c r="R3226" s="2293">
        <f>C3225/D3227</f>
        <v>0.17104851058443105</v>
      </c>
      <c r="S3226" s="64"/>
      <c r="T3226" s="64"/>
      <c r="U3226" s="64"/>
    </row>
    <row r="3227" spans="1:27" ht="19" hidden="1" outlineLevel="1" thickBot="1" x14ac:dyDescent="0.5">
      <c r="A3227" s="66" t="s">
        <v>62</v>
      </c>
      <c r="B3227" s="67"/>
      <c r="C3227" s="68">
        <f>SUM(D3216:D3218)</f>
        <v>146221.34458999999</v>
      </c>
      <c r="D3227" s="84">
        <f>SUM(D3216:D3226)</f>
        <v>206874.14979000002</v>
      </c>
      <c r="E3227" s="73">
        <f>(D3227-D3207)+I3227</f>
        <v>-1653.1680099999357</v>
      </c>
      <c r="F3227" s="71">
        <f>SUM(F3216:F3226)</f>
        <v>0.99999999999999967</v>
      </c>
      <c r="G3227" s="72" t="s">
        <v>63</v>
      </c>
      <c r="H3227" s="73">
        <f>E3227+E3207+E3189+E3169+E3150</f>
        <v>26564.223300000012</v>
      </c>
      <c r="I3227" s="74"/>
      <c r="J3227" s="75"/>
      <c r="K3227" s="2270" t="s">
        <v>67</v>
      </c>
      <c r="L3227" s="2271"/>
      <c r="M3227" s="2271"/>
      <c r="N3227" s="1358"/>
      <c r="O3227" s="1358"/>
      <c r="P3227" s="1358"/>
      <c r="Q3227" s="1358"/>
      <c r="R3227" s="1358"/>
      <c r="S3227" s="2275"/>
      <c r="T3227" s="2275"/>
      <c r="U3227" s="2276"/>
    </row>
    <row r="3228" spans="1:27" ht="15.75" hidden="1" customHeight="1" outlineLevel="1" x14ac:dyDescent="0.35">
      <c r="A3228" s="2985" t="s">
        <v>723</v>
      </c>
      <c r="B3228" s="2985"/>
      <c r="C3228" s="2985"/>
      <c r="D3228" s="2985"/>
      <c r="E3228" s="2985"/>
      <c r="F3228" s="2985"/>
      <c r="G3228" s="2985"/>
      <c r="H3228" s="2985"/>
      <c r="I3228" s="2985"/>
      <c r="J3228" s="2985"/>
      <c r="K3228" s="2277" t="s">
        <v>69</v>
      </c>
      <c r="L3228" s="1865"/>
      <c r="M3228" s="1865"/>
      <c r="S3228" s="1860"/>
      <c r="T3228" s="1860"/>
      <c r="U3228" s="2278"/>
    </row>
    <row r="3229" spans="1:27" hidden="1" outlineLevel="1" x14ac:dyDescent="0.35">
      <c r="A3229" s="2986"/>
      <c r="B3229" s="2986"/>
      <c r="C3229" s="2986"/>
      <c r="D3229" s="2986"/>
      <c r="E3229" s="2986"/>
      <c r="F3229" s="2986"/>
      <c r="G3229" s="2986"/>
      <c r="H3229" s="2986"/>
      <c r="I3229" s="2986"/>
      <c r="J3229" s="2986"/>
      <c r="K3229" s="2277" t="s">
        <v>70</v>
      </c>
      <c r="L3229" s="1865"/>
      <c r="M3229" s="1865"/>
      <c r="S3229" s="1860"/>
      <c r="T3229" s="1860"/>
      <c r="U3229" s="2278"/>
    </row>
    <row r="3230" spans="1:27" hidden="1" outlineLevel="1" x14ac:dyDescent="0.35">
      <c r="A3230" s="2986"/>
      <c r="B3230" s="2986"/>
      <c r="C3230" s="2986"/>
      <c r="D3230" s="2986"/>
      <c r="E3230" s="2986"/>
      <c r="F3230" s="2986"/>
      <c r="G3230" s="2986"/>
      <c r="H3230" s="2986"/>
      <c r="I3230" s="2986"/>
      <c r="J3230" s="2986"/>
      <c r="K3230" s="2277" t="s">
        <v>71</v>
      </c>
      <c r="L3230" s="1865"/>
      <c r="M3230" s="1865"/>
      <c r="S3230" s="1860"/>
      <c r="T3230" s="1860"/>
      <c r="U3230" s="2297"/>
    </row>
    <row r="3231" spans="1:27" hidden="1" outlineLevel="1" x14ac:dyDescent="0.35">
      <c r="A3231" s="8"/>
      <c r="B3231" s="9"/>
      <c r="C3231" s="8"/>
      <c r="D3231" s="8"/>
      <c r="E3231" s="8"/>
      <c r="F3231" s="10"/>
      <c r="G3231" s="11"/>
      <c r="H3231" s="12"/>
      <c r="I3231" s="8"/>
      <c r="J3231" s="12"/>
      <c r="K3231" s="2298" t="s">
        <v>20</v>
      </c>
      <c r="L3231" s="1373"/>
      <c r="M3231" s="1373"/>
      <c r="N3231" s="1373"/>
      <c r="O3231" s="1373"/>
      <c r="P3231" s="1373"/>
      <c r="Q3231" s="1373"/>
      <c r="R3231" s="1373"/>
      <c r="S3231" s="1373"/>
      <c r="T3231" s="1373"/>
      <c r="U3231" s="2299"/>
    </row>
    <row r="3232" spans="1:27" hidden="1" outlineLevel="1" x14ac:dyDescent="0.35">
      <c r="A3232" s="8" t="s">
        <v>21</v>
      </c>
      <c r="B3232" s="9"/>
      <c r="C3232" s="8"/>
      <c r="D3232" s="8"/>
      <c r="E3232" s="8"/>
      <c r="F3232" s="10"/>
      <c r="G3232" s="11"/>
      <c r="H3232" s="12"/>
      <c r="I3232" s="8"/>
      <c r="J3232" s="12"/>
      <c r="K3232" s="8"/>
      <c r="L3232" s="8"/>
      <c r="M3232" s="8"/>
      <c r="N3232" s="8"/>
      <c r="O3232" s="8"/>
      <c r="P3232" s="8"/>
      <c r="Q3232" s="8"/>
      <c r="R3232" s="8"/>
      <c r="S3232" s="8"/>
      <c r="T3232" s="8"/>
      <c r="U3232" s="8"/>
    </row>
    <row r="3233" spans="1:27" ht="16.5" hidden="1" customHeight="1" outlineLevel="1" thickBot="1" x14ac:dyDescent="0.4">
      <c r="A3233" s="1619" t="s">
        <v>25</v>
      </c>
      <c r="B3233" s="1996" t="s">
        <v>26</v>
      </c>
      <c r="C3233" s="1621" t="s">
        <v>27</v>
      </c>
      <c r="D3233" s="1622">
        <f>D3213+7</f>
        <v>44526</v>
      </c>
      <c r="E3233" s="1623" t="s">
        <v>28</v>
      </c>
      <c r="F3233" s="3002" t="s">
        <v>29</v>
      </c>
      <c r="G3233" s="3003"/>
      <c r="H3233" s="3004"/>
      <c r="I3233" s="2184" t="s">
        <v>30</v>
      </c>
      <c r="J3233" s="22">
        <v>17.38</v>
      </c>
      <c r="K3233" s="2188">
        <f>D3233-4</f>
        <v>44522</v>
      </c>
      <c r="L3233" s="23">
        <f>K3233+1</f>
        <v>44523</v>
      </c>
      <c r="M3233" s="23"/>
      <c r="N3233" s="23"/>
      <c r="O3233" s="2993" t="s">
        <v>31</v>
      </c>
      <c r="P3233" s="2994"/>
      <c r="Q3233" s="23"/>
      <c r="R3233" s="23">
        <f>L3233+1</f>
        <v>44524</v>
      </c>
      <c r="S3233" s="23">
        <f>R3233+1</f>
        <v>44525</v>
      </c>
      <c r="T3233" s="23">
        <f t="shared" ref="T3233" si="1206">S3233+1</f>
        <v>44526</v>
      </c>
      <c r="U3233" s="24"/>
    </row>
    <row r="3234" spans="1:27" ht="16" hidden="1" outlineLevel="1" thickBot="1" x14ac:dyDescent="0.4">
      <c r="A3234" s="1973" t="s">
        <v>32</v>
      </c>
      <c r="B3234" s="1997" t="str">
        <f ca="1">TEXT(TODAY(),"ddd")</f>
        <v>Sun</v>
      </c>
      <c r="C3234" s="1998">
        <v>34899</v>
      </c>
      <c r="D3234" s="1980">
        <f>C3234-C3214</f>
        <v>-693</v>
      </c>
      <c r="E3234" s="1977">
        <f>(C3234-C3214)/C3214</f>
        <v>-1.9470667565745111E-2</v>
      </c>
      <c r="F3234" s="3016"/>
      <c r="G3234" s="3005"/>
      <c r="H3234" s="3006"/>
      <c r="I3234" s="2185" t="s">
        <v>33</v>
      </c>
      <c r="J3234" s="2185">
        <v>62</v>
      </c>
      <c r="K3234" s="2061"/>
      <c r="L3234" s="2062" t="s">
        <v>34</v>
      </c>
      <c r="M3234" s="2063" t="s">
        <v>35</v>
      </c>
      <c r="N3234" s="2995"/>
      <c r="O3234" s="2996"/>
      <c r="P3234" s="2996"/>
      <c r="Q3234" s="2996"/>
      <c r="R3234" s="2996"/>
      <c r="S3234" s="2996"/>
      <c r="T3234" s="2996"/>
      <c r="U3234" s="2996"/>
      <c r="X3234" s="3019"/>
      <c r="Y3234" s="3019"/>
      <c r="Z3234" s="3019"/>
      <c r="AA3234" s="3019"/>
    </row>
    <row r="3235" spans="1:27" ht="16" hidden="1" outlineLevel="1" thickBot="1" x14ac:dyDescent="0.4">
      <c r="A3235" s="2212" t="s">
        <v>36</v>
      </c>
      <c r="B3235" s="2213"/>
      <c r="C3235" s="2213">
        <v>15491</v>
      </c>
      <c r="D3235" s="1980">
        <f>C3235-C3215</f>
        <v>-566</v>
      </c>
      <c r="E3235" s="1977">
        <f t="shared" ref="E3235" si="1207">(C3235-C3215)/C3215</f>
        <v>-3.5249423927259139E-2</v>
      </c>
      <c r="F3235" s="2216" t="s">
        <v>37</v>
      </c>
      <c r="G3235" s="36" t="s">
        <v>38</v>
      </c>
      <c r="H3235" s="37" t="s">
        <v>39</v>
      </c>
      <c r="I3235" s="38" t="s">
        <v>40</v>
      </c>
      <c r="J3235" s="39" t="s">
        <v>41</v>
      </c>
      <c r="K3235" s="2997" t="s">
        <v>42</v>
      </c>
      <c r="L3235" s="2998"/>
      <c r="M3235" s="2999"/>
      <c r="N3235" s="2217" t="s">
        <v>43</v>
      </c>
      <c r="O3235" s="40"/>
      <c r="P3235" s="40"/>
      <c r="Q3235" s="2218" t="s">
        <v>44</v>
      </c>
      <c r="R3235" s="2219" t="s">
        <v>45</v>
      </c>
      <c r="S3235" s="2219" t="s">
        <v>46</v>
      </c>
      <c r="T3235" s="2219" t="s">
        <v>47</v>
      </c>
      <c r="U3235" s="2285" t="s">
        <v>48</v>
      </c>
      <c r="V3235" s="2221" t="s">
        <v>244</v>
      </c>
      <c r="W3235" s="2221" t="s">
        <v>696</v>
      </c>
      <c r="X3235" s="603"/>
      <c r="Y3235" s="603"/>
      <c r="Z3235" s="603"/>
      <c r="AA3235" s="603"/>
    </row>
    <row r="3236" spans="1:27" hidden="1" outlineLevel="1" x14ac:dyDescent="0.35">
      <c r="A3236" s="2178" t="s">
        <v>49</v>
      </c>
      <c r="B3236" s="2179">
        <v>240.03800000000001</v>
      </c>
      <c r="C3236" s="2180">
        <v>315.02999999999997</v>
      </c>
      <c r="D3236" s="82">
        <f>C3236*B3236</f>
        <v>75619.171139999991</v>
      </c>
      <c r="E3236" s="1989">
        <f>(C3236-C3217)/C3217</f>
        <v>-4.3421492120365626E-2</v>
      </c>
      <c r="F3236" s="2223">
        <f t="shared" ref="F3236:F3241" si="1208">D3236/$D$3242</f>
        <v>0.39119585407202823</v>
      </c>
      <c r="G3236" s="2172">
        <v>105</v>
      </c>
      <c r="H3236" s="2225">
        <v>44609</v>
      </c>
      <c r="I3236" s="2122">
        <v>0.6</v>
      </c>
      <c r="J3236" s="2237">
        <v>12.29</v>
      </c>
      <c r="K3236" s="2983" t="s">
        <v>50</v>
      </c>
      <c r="L3236" s="2984"/>
      <c r="M3236" s="45"/>
      <c r="N3236" s="46"/>
      <c r="Q3236" s="47"/>
      <c r="R3236" s="48">
        <f>RIGHT(K3236,6)*B3236</f>
        <v>62825.145740000007</v>
      </c>
      <c r="S3236" s="49">
        <f>D3236</f>
        <v>75619.171139999991</v>
      </c>
      <c r="T3236" s="49">
        <f>S3236-R3236</f>
        <v>12794.025399999984</v>
      </c>
      <c r="U3236" s="50">
        <f>(S3236-R3236)/R3236</f>
        <v>0.20364497764872169</v>
      </c>
      <c r="V3236" s="2239" t="str">
        <f>A3236</f>
        <v>NVDA</v>
      </c>
      <c r="W3236" s="2240">
        <f ca="1">H3236-TODAY()</f>
        <v>-563</v>
      </c>
      <c r="X3236" s="2294"/>
      <c r="Y3236" s="2294"/>
      <c r="Z3236" s="1857"/>
      <c r="AA3236" s="1857"/>
    </row>
    <row r="3237" spans="1:27" hidden="1" outlineLevel="1" x14ac:dyDescent="0.35">
      <c r="A3237" s="51" t="s">
        <v>51</v>
      </c>
      <c r="B3237" s="2179">
        <v>150.44499999999999</v>
      </c>
      <c r="C3237" s="2180">
        <v>398.96</v>
      </c>
      <c r="D3237" s="69">
        <f t="shared" ref="D3237:D3239" si="1209">C3237*B3237</f>
        <v>60021.537199999992</v>
      </c>
      <c r="E3237" s="1977">
        <f>(C3237-C3216)/C3216</f>
        <v>-5.4798739605297443E-2</v>
      </c>
      <c r="F3237" s="2223">
        <f t="shared" si="1208"/>
        <v>0.31050560530740584</v>
      </c>
      <c r="G3237" s="2224">
        <v>23</v>
      </c>
      <c r="H3237" s="2225">
        <f>"10/27/2021"+90</f>
        <v>44586</v>
      </c>
      <c r="I3237" s="2226">
        <v>0.56000000000000005</v>
      </c>
      <c r="J3237" s="2122">
        <v>3.51</v>
      </c>
      <c r="K3237" s="3000" t="s">
        <v>52</v>
      </c>
      <c r="L3237" s="3001"/>
      <c r="M3237" s="2227"/>
      <c r="N3237" s="2228"/>
      <c r="O3237" s="1374"/>
      <c r="P3237" s="1374"/>
      <c r="Q3237" s="2229"/>
      <c r="R3237" s="2230">
        <f t="shared" ref="R3237:R3239" si="1210">RIGHT(K3237,6)*B3237</f>
        <v>49169.939349999993</v>
      </c>
      <c r="S3237" s="2231">
        <f t="shared" ref="S3237:S3239" si="1211">D3237</f>
        <v>60021.537199999992</v>
      </c>
      <c r="T3237" s="2231">
        <f t="shared" ref="T3237:T3239" si="1212">S3237-R3237</f>
        <v>10851.597849999998</v>
      </c>
      <c r="U3237" s="2286">
        <f t="shared" ref="U3237:U3239" si="1213">(S3237-R3237)/R3237</f>
        <v>0.22069577456169873</v>
      </c>
      <c r="V3237" s="2233" t="str">
        <f t="shared" ref="V3237:V3239" si="1214">A3237</f>
        <v>KLAC</v>
      </c>
      <c r="W3237" s="2234">
        <f t="shared" ref="W3237:W3239" ca="1" si="1215">H3237-TODAY()</f>
        <v>-586</v>
      </c>
      <c r="X3237" s="2294"/>
      <c r="Y3237" s="2294"/>
      <c r="Z3237" s="1857"/>
      <c r="AA3237" s="1857"/>
    </row>
    <row r="3238" spans="1:27" hidden="1" outlineLevel="1" x14ac:dyDescent="0.35">
      <c r="A3238" s="2178" t="s">
        <v>53</v>
      </c>
      <c r="B3238" s="2179">
        <v>105</v>
      </c>
      <c r="C3238" s="2180">
        <v>352.06</v>
      </c>
      <c r="D3238" s="82">
        <f t="shared" si="1209"/>
        <v>36966.300000000003</v>
      </c>
      <c r="E3238" s="1977">
        <f>(C3238-C3219)/C3219</f>
        <v>2.6200375918437545E-3</v>
      </c>
      <c r="F3238" s="2223">
        <f t="shared" si="1208"/>
        <v>0.19123541136955682</v>
      </c>
      <c r="G3238" s="2173">
        <v>42</v>
      </c>
      <c r="H3238" s="2225">
        <f>"10/27/2021"+90</f>
        <v>44586</v>
      </c>
      <c r="I3238" s="2122">
        <v>0.84</v>
      </c>
      <c r="J3238" s="2237">
        <v>14.34</v>
      </c>
      <c r="K3238" s="2983" t="s">
        <v>54</v>
      </c>
      <c r="L3238" s="2984"/>
      <c r="M3238" s="45"/>
      <c r="N3238" s="46"/>
      <c r="Q3238" s="47"/>
      <c r="R3238" s="48">
        <f t="shared" si="1210"/>
        <v>33792.15</v>
      </c>
      <c r="S3238" s="49">
        <f t="shared" si="1211"/>
        <v>36966.300000000003</v>
      </c>
      <c r="T3238" s="49">
        <f t="shared" si="1212"/>
        <v>3174.1500000000015</v>
      </c>
      <c r="U3238" s="50">
        <f t="shared" si="1213"/>
        <v>9.3931578783830016E-2</v>
      </c>
      <c r="V3238" s="2239" t="str">
        <f t="shared" si="1214"/>
        <v>ODFL</v>
      </c>
      <c r="W3238" s="2240">
        <f t="shared" ca="1" si="1215"/>
        <v>-586</v>
      </c>
      <c r="X3238" s="2294"/>
      <c r="Y3238" s="2294"/>
      <c r="Z3238" s="1857"/>
      <c r="AA3238" s="1857"/>
    </row>
    <row r="3239" spans="1:27" hidden="1" outlineLevel="1" x14ac:dyDescent="0.35">
      <c r="A3239" s="2048" t="s">
        <v>713</v>
      </c>
      <c r="B3239" s="2179">
        <v>252</v>
      </c>
      <c r="C3239" s="2180">
        <v>51.72</v>
      </c>
      <c r="D3239" s="2180">
        <f t="shared" si="1209"/>
        <v>13033.44</v>
      </c>
      <c r="E3239" s="1977">
        <f>(C3239-C3220)/C3220</f>
        <v>-5.0270302033141388E-2</v>
      </c>
      <c r="F3239" s="2223">
        <f t="shared" si="1208"/>
        <v>6.7425067154690529E-2</v>
      </c>
      <c r="G3239" s="2243" t="s">
        <v>66</v>
      </c>
      <c r="H3239" s="2225">
        <v>44607</v>
      </c>
      <c r="I3239" s="2122">
        <v>2.67</v>
      </c>
      <c r="J3239" s="2122">
        <v>2.58</v>
      </c>
      <c r="K3239" s="2983" t="s">
        <v>726</v>
      </c>
      <c r="L3239" s="2984"/>
      <c r="M3239" s="2247"/>
      <c r="N3239" s="46"/>
      <c r="Q3239" s="47"/>
      <c r="R3239" s="48">
        <f t="shared" si="1210"/>
        <v>11329.92</v>
      </c>
      <c r="S3239" s="49">
        <f t="shared" si="1211"/>
        <v>13033.44</v>
      </c>
      <c r="T3239" s="49">
        <f t="shared" si="1212"/>
        <v>1703.5200000000004</v>
      </c>
      <c r="U3239" s="54">
        <f t="shared" si="1213"/>
        <v>0.15035587188612104</v>
      </c>
      <c r="V3239" s="2239" t="str">
        <f t="shared" si="1214"/>
        <v>LCID</v>
      </c>
      <c r="W3239" s="2252">
        <f t="shared" ca="1" si="1215"/>
        <v>-565</v>
      </c>
      <c r="X3239" s="2294"/>
      <c r="Y3239" s="2294"/>
      <c r="Z3239" s="1857"/>
      <c r="AA3239" s="1857"/>
    </row>
    <row r="3240" spans="1:27" ht="16" hidden="1" outlineLevel="1" thickBot="1" x14ac:dyDescent="0.4">
      <c r="A3240" s="55" t="s">
        <v>7</v>
      </c>
      <c r="B3240" s="2304"/>
      <c r="C3240" s="2305"/>
      <c r="D3240" s="2264">
        <v>2325</v>
      </c>
      <c r="E3240" s="1977">
        <f>(D3240-D3225)/D3225</f>
        <v>-1.4993285007985916E-2</v>
      </c>
      <c r="F3240" s="2223">
        <f t="shared" si="1208"/>
        <v>1.202777479580644E-2</v>
      </c>
      <c r="G3240" s="2053"/>
      <c r="H3240" s="1789" t="s">
        <v>59</v>
      </c>
      <c r="I3240" s="2089"/>
      <c r="J3240" s="2068"/>
      <c r="K3240" s="58"/>
      <c r="L3240" s="58"/>
      <c r="M3240" s="58"/>
      <c r="R3240" s="2265">
        <f>SUM(R3236:R3239)</f>
        <v>157117.15509000001</v>
      </c>
      <c r="S3240" s="2265">
        <f t="shared" ref="S3240:T3240" si="1216">SUM(S3236:S3239)</f>
        <v>185640.44834</v>
      </c>
      <c r="T3240" s="2265">
        <f t="shared" si="1216"/>
        <v>28523.293249999984</v>
      </c>
      <c r="U3240" s="2292">
        <f>AVERAGE(U3236:U3239)</f>
        <v>0.1671570507200929</v>
      </c>
      <c r="V3240" s="2208"/>
      <c r="W3240" s="2208"/>
      <c r="Z3240" s="2296"/>
      <c r="AA3240" s="2296"/>
    </row>
    <row r="3241" spans="1:27" ht="16" hidden="1" outlineLevel="1" thickBot="1" x14ac:dyDescent="0.4">
      <c r="A3241" s="55" t="s">
        <v>60</v>
      </c>
      <c r="B3241" s="2268"/>
      <c r="C3241" s="2269">
        <f>SUM(D3237:D3239)</f>
        <v>110021.2772</v>
      </c>
      <c r="D3241" s="59">
        <v>5337.14</v>
      </c>
      <c r="E3241" s="1977">
        <f>(D3241-D3226)/D3226</f>
        <v>-8.0120648052395674E-2</v>
      </c>
      <c r="F3241" s="2223">
        <f t="shared" si="1208"/>
        <v>2.7610287300511994E-2</v>
      </c>
      <c r="G3241" s="1734"/>
      <c r="H3241" s="1723" t="s">
        <v>61</v>
      </c>
      <c r="I3241" s="60">
        <v>0</v>
      </c>
      <c r="J3241" s="61"/>
      <c r="K3241" s="2090"/>
      <c r="L3241" s="2070"/>
      <c r="M3241" s="2070"/>
      <c r="Q3241" s="62"/>
      <c r="R3241" s="2293">
        <f>C3240/D3242</f>
        <v>0</v>
      </c>
      <c r="S3241" s="64"/>
      <c r="T3241" s="64"/>
      <c r="U3241" s="64"/>
    </row>
    <row r="3242" spans="1:27" ht="19" hidden="1" outlineLevel="1" thickBot="1" x14ac:dyDescent="0.5">
      <c r="A3242" s="66" t="s">
        <v>62</v>
      </c>
      <c r="B3242" s="67"/>
      <c r="C3242" s="68">
        <f>SUM(D3237:D3237)</f>
        <v>60021.537199999992</v>
      </c>
      <c r="D3242" s="84">
        <f>SUM(D3236:D3241)</f>
        <v>193302.58834000002</v>
      </c>
      <c r="E3242" s="70">
        <f>(D3242-D3227)</f>
        <v>-13571.561450000008</v>
      </c>
      <c r="F3242" s="71">
        <f>SUM(F3236:F3241)</f>
        <v>0.99999999999999978</v>
      </c>
      <c r="G3242" s="72" t="s">
        <v>63</v>
      </c>
      <c r="H3242" s="73">
        <f>E3242+E3227+E3207+E3189+E3170</f>
        <v>12698.814110000007</v>
      </c>
      <c r="I3242" s="74"/>
      <c r="J3242" s="75"/>
      <c r="K3242" s="2270" t="s">
        <v>67</v>
      </c>
      <c r="L3242" s="2271"/>
      <c r="M3242" s="2271"/>
      <c r="N3242" s="1358"/>
      <c r="O3242" s="1358"/>
      <c r="P3242" s="1358"/>
      <c r="Q3242" s="1358"/>
      <c r="R3242" s="1358"/>
      <c r="S3242" s="2275"/>
      <c r="T3242" s="2275"/>
      <c r="U3242" s="2276"/>
    </row>
    <row r="3243" spans="1:27" ht="15.75" hidden="1" customHeight="1" outlineLevel="1" x14ac:dyDescent="0.35">
      <c r="A3243" s="2985" t="s">
        <v>64</v>
      </c>
      <c r="B3243" s="2985"/>
      <c r="C3243" s="2985"/>
      <c r="D3243" s="2985"/>
      <c r="E3243" s="2985"/>
      <c r="F3243" s="2985"/>
      <c r="G3243" s="2985"/>
      <c r="H3243" s="2985"/>
      <c r="I3243" s="2985"/>
      <c r="J3243" s="2985"/>
      <c r="K3243" s="2277" t="s">
        <v>69</v>
      </c>
      <c r="L3243" s="1865"/>
      <c r="M3243" s="1865"/>
      <c r="S3243" s="1860"/>
      <c r="T3243" s="1860"/>
      <c r="U3243" s="2278"/>
    </row>
    <row r="3244" spans="1:27" hidden="1" outlineLevel="1" x14ac:dyDescent="0.35">
      <c r="A3244" s="2986"/>
      <c r="B3244" s="2986"/>
      <c r="C3244" s="2986"/>
      <c r="D3244" s="2986"/>
      <c r="E3244" s="2986"/>
      <c r="F3244" s="2986"/>
      <c r="G3244" s="2986"/>
      <c r="H3244" s="2986"/>
      <c r="I3244" s="2986"/>
      <c r="J3244" s="2986"/>
      <c r="K3244" s="2277" t="s">
        <v>70</v>
      </c>
      <c r="L3244" s="1865"/>
      <c r="M3244" s="1865"/>
      <c r="S3244" s="1860"/>
      <c r="T3244" s="1860"/>
      <c r="U3244" s="2278"/>
    </row>
    <row r="3245" spans="1:27" hidden="1" outlineLevel="1" x14ac:dyDescent="0.35">
      <c r="A3245" s="2986"/>
      <c r="B3245" s="2986"/>
      <c r="C3245" s="2986"/>
      <c r="D3245" s="2986"/>
      <c r="E3245" s="2986"/>
      <c r="F3245" s="2986"/>
      <c r="G3245" s="2986"/>
      <c r="H3245" s="2986"/>
      <c r="I3245" s="2986"/>
      <c r="J3245" s="2986"/>
      <c r="K3245" s="2277" t="s">
        <v>71</v>
      </c>
      <c r="L3245" s="1865"/>
      <c r="M3245" s="1865"/>
      <c r="S3245" s="1860"/>
      <c r="T3245" s="1860"/>
      <c r="U3245" s="2297"/>
    </row>
    <row r="3246" spans="1:27" hidden="1" outlineLevel="1" x14ac:dyDescent="0.35">
      <c r="A3246" s="8"/>
      <c r="B3246" s="9"/>
      <c r="C3246" s="8"/>
      <c r="D3246" s="8"/>
      <c r="E3246" s="8"/>
      <c r="F3246" s="10"/>
      <c r="G3246" s="11"/>
      <c r="H3246" s="12"/>
      <c r="I3246" s="8"/>
      <c r="J3246" s="12"/>
      <c r="K3246" s="2298" t="s">
        <v>20</v>
      </c>
      <c r="L3246" s="1373"/>
      <c r="M3246" s="1373"/>
      <c r="N3246" s="1373"/>
      <c r="O3246" s="1373"/>
      <c r="P3246" s="1373"/>
      <c r="Q3246" s="1373"/>
      <c r="R3246" s="1373"/>
      <c r="S3246" s="1373"/>
      <c r="T3246" s="1373"/>
      <c r="U3246" s="2299"/>
    </row>
    <row r="3247" spans="1:27" hidden="1" outlineLevel="1" x14ac:dyDescent="0.35">
      <c r="A3247" s="8" t="s">
        <v>21</v>
      </c>
      <c r="B3247" s="9"/>
      <c r="C3247" s="8"/>
      <c r="D3247" s="8"/>
      <c r="E3247" s="8"/>
      <c r="F3247" s="10"/>
      <c r="G3247" s="11"/>
      <c r="H3247" s="12"/>
      <c r="I3247" s="8"/>
      <c r="J3247" s="12"/>
      <c r="K3247" s="8"/>
      <c r="L3247" s="8"/>
      <c r="M3247" s="8"/>
      <c r="N3247" s="8"/>
      <c r="O3247" s="8"/>
      <c r="P3247" s="8"/>
      <c r="Q3247" s="8"/>
      <c r="R3247" s="8"/>
      <c r="S3247" s="8"/>
      <c r="T3247" s="8"/>
      <c r="U3247" s="8"/>
    </row>
    <row r="3248" spans="1:27" ht="16" hidden="1" outlineLevel="1" thickBot="1" x14ac:dyDescent="0.4">
      <c r="A3248" s="1619" t="s">
        <v>25</v>
      </c>
      <c r="B3248" s="1996" t="s">
        <v>26</v>
      </c>
      <c r="C3248" s="1621" t="s">
        <v>27</v>
      </c>
      <c r="D3248" s="1622">
        <f>D3233+7</f>
        <v>44533</v>
      </c>
      <c r="E3248" s="1623" t="s">
        <v>28</v>
      </c>
      <c r="F3248" s="3002" t="s">
        <v>29</v>
      </c>
      <c r="G3248" s="3003"/>
      <c r="H3248" s="3004"/>
      <c r="I3248" s="2184" t="s">
        <v>30</v>
      </c>
      <c r="J3248" s="2306">
        <v>30.67</v>
      </c>
      <c r="K3248" s="2188">
        <f>D3248-4</f>
        <v>44529</v>
      </c>
      <c r="L3248" s="2188">
        <f>K3248+1</f>
        <v>44530</v>
      </c>
      <c r="M3248" s="2188"/>
      <c r="N3248" s="2188"/>
      <c r="O3248" s="3014" t="s">
        <v>31</v>
      </c>
      <c r="P3248" s="3015"/>
      <c r="Q3248" s="2188"/>
      <c r="R3248" s="2188">
        <f>L3248+1</f>
        <v>44531</v>
      </c>
      <c r="S3248" s="2188">
        <f>R3248+1</f>
        <v>44532</v>
      </c>
      <c r="T3248" s="23">
        <f t="shared" ref="T3248" si="1217">S3248+1</f>
        <v>44533</v>
      </c>
      <c r="U3248" s="24"/>
    </row>
    <row r="3249" spans="1:23" ht="16" hidden="1" outlineLevel="1" thickBot="1" x14ac:dyDescent="0.4">
      <c r="A3249" s="1973" t="s">
        <v>32</v>
      </c>
      <c r="B3249" s="1997" t="str">
        <f ca="1">TEXT(TODAY(),"ddd")</f>
        <v>Sun</v>
      </c>
      <c r="C3249" s="1998">
        <v>34580</v>
      </c>
      <c r="D3249" s="1980">
        <f>C3249-C3234</f>
        <v>-319</v>
      </c>
      <c r="E3249" s="1977">
        <f>(C3249-C3234)/C3234</f>
        <v>-9.1406630562480308E-3</v>
      </c>
      <c r="F3249" s="3016"/>
      <c r="G3249" s="3005"/>
      <c r="H3249" s="3006"/>
      <c r="I3249" s="2185" t="s">
        <v>33</v>
      </c>
      <c r="J3249" s="2307">
        <v>20</v>
      </c>
      <c r="K3249" s="2061"/>
      <c r="L3249" s="2062" t="s">
        <v>34</v>
      </c>
      <c r="M3249" s="2063" t="s">
        <v>35</v>
      </c>
      <c r="N3249" s="3017" t="str">
        <f>"Nasdaq "&amp;SUM(D3250,D3235,D3215,D3196,D3178)</f>
        <v>Nasdaq -413</v>
      </c>
      <c r="O3249" s="3018"/>
      <c r="P3249" s="3018"/>
      <c r="Q3249" s="3018"/>
      <c r="R3249" s="3018"/>
      <c r="S3249" s="3018"/>
      <c r="T3249" s="3018"/>
      <c r="U3249" s="3018"/>
    </row>
    <row r="3250" spans="1:23" ht="16" hidden="1" outlineLevel="1" thickBot="1" x14ac:dyDescent="0.4">
      <c r="A3250" s="2212" t="s">
        <v>36</v>
      </c>
      <c r="B3250" s="2213"/>
      <c r="C3250" s="2213">
        <v>15085</v>
      </c>
      <c r="D3250" s="1980">
        <f>C3250-C3235</f>
        <v>-406</v>
      </c>
      <c r="E3250" s="1977">
        <f>(C3250-C3235)/C3235</f>
        <v>-2.6208766380478987E-2</v>
      </c>
      <c r="F3250" s="2216" t="s">
        <v>37</v>
      </c>
      <c r="G3250" s="36" t="s">
        <v>38</v>
      </c>
      <c r="H3250" s="37" t="s">
        <v>39</v>
      </c>
      <c r="I3250" s="38" t="s">
        <v>40</v>
      </c>
      <c r="J3250" s="39" t="s">
        <v>41</v>
      </c>
      <c r="K3250" s="2997" t="s">
        <v>42</v>
      </c>
      <c r="L3250" s="2998"/>
      <c r="M3250" s="2999"/>
      <c r="N3250" s="2217" t="s">
        <v>43</v>
      </c>
      <c r="O3250" s="40"/>
      <c r="P3250" s="40"/>
      <c r="Q3250" s="2218" t="s">
        <v>44</v>
      </c>
      <c r="R3250" s="2219" t="s">
        <v>45</v>
      </c>
      <c r="S3250" s="2219" t="s">
        <v>46</v>
      </c>
      <c r="T3250" s="2219" t="s">
        <v>47</v>
      </c>
      <c r="U3250" s="2285" t="s">
        <v>48</v>
      </c>
      <c r="V3250" s="2221" t="s">
        <v>244</v>
      </c>
      <c r="W3250" s="2221" t="s">
        <v>696</v>
      </c>
    </row>
    <row r="3251" spans="1:23" hidden="1" outlineLevel="1" x14ac:dyDescent="0.35">
      <c r="A3251" s="2178" t="s">
        <v>49</v>
      </c>
      <c r="B3251" s="2179">
        <v>240.03800000000001</v>
      </c>
      <c r="C3251" s="2180">
        <v>306.93</v>
      </c>
      <c r="D3251" s="82">
        <f>C3251*B3251</f>
        <v>73674.863340000011</v>
      </c>
      <c r="E3251" s="1977">
        <f t="shared" ref="E3251:E3256" si="1218">(C3251-C3236)/C3236</f>
        <v>-2.5711836967907711E-2</v>
      </c>
      <c r="F3251" s="2223">
        <f>D3251/$D$3257</f>
        <v>0.38558794904058669</v>
      </c>
      <c r="G3251" s="2172">
        <v>105</v>
      </c>
      <c r="H3251" s="2225">
        <v>44609</v>
      </c>
      <c r="I3251" s="2122">
        <v>0.6</v>
      </c>
      <c r="J3251" s="2237">
        <v>12.29</v>
      </c>
      <c r="K3251" s="2983" t="s">
        <v>50</v>
      </c>
      <c r="L3251" s="2984"/>
      <c r="M3251" s="45"/>
      <c r="N3251" s="46"/>
      <c r="Q3251" s="47"/>
      <c r="R3251" s="48">
        <f>RIGHT(K3251,6)*B3251</f>
        <v>62825.145740000007</v>
      </c>
      <c r="S3251" s="49">
        <f>D3251</f>
        <v>73674.863340000011</v>
      </c>
      <c r="T3251" s="49">
        <f>S3251-R3251</f>
        <v>10849.717600000004</v>
      </c>
      <c r="U3251" s="50">
        <f>(S3251-R3251)/R3251</f>
        <v>0.17269705421617701</v>
      </c>
      <c r="V3251" s="2239" t="str">
        <f>A3251</f>
        <v>NVDA</v>
      </c>
      <c r="W3251" s="2240">
        <f ca="1">H3251-TODAY()</f>
        <v>-563</v>
      </c>
    </row>
    <row r="3252" spans="1:23" hidden="1" outlineLevel="1" x14ac:dyDescent="0.35">
      <c r="A3252" s="51" t="s">
        <v>51</v>
      </c>
      <c r="B3252" s="2179">
        <v>150.83099999999999</v>
      </c>
      <c r="C3252" s="2180">
        <v>400.68</v>
      </c>
      <c r="D3252" s="69">
        <f t="shared" ref="D3252:D3254" si="1219">C3252*B3252</f>
        <v>60434.965079999994</v>
      </c>
      <c r="E3252" s="1977">
        <f t="shared" si="1218"/>
        <v>4.3112091437738807E-3</v>
      </c>
      <c r="F3252" s="2223">
        <f t="shared" ref="F3252:F3256" si="1220">D3252/$D$3257</f>
        <v>0.31629504527204011</v>
      </c>
      <c r="G3252" s="2224">
        <v>23</v>
      </c>
      <c r="H3252" s="2225">
        <f>"10/27/2021"+90</f>
        <v>44586</v>
      </c>
      <c r="I3252" s="2226">
        <v>0.56000000000000005</v>
      </c>
      <c r="J3252" s="2122">
        <v>3.51</v>
      </c>
      <c r="K3252" s="3000" t="s">
        <v>52</v>
      </c>
      <c r="L3252" s="3001"/>
      <c r="M3252" s="2227"/>
      <c r="N3252" s="2228"/>
      <c r="O3252" s="1374"/>
      <c r="P3252" s="1374"/>
      <c r="Q3252" s="2229"/>
      <c r="R3252" s="2230">
        <f t="shared" ref="R3252:R3254" si="1221">RIGHT(K3252,6)*B3252</f>
        <v>49296.095729999994</v>
      </c>
      <c r="S3252" s="2231">
        <f t="shared" ref="S3252:S3254" si="1222">D3252</f>
        <v>60434.965079999994</v>
      </c>
      <c r="T3252" s="2231">
        <f t="shared" ref="T3252:T3254" si="1223">S3252-R3252</f>
        <v>11138.869350000001</v>
      </c>
      <c r="U3252" s="2286">
        <f t="shared" ref="U3252:U3254" si="1224">(S3252-R3252)/R3252</f>
        <v>0.22595844934675524</v>
      </c>
      <c r="V3252" s="2233" t="str">
        <f t="shared" ref="V3252:V3254" si="1225">A3252</f>
        <v>KLAC</v>
      </c>
      <c r="W3252" s="2234">
        <f t="shared" ref="W3252:W3254" ca="1" si="1226">H3252-TODAY()</f>
        <v>-586</v>
      </c>
    </row>
    <row r="3253" spans="1:23" hidden="1" outlineLevel="1" x14ac:dyDescent="0.35">
      <c r="A3253" s="2178" t="s">
        <v>53</v>
      </c>
      <c r="B3253" s="2179">
        <v>105</v>
      </c>
      <c r="C3253" s="2180">
        <v>358.98</v>
      </c>
      <c r="D3253" s="82">
        <f t="shared" si="1219"/>
        <v>37692.9</v>
      </c>
      <c r="E3253" s="1977">
        <f t="shared" si="1218"/>
        <v>1.9655740498778662E-2</v>
      </c>
      <c r="F3253" s="2223">
        <f t="shared" si="1220"/>
        <v>0.19727119054594949</v>
      </c>
      <c r="G3253" s="2173">
        <v>42</v>
      </c>
      <c r="H3253" s="2225">
        <f>"10/27/2021"+90</f>
        <v>44586</v>
      </c>
      <c r="I3253" s="2122">
        <v>0.84</v>
      </c>
      <c r="J3253" s="2237">
        <v>14.34</v>
      </c>
      <c r="K3253" s="2983" t="s">
        <v>54</v>
      </c>
      <c r="L3253" s="2984"/>
      <c r="M3253" s="45"/>
      <c r="N3253" s="46"/>
      <c r="Q3253" s="47"/>
      <c r="R3253" s="48">
        <f t="shared" si="1221"/>
        <v>33792.15</v>
      </c>
      <c r="S3253" s="49">
        <f t="shared" si="1222"/>
        <v>37692.9</v>
      </c>
      <c r="T3253" s="49">
        <f t="shared" si="1223"/>
        <v>3900.75</v>
      </c>
      <c r="U3253" s="50">
        <f t="shared" si="1224"/>
        <v>0.11543361401982413</v>
      </c>
      <c r="V3253" s="2239" t="str">
        <f t="shared" si="1225"/>
        <v>ODFL</v>
      </c>
      <c r="W3253" s="2240">
        <f t="shared" ca="1" si="1226"/>
        <v>-586</v>
      </c>
    </row>
    <row r="3254" spans="1:23" hidden="1" outlineLevel="1" x14ac:dyDescent="0.35">
      <c r="A3254" s="2048" t="s">
        <v>713</v>
      </c>
      <c r="B3254" s="2259">
        <v>252</v>
      </c>
      <c r="C3254" s="2260">
        <v>47.27</v>
      </c>
      <c r="D3254" s="2180">
        <f t="shared" si="1219"/>
        <v>11912.04</v>
      </c>
      <c r="E3254" s="1977">
        <f t="shared" si="1218"/>
        <v>-8.60402165506573E-2</v>
      </c>
      <c r="F3254" s="2223">
        <f t="shared" si="1220"/>
        <v>6.2343367388313774E-2</v>
      </c>
      <c r="G3254" s="2243" t="s">
        <v>66</v>
      </c>
      <c r="H3254" s="2225">
        <v>44607</v>
      </c>
      <c r="I3254" s="2122">
        <v>2.67</v>
      </c>
      <c r="J3254" s="2122">
        <v>2.58</v>
      </c>
      <c r="K3254" s="2983" t="s">
        <v>726</v>
      </c>
      <c r="L3254" s="2984"/>
      <c r="M3254" s="2247"/>
      <c r="N3254" s="46"/>
      <c r="Q3254" s="47"/>
      <c r="R3254" s="48">
        <f t="shared" si="1221"/>
        <v>11329.92</v>
      </c>
      <c r="S3254" s="49">
        <f t="shared" si="1222"/>
        <v>11912.04</v>
      </c>
      <c r="T3254" s="49">
        <f t="shared" si="1223"/>
        <v>582.1200000000008</v>
      </c>
      <c r="U3254" s="54">
        <f t="shared" si="1224"/>
        <v>5.1379003558718932E-2</v>
      </c>
      <c r="V3254" s="2239" t="str">
        <f t="shared" si="1225"/>
        <v>LCID</v>
      </c>
      <c r="W3254" s="2252">
        <f t="shared" ca="1" si="1226"/>
        <v>-565</v>
      </c>
    </row>
    <row r="3255" spans="1:23" ht="16" hidden="1" outlineLevel="1" thickBot="1" x14ac:dyDescent="0.4">
      <c r="A3255" s="55" t="s">
        <v>7</v>
      </c>
      <c r="B3255" s="56"/>
      <c r="C3255" s="57"/>
      <c r="D3255" s="2264">
        <v>2319.5500000000002</v>
      </c>
      <c r="E3255" s="1977">
        <f>(D3255-D3240)/D3240</f>
        <v>-2.344086021505298E-3</v>
      </c>
      <c r="F3255" s="2223">
        <f t="shared" si="1220"/>
        <v>1.2139697132108624E-2</v>
      </c>
      <c r="G3255" s="2053"/>
      <c r="H3255" s="1789" t="s">
        <v>59</v>
      </c>
      <c r="I3255" s="2089"/>
      <c r="J3255" s="2068"/>
      <c r="K3255" s="58"/>
      <c r="L3255" s="58"/>
      <c r="M3255" s="58"/>
      <c r="R3255" s="2265">
        <f t="shared" ref="R3255:S3255" si="1227">SUM(R3251:R3254)</f>
        <v>157243.31147000002</v>
      </c>
      <c r="S3255" s="2265">
        <f t="shared" si="1227"/>
        <v>183714.76842000001</v>
      </c>
      <c r="T3255" s="2265">
        <f>SUM(T3251:T3254)</f>
        <v>26471.456950000007</v>
      </c>
      <c r="U3255" s="2292">
        <f>AVERAGE(U3251:U3254)</f>
        <v>0.14136703028536882</v>
      </c>
      <c r="V3255" s="2208"/>
      <c r="W3255" s="2208"/>
    </row>
    <row r="3256" spans="1:23" ht="16" hidden="1" outlineLevel="1" thickBot="1" x14ac:dyDescent="0.4">
      <c r="A3256" s="55" t="s">
        <v>60</v>
      </c>
      <c r="B3256" s="2268"/>
      <c r="C3256" s="2269">
        <f>SUM(D3252:D3254)</f>
        <v>110039.90508</v>
      </c>
      <c r="D3256" s="59">
        <v>5037.17</v>
      </c>
      <c r="E3256" s="1977">
        <f t="shared" si="1218"/>
        <v>1.6931161384481732E-4</v>
      </c>
      <c r="F3256" s="2223">
        <f t="shared" si="1220"/>
        <v>2.636275062100131E-2</v>
      </c>
      <c r="G3256" s="1734"/>
      <c r="H3256" s="1723" t="s">
        <v>61</v>
      </c>
      <c r="I3256" s="60">
        <v>0</v>
      </c>
      <c r="J3256" s="61"/>
      <c r="K3256" s="2090"/>
      <c r="L3256" s="2070"/>
      <c r="M3256" s="2070"/>
      <c r="Q3256" s="62"/>
      <c r="R3256" s="2293">
        <f>C3255/D3257</f>
        <v>0</v>
      </c>
      <c r="S3256" s="64"/>
      <c r="T3256" s="64"/>
      <c r="U3256" s="64"/>
    </row>
    <row r="3257" spans="1:23" ht="19" hidden="1" outlineLevel="1" thickBot="1" x14ac:dyDescent="0.5">
      <c r="A3257" s="66" t="s">
        <v>62</v>
      </c>
      <c r="B3257" s="67"/>
      <c r="C3257" s="68">
        <f>SUM(D3252:D3252)</f>
        <v>60434.965079999994</v>
      </c>
      <c r="D3257" s="84">
        <f>SUM(D3251:D3256)</f>
        <v>191071.48842000001</v>
      </c>
      <c r="E3257" s="70">
        <f>(D3257-D3242)</f>
        <v>-2231.0999200000078</v>
      </c>
      <c r="F3257" s="71">
        <f>SUM(F3251:F3256)</f>
        <v>1</v>
      </c>
      <c r="G3257" s="72" t="s">
        <v>63</v>
      </c>
      <c r="H3257" s="73">
        <f>E3257+E3242+E3227+E3207+E3189</f>
        <v>7476.9647600000026</v>
      </c>
      <c r="I3257" s="74"/>
      <c r="J3257" s="75"/>
      <c r="K3257" s="2270" t="s">
        <v>67</v>
      </c>
      <c r="L3257" s="2271"/>
      <c r="M3257" s="2271"/>
      <c r="N3257" s="1358"/>
      <c r="O3257" s="1358"/>
      <c r="P3257" s="1358"/>
      <c r="Q3257" s="1358"/>
      <c r="R3257" s="1358"/>
      <c r="S3257" s="2275"/>
      <c r="T3257" s="2275"/>
      <c r="U3257" s="2276"/>
    </row>
    <row r="3258" spans="1:23" hidden="1" outlineLevel="1" x14ac:dyDescent="0.35">
      <c r="A3258" s="2985" t="s">
        <v>732</v>
      </c>
      <c r="B3258" s="2985"/>
      <c r="C3258" s="2985"/>
      <c r="D3258" s="2985"/>
      <c r="E3258" s="2985"/>
      <c r="F3258" s="2985"/>
      <c r="G3258" s="2985"/>
      <c r="H3258" s="2985"/>
      <c r="I3258" s="2985"/>
      <c r="J3258" s="2985"/>
      <c r="K3258" s="2277" t="s">
        <v>69</v>
      </c>
      <c r="L3258" s="1865"/>
      <c r="M3258" s="1865"/>
      <c r="S3258" s="1860"/>
      <c r="T3258" s="1860"/>
      <c r="U3258" s="2278"/>
    </row>
    <row r="3259" spans="1:23" hidden="1" outlineLevel="1" x14ac:dyDescent="0.35">
      <c r="A3259" s="2986"/>
      <c r="B3259" s="2986"/>
      <c r="C3259" s="2986"/>
      <c r="D3259" s="2986"/>
      <c r="E3259" s="2986"/>
      <c r="F3259" s="2986"/>
      <c r="G3259" s="2986"/>
      <c r="H3259" s="2986"/>
      <c r="I3259" s="2986"/>
      <c r="J3259" s="2986"/>
      <c r="K3259" s="2277" t="s">
        <v>70</v>
      </c>
      <c r="L3259" s="1865"/>
      <c r="M3259" s="1865"/>
      <c r="S3259" s="1860"/>
      <c r="T3259" s="1860"/>
      <c r="U3259" s="2278"/>
    </row>
    <row r="3260" spans="1:23" hidden="1" outlineLevel="1" x14ac:dyDescent="0.35">
      <c r="A3260" s="2986"/>
      <c r="B3260" s="2986"/>
      <c r="C3260" s="2986"/>
      <c r="D3260" s="2986"/>
      <c r="E3260" s="2986"/>
      <c r="F3260" s="2986"/>
      <c r="G3260" s="2986"/>
      <c r="H3260" s="2986"/>
      <c r="I3260" s="2986"/>
      <c r="J3260" s="2986"/>
      <c r="K3260" s="2277" t="s">
        <v>71</v>
      </c>
      <c r="L3260" s="1865"/>
      <c r="M3260" s="1865"/>
      <c r="S3260" s="1860"/>
      <c r="T3260" s="1860"/>
      <c r="U3260" s="2297"/>
    </row>
    <row r="3261" spans="1:23" hidden="1" outlineLevel="1" x14ac:dyDescent="0.35">
      <c r="A3261" s="8"/>
      <c r="B3261" s="9"/>
      <c r="C3261" s="8"/>
      <c r="D3261" s="8"/>
      <c r="E3261" s="8"/>
      <c r="F3261" s="10"/>
      <c r="G3261" s="11"/>
      <c r="H3261" s="12"/>
      <c r="I3261" s="8"/>
      <c r="J3261" s="12"/>
      <c r="K3261" s="2298" t="s">
        <v>20</v>
      </c>
      <c r="L3261" s="1373"/>
      <c r="M3261" s="1373"/>
      <c r="N3261" s="1373"/>
      <c r="O3261" s="1373"/>
      <c r="P3261" s="1373"/>
      <c r="Q3261" s="1373"/>
      <c r="R3261" s="1373"/>
      <c r="S3261" s="1373"/>
      <c r="T3261" s="1373"/>
      <c r="U3261" s="2299"/>
    </row>
    <row r="3262" spans="1:23" hidden="1" outlineLevel="1" x14ac:dyDescent="0.35">
      <c r="A3262" s="8" t="s">
        <v>21</v>
      </c>
      <c r="B3262" s="9"/>
      <c r="C3262" s="8"/>
      <c r="D3262" s="8"/>
      <c r="E3262" s="8"/>
      <c r="F3262" s="10"/>
      <c r="G3262" s="11"/>
      <c r="H3262" s="12"/>
      <c r="I3262" s="8"/>
      <c r="J3262" s="12"/>
      <c r="K3262" s="8"/>
      <c r="L3262" s="8"/>
      <c r="M3262" s="8"/>
      <c r="N3262" s="8"/>
      <c r="O3262" s="8"/>
      <c r="P3262" s="8"/>
      <c r="Q3262" s="8"/>
      <c r="R3262" s="8"/>
      <c r="S3262" s="8"/>
      <c r="T3262" s="8"/>
      <c r="U3262" s="8"/>
    </row>
    <row r="3263" spans="1:23" ht="16" hidden="1" outlineLevel="1" thickBot="1" x14ac:dyDescent="0.4">
      <c r="A3263" s="1619" t="s">
        <v>25</v>
      </c>
      <c r="B3263" s="1996" t="s">
        <v>26</v>
      </c>
      <c r="C3263" s="1621" t="s">
        <v>27</v>
      </c>
      <c r="D3263" s="1622">
        <f>D3248+7</f>
        <v>44540</v>
      </c>
      <c r="E3263" s="1623" t="s">
        <v>28</v>
      </c>
      <c r="F3263" s="3002" t="s">
        <v>29</v>
      </c>
      <c r="G3263" s="3003"/>
      <c r="H3263" s="3004"/>
      <c r="I3263" s="2184" t="s">
        <v>30</v>
      </c>
      <c r="J3263" s="22">
        <v>21.81</v>
      </c>
      <c r="K3263" s="2188">
        <f>D3263-4</f>
        <v>44536</v>
      </c>
      <c r="L3263" s="2188">
        <f>K3263+1</f>
        <v>44537</v>
      </c>
      <c r="M3263" s="23"/>
      <c r="N3263" s="23"/>
      <c r="O3263" s="2993" t="s">
        <v>31</v>
      </c>
      <c r="P3263" s="2994"/>
      <c r="Q3263" s="23"/>
      <c r="R3263" s="23">
        <f>L3263+1</f>
        <v>44538</v>
      </c>
      <c r="S3263" s="23">
        <f>R3263+1</f>
        <v>44539</v>
      </c>
      <c r="T3263" s="23">
        <f t="shared" ref="T3263" si="1228">S3263+1</f>
        <v>44540</v>
      </c>
      <c r="U3263" s="24"/>
    </row>
    <row r="3264" spans="1:23" ht="16" hidden="1" outlineLevel="1" thickBot="1" x14ac:dyDescent="0.4">
      <c r="A3264" s="1973" t="s">
        <v>32</v>
      </c>
      <c r="B3264" s="1997" t="str">
        <f ca="1">TEXT(TODAY(),"ddd")</f>
        <v>Sun</v>
      </c>
      <c r="C3264" s="1998">
        <v>35970</v>
      </c>
      <c r="D3264" s="1980">
        <f>C3264-C3249</f>
        <v>1390</v>
      </c>
      <c r="E3264" s="1977">
        <f>(C3264-C3249)/C3249</f>
        <v>4.0196645459803351E-2</v>
      </c>
      <c r="F3264" s="3016"/>
      <c r="G3264" s="3005"/>
      <c r="H3264" s="3006"/>
      <c r="I3264" s="2185" t="s">
        <v>33</v>
      </c>
      <c r="J3264" s="2185">
        <v>35</v>
      </c>
      <c r="K3264" s="2061"/>
      <c r="L3264" s="2062" t="s">
        <v>34</v>
      </c>
      <c r="M3264" s="2063" t="s">
        <v>35</v>
      </c>
      <c r="N3264" s="2995"/>
      <c r="O3264" s="2996"/>
      <c r="P3264" s="2996"/>
      <c r="Q3264" s="2996"/>
      <c r="R3264" s="2996"/>
      <c r="S3264" s="2996"/>
      <c r="T3264" s="2996"/>
      <c r="U3264" s="2996"/>
    </row>
    <row r="3265" spans="1:23" ht="16" hidden="1" outlineLevel="1" thickBot="1" x14ac:dyDescent="0.4">
      <c r="A3265" s="2212" t="s">
        <v>36</v>
      </c>
      <c r="B3265" s="2213"/>
      <c r="C3265" s="2213">
        <v>15630</v>
      </c>
      <c r="D3265" s="1980">
        <f>C3265-C3250</f>
        <v>545</v>
      </c>
      <c r="E3265" s="1977">
        <f>(C3265-C3250)/C3250</f>
        <v>3.6128604574080216E-2</v>
      </c>
      <c r="F3265" s="2216" t="s">
        <v>37</v>
      </c>
      <c r="G3265" s="36" t="s">
        <v>38</v>
      </c>
      <c r="H3265" s="37" t="s">
        <v>39</v>
      </c>
      <c r="I3265" s="38" t="s">
        <v>40</v>
      </c>
      <c r="J3265" s="39" t="s">
        <v>41</v>
      </c>
      <c r="K3265" s="2997" t="s">
        <v>42</v>
      </c>
      <c r="L3265" s="2998"/>
      <c r="M3265" s="2999"/>
      <c r="N3265" s="2217" t="s">
        <v>43</v>
      </c>
      <c r="O3265" s="40"/>
      <c r="P3265" s="40"/>
      <c r="Q3265" s="2218" t="s">
        <v>44</v>
      </c>
      <c r="R3265" s="2219" t="s">
        <v>45</v>
      </c>
      <c r="S3265" s="2219" t="s">
        <v>46</v>
      </c>
      <c r="T3265" s="2219" t="s">
        <v>47</v>
      </c>
      <c r="U3265" s="2285" t="s">
        <v>48</v>
      </c>
      <c r="V3265" s="2221" t="s">
        <v>244</v>
      </c>
      <c r="W3265" s="2221" t="s">
        <v>696</v>
      </c>
    </row>
    <row r="3266" spans="1:23" hidden="1" outlineLevel="1" x14ac:dyDescent="0.35">
      <c r="A3266" s="2178" t="s">
        <v>49</v>
      </c>
      <c r="B3266" s="2179">
        <v>240.03800000000001</v>
      </c>
      <c r="C3266" s="2180">
        <v>301.98</v>
      </c>
      <c r="D3266" s="82">
        <f>C3266*B3266</f>
        <v>72486.675240000011</v>
      </c>
      <c r="E3266" s="1977">
        <f t="shared" ref="E3266:E3268" si="1229">(C3266-C3251)/C3251</f>
        <v>-1.6127455771674286E-2</v>
      </c>
      <c r="F3266" s="2223">
        <f>D3266/$D$3272</f>
        <v>0.3944856538674828</v>
      </c>
      <c r="G3266" s="2308">
        <v>105</v>
      </c>
      <c r="H3266" s="2225">
        <v>44609</v>
      </c>
      <c r="I3266" s="2122">
        <v>0.6</v>
      </c>
      <c r="J3266" s="2237">
        <v>12.29</v>
      </c>
      <c r="K3266" s="2983" t="s">
        <v>50</v>
      </c>
      <c r="L3266" s="2984"/>
      <c r="M3266" s="45"/>
      <c r="N3266" s="46"/>
      <c r="Q3266" s="47"/>
      <c r="R3266" s="48">
        <f>RIGHT(K3266,6)*B3266</f>
        <v>62825.145740000007</v>
      </c>
      <c r="S3266" s="49">
        <f>D3266</f>
        <v>72486.675240000011</v>
      </c>
      <c r="T3266" s="49">
        <f>S3266-R3266</f>
        <v>9661.5295000000042</v>
      </c>
      <c r="U3266" s="50">
        <f>(S3266-R3266)/R3266</f>
        <v>0.15378443434073286</v>
      </c>
      <c r="V3266" s="2239" t="str">
        <f>A3266</f>
        <v>NVDA</v>
      </c>
      <c r="W3266" s="2240">
        <f ca="1">H3266-TODAY()</f>
        <v>-563</v>
      </c>
    </row>
    <row r="3267" spans="1:23" hidden="1" outlineLevel="1" x14ac:dyDescent="0.35">
      <c r="A3267" s="51" t="s">
        <v>51</v>
      </c>
      <c r="B3267" s="2179">
        <v>150.83099999999999</v>
      </c>
      <c r="C3267" s="2180">
        <v>410.69</v>
      </c>
      <c r="D3267" s="69">
        <f t="shared" ref="D3267:D3269" si="1230">C3267*B3267</f>
        <v>61944.783389999997</v>
      </c>
      <c r="E3267" s="1977">
        <f t="shared" si="1229"/>
        <v>2.4982529699510807E-2</v>
      </c>
      <c r="F3267" s="2223">
        <f t="shared" ref="F3267:F3271" si="1231">D3267/$D$3272</f>
        <v>0.33711476348413261</v>
      </c>
      <c r="G3267" s="2309">
        <v>23</v>
      </c>
      <c r="H3267" s="2225">
        <f>"10/27/2021"+90</f>
        <v>44586</v>
      </c>
      <c r="I3267" s="2226">
        <v>0.56000000000000005</v>
      </c>
      <c r="J3267" s="2122">
        <v>3.51</v>
      </c>
      <c r="K3267" s="3000" t="s">
        <v>52</v>
      </c>
      <c r="L3267" s="3001"/>
      <c r="M3267" s="2227"/>
      <c r="N3267" s="2228"/>
      <c r="O3267" s="1374"/>
      <c r="P3267" s="1374"/>
      <c r="Q3267" s="2229"/>
      <c r="R3267" s="2230">
        <f t="shared" ref="R3267:R3269" si="1232">RIGHT(K3267,6)*B3267</f>
        <v>49296.095729999994</v>
      </c>
      <c r="S3267" s="2231">
        <f t="shared" ref="S3267:S3269" si="1233">D3267</f>
        <v>61944.783389999997</v>
      </c>
      <c r="T3267" s="2231">
        <f t="shared" ref="T3267:T3269" si="1234">S3267-R3267</f>
        <v>12648.687660000003</v>
      </c>
      <c r="U3267" s="2286">
        <f t="shared" ref="U3267:U3269" si="1235">(S3267-R3267)/R3267</f>
        <v>0.25658599271792687</v>
      </c>
      <c r="V3267" s="2233" t="str">
        <f t="shared" ref="V3267:V3269" si="1236">A3267</f>
        <v>KLAC</v>
      </c>
      <c r="W3267" s="2234">
        <f t="shared" ref="W3267:W3269" ca="1" si="1237">H3267-TODAY()</f>
        <v>-586</v>
      </c>
    </row>
    <row r="3268" spans="1:23" hidden="1" outlineLevel="1" x14ac:dyDescent="0.35">
      <c r="A3268" s="2178" t="s">
        <v>53</v>
      </c>
      <c r="B3268" s="2179">
        <v>105</v>
      </c>
      <c r="C3268" s="2180">
        <v>356.29</v>
      </c>
      <c r="D3268" s="82">
        <f t="shared" si="1230"/>
        <v>37410.450000000004</v>
      </c>
      <c r="E3268" s="1977">
        <f t="shared" si="1229"/>
        <v>-7.4934536742993973E-3</v>
      </c>
      <c r="F3268" s="2223">
        <f t="shared" si="1231"/>
        <v>0.20359446451177543</v>
      </c>
      <c r="G3268" s="2309">
        <v>42</v>
      </c>
      <c r="H3268" s="2225">
        <f>"10/27/2021"+90</f>
        <v>44586</v>
      </c>
      <c r="I3268" s="2122">
        <v>0.84</v>
      </c>
      <c r="J3268" s="2237">
        <v>14.34</v>
      </c>
      <c r="K3268" s="2983" t="s">
        <v>54</v>
      </c>
      <c r="L3268" s="2984"/>
      <c r="M3268" s="45"/>
      <c r="N3268" s="46"/>
      <c r="Q3268" s="47"/>
      <c r="R3268" s="48">
        <f t="shared" si="1232"/>
        <v>33792.15</v>
      </c>
      <c r="S3268" s="49">
        <f t="shared" si="1233"/>
        <v>37410.450000000004</v>
      </c>
      <c r="T3268" s="49">
        <f t="shared" si="1234"/>
        <v>3618.3000000000029</v>
      </c>
      <c r="U3268" s="50">
        <f t="shared" si="1235"/>
        <v>0.1070751639064103</v>
      </c>
      <c r="V3268" s="2239" t="str">
        <f t="shared" si="1236"/>
        <v>ODFL</v>
      </c>
      <c r="W3268" s="2240">
        <f t="shared" ca="1" si="1237"/>
        <v>-586</v>
      </c>
    </row>
    <row r="3269" spans="1:23" hidden="1" outlineLevel="1" x14ac:dyDescent="0.35">
      <c r="A3269" s="2048" t="s">
        <v>56</v>
      </c>
      <c r="B3269" s="2259">
        <v>136</v>
      </c>
      <c r="C3269" s="2260">
        <v>66.41</v>
      </c>
      <c r="D3269" s="2180">
        <f t="shared" si="1230"/>
        <v>9031.76</v>
      </c>
      <c r="E3269" s="1977">
        <f>(D3269-D3254)/D3254</f>
        <v>-0.24179569578342588</v>
      </c>
      <c r="F3269" s="2223">
        <f t="shared" si="1231"/>
        <v>4.9152478540056929E-2</v>
      </c>
      <c r="G3269" s="2309">
        <v>11.49</v>
      </c>
      <c r="H3269" s="2225">
        <v>44607</v>
      </c>
      <c r="I3269" s="2122">
        <v>2.67</v>
      </c>
      <c r="J3269" s="2122">
        <v>2.58</v>
      </c>
      <c r="K3269" s="2983" t="s">
        <v>57</v>
      </c>
      <c r="L3269" s="2984"/>
      <c r="M3269" s="2247"/>
      <c r="N3269" s="46"/>
      <c r="Q3269" s="47"/>
      <c r="R3269" s="48">
        <f t="shared" si="1232"/>
        <v>9517.2800000000007</v>
      </c>
      <c r="S3269" s="49">
        <f t="shared" si="1233"/>
        <v>9031.76</v>
      </c>
      <c r="T3269" s="49">
        <f t="shared" si="1234"/>
        <v>-485.52000000000044</v>
      </c>
      <c r="U3269" s="54">
        <f t="shared" si="1235"/>
        <v>-5.101457559302662E-2</v>
      </c>
      <c r="V3269" s="2239" t="str">
        <f t="shared" si="1236"/>
        <v>KLIC</v>
      </c>
      <c r="W3269" s="2252">
        <f t="shared" ca="1" si="1237"/>
        <v>-565</v>
      </c>
    </row>
    <row r="3270" spans="1:23" ht="16" hidden="1" outlineLevel="1" thickBot="1" x14ac:dyDescent="0.4">
      <c r="A3270" s="55" t="s">
        <v>7</v>
      </c>
      <c r="B3270" s="56"/>
      <c r="C3270" s="57"/>
      <c r="D3270" s="2264">
        <v>2335.66</v>
      </c>
      <c r="E3270" s="1977">
        <f>(D3270-D3255)/D3255</f>
        <v>6.9453126684053679E-3</v>
      </c>
      <c r="F3270" s="2223">
        <f t="shared" si="1231"/>
        <v>1.2711085992859569E-2</v>
      </c>
      <c r="G3270" s="2053"/>
      <c r="H3270" s="1789" t="s">
        <v>59</v>
      </c>
      <c r="I3270" s="2089"/>
      <c r="J3270" s="2068"/>
      <c r="K3270" s="58"/>
      <c r="L3270" s="58"/>
      <c r="M3270" s="58"/>
      <c r="R3270" s="2265">
        <f t="shared" ref="R3270:S3270" si="1238">SUM(R3266:R3269)</f>
        <v>155430.67147</v>
      </c>
      <c r="S3270" s="2265">
        <f t="shared" si="1238"/>
        <v>180873.66863000003</v>
      </c>
      <c r="T3270" s="2265">
        <f>SUM(T3266:T3269)</f>
        <v>25442.99716000001</v>
      </c>
      <c r="U3270" s="2292">
        <f>AVERAGE(U3266:U3269)</f>
        <v>0.11660775384301085</v>
      </c>
      <c r="V3270" s="2208"/>
      <c r="W3270" s="2208"/>
    </row>
    <row r="3271" spans="1:23" ht="16" hidden="1" outlineLevel="1" thickBot="1" x14ac:dyDescent="0.4">
      <c r="A3271" s="55" t="s">
        <v>60</v>
      </c>
      <c r="B3271" s="2268"/>
      <c r="C3271" s="2269">
        <f>SUM(D3267:D3269)</f>
        <v>108386.99339</v>
      </c>
      <c r="D3271" s="59">
        <v>540.51</v>
      </c>
      <c r="E3271" s="1977">
        <f>(D3271-D3256)/D3256</f>
        <v>-0.89269570016497357</v>
      </c>
      <c r="F3271" s="2223">
        <f t="shared" si="1231"/>
        <v>2.9415536036925438E-3</v>
      </c>
      <c r="G3271" s="1734"/>
      <c r="H3271" s="1723" t="s">
        <v>61</v>
      </c>
      <c r="I3271" s="60">
        <v>0</v>
      </c>
      <c r="J3271" s="61"/>
      <c r="K3271" s="2090"/>
      <c r="L3271" s="2070"/>
      <c r="M3271" s="2070"/>
      <c r="Q3271" s="62"/>
      <c r="R3271" s="2293">
        <f>C3270/D3272</f>
        <v>0</v>
      </c>
      <c r="S3271" s="64"/>
      <c r="T3271" s="64"/>
      <c r="U3271" s="64"/>
    </row>
    <row r="3272" spans="1:23" ht="19" hidden="1" outlineLevel="1" thickBot="1" x14ac:dyDescent="0.5">
      <c r="A3272" s="66" t="s">
        <v>62</v>
      </c>
      <c r="B3272" s="2310">
        <v>185184.66115999999</v>
      </c>
      <c r="C3272" s="68">
        <f>SUM(D3267:D3267)</f>
        <v>61944.783389999997</v>
      </c>
      <c r="D3272" s="84">
        <f>SUM(D3266:D3271)</f>
        <v>183749.83863000004</v>
      </c>
      <c r="E3272" s="70">
        <f>(D3272-D3257)</f>
        <v>-7321.6497899999667</v>
      </c>
      <c r="F3272" s="71">
        <f>SUM(F3266:F3271)</f>
        <v>0.99999999999999978</v>
      </c>
      <c r="G3272" s="72" t="s">
        <v>63</v>
      </c>
      <c r="H3272" s="73">
        <f>E3272+E3257+E3237+E3219+E3200</f>
        <v>-9552.7974586393211</v>
      </c>
      <c r="I3272" s="74"/>
      <c r="J3272" s="75"/>
      <c r="K3272" s="2270" t="s">
        <v>67</v>
      </c>
      <c r="L3272" s="2271"/>
      <c r="M3272" s="2271"/>
      <c r="N3272" s="1358"/>
      <c r="O3272" s="1358"/>
      <c r="P3272" s="1358"/>
      <c r="Q3272" s="1358"/>
      <c r="R3272" s="1358"/>
      <c r="S3272" s="2275"/>
      <c r="T3272" s="2275"/>
      <c r="U3272" s="2276"/>
    </row>
    <row r="3273" spans="1:23" hidden="1" outlineLevel="1" x14ac:dyDescent="0.35">
      <c r="A3273" s="2985" t="s">
        <v>733</v>
      </c>
      <c r="B3273" s="2985"/>
      <c r="C3273" s="2985"/>
      <c r="D3273" s="2985"/>
      <c r="E3273" s="2985"/>
      <c r="F3273" s="2985"/>
      <c r="G3273" s="2985"/>
      <c r="H3273" s="2985"/>
      <c r="I3273" s="2985"/>
      <c r="J3273" s="2985"/>
      <c r="K3273" s="2277" t="s">
        <v>69</v>
      </c>
      <c r="L3273" s="1865"/>
      <c r="M3273" s="1865"/>
      <c r="S3273" s="1860"/>
      <c r="T3273" s="1860"/>
      <c r="U3273" s="2278"/>
    </row>
    <row r="3274" spans="1:23" hidden="1" outlineLevel="1" x14ac:dyDescent="0.35">
      <c r="A3274" s="2986"/>
      <c r="B3274" s="2986"/>
      <c r="C3274" s="2986"/>
      <c r="D3274" s="2986"/>
      <c r="E3274" s="2986"/>
      <c r="F3274" s="2986"/>
      <c r="G3274" s="2986"/>
      <c r="H3274" s="2986"/>
      <c r="I3274" s="2986"/>
      <c r="J3274" s="2986"/>
      <c r="K3274" s="2277" t="s">
        <v>70</v>
      </c>
      <c r="L3274" s="1865"/>
      <c r="M3274" s="1865"/>
      <c r="S3274" s="1860"/>
      <c r="T3274" s="1860"/>
      <c r="U3274" s="2278"/>
    </row>
    <row r="3275" spans="1:23" hidden="1" outlineLevel="1" x14ac:dyDescent="0.35">
      <c r="A3275" s="2986"/>
      <c r="B3275" s="2986"/>
      <c r="C3275" s="2986"/>
      <c r="D3275" s="2986"/>
      <c r="E3275" s="2986"/>
      <c r="F3275" s="2986"/>
      <c r="G3275" s="2986"/>
      <c r="H3275" s="2986"/>
      <c r="I3275" s="2986"/>
      <c r="J3275" s="2986"/>
      <c r="K3275" s="2277" t="s">
        <v>71</v>
      </c>
      <c r="L3275" s="1865"/>
      <c r="M3275" s="1865"/>
      <c r="S3275" s="1860"/>
      <c r="T3275" s="1860"/>
      <c r="U3275" s="2297"/>
    </row>
    <row r="3276" spans="1:23" hidden="1" outlineLevel="1" x14ac:dyDescent="0.35">
      <c r="A3276" s="8"/>
      <c r="B3276" s="9"/>
      <c r="C3276" s="8"/>
      <c r="D3276" s="8"/>
      <c r="E3276" s="8"/>
      <c r="F3276" s="10"/>
      <c r="G3276" s="11"/>
      <c r="H3276" s="12"/>
      <c r="I3276" s="8"/>
      <c r="J3276" s="12"/>
      <c r="K3276" s="2298" t="s">
        <v>20</v>
      </c>
      <c r="L3276" s="1373"/>
      <c r="M3276" s="1373"/>
      <c r="N3276" s="1373"/>
      <c r="O3276" s="1373"/>
      <c r="P3276" s="1373"/>
      <c r="Q3276" s="1373"/>
      <c r="R3276" s="1373"/>
      <c r="S3276" s="1373"/>
      <c r="T3276" s="1373"/>
      <c r="U3276" s="2299"/>
    </row>
    <row r="3277" spans="1:23" ht="16" collapsed="1" thickBot="1" x14ac:dyDescent="0.4">
      <c r="A3277" s="8" t="s">
        <v>21</v>
      </c>
      <c r="B3277" s="9"/>
      <c r="C3277" s="8"/>
      <c r="D3277" s="8"/>
      <c r="E3277" s="8"/>
      <c r="F3277" s="10"/>
      <c r="G3277" s="11"/>
      <c r="H3277" s="12"/>
      <c r="I3277" s="8"/>
      <c r="J3277" s="12"/>
      <c r="K3277" s="8"/>
      <c r="L3277" s="8"/>
      <c r="M3277" s="8"/>
      <c r="N3277" s="8"/>
      <c r="O3277" s="8"/>
      <c r="P3277" s="8"/>
      <c r="Q3277" s="8"/>
      <c r="R3277" s="8"/>
      <c r="S3277" s="8"/>
      <c r="T3277" s="8"/>
      <c r="U3277" s="8"/>
    </row>
    <row r="3278" spans="1:23" x14ac:dyDescent="0.35">
      <c r="A3278" s="701" t="s">
        <v>25</v>
      </c>
      <c r="B3278" s="702" t="s">
        <v>26</v>
      </c>
      <c r="C3278" s="703" t="s">
        <v>27</v>
      </c>
      <c r="D3278" s="704">
        <f>D3263+7</f>
        <v>44547</v>
      </c>
      <c r="E3278" s="705" t="s">
        <v>28</v>
      </c>
      <c r="F3278" s="3002" t="s">
        <v>29</v>
      </c>
      <c r="G3278" s="3003"/>
      <c r="H3278" s="3004"/>
      <c r="I3278" s="2184" t="s">
        <v>30</v>
      </c>
      <c r="J3278" s="22">
        <v>17.38</v>
      </c>
      <c r="K3278" s="2188">
        <f>D3278-4</f>
        <v>44543</v>
      </c>
      <c r="L3278" s="2188">
        <f>K3278+1</f>
        <v>44544</v>
      </c>
      <c r="M3278" s="2188"/>
      <c r="N3278" s="2188"/>
      <c r="O3278" s="3014" t="s">
        <v>31</v>
      </c>
      <c r="P3278" s="3015"/>
      <c r="Q3278" s="2188"/>
      <c r="R3278" s="2188">
        <f>L3278+1</f>
        <v>44545</v>
      </c>
      <c r="S3278" s="23">
        <f>R3278+1</f>
        <v>44546</v>
      </c>
      <c r="T3278" s="23">
        <f t="shared" ref="T3278" si="1239">S3278+1</f>
        <v>44547</v>
      </c>
      <c r="U3278" s="24"/>
    </row>
    <row r="3279" spans="1:23" ht="16" thickBot="1" x14ac:dyDescent="0.4">
      <c r="A3279" s="1973" t="s">
        <v>32</v>
      </c>
      <c r="B3279" s="1997" t="str">
        <f ca="1">TEXT(TODAY(),"ddd")</f>
        <v>Sun</v>
      </c>
      <c r="C3279" s="1998">
        <v>35365</v>
      </c>
      <c r="D3279" s="1980">
        <f>C3279-C3264</f>
        <v>-605</v>
      </c>
      <c r="E3279" s="1980">
        <f>(C3279-C3264)/C3264</f>
        <v>-1.6819571865443424E-2</v>
      </c>
      <c r="F3279" s="3016"/>
      <c r="G3279" s="3005"/>
      <c r="H3279" s="3006"/>
      <c r="I3279" s="2185" t="s">
        <v>33</v>
      </c>
      <c r="J3279" s="2185">
        <v>26</v>
      </c>
      <c r="K3279" s="2061"/>
      <c r="L3279" s="2062" t="s">
        <v>34</v>
      </c>
      <c r="M3279" s="2063" t="s">
        <v>35</v>
      </c>
      <c r="N3279" s="2995"/>
      <c r="O3279" s="2996"/>
      <c r="P3279" s="2996"/>
      <c r="Q3279" s="2996"/>
      <c r="R3279" s="2996"/>
      <c r="S3279" s="2996"/>
      <c r="T3279" s="2996"/>
      <c r="U3279" s="2996"/>
    </row>
    <row r="3280" spans="1:23" ht="16" thickBot="1" x14ac:dyDescent="0.4">
      <c r="A3280" s="1978" t="s">
        <v>36</v>
      </c>
      <c r="B3280" s="1979"/>
      <c r="C3280" s="1979">
        <v>15169</v>
      </c>
      <c r="D3280" s="2034">
        <f>C3280-C3265</f>
        <v>-461</v>
      </c>
      <c r="E3280" s="1980">
        <f>(C3280-C3265)/C3265</f>
        <v>-2.9494561740243123E-2</v>
      </c>
      <c r="F3280" s="2216" t="s">
        <v>37</v>
      </c>
      <c r="G3280" s="36" t="s">
        <v>38</v>
      </c>
      <c r="H3280" s="37" t="s">
        <v>39</v>
      </c>
      <c r="I3280" s="38" t="s">
        <v>40</v>
      </c>
      <c r="J3280" s="39" t="s">
        <v>41</v>
      </c>
      <c r="K3280" s="2997" t="s">
        <v>42</v>
      </c>
      <c r="L3280" s="2998"/>
      <c r="M3280" s="2999"/>
      <c r="N3280" s="2217" t="s">
        <v>43</v>
      </c>
      <c r="O3280" s="40"/>
      <c r="P3280" s="40"/>
      <c r="Q3280" s="2218" t="s">
        <v>44</v>
      </c>
      <c r="R3280" s="2219" t="s">
        <v>45</v>
      </c>
      <c r="S3280" s="2219" t="s">
        <v>46</v>
      </c>
      <c r="T3280" s="2219" t="s">
        <v>47</v>
      </c>
      <c r="U3280" s="2285" t="s">
        <v>48</v>
      </c>
      <c r="V3280" s="2221" t="s">
        <v>244</v>
      </c>
      <c r="W3280" s="2221" t="s">
        <v>696</v>
      </c>
    </row>
    <row r="3281" spans="1:23" ht="16" thickBot="1" x14ac:dyDescent="0.4">
      <c r="A3281" s="83" t="s">
        <v>49</v>
      </c>
      <c r="B3281" s="2177">
        <v>240.03800000000001</v>
      </c>
      <c r="C3281" s="44">
        <v>278.01</v>
      </c>
      <c r="D3281" s="44">
        <f>C3281*B3281</f>
        <v>66732.964380000005</v>
      </c>
      <c r="E3281" s="1977">
        <f t="shared" ref="E3281:E3284" si="1240">(C3281-C3266)/C3266</f>
        <v>-7.9376117623683767E-2</v>
      </c>
      <c r="F3281" s="2223">
        <f>D3281/$D$3287</f>
        <v>0.39224749751762988</v>
      </c>
      <c r="G3281" s="2311">
        <v>89</v>
      </c>
      <c r="H3281" s="2225">
        <v>44609</v>
      </c>
      <c r="I3281" s="2122">
        <v>0.6</v>
      </c>
      <c r="J3281" s="2237">
        <v>12.29</v>
      </c>
      <c r="K3281" s="2983" t="s">
        <v>50</v>
      </c>
      <c r="L3281" s="2984"/>
      <c r="M3281" s="45"/>
      <c r="N3281" s="46"/>
      <c r="Q3281" s="47"/>
      <c r="R3281" s="48">
        <f>RIGHT(K3281,6)*B3281</f>
        <v>62825.145740000007</v>
      </c>
      <c r="S3281" s="49">
        <f>D3281</f>
        <v>66732.964380000005</v>
      </c>
      <c r="T3281" s="49">
        <f>S3281-R3281</f>
        <v>3907.8186399999977</v>
      </c>
      <c r="U3281" s="50">
        <f>(S3281-R3281)/R3281</f>
        <v>6.2201505368127415E-2</v>
      </c>
      <c r="V3281" s="2239" t="str">
        <f>A3281</f>
        <v>NVDA</v>
      </c>
      <c r="W3281" s="2240">
        <f ca="1">H3281-TODAY()</f>
        <v>-563</v>
      </c>
    </row>
    <row r="3282" spans="1:23" x14ac:dyDescent="0.35">
      <c r="A3282" s="83" t="s">
        <v>51</v>
      </c>
      <c r="B3282" s="2177">
        <v>150.83099999999999</v>
      </c>
      <c r="C3282" s="44">
        <v>391.55</v>
      </c>
      <c r="D3282" s="44">
        <f t="shared" ref="D3282:D3284" si="1241">C3282*B3282</f>
        <v>59057.878049999999</v>
      </c>
      <c r="E3282" s="1977">
        <f t="shared" si="1240"/>
        <v>-4.6604494874479499E-2</v>
      </c>
      <c r="F3282" s="2223">
        <f t="shared" ref="F3282:F3286" si="1242">D3282/$D$3287</f>
        <v>0.3471343598930029</v>
      </c>
      <c r="G3282" s="2312">
        <v>22.88</v>
      </c>
      <c r="H3282" s="2225">
        <f>"10/27/2021"+90</f>
        <v>44586</v>
      </c>
      <c r="I3282" s="2226">
        <v>0.56000000000000005</v>
      </c>
      <c r="J3282" s="2122">
        <v>3.51</v>
      </c>
      <c r="K3282" s="3000" t="s">
        <v>52</v>
      </c>
      <c r="L3282" s="3001"/>
      <c r="M3282" s="2227"/>
      <c r="N3282" s="2228"/>
      <c r="O3282" s="1374"/>
      <c r="P3282" s="1374"/>
      <c r="Q3282" s="2229"/>
      <c r="R3282" s="2230">
        <f t="shared" ref="R3282:R3284" si="1243">RIGHT(K3282,6)*B3282</f>
        <v>49296.095729999994</v>
      </c>
      <c r="S3282" s="2231">
        <f t="shared" ref="S3282:S3284" si="1244">D3282</f>
        <v>59057.878049999999</v>
      </c>
      <c r="T3282" s="2231">
        <f t="shared" ref="T3282:T3284" si="1245">S3282-R3282</f>
        <v>9761.7823200000057</v>
      </c>
      <c r="U3282" s="2286">
        <f t="shared" ref="U3282:U3284" si="1246">(S3282-R3282)/R3282</f>
        <v>0.1980234372609615</v>
      </c>
      <c r="V3282" s="2233" t="str">
        <f t="shared" ref="V3282:V3284" si="1247">A3282</f>
        <v>KLAC</v>
      </c>
      <c r="W3282" s="2234">
        <f t="shared" ref="W3282:W3284" ca="1" si="1248">H3282-TODAY()</f>
        <v>-586</v>
      </c>
    </row>
    <row r="3283" spans="1:23" x14ac:dyDescent="0.35">
      <c r="A3283" s="83" t="s">
        <v>53</v>
      </c>
      <c r="B3283" s="2177">
        <v>105.059</v>
      </c>
      <c r="C3283" s="44">
        <v>340.62</v>
      </c>
      <c r="D3283" s="44">
        <f t="shared" si="1241"/>
        <v>35785.196579999996</v>
      </c>
      <c r="E3283" s="1977">
        <f t="shared" si="1240"/>
        <v>-4.3981026691739915E-2</v>
      </c>
      <c r="F3283" s="2223">
        <f t="shared" si="1242"/>
        <v>0.21034063055781557</v>
      </c>
      <c r="G3283" s="2312">
        <v>44</v>
      </c>
      <c r="H3283" s="2225">
        <f>"10/27/2021"+90</f>
        <v>44586</v>
      </c>
      <c r="I3283" s="2122">
        <v>0.84</v>
      </c>
      <c r="J3283" s="2237">
        <v>14.34</v>
      </c>
      <c r="K3283" s="2983" t="s">
        <v>54</v>
      </c>
      <c r="L3283" s="2984"/>
      <c r="M3283" s="45"/>
      <c r="N3283" s="46"/>
      <c r="Q3283" s="47"/>
      <c r="R3283" s="48">
        <f t="shared" si="1243"/>
        <v>33811.137969999996</v>
      </c>
      <c r="S3283" s="49">
        <f t="shared" si="1244"/>
        <v>35785.196579999996</v>
      </c>
      <c r="T3283" s="49">
        <f t="shared" si="1245"/>
        <v>1974.05861</v>
      </c>
      <c r="U3283" s="50">
        <f t="shared" si="1246"/>
        <v>5.8384861572880101E-2</v>
      </c>
      <c r="V3283" s="2239" t="str">
        <f t="shared" si="1247"/>
        <v>ODFL</v>
      </c>
      <c r="W3283" s="2240">
        <f t="shared" ca="1" si="1248"/>
        <v>-586</v>
      </c>
    </row>
    <row r="3284" spans="1:23" x14ac:dyDescent="0.35">
      <c r="A3284" s="7" t="s">
        <v>56</v>
      </c>
      <c r="B3284" s="2313">
        <f>136-28</f>
        <v>108</v>
      </c>
      <c r="C3284" s="44">
        <v>56.04</v>
      </c>
      <c r="D3284" s="44">
        <f t="shared" si="1241"/>
        <v>6052.32</v>
      </c>
      <c r="E3284" s="1977">
        <f t="shared" si="1240"/>
        <v>-0.15615118205089593</v>
      </c>
      <c r="F3284" s="2223">
        <f t="shared" si="1242"/>
        <v>3.5574732761120921E-2</v>
      </c>
      <c r="G3284" s="2312">
        <v>10.24</v>
      </c>
      <c r="H3284" s="2225">
        <v>44607</v>
      </c>
      <c r="I3284" s="2122">
        <v>2.67</v>
      </c>
      <c r="J3284" s="2122">
        <v>2.58</v>
      </c>
      <c r="K3284" s="2983" t="s">
        <v>57</v>
      </c>
      <c r="L3284" s="2984"/>
      <c r="M3284" s="2247"/>
      <c r="N3284" s="46"/>
      <c r="Q3284" s="47"/>
      <c r="R3284" s="48">
        <f t="shared" si="1243"/>
        <v>7557.84</v>
      </c>
      <c r="S3284" s="49">
        <f t="shared" si="1244"/>
        <v>6052.32</v>
      </c>
      <c r="T3284" s="49">
        <f t="shared" si="1245"/>
        <v>-1505.5200000000004</v>
      </c>
      <c r="U3284" s="54">
        <f t="shared" si="1246"/>
        <v>-0.19919977136324671</v>
      </c>
      <c r="V3284" s="2239" t="str">
        <f t="shared" si="1247"/>
        <v>KLIC</v>
      </c>
      <c r="W3284" s="2252">
        <f t="shared" ca="1" si="1248"/>
        <v>-565</v>
      </c>
    </row>
    <row r="3285" spans="1:23" ht="16" thickBot="1" x14ac:dyDescent="0.4">
      <c r="A3285" s="1880" t="s">
        <v>7</v>
      </c>
      <c r="B3285" s="56"/>
      <c r="C3285" s="57"/>
      <c r="D3285" s="57">
        <v>2324</v>
      </c>
      <c r="E3285" s="1977">
        <f>(D3285-D3270)/D3270</f>
        <v>-4.9921649555157233E-3</v>
      </c>
      <c r="F3285" s="2223">
        <f t="shared" si="1242"/>
        <v>1.3660163199706067E-2</v>
      </c>
      <c r="G3285" s="2053"/>
      <c r="H3285" s="1789" t="s">
        <v>59</v>
      </c>
      <c r="I3285" s="2089"/>
      <c r="J3285" s="2068"/>
      <c r="K3285" s="58"/>
      <c r="L3285" s="58"/>
      <c r="M3285" s="58"/>
      <c r="R3285" s="2265">
        <f>SUM(R3281:R3284)</f>
        <v>153490.21943999999</v>
      </c>
      <c r="S3285" s="2265">
        <f t="shared" ref="S3285" si="1249">SUM(S3281:S3284)</f>
        <v>167628.35901000001</v>
      </c>
      <c r="T3285" s="2265">
        <f>SUM(T3281:T3284)</f>
        <v>14138.139570000003</v>
      </c>
      <c r="U3285" s="2292">
        <f>AVERAGE(U3281:U3284)</f>
        <v>2.9852508209680571E-2</v>
      </c>
      <c r="V3285" s="2208"/>
      <c r="W3285" s="2208"/>
    </row>
    <row r="3286" spans="1:23" ht="16" thickBot="1" x14ac:dyDescent="0.4">
      <c r="A3286" s="55" t="s">
        <v>60</v>
      </c>
      <c r="B3286" s="2268"/>
      <c r="C3286" s="2269">
        <f>SUM(D3282:D3284)</f>
        <v>100895.39463</v>
      </c>
      <c r="D3286" s="59">
        <v>177.38</v>
      </c>
      <c r="E3286" s="1977">
        <f t="shared" ref="E3286" si="1250">(C3286-C3271)/C3271</f>
        <v>-6.9118983059559588E-2</v>
      </c>
      <c r="F3286" s="2223">
        <f t="shared" si="1242"/>
        <v>1.0426160707245535E-3</v>
      </c>
      <c r="G3286" s="1734"/>
      <c r="H3286" s="1723" t="s">
        <v>61</v>
      </c>
      <c r="I3286" s="60">
        <v>0</v>
      </c>
      <c r="J3286" s="61"/>
      <c r="K3286" s="2090"/>
      <c r="L3286" s="2070"/>
      <c r="M3286" s="2070"/>
      <c r="Q3286" s="62"/>
      <c r="R3286" s="2293">
        <f>C3285/D3287</f>
        <v>0</v>
      </c>
      <c r="S3286" s="64"/>
      <c r="T3286" s="64"/>
      <c r="U3286" s="64"/>
    </row>
    <row r="3287" spans="1:23" ht="19" thickBot="1" x14ac:dyDescent="0.5">
      <c r="A3287" s="66" t="s">
        <v>62</v>
      </c>
      <c r="B3287" s="67"/>
      <c r="C3287" s="68">
        <f>SUM(D3282:D3282)</f>
        <v>59057.878049999999</v>
      </c>
      <c r="D3287" s="84">
        <f>SUM(D3281:D3286)</f>
        <v>170129.73901000002</v>
      </c>
      <c r="E3287" s="70">
        <f>(D3287-D3272)</f>
        <v>-13620.099620000023</v>
      </c>
      <c r="F3287" s="71">
        <f>SUM(F3281:F3286)</f>
        <v>0.99999999999999989</v>
      </c>
      <c r="G3287" s="72" t="s">
        <v>63</v>
      </c>
      <c r="H3287" s="73">
        <f>E3287+E3272+E3252+E3234+E3215</f>
        <v>-20941.752148273037</v>
      </c>
      <c r="I3287" s="74"/>
      <c r="J3287" s="75"/>
      <c r="K3287" s="2314" t="s">
        <v>67</v>
      </c>
      <c r="L3287" s="2315"/>
      <c r="M3287" s="2315"/>
      <c r="N3287" s="2316"/>
      <c r="O3287" s="2316"/>
      <c r="P3287" s="2316"/>
      <c r="Q3287" s="2316"/>
      <c r="R3287" s="2316"/>
      <c r="S3287" s="86" t="s">
        <v>68</v>
      </c>
      <c r="T3287" s="2317"/>
      <c r="U3287" s="2318"/>
    </row>
    <row r="3288" spans="1:23" x14ac:dyDescent="0.35">
      <c r="A3288" s="2985" t="s">
        <v>734</v>
      </c>
      <c r="B3288" s="2985"/>
      <c r="C3288" s="2985"/>
      <c r="D3288" s="2985"/>
      <c r="E3288" s="2985"/>
      <c r="F3288" s="2985"/>
      <c r="G3288" s="2985"/>
      <c r="H3288" s="2985"/>
      <c r="I3288" s="2985"/>
      <c r="J3288" s="2985"/>
      <c r="K3288" s="2319" t="s">
        <v>69</v>
      </c>
      <c r="L3288" s="87"/>
      <c r="M3288" s="87"/>
      <c r="N3288" s="88"/>
      <c r="O3288" s="88"/>
      <c r="P3288" s="88"/>
      <c r="Q3288" s="88"/>
      <c r="R3288" s="88"/>
      <c r="S3288" s="89"/>
      <c r="T3288" s="89"/>
      <c r="U3288" s="90"/>
    </row>
    <row r="3289" spans="1:23" x14ac:dyDescent="0.35">
      <c r="A3289" s="2986"/>
      <c r="B3289" s="2986"/>
      <c r="C3289" s="2986"/>
      <c r="D3289" s="2986"/>
      <c r="E3289" s="2986"/>
      <c r="F3289" s="2986"/>
      <c r="G3289" s="2986"/>
      <c r="H3289" s="2986"/>
      <c r="I3289" s="2986"/>
      <c r="J3289" s="2986"/>
      <c r="K3289" s="2319" t="s">
        <v>70</v>
      </c>
      <c r="L3289" s="87"/>
      <c r="M3289" s="87"/>
      <c r="N3289" s="88"/>
      <c r="O3289" s="88"/>
      <c r="P3289" s="88"/>
      <c r="Q3289" s="88"/>
      <c r="R3289" s="88"/>
      <c r="S3289" s="89"/>
      <c r="T3289" s="89"/>
      <c r="U3289" s="90"/>
    </row>
    <row r="3290" spans="1:23" x14ac:dyDescent="0.35">
      <c r="A3290" s="2986"/>
      <c r="B3290" s="2986"/>
      <c r="C3290" s="2986"/>
      <c r="D3290" s="2986"/>
      <c r="E3290" s="2986"/>
      <c r="F3290" s="2986"/>
      <c r="G3290" s="2986"/>
      <c r="H3290" s="2986"/>
      <c r="I3290" s="2986"/>
      <c r="J3290" s="2986"/>
      <c r="K3290" s="2319" t="s">
        <v>71</v>
      </c>
      <c r="L3290" s="87"/>
      <c r="M3290" s="87"/>
      <c r="N3290" s="88"/>
      <c r="O3290" s="88"/>
      <c r="P3290" s="88"/>
      <c r="Q3290" s="88"/>
      <c r="R3290" s="88"/>
      <c r="S3290" s="89"/>
      <c r="T3290" s="89"/>
      <c r="U3290" s="91"/>
    </row>
    <row r="3291" spans="1:23" x14ac:dyDescent="0.35">
      <c r="A3291" s="8"/>
      <c r="B3291" s="9"/>
      <c r="C3291" s="8"/>
      <c r="D3291" s="8"/>
      <c r="E3291" s="8"/>
      <c r="F3291" s="10"/>
      <c r="G3291" s="11"/>
      <c r="H3291" s="12"/>
      <c r="I3291" s="8"/>
      <c r="J3291" s="12"/>
      <c r="K3291" s="2320" t="s">
        <v>20</v>
      </c>
      <c r="L3291" s="2321"/>
      <c r="M3291" s="2321"/>
      <c r="N3291" s="2321"/>
      <c r="O3291" s="2321"/>
      <c r="P3291" s="2321"/>
      <c r="Q3291" s="2321"/>
      <c r="R3291" s="2321"/>
      <c r="S3291" s="2321"/>
      <c r="T3291" s="2321"/>
      <c r="U3291" s="2322"/>
    </row>
    <row r="3292" spans="1:23" ht="16" thickBot="1" x14ac:dyDescent="0.4">
      <c r="A3292" s="8" t="s">
        <v>21</v>
      </c>
      <c r="B3292" s="9"/>
      <c r="C3292" s="8"/>
      <c r="D3292" s="8"/>
      <c r="E3292" s="8"/>
      <c r="F3292" s="10"/>
      <c r="G3292" s="11"/>
      <c r="H3292" s="12"/>
      <c r="I3292" s="8"/>
      <c r="J3292" s="12"/>
      <c r="K3292" s="8"/>
      <c r="L3292" s="8"/>
      <c r="M3292" s="8"/>
      <c r="N3292" s="8"/>
      <c r="O3292" s="8"/>
      <c r="P3292" s="8"/>
      <c r="Q3292" s="8"/>
      <c r="R3292" s="8"/>
      <c r="S3292" s="8"/>
      <c r="T3292" s="8"/>
      <c r="U3292" s="8"/>
    </row>
    <row r="3293" spans="1:23" x14ac:dyDescent="0.35">
      <c r="A3293" s="2323" t="s">
        <v>25</v>
      </c>
      <c r="B3293" s="2324" t="s">
        <v>26</v>
      </c>
      <c r="C3293" s="2325" t="s">
        <v>27</v>
      </c>
      <c r="D3293" s="2326">
        <f>D3278+7</f>
        <v>44554</v>
      </c>
      <c r="E3293" s="2327" t="s">
        <v>28</v>
      </c>
      <c r="F3293" s="3002" t="s">
        <v>29</v>
      </c>
      <c r="G3293" s="3003"/>
      <c r="H3293" s="3004"/>
      <c r="I3293" s="2184" t="s">
        <v>30</v>
      </c>
      <c r="J3293" s="22">
        <v>17.38</v>
      </c>
      <c r="K3293" s="2188">
        <f>D3293-4</f>
        <v>44550</v>
      </c>
      <c r="L3293" s="2188">
        <f>K3293+1</f>
        <v>44551</v>
      </c>
      <c r="M3293" s="23"/>
      <c r="N3293" s="23"/>
      <c r="O3293" s="2993" t="s">
        <v>31</v>
      </c>
      <c r="P3293" s="2994"/>
      <c r="Q3293" s="23"/>
      <c r="R3293" s="23">
        <f>L3293+1</f>
        <v>44552</v>
      </c>
      <c r="S3293" s="23">
        <f>R3293+1</f>
        <v>44553</v>
      </c>
      <c r="T3293" s="2328">
        <f t="shared" ref="T3293" si="1251">S3293+1</f>
        <v>44554</v>
      </c>
      <c r="U3293" s="24"/>
    </row>
    <row r="3294" spans="1:23" ht="16" thickBot="1" x14ac:dyDescent="0.4">
      <c r="A3294" s="28" t="s">
        <v>32</v>
      </c>
      <c r="B3294" s="29" t="str">
        <f ca="1">TEXT(TODAY(),"ddd")</f>
        <v>Sun</v>
      </c>
      <c r="C3294" s="30">
        <v>35950</v>
      </c>
      <c r="D3294" s="31">
        <f>C3294-C3279</f>
        <v>585</v>
      </c>
      <c r="E3294" s="32">
        <f>(C3294-C3279)/C3279</f>
        <v>1.6541778594655734E-2</v>
      </c>
      <c r="F3294" s="3005"/>
      <c r="G3294" s="3005"/>
      <c r="H3294" s="3006"/>
      <c r="I3294" s="2185" t="s">
        <v>33</v>
      </c>
      <c r="J3294" s="2185">
        <v>61</v>
      </c>
      <c r="K3294" s="2061"/>
      <c r="L3294" s="2062" t="s">
        <v>34</v>
      </c>
      <c r="M3294" s="2063" t="s">
        <v>35</v>
      </c>
      <c r="N3294" s="2995"/>
      <c r="O3294" s="2996"/>
      <c r="P3294" s="2996"/>
      <c r="Q3294" s="2996"/>
      <c r="R3294" s="2996"/>
      <c r="S3294" s="2996"/>
      <c r="T3294" s="2996"/>
      <c r="U3294" s="2996"/>
    </row>
    <row r="3295" spans="1:23" ht="16" thickBot="1" x14ac:dyDescent="0.4">
      <c r="A3295" s="28" t="s">
        <v>36</v>
      </c>
      <c r="B3295" s="30"/>
      <c r="C3295" s="30">
        <v>15653</v>
      </c>
      <c r="D3295" s="31">
        <f>C3295-C3280</f>
        <v>484</v>
      </c>
      <c r="E3295" s="32">
        <f>(C3295-C3280)/C3280</f>
        <v>3.1907179115300943E-2</v>
      </c>
      <c r="F3295" s="2329" t="s">
        <v>37</v>
      </c>
      <c r="G3295" s="36" t="s">
        <v>38</v>
      </c>
      <c r="H3295" s="37" t="s">
        <v>39</v>
      </c>
      <c r="I3295" s="38" t="s">
        <v>40</v>
      </c>
      <c r="J3295" s="39" t="s">
        <v>41</v>
      </c>
      <c r="K3295" s="2997" t="s">
        <v>42</v>
      </c>
      <c r="L3295" s="2998"/>
      <c r="M3295" s="2999"/>
      <c r="N3295" s="2217" t="s">
        <v>43</v>
      </c>
      <c r="O3295" s="40"/>
      <c r="P3295" s="40"/>
      <c r="Q3295" s="2218" t="s">
        <v>44</v>
      </c>
      <c r="R3295" s="2219" t="s">
        <v>45</v>
      </c>
      <c r="S3295" s="2219" t="s">
        <v>46</v>
      </c>
      <c r="T3295" s="2219" t="s">
        <v>47</v>
      </c>
      <c r="U3295" s="2285" t="s">
        <v>48</v>
      </c>
      <c r="V3295" s="2221" t="s">
        <v>244</v>
      </c>
      <c r="W3295" s="2221" t="s">
        <v>696</v>
      </c>
    </row>
    <row r="3296" spans="1:23" ht="16" thickBot="1" x14ac:dyDescent="0.4">
      <c r="A3296" s="2178" t="s">
        <v>49</v>
      </c>
      <c r="B3296" s="2179">
        <v>240.072</v>
      </c>
      <c r="C3296" s="2180">
        <v>296.39999999999998</v>
      </c>
      <c r="D3296" s="69">
        <f>C3296*B3296</f>
        <v>71157.340799999991</v>
      </c>
      <c r="E3296" s="1977">
        <f t="shared" ref="E3296:E3299" si="1252">(C3296-C3281)/C3281</f>
        <v>6.6148699687061566E-2</v>
      </c>
      <c r="F3296" s="2223">
        <f>D3296/$D$3302</f>
        <v>0.39899970322110545</v>
      </c>
      <c r="G3296" s="2172">
        <v>105</v>
      </c>
      <c r="H3296" s="2225">
        <v>44609</v>
      </c>
      <c r="I3296" s="2122">
        <v>0.6</v>
      </c>
      <c r="J3296" s="2237">
        <v>12.29</v>
      </c>
      <c r="K3296" s="2983" t="s">
        <v>50</v>
      </c>
      <c r="L3296" s="2984"/>
      <c r="M3296" s="45"/>
      <c r="N3296" s="46"/>
      <c r="Q3296" s="47"/>
      <c r="R3296" s="48">
        <f>RIGHT(K3296,6)*B3296</f>
        <v>62834.044560000002</v>
      </c>
      <c r="S3296" s="49">
        <f>D3296</f>
        <v>71157.340799999991</v>
      </c>
      <c r="T3296" s="49">
        <f>S3296-R3296</f>
        <v>8323.2962399999888</v>
      </c>
      <c r="U3296" s="50">
        <f>(S3296-R3296)/R3296</f>
        <v>0.13246475375386832</v>
      </c>
      <c r="V3296" s="2239" t="str">
        <f>A3296</f>
        <v>NVDA</v>
      </c>
      <c r="W3296" s="2240">
        <f ca="1">H3296-TODAY()</f>
        <v>-563</v>
      </c>
    </row>
    <row r="3297" spans="1:23" x14ac:dyDescent="0.35">
      <c r="A3297" s="51" t="s">
        <v>51</v>
      </c>
      <c r="B3297" s="2179">
        <v>150.83099999999999</v>
      </c>
      <c r="C3297" s="2180">
        <v>420.76</v>
      </c>
      <c r="D3297" s="69">
        <f t="shared" ref="D3297:D3299" si="1253">C3297*B3297</f>
        <v>63463.651559999991</v>
      </c>
      <c r="E3297" s="1977">
        <f t="shared" si="1252"/>
        <v>7.4600944962329149E-2</v>
      </c>
      <c r="F3297" s="2223">
        <f t="shared" ref="F3297:F3301" si="1254">D3297/$D$3302</f>
        <v>0.35585897186545296</v>
      </c>
      <c r="G3297" s="2224">
        <v>23</v>
      </c>
      <c r="H3297" s="2225">
        <f>"10/27/2021"+90</f>
        <v>44586</v>
      </c>
      <c r="I3297" s="2226">
        <v>0.56000000000000005</v>
      </c>
      <c r="J3297" s="2122">
        <v>3.51</v>
      </c>
      <c r="K3297" s="3000" t="s">
        <v>52</v>
      </c>
      <c r="L3297" s="3001"/>
      <c r="M3297" s="2227"/>
      <c r="N3297" s="2228"/>
      <c r="O3297" s="1374"/>
      <c r="P3297" s="1374"/>
      <c r="Q3297" s="2229"/>
      <c r="R3297" s="2230">
        <f t="shared" ref="R3297:R3299" si="1255">RIGHT(K3297,6)*B3297</f>
        <v>49296.095729999994</v>
      </c>
      <c r="S3297" s="2231">
        <f t="shared" ref="S3297:S3299" si="1256">D3297</f>
        <v>63463.651559999991</v>
      </c>
      <c r="T3297" s="2231">
        <f t="shared" ref="T3297:T3299" si="1257">S3297-R3297</f>
        <v>14167.555829999998</v>
      </c>
      <c r="U3297" s="2286">
        <f t="shared" ref="U3297:U3299" si="1258">(S3297-R3297)/R3297</f>
        <v>0.28739711776764676</v>
      </c>
      <c r="V3297" s="2233" t="str">
        <f t="shared" ref="V3297:V3299" si="1259">A3297</f>
        <v>KLAC</v>
      </c>
      <c r="W3297" s="2234">
        <f t="shared" ref="W3297:W3299" ca="1" si="1260">H3297-TODAY()</f>
        <v>-586</v>
      </c>
    </row>
    <row r="3298" spans="1:23" x14ac:dyDescent="0.35">
      <c r="A3298" s="2178" t="s">
        <v>53</v>
      </c>
      <c r="B3298" s="2179">
        <v>100.059</v>
      </c>
      <c r="C3298" s="2180">
        <v>348.31</v>
      </c>
      <c r="D3298" s="82">
        <f t="shared" si="1253"/>
        <v>34851.550289999999</v>
      </c>
      <c r="E3298" s="1977">
        <f t="shared" si="1252"/>
        <v>2.2576478186835763E-2</v>
      </c>
      <c r="F3298" s="2223">
        <f t="shared" si="1254"/>
        <v>0.19542267974276847</v>
      </c>
      <c r="G3298" s="2173">
        <v>42</v>
      </c>
      <c r="H3298" s="2225">
        <f>"10/27/2021"+90</f>
        <v>44586</v>
      </c>
      <c r="I3298" s="2122">
        <v>0.84</v>
      </c>
      <c r="J3298" s="2237">
        <v>14.34</v>
      </c>
      <c r="K3298" s="2983" t="s">
        <v>54</v>
      </c>
      <c r="L3298" s="2984"/>
      <c r="M3298" s="45"/>
      <c r="N3298" s="46"/>
      <c r="Q3298" s="47"/>
      <c r="R3298" s="48">
        <f t="shared" si="1255"/>
        <v>32201.987969999998</v>
      </c>
      <c r="S3298" s="49">
        <f t="shared" si="1256"/>
        <v>34851.550289999999</v>
      </c>
      <c r="T3298" s="49">
        <f t="shared" si="1257"/>
        <v>2649.5623200000009</v>
      </c>
      <c r="U3298" s="50">
        <f t="shared" si="1258"/>
        <v>8.2279464313457451E-2</v>
      </c>
      <c r="V3298" s="2239" t="str">
        <f t="shared" si="1259"/>
        <v>ODFL</v>
      </c>
      <c r="W3298" s="2240">
        <f t="shared" ca="1" si="1260"/>
        <v>-586</v>
      </c>
    </row>
    <row r="3299" spans="1:23" x14ac:dyDescent="0.35">
      <c r="A3299" s="7" t="s">
        <v>56</v>
      </c>
      <c r="B3299" s="2330">
        <v>108</v>
      </c>
      <c r="C3299" s="2331">
        <v>55.98</v>
      </c>
      <c r="D3299" s="2180">
        <f t="shared" si="1253"/>
        <v>6045.8399999999992</v>
      </c>
      <c r="E3299" s="1977">
        <f t="shared" si="1252"/>
        <v>-1.0706638115632098E-3</v>
      </c>
      <c r="F3299" s="2223">
        <f t="shared" si="1254"/>
        <v>3.3900766085433708E-2</v>
      </c>
      <c r="G3299" s="2173">
        <v>9.8000000000000007</v>
      </c>
      <c r="H3299" s="2225">
        <v>44607</v>
      </c>
      <c r="I3299" s="2122">
        <v>2.67</v>
      </c>
      <c r="J3299" s="2122">
        <v>2.58</v>
      </c>
      <c r="K3299" s="2983" t="s">
        <v>57</v>
      </c>
      <c r="L3299" s="2984"/>
      <c r="M3299" s="2247"/>
      <c r="N3299" s="46"/>
      <c r="Q3299" s="47"/>
      <c r="R3299" s="48">
        <f t="shared" si="1255"/>
        <v>7557.84</v>
      </c>
      <c r="S3299" s="49">
        <f t="shared" si="1256"/>
        <v>6045.8399999999992</v>
      </c>
      <c r="T3299" s="49">
        <f t="shared" si="1257"/>
        <v>-1512.0000000000009</v>
      </c>
      <c r="U3299" s="54">
        <f t="shared" si="1258"/>
        <v>-0.20005715918833963</v>
      </c>
      <c r="V3299" s="2239" t="str">
        <f t="shared" si="1259"/>
        <v>KLIC</v>
      </c>
      <c r="W3299" s="2252">
        <f t="shared" ca="1" si="1260"/>
        <v>-565</v>
      </c>
    </row>
    <row r="3300" spans="1:23" ht="16" thickBot="1" x14ac:dyDescent="0.4">
      <c r="A3300" s="55" t="s">
        <v>7</v>
      </c>
      <c r="B3300" s="56"/>
      <c r="C3300" s="57" t="s">
        <v>58</v>
      </c>
      <c r="D3300" s="2264">
        <v>2344</v>
      </c>
      <c r="E3300" s="1977">
        <f>(D3300-D3285)/D3285</f>
        <v>8.6058519793459545E-3</v>
      </c>
      <c r="F3300" s="2223">
        <f t="shared" si="1254"/>
        <v>1.3143483073362282E-2</v>
      </c>
      <c r="G3300" s="2053"/>
      <c r="H3300" s="1789" t="s">
        <v>59</v>
      </c>
      <c r="I3300" s="2089"/>
      <c r="J3300" s="2068"/>
      <c r="K3300" s="58"/>
      <c r="L3300" s="58"/>
      <c r="M3300" s="58"/>
      <c r="R3300" s="2265">
        <f>SUM(R3296:R3299)</f>
        <v>151889.96825999999</v>
      </c>
      <c r="S3300" s="2265">
        <f t="shared" ref="S3300:T3300" si="1261">SUM(S3296:S3299)</f>
        <v>175518.38264999996</v>
      </c>
      <c r="T3300" s="2265">
        <f t="shared" si="1261"/>
        <v>23628.414389999987</v>
      </c>
      <c r="U3300" s="2292">
        <f>AVERAGE(U3296:U3299)</f>
        <v>7.5521044161658224E-2</v>
      </c>
      <c r="V3300" s="2208"/>
      <c r="W3300" s="2208"/>
    </row>
    <row r="3301" spans="1:23" ht="16" thickBot="1" x14ac:dyDescent="0.4">
      <c r="A3301" s="55" t="s">
        <v>60</v>
      </c>
      <c r="B3301" s="2268"/>
      <c r="C3301" s="2269"/>
      <c r="D3301" s="59">
        <v>476.95</v>
      </c>
      <c r="E3301" s="1977">
        <f>(D3286-D3286)/C3286</f>
        <v>0</v>
      </c>
      <c r="F3301" s="2223">
        <f t="shared" si="1254"/>
        <v>2.6743960118771931E-3</v>
      </c>
      <c r="G3301" s="1734"/>
      <c r="H3301" s="1723" t="s">
        <v>61</v>
      </c>
      <c r="I3301" s="60">
        <v>0</v>
      </c>
      <c r="J3301" s="61"/>
      <c r="K3301" s="2090"/>
      <c r="L3301" s="2070"/>
      <c r="M3301" s="2070"/>
      <c r="Q3301" s="62"/>
      <c r="R3301" s="2293"/>
      <c r="S3301" s="64"/>
      <c r="T3301" s="64"/>
      <c r="U3301" s="64"/>
    </row>
    <row r="3302" spans="1:23" ht="19" thickBot="1" x14ac:dyDescent="0.5">
      <c r="A3302" s="66" t="s">
        <v>62</v>
      </c>
      <c r="B3302" s="67"/>
      <c r="C3302" s="68">
        <f>SUM(D3296:D3299)</f>
        <v>175518.38264999996</v>
      </c>
      <c r="D3302" s="84">
        <f>SUM(D3296:D3301)</f>
        <v>178339.33264999997</v>
      </c>
      <c r="E3302" s="70">
        <f>(D3302-D3287)</f>
        <v>8209.5936399999482</v>
      </c>
      <c r="F3302" s="71">
        <f>SUM(F3296:F3301)</f>
        <v>1.0000000000000002</v>
      </c>
      <c r="G3302" s="72" t="s">
        <v>63</v>
      </c>
      <c r="H3302" s="73">
        <f>E3302+E3287+E3267+E3249+E3230</f>
        <v>-5410.4901381334312</v>
      </c>
      <c r="I3302" s="74"/>
      <c r="J3302" s="75"/>
      <c r="K3302" s="2314" t="s">
        <v>67</v>
      </c>
      <c r="L3302" s="2315"/>
      <c r="M3302" s="2315"/>
      <c r="N3302" s="2316"/>
      <c r="O3302" s="2316"/>
      <c r="P3302" s="2316"/>
      <c r="Q3302" s="2316"/>
      <c r="R3302" s="2316"/>
      <c r="S3302" s="86" t="s">
        <v>68</v>
      </c>
      <c r="T3302" s="2317"/>
      <c r="U3302" s="2318"/>
    </row>
    <row r="3303" spans="1:23" x14ac:dyDescent="0.35">
      <c r="A3303" s="2985" t="s">
        <v>64</v>
      </c>
      <c r="B3303" s="2985"/>
      <c r="C3303" s="2985"/>
      <c r="D3303" s="2985"/>
      <c r="E3303" s="2985"/>
      <c r="F3303" s="2985"/>
      <c r="G3303" s="2985"/>
      <c r="H3303" s="2985"/>
      <c r="I3303" s="2985"/>
      <c r="J3303" s="2985"/>
      <c r="K3303" s="2319" t="s">
        <v>69</v>
      </c>
      <c r="L3303" s="87"/>
      <c r="M3303" s="87"/>
      <c r="N3303" s="88"/>
      <c r="O3303" s="88"/>
      <c r="P3303" s="88"/>
      <c r="Q3303" s="88"/>
      <c r="R3303" s="88"/>
      <c r="S3303" s="89"/>
      <c r="T3303" s="89"/>
      <c r="U3303" s="90"/>
    </row>
    <row r="3304" spans="1:23" x14ac:dyDescent="0.35">
      <c r="A3304" s="2986"/>
      <c r="B3304" s="2986"/>
      <c r="C3304" s="2986"/>
      <c r="D3304" s="2986"/>
      <c r="E3304" s="2986"/>
      <c r="F3304" s="2986"/>
      <c r="G3304" s="2986"/>
      <c r="H3304" s="2986"/>
      <c r="I3304" s="2986"/>
      <c r="J3304" s="2986"/>
      <c r="K3304" s="2319" t="s">
        <v>70</v>
      </c>
      <c r="L3304" s="87"/>
      <c r="M3304" s="87"/>
      <c r="N3304" s="88"/>
      <c r="O3304" s="88"/>
      <c r="P3304" s="88"/>
      <c r="Q3304" s="88"/>
      <c r="R3304" s="88"/>
      <c r="S3304" s="89"/>
      <c r="T3304" s="89"/>
      <c r="U3304" s="90"/>
    </row>
    <row r="3305" spans="1:23" x14ac:dyDescent="0.35">
      <c r="A3305" s="2986"/>
      <c r="B3305" s="2986"/>
      <c r="C3305" s="2986"/>
      <c r="D3305" s="2986"/>
      <c r="E3305" s="2986"/>
      <c r="F3305" s="2986"/>
      <c r="G3305" s="2986"/>
      <c r="H3305" s="2986"/>
      <c r="I3305" s="2986"/>
      <c r="J3305" s="2986"/>
      <c r="K3305" s="2319" t="s">
        <v>71</v>
      </c>
      <c r="L3305" s="87"/>
      <c r="M3305" s="87"/>
      <c r="N3305" s="88"/>
      <c r="O3305" s="88"/>
      <c r="P3305" s="88"/>
      <c r="Q3305" s="88"/>
      <c r="R3305" s="88"/>
      <c r="S3305" s="89"/>
      <c r="T3305" s="89"/>
      <c r="U3305" s="91"/>
    </row>
    <row r="3306" spans="1:23" x14ac:dyDescent="0.35">
      <c r="A3306" s="8"/>
      <c r="B3306" s="9"/>
      <c r="C3306" s="8"/>
      <c r="D3306" s="8"/>
      <c r="E3306" s="8"/>
      <c r="F3306" s="10"/>
      <c r="G3306" s="11"/>
      <c r="H3306" s="12"/>
      <c r="I3306" s="8"/>
      <c r="J3306" s="12"/>
      <c r="K3306" s="2320" t="s">
        <v>20</v>
      </c>
      <c r="L3306" s="2321"/>
      <c r="M3306" s="2321"/>
      <c r="N3306" s="2321"/>
      <c r="O3306" s="2321"/>
      <c r="P3306" s="2321"/>
      <c r="Q3306" s="2321"/>
      <c r="R3306" s="2321"/>
      <c r="S3306" s="2321"/>
      <c r="T3306" s="2321"/>
      <c r="U3306" s="2322"/>
    </row>
    <row r="3307" spans="1:23" ht="16" thickBot="1" x14ac:dyDescent="0.4">
      <c r="A3307" s="8" t="s">
        <v>21</v>
      </c>
      <c r="B3307" s="9"/>
      <c r="C3307" s="8"/>
      <c r="D3307" s="8"/>
      <c r="E3307" s="8"/>
      <c r="F3307" s="10"/>
      <c r="G3307" s="11"/>
      <c r="H3307" s="12"/>
      <c r="I3307" s="8"/>
      <c r="J3307" s="12"/>
      <c r="K3307" s="8"/>
      <c r="L3307" s="8"/>
      <c r="M3307" s="8"/>
      <c r="N3307" s="8"/>
      <c r="O3307" s="8"/>
      <c r="P3307" s="8"/>
      <c r="Q3307" s="8"/>
      <c r="R3307" s="8"/>
      <c r="S3307" s="8"/>
      <c r="T3307" s="8"/>
      <c r="U3307" s="8"/>
    </row>
    <row r="3308" spans="1:23" x14ac:dyDescent="0.35">
      <c r="A3308" s="17" t="s">
        <v>25</v>
      </c>
      <c r="B3308" s="18" t="s">
        <v>26</v>
      </c>
      <c r="C3308" s="19" t="s">
        <v>27</v>
      </c>
      <c r="D3308" s="20">
        <f>D3293+7</f>
        <v>44561</v>
      </c>
      <c r="E3308" s="21" t="s">
        <v>28</v>
      </c>
      <c r="F3308" s="3002" t="s">
        <v>29</v>
      </c>
      <c r="G3308" s="3003"/>
      <c r="H3308" s="3004"/>
      <c r="I3308" s="2184" t="s">
        <v>30</v>
      </c>
      <c r="J3308" s="22">
        <v>17.22</v>
      </c>
      <c r="K3308" s="23">
        <f>D3308-4</f>
        <v>44557</v>
      </c>
      <c r="L3308" s="23">
        <f>K3308+1</f>
        <v>44558</v>
      </c>
      <c r="M3308" s="23"/>
      <c r="N3308" s="23"/>
      <c r="O3308" s="2993" t="s">
        <v>31</v>
      </c>
      <c r="P3308" s="2994"/>
      <c r="Q3308" s="23"/>
      <c r="R3308" s="23">
        <f>L3308+1</f>
        <v>44559</v>
      </c>
      <c r="S3308" s="23">
        <f>R3308+1</f>
        <v>44560</v>
      </c>
      <c r="T3308" s="23">
        <f t="shared" ref="T3308" si="1262">S3308+1</f>
        <v>44561</v>
      </c>
      <c r="U3308" s="24"/>
    </row>
    <row r="3309" spans="1:23" ht="16" thickBot="1" x14ac:dyDescent="0.4">
      <c r="A3309" s="28" t="s">
        <v>32</v>
      </c>
      <c r="B3309" s="29" t="str">
        <f ca="1">TEXT(TODAY(),"ddd")</f>
        <v>Sun</v>
      </c>
      <c r="C3309" s="30">
        <v>36338.300000000003</v>
      </c>
      <c r="D3309" s="31">
        <f>C3309-C3294</f>
        <v>388.30000000000291</v>
      </c>
      <c r="E3309" s="32">
        <f>(C3309-C3294)/C3294</f>
        <v>1.0801112656467396E-2</v>
      </c>
      <c r="F3309" s="3005"/>
      <c r="G3309" s="3005"/>
      <c r="H3309" s="3006"/>
      <c r="I3309" s="2185" t="s">
        <v>33</v>
      </c>
      <c r="J3309" s="2185">
        <v>62</v>
      </c>
      <c r="K3309" s="2061"/>
      <c r="L3309" s="2062" t="s">
        <v>34</v>
      </c>
      <c r="M3309" s="2063" t="s">
        <v>35</v>
      </c>
      <c r="N3309" s="2995"/>
      <c r="O3309" s="2996"/>
      <c r="P3309" s="2996"/>
      <c r="Q3309" s="2996"/>
      <c r="R3309" s="2996"/>
      <c r="S3309" s="2996"/>
      <c r="T3309" s="2996"/>
      <c r="U3309" s="2996"/>
    </row>
    <row r="3310" spans="1:23" ht="16" thickBot="1" x14ac:dyDescent="0.4">
      <c r="A3310" s="28" t="s">
        <v>36</v>
      </c>
      <c r="B3310" s="30"/>
      <c r="C3310" s="30">
        <v>15644.97</v>
      </c>
      <c r="D3310" s="108">
        <f>C3310-C3295</f>
        <v>-8.0300000000006548</v>
      </c>
      <c r="E3310" s="32">
        <f>(C3310-C3295)/C3295</f>
        <v>-5.1300070274073052E-4</v>
      </c>
      <c r="F3310" s="2329" t="s">
        <v>37</v>
      </c>
      <c r="G3310" s="36" t="s">
        <v>38</v>
      </c>
      <c r="H3310" s="37" t="s">
        <v>39</v>
      </c>
      <c r="I3310" s="38" t="s">
        <v>40</v>
      </c>
      <c r="J3310" s="39" t="s">
        <v>41</v>
      </c>
      <c r="K3310" s="2997" t="s">
        <v>42</v>
      </c>
      <c r="L3310" s="2998"/>
      <c r="M3310" s="2999"/>
      <c r="N3310" s="2217" t="s">
        <v>43</v>
      </c>
      <c r="O3310" s="40"/>
      <c r="P3310" s="40"/>
      <c r="Q3310" s="2218" t="s">
        <v>44</v>
      </c>
      <c r="R3310" s="2219" t="s">
        <v>45</v>
      </c>
      <c r="S3310" s="2219" t="s">
        <v>46</v>
      </c>
      <c r="T3310" s="2219" t="s">
        <v>47</v>
      </c>
      <c r="U3310" s="2285" t="s">
        <v>48</v>
      </c>
      <c r="V3310" s="2221" t="s">
        <v>244</v>
      </c>
      <c r="W3310" s="2221" t="s">
        <v>696</v>
      </c>
    </row>
    <row r="3311" spans="1:23" ht="16" thickBot="1" x14ac:dyDescent="0.4">
      <c r="A3311" s="2178" t="s">
        <v>49</v>
      </c>
      <c r="B3311" s="2332">
        <v>240.072</v>
      </c>
      <c r="C3311" s="2180">
        <v>294.11</v>
      </c>
      <c r="D3311" s="69">
        <f>C3311*B3311</f>
        <v>70607.575920000003</v>
      </c>
      <c r="E3311" s="2333">
        <f t="shared" ref="E3311:E3314" si="1263">(C3311-C3296)/C3296</f>
        <v>-7.7260458839404989E-3</v>
      </c>
      <c r="F3311" s="2223">
        <f>D3311/$D$3317</f>
        <v>0.39114812223613443</v>
      </c>
      <c r="G3311" s="2172">
        <v>105</v>
      </c>
      <c r="H3311" s="2225">
        <v>44609</v>
      </c>
      <c r="I3311" s="2122">
        <v>0.6</v>
      </c>
      <c r="J3311" s="2237">
        <v>12.29</v>
      </c>
      <c r="K3311" s="2983" t="s">
        <v>50</v>
      </c>
      <c r="L3311" s="2984"/>
      <c r="M3311" s="45"/>
      <c r="N3311" s="46"/>
      <c r="Q3311" s="47"/>
      <c r="R3311" s="48">
        <f>RIGHT(K3311,6)*B3311</f>
        <v>62834.044560000002</v>
      </c>
      <c r="S3311" s="49">
        <f>D3311</f>
        <v>70607.575920000003</v>
      </c>
      <c r="T3311" s="49">
        <f>S3311-R3311</f>
        <v>7773.5313600000009</v>
      </c>
      <c r="U3311" s="50">
        <f>(S3311-R3311)/R3311</f>
        <v>0.12371527910442059</v>
      </c>
      <c r="V3311" s="2239" t="str">
        <f>A3311</f>
        <v>NVDA</v>
      </c>
      <c r="W3311" s="2240">
        <f ca="1">H3311-TODAY()</f>
        <v>-563</v>
      </c>
    </row>
    <row r="3312" spans="1:23" x14ac:dyDescent="0.35">
      <c r="A3312" s="51" t="s">
        <v>51</v>
      </c>
      <c r="B3312" s="2332">
        <v>150.83099999999999</v>
      </c>
      <c r="C3312" s="2180">
        <v>430.11</v>
      </c>
      <c r="D3312" s="69">
        <f t="shared" ref="D3312:D3314" si="1264">C3312*B3312</f>
        <v>64873.921409999995</v>
      </c>
      <c r="E3312" s="1977">
        <f t="shared" si="1263"/>
        <v>2.2221694077383836E-2</v>
      </c>
      <c r="F3312" s="2223">
        <f t="shared" ref="F3312:F3316" si="1265">D3312/$D$3317</f>
        <v>0.35938512561834535</v>
      </c>
      <c r="G3312" s="2224">
        <v>23</v>
      </c>
      <c r="H3312" s="2225">
        <f>"10/27/2021"+90</f>
        <v>44586</v>
      </c>
      <c r="I3312" s="2226">
        <v>0.56000000000000005</v>
      </c>
      <c r="J3312" s="2122">
        <v>3.51</v>
      </c>
      <c r="K3312" s="3000" t="s">
        <v>52</v>
      </c>
      <c r="L3312" s="3001"/>
      <c r="M3312" s="2227"/>
      <c r="N3312" s="2228"/>
      <c r="O3312" s="1374"/>
      <c r="P3312" s="1374"/>
      <c r="Q3312" s="2229"/>
      <c r="R3312" s="2230">
        <f t="shared" ref="R3312:R3314" si="1266">RIGHT(K3312,6)*B3312</f>
        <v>49296.095729999994</v>
      </c>
      <c r="S3312" s="2231">
        <f t="shared" ref="S3312:S3314" si="1267">D3312</f>
        <v>64873.921409999995</v>
      </c>
      <c r="T3312" s="2231">
        <f t="shared" ref="T3312:T3314" si="1268">S3312-R3312</f>
        <v>15577.825680000002</v>
      </c>
      <c r="U3312" s="2286">
        <f t="shared" ref="U3312:U3314" si="1269">(S3312-R3312)/R3312</f>
        <v>0.31600526267478513</v>
      </c>
      <c r="V3312" s="2233" t="str">
        <f t="shared" ref="V3312:V3314" si="1270">A3312</f>
        <v>KLAC</v>
      </c>
      <c r="W3312" s="2234">
        <f t="shared" ref="W3312:W3314" ca="1" si="1271">H3312-TODAY()</f>
        <v>-586</v>
      </c>
    </row>
    <row r="3313" spans="1:23" x14ac:dyDescent="0.35">
      <c r="A3313" s="2178" t="s">
        <v>53</v>
      </c>
      <c r="B3313" s="2332">
        <v>100.059</v>
      </c>
      <c r="C3313" s="2180">
        <v>358.38</v>
      </c>
      <c r="D3313" s="82">
        <f t="shared" si="1264"/>
        <v>35859.144419999997</v>
      </c>
      <c r="E3313" s="1977">
        <f t="shared" si="1263"/>
        <v>2.8911027532944771E-2</v>
      </c>
      <c r="F3313" s="2223">
        <f t="shared" si="1265"/>
        <v>0.19865059552206416</v>
      </c>
      <c r="G3313" s="2173">
        <v>42</v>
      </c>
      <c r="H3313" s="2225">
        <f>"10/27/2021"+90</f>
        <v>44586</v>
      </c>
      <c r="I3313" s="2122">
        <v>0.84</v>
      </c>
      <c r="J3313" s="2237">
        <v>14.34</v>
      </c>
      <c r="K3313" s="2983" t="s">
        <v>54</v>
      </c>
      <c r="L3313" s="2984"/>
      <c r="M3313" s="45"/>
      <c r="N3313" s="46"/>
      <c r="Q3313" s="47"/>
      <c r="R3313" s="48">
        <f t="shared" si="1266"/>
        <v>32201.987969999998</v>
      </c>
      <c r="S3313" s="49">
        <f t="shared" si="1267"/>
        <v>35859.144419999997</v>
      </c>
      <c r="T3313" s="49">
        <f t="shared" si="1268"/>
        <v>3657.1564499999986</v>
      </c>
      <c r="U3313" s="50">
        <f t="shared" si="1269"/>
        <v>0.11356927570456449</v>
      </c>
      <c r="V3313" s="2239" t="str">
        <f t="shared" si="1270"/>
        <v>ODFL</v>
      </c>
      <c r="W3313" s="2240">
        <f t="shared" ca="1" si="1271"/>
        <v>-586</v>
      </c>
    </row>
    <row r="3314" spans="1:23" x14ac:dyDescent="0.35">
      <c r="A3314" s="7" t="s">
        <v>56</v>
      </c>
      <c r="B3314" s="2334">
        <v>108</v>
      </c>
      <c r="C3314" s="2331">
        <v>60.54</v>
      </c>
      <c r="D3314" s="2180">
        <f t="shared" si="1264"/>
        <v>6538.32</v>
      </c>
      <c r="E3314" s="1977">
        <f t="shared" si="1263"/>
        <v>8.1457663451232634E-2</v>
      </c>
      <c r="F3314" s="2223">
        <f t="shared" si="1265"/>
        <v>3.6220640027022223E-2</v>
      </c>
      <c r="G3314" s="2173">
        <v>9.8000000000000007</v>
      </c>
      <c r="H3314" s="2225">
        <v>44607</v>
      </c>
      <c r="I3314" s="2122">
        <v>2.67</v>
      </c>
      <c r="J3314" s="2122">
        <v>2.58</v>
      </c>
      <c r="K3314" s="2983" t="s">
        <v>57</v>
      </c>
      <c r="L3314" s="2984"/>
      <c r="M3314" s="2247"/>
      <c r="N3314" s="46"/>
      <c r="Q3314" s="47"/>
      <c r="R3314" s="48">
        <f t="shared" si="1266"/>
        <v>7557.84</v>
      </c>
      <c r="S3314" s="49">
        <f t="shared" si="1267"/>
        <v>6538.32</v>
      </c>
      <c r="T3314" s="49">
        <f t="shared" si="1268"/>
        <v>-1019.5200000000004</v>
      </c>
      <c r="U3314" s="54">
        <f t="shared" si="1269"/>
        <v>-0.13489568448128042</v>
      </c>
      <c r="V3314" s="2239" t="str">
        <f t="shared" si="1270"/>
        <v>KLIC</v>
      </c>
      <c r="W3314" s="2252">
        <f t="shared" ca="1" si="1271"/>
        <v>-565</v>
      </c>
    </row>
    <row r="3315" spans="1:23" ht="16" thickBot="1" x14ac:dyDescent="0.4">
      <c r="A3315" s="55" t="s">
        <v>7</v>
      </c>
      <c r="B3315" s="56"/>
      <c r="C3315" s="57" t="s">
        <v>58</v>
      </c>
      <c r="D3315" s="2264">
        <v>2357.7399999999998</v>
      </c>
      <c r="E3315" s="1977">
        <f>(D3315-D3300)/D3300</f>
        <v>5.8617747440272107E-3</v>
      </c>
      <c r="F3315" s="2223">
        <f t="shared" si="1265"/>
        <v>1.3061283604551532E-2</v>
      </c>
      <c r="G3315" s="2053"/>
      <c r="H3315" s="1789" t="s">
        <v>59</v>
      </c>
      <c r="I3315" s="2089"/>
      <c r="J3315" s="2068"/>
      <c r="K3315" s="58"/>
      <c r="L3315" s="58"/>
      <c r="M3315" s="58"/>
      <c r="R3315" s="2265">
        <f>SUM(R3311:R3314)</f>
        <v>151889.96825999999</v>
      </c>
      <c r="S3315" s="2265">
        <f>SUM(S3311:S3314)</f>
        <v>177878.96174999999</v>
      </c>
      <c r="T3315" s="2265">
        <f t="shared" ref="T3315" si="1272">SUM(T3311:T3314)</f>
        <v>25988.993490000001</v>
      </c>
      <c r="U3315" s="2292">
        <f>AVERAGE(U3311:U3314)</f>
        <v>0.10459853325062243</v>
      </c>
      <c r="V3315" s="2208"/>
      <c r="W3315" s="2208"/>
    </row>
    <row r="3316" spans="1:23" ht="16" thickBot="1" x14ac:dyDescent="0.4">
      <c r="A3316" s="55" t="s">
        <v>60</v>
      </c>
      <c r="B3316" s="2268"/>
      <c r="C3316" s="2269">
        <f>SUM(D3312:D3314)</f>
        <v>107271.38582999998</v>
      </c>
      <c r="D3316" s="59">
        <v>276.95</v>
      </c>
      <c r="E3316" s="1977">
        <f>(D3316-D3301)/D3301</f>
        <v>-0.41933116678897159</v>
      </c>
      <c r="F3316" s="2223">
        <f t="shared" si="1265"/>
        <v>1.5342329918822885E-3</v>
      </c>
      <c r="G3316" s="1734"/>
      <c r="H3316" s="1723" t="s">
        <v>61</v>
      </c>
      <c r="I3316" s="60">
        <v>0</v>
      </c>
      <c r="J3316" s="61"/>
      <c r="K3316" s="2090"/>
      <c r="L3316" s="2070"/>
      <c r="M3316" s="2070"/>
      <c r="Q3316" s="62"/>
      <c r="R3316" s="63"/>
      <c r="S3316" s="64"/>
      <c r="T3316" s="64"/>
      <c r="U3316" s="64"/>
    </row>
    <row r="3317" spans="1:23" ht="19" thickBot="1" x14ac:dyDescent="0.5">
      <c r="A3317" s="66" t="s">
        <v>62</v>
      </c>
      <c r="B3317" s="67"/>
      <c r="C3317" s="68">
        <f>SUM(D3312:D3312)</f>
        <v>64873.921409999995</v>
      </c>
      <c r="D3317" s="84">
        <f>SUM(D3311:D3316)</f>
        <v>180513.65174999999</v>
      </c>
      <c r="E3317" s="70">
        <f>(D3317-D3302)</f>
        <v>2174.3191000000224</v>
      </c>
      <c r="F3317" s="71">
        <f>SUM(F3311:F3316)</f>
        <v>0.99999999999999978</v>
      </c>
      <c r="G3317" s="72" t="s">
        <v>63</v>
      </c>
      <c r="H3317" s="73">
        <f>E3317+E3302+E3282+E3264+E3245</f>
        <v>10383.906332150555</v>
      </c>
      <c r="I3317" s="74"/>
      <c r="J3317" s="75"/>
      <c r="K3317" s="2314" t="s">
        <v>67</v>
      </c>
      <c r="L3317" s="2315"/>
      <c r="M3317" s="2315"/>
      <c r="N3317" s="2316"/>
      <c r="O3317" s="2316"/>
      <c r="P3317" s="2316"/>
      <c r="Q3317" s="2316"/>
      <c r="R3317" s="2316"/>
      <c r="S3317" s="86" t="s">
        <v>68</v>
      </c>
      <c r="T3317" s="2317"/>
      <c r="U3317" s="2318"/>
    </row>
    <row r="3318" spans="1:23" x14ac:dyDescent="0.35">
      <c r="A3318" s="2985" t="s">
        <v>735</v>
      </c>
      <c r="B3318" s="2985"/>
      <c r="C3318" s="2985"/>
      <c r="D3318" s="2985"/>
      <c r="E3318" s="2985"/>
      <c r="F3318" s="2985"/>
      <c r="G3318" s="2985"/>
      <c r="H3318" s="2985"/>
      <c r="I3318" s="2985"/>
      <c r="J3318" s="2985"/>
      <c r="K3318" s="2319" t="s">
        <v>69</v>
      </c>
      <c r="L3318" s="87"/>
      <c r="M3318" s="87"/>
      <c r="N3318" s="88"/>
      <c r="O3318" s="88"/>
      <c r="P3318" s="88"/>
      <c r="Q3318" s="88"/>
      <c r="R3318" s="88"/>
      <c r="S3318" s="89"/>
      <c r="T3318" s="89"/>
      <c r="U3318" s="90"/>
    </row>
    <row r="3319" spans="1:23" x14ac:dyDescent="0.35">
      <c r="A3319" s="2986"/>
      <c r="B3319" s="2986"/>
      <c r="C3319" s="2986"/>
      <c r="D3319" s="2986"/>
      <c r="E3319" s="2986"/>
      <c r="F3319" s="2986"/>
      <c r="G3319" s="2986"/>
      <c r="H3319" s="2986"/>
      <c r="I3319" s="2986"/>
      <c r="J3319" s="2986"/>
      <c r="K3319" s="2319" t="s">
        <v>70</v>
      </c>
      <c r="L3319" s="87"/>
      <c r="M3319" s="87"/>
      <c r="N3319" s="88"/>
      <c r="O3319" s="88"/>
      <c r="P3319" s="88"/>
      <c r="Q3319" s="88"/>
      <c r="R3319" s="88"/>
      <c r="S3319" s="89"/>
      <c r="T3319" s="89"/>
      <c r="U3319" s="90"/>
    </row>
    <row r="3320" spans="1:23" x14ac:dyDescent="0.35">
      <c r="A3320" s="2986"/>
      <c r="B3320" s="2986"/>
      <c r="C3320" s="2986"/>
      <c r="D3320" s="2986"/>
      <c r="E3320" s="2986"/>
      <c r="F3320" s="2986"/>
      <c r="G3320" s="2986"/>
      <c r="H3320" s="2986"/>
      <c r="I3320" s="2986"/>
      <c r="J3320" s="2986"/>
      <c r="K3320" s="2319" t="s">
        <v>71</v>
      </c>
      <c r="L3320" s="87"/>
      <c r="M3320" s="87"/>
      <c r="N3320" s="88"/>
      <c r="O3320" s="88"/>
      <c r="P3320" s="88"/>
      <c r="Q3320" s="88"/>
      <c r="R3320" s="88"/>
      <c r="S3320" s="89"/>
      <c r="T3320" s="89"/>
      <c r="U3320" s="91"/>
    </row>
    <row r="3321" spans="1:23" x14ac:dyDescent="0.35">
      <c r="A3321" s="8"/>
      <c r="B3321" s="9"/>
      <c r="C3321" s="8"/>
      <c r="D3321" s="8"/>
      <c r="E3321" s="8"/>
      <c r="F3321" s="10"/>
      <c r="G3321" s="11"/>
      <c r="H3321" s="12"/>
      <c r="I3321" s="8"/>
      <c r="J3321" s="12"/>
      <c r="K3321" s="2320" t="s">
        <v>20</v>
      </c>
      <c r="L3321" s="2321"/>
      <c r="M3321" s="2321"/>
      <c r="N3321" s="2321"/>
      <c r="O3321" s="2321"/>
      <c r="P3321" s="2321"/>
      <c r="Q3321" s="2321"/>
      <c r="R3321" s="2321"/>
      <c r="S3321" s="2321"/>
      <c r="T3321" s="2321"/>
      <c r="U3321" s="2322"/>
    </row>
    <row r="3322" spans="1:23" ht="16" thickBot="1" x14ac:dyDescent="0.4">
      <c r="A3322" s="8" t="s">
        <v>21</v>
      </c>
      <c r="B3322" s="9"/>
      <c r="C3322" s="8"/>
      <c r="D3322" s="8"/>
      <c r="E3322" s="8"/>
      <c r="F3322" s="10"/>
      <c r="G3322" s="11"/>
      <c r="H3322" s="12"/>
      <c r="I3322" s="8"/>
      <c r="J3322" s="12"/>
      <c r="K3322" s="8"/>
      <c r="L3322" s="8"/>
      <c r="M3322" s="8"/>
      <c r="N3322" s="8"/>
      <c r="O3322" s="8"/>
      <c r="P3322" s="8"/>
      <c r="Q3322" s="8"/>
      <c r="R3322" s="8"/>
      <c r="S3322" s="8"/>
      <c r="T3322" s="8"/>
      <c r="U3322" s="8"/>
    </row>
    <row r="3323" spans="1:23" x14ac:dyDescent="0.35">
      <c r="A3323" s="17" t="s">
        <v>25</v>
      </c>
      <c r="B3323" s="18" t="s">
        <v>26</v>
      </c>
      <c r="C3323" s="19" t="s">
        <v>27</v>
      </c>
      <c r="D3323" s="20">
        <f>D3308+7</f>
        <v>44568</v>
      </c>
      <c r="E3323" s="21" t="s">
        <v>28</v>
      </c>
      <c r="F3323" s="3007" t="s">
        <v>736</v>
      </c>
      <c r="G3323" s="3008"/>
      <c r="H3323" s="3009"/>
      <c r="I3323" s="2184" t="s">
        <v>30</v>
      </c>
      <c r="J3323" s="2335">
        <v>19.484999999999999</v>
      </c>
      <c r="K3323" s="2336">
        <f>D3323-4</f>
        <v>44564</v>
      </c>
      <c r="L3323" s="2336">
        <f>K3323+1</f>
        <v>44565</v>
      </c>
      <c r="M3323" s="2336"/>
      <c r="N3323" s="2336"/>
      <c r="O3323" s="3012" t="s">
        <v>31</v>
      </c>
      <c r="P3323" s="3013"/>
      <c r="Q3323" s="2336"/>
      <c r="R3323" s="2336">
        <f>L3323+1</f>
        <v>44566</v>
      </c>
      <c r="S3323" s="2336">
        <f>R3323+1</f>
        <v>44567</v>
      </c>
      <c r="T3323" s="23">
        <f t="shared" ref="T3323" si="1273">S3323+1</f>
        <v>44568</v>
      </c>
      <c r="U3323" s="24"/>
    </row>
    <row r="3324" spans="1:23" ht="16" thickBot="1" x14ac:dyDescent="0.4">
      <c r="A3324" s="28" t="s">
        <v>32</v>
      </c>
      <c r="B3324" s="29" t="str">
        <f ca="1">TEXT(TODAY(),"ddd")</f>
        <v>Sun</v>
      </c>
      <c r="C3324" s="30">
        <v>36231</v>
      </c>
      <c r="D3324" s="31">
        <f>C3324-C3309</f>
        <v>-107.30000000000291</v>
      </c>
      <c r="E3324" s="32">
        <f>(C3324-C3309)/C3309</f>
        <v>-2.952807368534106E-3</v>
      </c>
      <c r="F3324" s="3010"/>
      <c r="G3324" s="3010"/>
      <c r="H3324" s="3011"/>
      <c r="I3324" s="2185" t="s">
        <v>33</v>
      </c>
      <c r="J3324" s="2185">
        <v>51</v>
      </c>
      <c r="K3324" s="2061"/>
      <c r="L3324" s="2062" t="s">
        <v>34</v>
      </c>
      <c r="M3324" s="2063" t="s">
        <v>35</v>
      </c>
      <c r="N3324" s="2995"/>
      <c r="O3324" s="2996"/>
      <c r="P3324" s="2996"/>
      <c r="Q3324" s="2996"/>
      <c r="R3324" s="2996"/>
      <c r="S3324" s="2996"/>
      <c r="T3324" s="2996"/>
      <c r="U3324" s="2996"/>
    </row>
    <row r="3325" spans="1:23" ht="16" thickBot="1" x14ac:dyDescent="0.4">
      <c r="A3325" s="28" t="s">
        <v>36</v>
      </c>
      <c r="B3325" s="30"/>
      <c r="C3325" s="30">
        <v>14935</v>
      </c>
      <c r="D3325" s="108">
        <f>C3325-C3310</f>
        <v>-709.96999999999935</v>
      </c>
      <c r="E3325" s="32">
        <f>(C3325-C3310)/C3310</f>
        <v>-4.5380080626552778E-2</v>
      </c>
      <c r="F3325" s="2329" t="s">
        <v>37</v>
      </c>
      <c r="G3325" s="36" t="s">
        <v>38</v>
      </c>
      <c r="H3325" s="37" t="s">
        <v>39</v>
      </c>
      <c r="I3325" s="38" t="s">
        <v>40</v>
      </c>
      <c r="J3325" s="39" t="s">
        <v>41</v>
      </c>
      <c r="K3325" s="2997" t="s">
        <v>42</v>
      </c>
      <c r="L3325" s="2998"/>
      <c r="M3325" s="2999"/>
      <c r="N3325" s="2217" t="s">
        <v>43</v>
      </c>
      <c r="O3325" s="40"/>
      <c r="P3325" s="40"/>
      <c r="Q3325" s="2218" t="s">
        <v>44</v>
      </c>
      <c r="R3325" s="2219" t="s">
        <v>45</v>
      </c>
      <c r="S3325" s="2219" t="s">
        <v>46</v>
      </c>
      <c r="T3325" s="2219" t="s">
        <v>47</v>
      </c>
      <c r="U3325" s="2285" t="s">
        <v>48</v>
      </c>
    </row>
    <row r="3326" spans="1:23" ht="16" thickBot="1" x14ac:dyDescent="0.4">
      <c r="A3326" s="2178" t="s">
        <v>49</v>
      </c>
      <c r="B3326" s="2332">
        <v>220.072</v>
      </c>
      <c r="C3326" s="2180">
        <v>272.47000000000003</v>
      </c>
      <c r="D3326" s="69">
        <f>C3326*B3326</f>
        <v>59963.017840000008</v>
      </c>
      <c r="E3326" s="1977">
        <f t="shared" ref="E3326:E3329" si="1274">(C3326-C3311)/C3311</f>
        <v>-7.3577913025738614E-2</v>
      </c>
      <c r="F3326" s="2223">
        <f>D3326/$D$3332</f>
        <v>0.35169797248718837</v>
      </c>
      <c r="G3326" s="2172">
        <v>87</v>
      </c>
      <c r="H3326" s="2225">
        <v>44609</v>
      </c>
      <c r="I3326" s="2122">
        <v>0.6</v>
      </c>
      <c r="J3326" s="2237">
        <v>12.29</v>
      </c>
      <c r="K3326" s="2983" t="s">
        <v>50</v>
      </c>
      <c r="L3326" s="2984"/>
      <c r="M3326" s="45"/>
      <c r="N3326" s="46"/>
      <c r="Q3326" s="47"/>
      <c r="R3326" s="48">
        <f>RIGHT(K3326,6)*B3326</f>
        <v>57599.444560000004</v>
      </c>
      <c r="S3326" s="49">
        <f>D3326</f>
        <v>59963.017840000008</v>
      </c>
      <c r="T3326" s="49">
        <f>S3326-R3326</f>
        <v>2363.5732800000042</v>
      </c>
      <c r="U3326" s="50">
        <f>(S3326-R3326)/R3326</f>
        <v>4.1034654032781948E-2</v>
      </c>
    </row>
    <row r="3327" spans="1:23" x14ac:dyDescent="0.35">
      <c r="A3327" s="51" t="s">
        <v>51</v>
      </c>
      <c r="B3327" s="2332">
        <v>150.83099999999999</v>
      </c>
      <c r="C3327" s="2180">
        <v>416.91</v>
      </c>
      <c r="D3327" s="69">
        <f t="shared" ref="D3327:D3329" si="1275">C3327*B3327</f>
        <v>62882.952209999996</v>
      </c>
      <c r="E3327" s="1977">
        <f t="shared" si="1274"/>
        <v>-3.0689823533514654E-2</v>
      </c>
      <c r="F3327" s="2223">
        <f t="shared" ref="F3327:F3331" si="1276">D3327/$D$3332</f>
        <v>0.368824111809676</v>
      </c>
      <c r="G3327" s="2224">
        <v>25</v>
      </c>
      <c r="H3327" s="2225">
        <f>"10/27/2021"+90</f>
        <v>44586</v>
      </c>
      <c r="I3327" s="2226">
        <v>0.56000000000000005</v>
      </c>
      <c r="J3327" s="2122">
        <v>3.51</v>
      </c>
      <c r="K3327" s="3000" t="s">
        <v>52</v>
      </c>
      <c r="L3327" s="3001"/>
      <c r="M3327" s="2227"/>
      <c r="N3327" s="2228"/>
      <c r="O3327" s="1374"/>
      <c r="P3327" s="1374"/>
      <c r="Q3327" s="2229"/>
      <c r="R3327" s="2230">
        <f t="shared" ref="R3327:R3329" si="1277">RIGHT(K3327,6)*B3327</f>
        <v>49296.095729999994</v>
      </c>
      <c r="S3327" s="2231">
        <f t="shared" ref="S3327:S3329" si="1278">D3327</f>
        <v>62882.952209999996</v>
      </c>
      <c r="T3327" s="2231">
        <f t="shared" ref="T3327:T3329" si="1279">S3327-R3327</f>
        <v>13586.856480000002</v>
      </c>
      <c r="U3327" s="2286">
        <f t="shared" ref="U3327:U3329" si="1280">(S3327-R3327)/R3327</f>
        <v>0.27561729339411933</v>
      </c>
    </row>
    <row r="3328" spans="1:23" x14ac:dyDescent="0.35">
      <c r="A3328" s="2178" t="s">
        <v>53</v>
      </c>
      <c r="B3328" s="2332">
        <v>100.059</v>
      </c>
      <c r="C3328" s="2180">
        <v>332.6</v>
      </c>
      <c r="D3328" s="82">
        <f t="shared" si="1275"/>
        <v>33279.623400000004</v>
      </c>
      <c r="E3328" s="1977">
        <f t="shared" si="1274"/>
        <v>-7.1934817791171307E-2</v>
      </c>
      <c r="F3328" s="2223">
        <f t="shared" si="1276"/>
        <v>0.19519324571268429</v>
      </c>
      <c r="G3328" s="2173">
        <v>42</v>
      </c>
      <c r="H3328" s="2225">
        <f>"10/27/2021"+90</f>
        <v>44586</v>
      </c>
      <c r="I3328" s="2122">
        <v>0.84</v>
      </c>
      <c r="J3328" s="2237">
        <v>14.34</v>
      </c>
      <c r="K3328" s="2983" t="s">
        <v>54</v>
      </c>
      <c r="L3328" s="2984"/>
      <c r="M3328" s="45"/>
      <c r="N3328" s="46"/>
      <c r="Q3328" s="47"/>
      <c r="R3328" s="48">
        <f t="shared" si="1277"/>
        <v>32201.987969999998</v>
      </c>
      <c r="S3328" s="49">
        <f t="shared" si="1278"/>
        <v>33279.623400000004</v>
      </c>
      <c r="T3328" s="49">
        <f t="shared" si="1279"/>
        <v>1077.6354300000057</v>
      </c>
      <c r="U3328" s="50">
        <f t="shared" si="1280"/>
        <v>3.3464872758910164E-2</v>
      </c>
    </row>
    <row r="3329" spans="1:21" x14ac:dyDescent="0.35">
      <c r="A3329" s="7" t="s">
        <v>56</v>
      </c>
      <c r="B3329" s="2334">
        <v>108</v>
      </c>
      <c r="C3329" s="2331">
        <v>58.16</v>
      </c>
      <c r="D3329" s="2180">
        <f t="shared" si="1275"/>
        <v>6281.28</v>
      </c>
      <c r="E3329" s="1977">
        <f t="shared" si="1274"/>
        <v>-3.9312851007598328E-2</v>
      </c>
      <c r="F3329" s="2223">
        <f t="shared" si="1276"/>
        <v>3.6841265169790631E-2</v>
      </c>
      <c r="G3329" s="2173">
        <v>11</v>
      </c>
      <c r="H3329" s="2225">
        <v>44607</v>
      </c>
      <c r="I3329" s="2122">
        <v>2.67</v>
      </c>
      <c r="J3329" s="2122">
        <v>2.58</v>
      </c>
      <c r="K3329" s="2983" t="s">
        <v>57</v>
      </c>
      <c r="L3329" s="2984"/>
      <c r="M3329" s="2247"/>
      <c r="N3329" s="46"/>
      <c r="Q3329" s="47"/>
      <c r="R3329" s="48">
        <f t="shared" si="1277"/>
        <v>7557.84</v>
      </c>
      <c r="S3329" s="49">
        <f t="shared" si="1278"/>
        <v>6281.28</v>
      </c>
      <c r="T3329" s="49">
        <f t="shared" si="1279"/>
        <v>-1276.5600000000004</v>
      </c>
      <c r="U3329" s="54">
        <f t="shared" si="1280"/>
        <v>-0.16890540154329814</v>
      </c>
    </row>
    <row r="3330" spans="1:21" ht="16" thickBot="1" x14ac:dyDescent="0.4">
      <c r="A3330" s="55" t="s">
        <v>7</v>
      </c>
      <c r="B3330" s="56"/>
      <c r="C3330" s="57" t="s">
        <v>58</v>
      </c>
      <c r="D3330" s="2264">
        <v>2321.36</v>
      </c>
      <c r="E3330" s="1977">
        <f>(D3330-D3315)/D3315</f>
        <v>-1.5430030452891184E-2</v>
      </c>
      <c r="F3330" s="2223">
        <f t="shared" si="1276"/>
        <v>1.3615352175757997E-2</v>
      </c>
      <c r="G3330" s="2053"/>
      <c r="H3330" s="1789" t="s">
        <v>59</v>
      </c>
      <c r="I3330" s="2089"/>
      <c r="J3330" s="2068"/>
      <c r="K3330" s="58"/>
      <c r="L3330" s="58"/>
      <c r="M3330" s="58"/>
      <c r="R3330" s="2265">
        <f>SUM(R3326:R3329)</f>
        <v>146655.36825999999</v>
      </c>
      <c r="S3330" s="2265">
        <f t="shared" ref="S3330:T3330" si="1281">SUM(S3326:S3329)</f>
        <v>162406.87345000001</v>
      </c>
      <c r="T3330" s="2265">
        <f t="shared" si="1281"/>
        <v>15751.505190000011</v>
      </c>
      <c r="U3330" s="2292">
        <f>AVERAGE(U3326:U3329)</f>
        <v>4.5302854660628333E-2</v>
      </c>
    </row>
    <row r="3331" spans="1:21" ht="16" thickBot="1" x14ac:dyDescent="0.4">
      <c r="A3331" s="55" t="s">
        <v>60</v>
      </c>
      <c r="B3331" s="2268"/>
      <c r="C3331" s="2269">
        <f>SUM(D3327:D3329)</f>
        <v>102443.85561</v>
      </c>
      <c r="D3331" s="59">
        <v>5767.54</v>
      </c>
      <c r="E3331" s="1977">
        <f t="shared" ref="E3331" si="1282">(C3331-C3316)/C3316</f>
        <v>-4.500296311684171E-2</v>
      </c>
      <c r="F3331" s="2223">
        <f t="shared" si="1276"/>
        <v>3.3828052644902677E-2</v>
      </c>
      <c r="G3331" s="1734"/>
      <c r="H3331" s="1723" t="s">
        <v>61</v>
      </c>
      <c r="I3331" s="60">
        <v>0</v>
      </c>
      <c r="J3331" s="61"/>
      <c r="K3331" s="2090"/>
      <c r="L3331" s="2070"/>
      <c r="M3331" s="2070"/>
      <c r="Q3331" s="62"/>
      <c r="R3331" s="63"/>
      <c r="S3331" s="64"/>
      <c r="T3331" s="64"/>
      <c r="U3331" s="64"/>
    </row>
    <row r="3332" spans="1:21" ht="19" thickBot="1" x14ac:dyDescent="0.5">
      <c r="A3332" s="66" t="s">
        <v>62</v>
      </c>
      <c r="B3332" s="67"/>
      <c r="C3332" s="68">
        <f>SUM(D3326:D3329)</f>
        <v>162406.87345000001</v>
      </c>
      <c r="D3332" s="84">
        <f>SUM(D3326:D3331)</f>
        <v>170495.77345000001</v>
      </c>
      <c r="E3332" s="70">
        <f>(D3332-D3317)</f>
        <v>-10017.878299999982</v>
      </c>
      <c r="F3332" s="71">
        <f>SUM(F3326:F3331)</f>
        <v>0.99999999999999989</v>
      </c>
      <c r="G3332" s="72" t="s">
        <v>63</v>
      </c>
      <c r="H3332" s="73">
        <f>E3332+E3317+E3297+E3279+E3260</f>
        <v>-7843.5014186268627</v>
      </c>
      <c r="I3332" s="74"/>
      <c r="J3332" s="75"/>
      <c r="K3332" s="2314" t="s">
        <v>67</v>
      </c>
      <c r="L3332" s="2315"/>
      <c r="M3332" s="2315"/>
      <c r="N3332" s="2316"/>
      <c r="O3332" s="2316"/>
      <c r="P3332" s="2316"/>
      <c r="Q3332" s="2316"/>
      <c r="R3332" s="2316"/>
      <c r="S3332" s="86" t="s">
        <v>68</v>
      </c>
      <c r="T3332" s="2317"/>
      <c r="U3332" s="2318"/>
    </row>
    <row r="3333" spans="1:21" x14ac:dyDescent="0.35">
      <c r="A3333" s="2985" t="s">
        <v>64</v>
      </c>
      <c r="B3333" s="2985"/>
      <c r="C3333" s="2985"/>
      <c r="D3333" s="2985"/>
      <c r="E3333" s="2985"/>
      <c r="F3333" s="2985"/>
      <c r="G3333" s="2985"/>
      <c r="H3333" s="2985"/>
      <c r="I3333" s="2985"/>
      <c r="J3333" s="2985"/>
      <c r="K3333" s="2319" t="s">
        <v>69</v>
      </c>
      <c r="L3333" s="87"/>
      <c r="M3333" s="87"/>
      <c r="N3333" s="88"/>
      <c r="O3333" s="88"/>
      <c r="P3333" s="88"/>
      <c r="Q3333" s="88"/>
      <c r="R3333" s="88"/>
      <c r="S3333" s="89"/>
      <c r="T3333" s="89"/>
      <c r="U3333" s="90"/>
    </row>
    <row r="3334" spans="1:21" x14ac:dyDescent="0.35">
      <c r="A3334" s="2986"/>
      <c r="B3334" s="2986"/>
      <c r="C3334" s="2986"/>
      <c r="D3334" s="2986"/>
      <c r="E3334" s="2986"/>
      <c r="F3334" s="2986"/>
      <c r="G3334" s="2986"/>
      <c r="H3334" s="2986"/>
      <c r="I3334" s="2986"/>
      <c r="J3334" s="2986"/>
      <c r="K3334" s="2319" t="s">
        <v>70</v>
      </c>
      <c r="L3334" s="87"/>
      <c r="M3334" s="87"/>
      <c r="N3334" s="88"/>
      <c r="O3334" s="88"/>
      <c r="P3334" s="88"/>
      <c r="Q3334" s="88"/>
      <c r="R3334" s="88"/>
      <c r="S3334" s="89"/>
      <c r="T3334" s="89"/>
      <c r="U3334" s="90"/>
    </row>
    <row r="3335" spans="1:21" x14ac:dyDescent="0.35">
      <c r="A3335" s="2986"/>
      <c r="B3335" s="2986"/>
      <c r="C3335" s="2986"/>
      <c r="D3335" s="2986"/>
      <c r="E3335" s="2986"/>
      <c r="F3335" s="2986"/>
      <c r="G3335" s="2986"/>
      <c r="H3335" s="2986"/>
      <c r="I3335" s="2986"/>
      <c r="J3335" s="2986"/>
      <c r="K3335" s="2319" t="s">
        <v>71</v>
      </c>
      <c r="L3335" s="87"/>
      <c r="M3335" s="87"/>
      <c r="N3335" s="88"/>
      <c r="O3335" s="88"/>
      <c r="P3335" s="88"/>
      <c r="Q3335" s="88"/>
      <c r="R3335" s="88"/>
      <c r="S3335" s="89"/>
      <c r="T3335" s="89"/>
      <c r="U3335" s="91"/>
    </row>
    <row r="3336" spans="1:21" x14ac:dyDescent="0.35">
      <c r="A3336" s="8"/>
      <c r="B3336" s="9"/>
      <c r="C3336" s="8"/>
      <c r="D3336" s="8"/>
      <c r="E3336" s="8"/>
      <c r="F3336" s="10"/>
      <c r="G3336" s="11"/>
      <c r="H3336" s="12"/>
      <c r="I3336" s="8"/>
      <c r="J3336" s="12"/>
      <c r="K3336" s="2320" t="s">
        <v>20</v>
      </c>
      <c r="L3336" s="2321"/>
      <c r="M3336" s="2321"/>
      <c r="N3336" s="2321"/>
      <c r="O3336" s="2321"/>
      <c r="P3336" s="2321"/>
      <c r="Q3336" s="2321"/>
      <c r="R3336" s="2321"/>
      <c r="S3336" s="2321"/>
      <c r="T3336" s="2321"/>
      <c r="U3336" s="2322"/>
    </row>
    <row r="3337" spans="1:21" ht="16" thickBot="1" x14ac:dyDescent="0.4">
      <c r="A3337" s="8" t="s">
        <v>21</v>
      </c>
      <c r="B3337" s="9"/>
      <c r="C3337" s="8"/>
      <c r="D3337" s="8"/>
      <c r="E3337" s="8"/>
      <c r="F3337" s="10"/>
      <c r="G3337" s="11"/>
      <c r="H3337" s="12"/>
      <c r="I3337" s="8"/>
      <c r="J3337" s="12"/>
      <c r="K3337" s="8"/>
      <c r="L3337" s="8"/>
      <c r="M3337" s="8"/>
      <c r="N3337" s="8"/>
      <c r="O3337" s="8"/>
      <c r="P3337" s="8"/>
      <c r="Q3337" s="8"/>
      <c r="R3337" s="8"/>
      <c r="S3337" s="8"/>
      <c r="T3337" s="8"/>
      <c r="U3337" s="8"/>
    </row>
    <row r="3338" spans="1:21" x14ac:dyDescent="0.35">
      <c r="A3338" s="17" t="s">
        <v>25</v>
      </c>
      <c r="B3338" s="18" t="s">
        <v>26</v>
      </c>
      <c r="C3338" s="19" t="s">
        <v>27</v>
      </c>
      <c r="D3338" s="20">
        <f>D3323+7</f>
        <v>44575</v>
      </c>
      <c r="E3338" s="21" t="s">
        <v>28</v>
      </c>
      <c r="F3338" s="3002" t="s">
        <v>29</v>
      </c>
      <c r="G3338" s="3003"/>
      <c r="H3338" s="3004"/>
      <c r="I3338" s="2184" t="s">
        <v>30</v>
      </c>
      <c r="J3338" s="22">
        <v>21.11</v>
      </c>
      <c r="K3338" s="2284">
        <f>D3338-4</f>
        <v>44571</v>
      </c>
      <c r="L3338" s="23">
        <f>K3338+1</f>
        <v>44572</v>
      </c>
      <c r="M3338" s="23"/>
      <c r="N3338" s="23"/>
      <c r="O3338" s="2993" t="s">
        <v>31</v>
      </c>
      <c r="P3338" s="2994"/>
      <c r="Q3338" s="23"/>
      <c r="R3338" s="23">
        <f>L3338+1</f>
        <v>44573</v>
      </c>
      <c r="S3338" s="23">
        <f>R3338+1</f>
        <v>44574</v>
      </c>
      <c r="T3338" s="23">
        <f t="shared" ref="T3338" si="1283">S3338+1</f>
        <v>44575</v>
      </c>
      <c r="U3338" s="24"/>
    </row>
    <row r="3339" spans="1:21" ht="16" thickBot="1" x14ac:dyDescent="0.4">
      <c r="A3339" s="28" t="s">
        <v>32</v>
      </c>
      <c r="B3339" s="29" t="str">
        <f ca="1">TEXT(TODAY(),"ddd")</f>
        <v>Sun</v>
      </c>
      <c r="C3339" s="30">
        <v>35911</v>
      </c>
      <c r="D3339" s="31">
        <f>C3339-C3324</f>
        <v>-320</v>
      </c>
      <c r="E3339" s="32">
        <f>(C3339-C3324)/C3324</f>
        <v>-8.8322155060583472E-3</v>
      </c>
      <c r="F3339" s="3005"/>
      <c r="G3339" s="3005"/>
      <c r="H3339" s="3006"/>
      <c r="I3339" s="2185" t="s">
        <v>33</v>
      </c>
      <c r="J3339" s="2185">
        <v>51</v>
      </c>
      <c r="K3339" s="2061"/>
      <c r="L3339" s="2062" t="s">
        <v>34</v>
      </c>
      <c r="M3339" s="2063" t="s">
        <v>35</v>
      </c>
      <c r="N3339" s="2995"/>
      <c r="O3339" s="2996"/>
      <c r="P3339" s="2996"/>
      <c r="Q3339" s="2996"/>
      <c r="R3339" s="2996"/>
      <c r="S3339" s="2996"/>
      <c r="T3339" s="2996"/>
      <c r="U3339" s="2996"/>
    </row>
    <row r="3340" spans="1:21" ht="16" thickBot="1" x14ac:dyDescent="0.4">
      <c r="A3340" s="28" t="s">
        <v>36</v>
      </c>
      <c r="B3340" s="30"/>
      <c r="C3340" s="30">
        <v>14893</v>
      </c>
      <c r="D3340" s="31">
        <f>C3340-C3325</f>
        <v>-42</v>
      </c>
      <c r="E3340" s="32">
        <f>(C3340-C3325)/C3325</f>
        <v>-2.812186139939739E-3</v>
      </c>
      <c r="F3340" s="2329" t="s">
        <v>37</v>
      </c>
      <c r="G3340" s="36" t="s">
        <v>38</v>
      </c>
      <c r="H3340" s="37" t="s">
        <v>39</v>
      </c>
      <c r="I3340" s="38" t="s">
        <v>40</v>
      </c>
      <c r="J3340" s="39" t="s">
        <v>41</v>
      </c>
      <c r="K3340" s="2997" t="s">
        <v>42</v>
      </c>
      <c r="L3340" s="2998"/>
      <c r="M3340" s="2999"/>
      <c r="N3340" s="2217" t="s">
        <v>43</v>
      </c>
      <c r="O3340" s="40"/>
      <c r="P3340" s="40"/>
      <c r="Q3340" s="2218" t="s">
        <v>44</v>
      </c>
      <c r="R3340" s="2219" t="s">
        <v>45</v>
      </c>
      <c r="S3340" s="2219" t="s">
        <v>46</v>
      </c>
      <c r="T3340" s="2219" t="s">
        <v>47</v>
      </c>
      <c r="U3340" s="2285" t="s">
        <v>48</v>
      </c>
    </row>
    <row r="3341" spans="1:21" ht="16" thickBot="1" x14ac:dyDescent="0.4">
      <c r="A3341" s="2178" t="s">
        <v>49</v>
      </c>
      <c r="B3341" s="2332">
        <v>220.072</v>
      </c>
      <c r="C3341" s="2180">
        <v>269.42</v>
      </c>
      <c r="D3341" s="69">
        <f>C3341*B3341</f>
        <v>59291.798240000004</v>
      </c>
      <c r="E3341" s="1977">
        <f t="shared" ref="E3341:E3344" si="1284">(C3341-C3326)/C3326</f>
        <v>-1.1193892905641028E-2</v>
      </c>
      <c r="F3341" s="2223">
        <f>D3341/$D$3347</f>
        <v>0.35152206827339816</v>
      </c>
      <c r="G3341" s="2172">
        <v>105</v>
      </c>
      <c r="H3341" s="2225">
        <v>44609</v>
      </c>
      <c r="I3341" s="2122">
        <v>0.6</v>
      </c>
      <c r="J3341" s="2237">
        <v>12.29</v>
      </c>
      <c r="K3341" s="2983" t="s">
        <v>50</v>
      </c>
      <c r="L3341" s="2984"/>
      <c r="M3341" s="45"/>
      <c r="N3341" s="46"/>
      <c r="Q3341" s="47"/>
      <c r="R3341" s="48">
        <f>RIGHT(K3341,6)*B3341</f>
        <v>57599.444560000004</v>
      </c>
      <c r="S3341" s="49">
        <f>D3341</f>
        <v>59291.798240000004</v>
      </c>
      <c r="T3341" s="49">
        <f>S3341-R3341</f>
        <v>1692.3536800000002</v>
      </c>
      <c r="U3341" s="50">
        <f>(S3341-R3341)/R3341</f>
        <v>2.9381423604477899E-2</v>
      </c>
    </row>
    <row r="3342" spans="1:21" x14ac:dyDescent="0.35">
      <c r="A3342" s="51" t="s">
        <v>51</v>
      </c>
      <c r="B3342" s="2332">
        <v>150.83099999999999</v>
      </c>
      <c r="C3342" s="2180">
        <v>445</v>
      </c>
      <c r="D3342" s="69">
        <f t="shared" ref="D3342:D3344" si="1285">C3342*B3342</f>
        <v>67119.794999999998</v>
      </c>
      <c r="E3342" s="1977">
        <f t="shared" si="1284"/>
        <v>6.7376652035211371E-2</v>
      </c>
      <c r="F3342" s="2223">
        <f t="shared" ref="F3342:F3346" si="1286">D3342/$D$3347</f>
        <v>0.39793175212839499</v>
      </c>
      <c r="G3342" s="2224">
        <v>23</v>
      </c>
      <c r="H3342" s="2225">
        <f>"10/27/2021"+90</f>
        <v>44586</v>
      </c>
      <c r="I3342" s="2226">
        <v>0.56000000000000005</v>
      </c>
      <c r="J3342" s="2122">
        <v>3.51</v>
      </c>
      <c r="K3342" s="3000" t="s">
        <v>52</v>
      </c>
      <c r="L3342" s="3001"/>
      <c r="M3342" s="2227"/>
      <c r="N3342" s="2228"/>
      <c r="O3342" s="1374"/>
      <c r="P3342" s="1374"/>
      <c r="Q3342" s="2229"/>
      <c r="R3342" s="2230">
        <f t="shared" ref="R3342:R3344" si="1287">RIGHT(K3342,6)*B3342</f>
        <v>49296.095729999994</v>
      </c>
      <c r="S3342" s="2231">
        <f t="shared" ref="S3342:S3344" si="1288">D3342</f>
        <v>67119.794999999998</v>
      </c>
      <c r="T3342" s="2231">
        <f>S3342-R3342</f>
        <v>17823.699270000005</v>
      </c>
      <c r="U3342" s="2286">
        <f t="shared" ref="U3342:U3344" si="1289">(S3342-R3342)/R3342</f>
        <v>0.36156411590123322</v>
      </c>
    </row>
    <row r="3343" spans="1:21" x14ac:dyDescent="0.35">
      <c r="A3343" s="2178" t="s">
        <v>53</v>
      </c>
      <c r="B3343" s="2332">
        <v>100.059</v>
      </c>
      <c r="C3343" s="2180">
        <v>316.12</v>
      </c>
      <c r="D3343" s="82">
        <f t="shared" si="1285"/>
        <v>31630.65108</v>
      </c>
      <c r="E3343" s="1977">
        <f t="shared" si="1284"/>
        <v>-4.9549007817197885E-2</v>
      </c>
      <c r="F3343" s="2223">
        <f t="shared" si="1286"/>
        <v>0.18752799237879539</v>
      </c>
      <c r="G3343" s="2173">
        <v>42</v>
      </c>
      <c r="H3343" s="2225">
        <f>"10/27/2021"+90</f>
        <v>44586</v>
      </c>
      <c r="I3343" s="2122">
        <v>0.84</v>
      </c>
      <c r="J3343" s="2237">
        <v>14.34</v>
      </c>
      <c r="K3343" s="2983" t="s">
        <v>54</v>
      </c>
      <c r="L3343" s="2984"/>
      <c r="M3343" s="45"/>
      <c r="N3343" s="46"/>
      <c r="Q3343" s="47"/>
      <c r="R3343" s="48">
        <f t="shared" si="1287"/>
        <v>32201.987969999998</v>
      </c>
      <c r="S3343" s="49">
        <f t="shared" si="1288"/>
        <v>31630.65108</v>
      </c>
      <c r="T3343" s="49">
        <f t="shared" ref="T3343:T3344" si="1290">S3343-R3343</f>
        <v>-571.33688999999868</v>
      </c>
      <c r="U3343" s="50">
        <f t="shared" si="1289"/>
        <v>-1.7742286300220574E-2</v>
      </c>
    </row>
    <row r="3344" spans="1:21" x14ac:dyDescent="0.35">
      <c r="A3344" s="7" t="s">
        <v>56</v>
      </c>
      <c r="B3344" s="2334">
        <v>108</v>
      </c>
      <c r="C3344" s="2331">
        <v>60.56</v>
      </c>
      <c r="D3344" s="2180">
        <f t="shared" si="1285"/>
        <v>6540.4800000000005</v>
      </c>
      <c r="E3344" s="1977">
        <f t="shared" si="1284"/>
        <v>4.1265474552957461E-2</v>
      </c>
      <c r="F3344" s="2223">
        <f t="shared" si="1286"/>
        <v>3.8776409644289363E-2</v>
      </c>
      <c r="G3344" s="2173">
        <v>9.8000000000000007</v>
      </c>
      <c r="H3344" s="2225">
        <v>44607</v>
      </c>
      <c r="I3344" s="2122">
        <v>2.67</v>
      </c>
      <c r="J3344" s="2122">
        <v>2.58</v>
      </c>
      <c r="K3344" s="2983" t="s">
        <v>57</v>
      </c>
      <c r="L3344" s="2984"/>
      <c r="M3344" s="2247"/>
      <c r="N3344" s="46"/>
      <c r="Q3344" s="47"/>
      <c r="R3344" s="48">
        <f t="shared" si="1287"/>
        <v>7557.84</v>
      </c>
      <c r="S3344" s="49">
        <f t="shared" si="1288"/>
        <v>6540.4800000000005</v>
      </c>
      <c r="T3344" s="49">
        <f t="shared" si="1290"/>
        <v>-1017.3599999999997</v>
      </c>
      <c r="U3344" s="54">
        <f t="shared" si="1289"/>
        <v>-0.13460988853958269</v>
      </c>
    </row>
    <row r="3345" spans="1:23" ht="16" thickBot="1" x14ac:dyDescent="0.4">
      <c r="A3345" s="55" t="s">
        <v>7</v>
      </c>
      <c r="B3345" s="56"/>
      <c r="C3345" s="57" t="s">
        <v>58</v>
      </c>
      <c r="D3345" s="2264">
        <v>2321.36</v>
      </c>
      <c r="E3345" s="1977">
        <f>(D3345-D3330)/D3330</f>
        <v>0</v>
      </c>
      <c r="F3345" s="2223">
        <f t="shared" si="1286"/>
        <v>1.3762599425709971E-2</v>
      </c>
      <c r="G3345" s="2053"/>
      <c r="H3345" s="1789" t="s">
        <v>59</v>
      </c>
      <c r="I3345" s="2089"/>
      <c r="J3345" s="2068"/>
      <c r="K3345" s="58"/>
      <c r="L3345" s="2337" t="s">
        <v>737</v>
      </c>
      <c r="M3345" s="2337"/>
      <c r="N3345" s="2338"/>
      <c r="O3345" s="2338"/>
      <c r="P3345" s="2338"/>
      <c r="Q3345" s="2338"/>
      <c r="R3345" s="2339">
        <f>SUM(R3341:R3344)</f>
        <v>146655.36825999999</v>
      </c>
      <c r="S3345" s="2339">
        <f t="shared" ref="S3345:T3345" si="1291">SUM(S3341:S3344)</f>
        <v>164582.72432000001</v>
      </c>
      <c r="T3345" s="2339">
        <f t="shared" si="1291"/>
        <v>17927.356060000006</v>
      </c>
      <c r="U3345" s="2340">
        <f>AVERAGE(U3341:U3344)</f>
        <v>5.9648341166476958E-2</v>
      </c>
    </row>
    <row r="3346" spans="1:23" ht="16" thickBot="1" x14ac:dyDescent="0.4">
      <c r="A3346" s="55" t="s">
        <v>60</v>
      </c>
      <c r="B3346" s="2268"/>
      <c r="C3346" s="2269">
        <f>SUM(D3342:D3344)</f>
        <v>105290.92607999999</v>
      </c>
      <c r="D3346" s="59">
        <v>1767.54</v>
      </c>
      <c r="E3346" s="1977">
        <f t="shared" ref="E3346" si="1292">(C3346-C3331)/C3331</f>
        <v>2.7791520077482094E-2</v>
      </c>
      <c r="F3346" s="2223">
        <f t="shared" si="1286"/>
        <v>1.0479178149412155E-2</v>
      </c>
      <c r="G3346" s="1734"/>
      <c r="H3346" s="1723" t="s">
        <v>61</v>
      </c>
      <c r="I3346" s="60">
        <v>0</v>
      </c>
      <c r="J3346" s="61"/>
      <c r="K3346" s="2341"/>
      <c r="L3346" s="2342" t="s">
        <v>738</v>
      </c>
      <c r="M3346" s="2343"/>
      <c r="N3346" s="2344"/>
      <c r="O3346" s="2344"/>
      <c r="P3346" s="2344"/>
      <c r="Q3346" s="2345"/>
      <c r="R3346" s="2346">
        <v>16212.23</v>
      </c>
      <c r="S3346" s="2347">
        <f>C3340</f>
        <v>14893</v>
      </c>
      <c r="T3346" s="2348">
        <f>S3346-R3346</f>
        <v>-1319.2299999999996</v>
      </c>
      <c r="U3346" s="2349">
        <f t="shared" ref="U3346" si="1293">(S3346-R3346)/R3346</f>
        <v>-8.1372519388140899E-2</v>
      </c>
    </row>
    <row r="3347" spans="1:23" ht="19" thickBot="1" x14ac:dyDescent="0.5">
      <c r="A3347" s="66" t="s">
        <v>62</v>
      </c>
      <c r="B3347" s="67"/>
      <c r="C3347" s="68">
        <f>SUM(D3342:D3342)</f>
        <v>67119.794999999998</v>
      </c>
      <c r="D3347" s="84">
        <f>SUM(D3341:D3346)</f>
        <v>168671.62432</v>
      </c>
      <c r="E3347" s="70">
        <f>(D3347-D3332)</f>
        <v>-1824.1491300000052</v>
      </c>
      <c r="F3347" s="71">
        <f>SUM(F3341:F3346)</f>
        <v>1</v>
      </c>
      <c r="G3347" s="72" t="s">
        <v>63</v>
      </c>
      <c r="H3347" s="73">
        <f>E3347+E3332+E3312+E3294+E3275</f>
        <v>-11841.988666527317</v>
      </c>
      <c r="I3347" s="74"/>
      <c r="J3347" s="75"/>
      <c r="K3347" s="2314" t="s">
        <v>67</v>
      </c>
      <c r="L3347" s="87"/>
      <c r="M3347" s="87"/>
      <c r="N3347" s="88"/>
      <c r="O3347" s="88"/>
      <c r="P3347" s="88"/>
      <c r="Q3347" s="88"/>
      <c r="R3347" s="88"/>
      <c r="S3347" s="86" t="s">
        <v>68</v>
      </c>
      <c r="T3347" s="89"/>
      <c r="U3347" s="91"/>
    </row>
    <row r="3348" spans="1:23" x14ac:dyDescent="0.35">
      <c r="A3348" s="2985" t="s">
        <v>64</v>
      </c>
      <c r="B3348" s="2985"/>
      <c r="C3348" s="2985"/>
      <c r="D3348" s="2985"/>
      <c r="E3348" s="2985"/>
      <c r="F3348" s="2985"/>
      <c r="G3348" s="2985"/>
      <c r="H3348" s="2985"/>
      <c r="I3348" s="2985"/>
      <c r="J3348" s="2985"/>
      <c r="K3348" s="2319" t="s">
        <v>69</v>
      </c>
      <c r="L3348" s="87"/>
      <c r="M3348" s="87"/>
      <c r="N3348" s="88"/>
      <c r="O3348" s="88"/>
      <c r="P3348" s="88"/>
      <c r="Q3348" s="88"/>
      <c r="R3348" s="88"/>
      <c r="S3348" s="89"/>
      <c r="T3348" s="89"/>
      <c r="U3348" s="90"/>
    </row>
    <row r="3349" spans="1:23" x14ac:dyDescent="0.35">
      <c r="A3349" s="2986"/>
      <c r="B3349" s="2986"/>
      <c r="C3349" s="2986"/>
      <c r="D3349" s="2986"/>
      <c r="E3349" s="2986"/>
      <c r="F3349" s="2986"/>
      <c r="G3349" s="2986"/>
      <c r="H3349" s="2986"/>
      <c r="I3349" s="2986"/>
      <c r="J3349" s="2986"/>
      <c r="K3349" s="2319" t="s">
        <v>70</v>
      </c>
      <c r="L3349" s="87"/>
      <c r="M3349" s="87"/>
      <c r="N3349" s="88"/>
      <c r="O3349" s="88"/>
      <c r="P3349" s="88"/>
      <c r="Q3349" s="88"/>
      <c r="R3349" s="88"/>
      <c r="S3349" s="89"/>
      <c r="T3349" s="89"/>
      <c r="U3349" s="90"/>
    </row>
    <row r="3350" spans="1:23" x14ac:dyDescent="0.35">
      <c r="A3350" s="2986"/>
      <c r="B3350" s="2986"/>
      <c r="C3350" s="2986"/>
      <c r="D3350" s="2986"/>
      <c r="E3350" s="2986"/>
      <c r="F3350" s="2986"/>
      <c r="G3350" s="2986"/>
      <c r="H3350" s="2986"/>
      <c r="I3350" s="2986"/>
      <c r="J3350" s="2986"/>
      <c r="K3350" s="2319" t="s">
        <v>71</v>
      </c>
      <c r="L3350" s="87"/>
      <c r="M3350" s="87"/>
      <c r="N3350" s="88"/>
      <c r="O3350" s="88"/>
      <c r="P3350" s="88"/>
      <c r="Q3350" s="88"/>
      <c r="R3350" s="88"/>
      <c r="S3350" s="89"/>
      <c r="T3350" s="89"/>
      <c r="U3350" s="91"/>
    </row>
    <row r="3351" spans="1:23" x14ac:dyDescent="0.35">
      <c r="A3351" s="8"/>
      <c r="B3351" s="9"/>
      <c r="C3351" s="8"/>
      <c r="D3351" s="8"/>
      <c r="E3351" s="8"/>
      <c r="F3351" s="10"/>
      <c r="G3351" s="11"/>
      <c r="H3351" s="12"/>
      <c r="I3351" s="8"/>
      <c r="J3351" s="12"/>
      <c r="K3351" s="2320" t="s">
        <v>20</v>
      </c>
      <c r="L3351" s="2321"/>
      <c r="M3351" s="2321"/>
      <c r="N3351" s="2321"/>
      <c r="O3351" s="2321"/>
      <c r="P3351" s="2321"/>
      <c r="Q3351" s="2321"/>
      <c r="R3351" s="2321"/>
      <c r="S3351" s="2321"/>
      <c r="T3351" s="2321"/>
      <c r="U3351" s="2322"/>
    </row>
    <row r="3352" spans="1:23" ht="16" thickBot="1" x14ac:dyDescent="0.4">
      <c r="A3352" s="8" t="s">
        <v>21</v>
      </c>
      <c r="B3352" s="9"/>
      <c r="C3352" s="8"/>
      <c r="D3352" s="8"/>
      <c r="E3352" s="8"/>
      <c r="F3352" s="10"/>
      <c r="G3352" s="11"/>
      <c r="H3352" s="12"/>
      <c r="I3352" s="8"/>
      <c r="J3352" s="12"/>
      <c r="K3352" s="8"/>
      <c r="L3352" s="8"/>
      <c r="M3352" s="8"/>
      <c r="N3352" s="8"/>
      <c r="O3352" s="8"/>
      <c r="P3352" s="8"/>
      <c r="Q3352" s="8"/>
      <c r="R3352" s="8"/>
      <c r="S3352" s="8"/>
      <c r="T3352" s="8"/>
      <c r="U3352" s="8"/>
    </row>
    <row r="3353" spans="1:23" x14ac:dyDescent="0.35">
      <c r="A3353" s="2350" t="s">
        <v>25</v>
      </c>
      <c r="B3353" s="2351" t="s">
        <v>26</v>
      </c>
      <c r="C3353" s="2352" t="s">
        <v>27</v>
      </c>
      <c r="D3353" s="2353">
        <f>D3338+7</f>
        <v>44582</v>
      </c>
      <c r="E3353" s="2354" t="s">
        <v>28</v>
      </c>
      <c r="F3353" s="3002" t="s">
        <v>29</v>
      </c>
      <c r="G3353" s="3003"/>
      <c r="H3353" s="3004"/>
      <c r="I3353" s="2184" t="s">
        <v>30</v>
      </c>
      <c r="J3353" s="22">
        <v>17.38</v>
      </c>
      <c r="K3353" s="23">
        <f>D3353-4</f>
        <v>44578</v>
      </c>
      <c r="L3353" s="23">
        <f>K3353+1</f>
        <v>44579</v>
      </c>
      <c r="M3353" s="23"/>
      <c r="N3353" s="23"/>
      <c r="O3353" s="2993" t="s">
        <v>31</v>
      </c>
      <c r="P3353" s="2994"/>
      <c r="Q3353" s="23"/>
      <c r="R3353" s="23">
        <f>L3353+1</f>
        <v>44580</v>
      </c>
      <c r="S3353" s="23">
        <f>R3353+1</f>
        <v>44581</v>
      </c>
      <c r="T3353" s="23">
        <f t="shared" ref="T3353" si="1294">S3353+1</f>
        <v>44582</v>
      </c>
      <c r="U3353" s="24"/>
    </row>
    <row r="3354" spans="1:23" ht="16" thickBot="1" x14ac:dyDescent="0.4">
      <c r="A3354" s="28" t="s">
        <v>32</v>
      </c>
      <c r="B3354" s="29" t="str">
        <f ca="1">TEXT(TODAY(),"ddd")</f>
        <v>Sun</v>
      </c>
      <c r="C3354" s="30">
        <v>35397</v>
      </c>
      <c r="D3354" s="31">
        <f>C3354-C3339</f>
        <v>-514</v>
      </c>
      <c r="E3354" s="32">
        <f>(C3354-C3339)/C3339</f>
        <v>-1.4313163097658099E-2</v>
      </c>
      <c r="F3354" s="3005"/>
      <c r="G3354" s="3005"/>
      <c r="H3354" s="3006"/>
      <c r="I3354" s="2185" t="s">
        <v>33</v>
      </c>
      <c r="J3354" s="2185">
        <v>52</v>
      </c>
      <c r="K3354" s="2061"/>
      <c r="L3354" s="2062" t="s">
        <v>34</v>
      </c>
      <c r="M3354" s="2063" t="s">
        <v>35</v>
      </c>
      <c r="N3354" s="2995"/>
      <c r="O3354" s="2996"/>
      <c r="P3354" s="2996"/>
      <c r="Q3354" s="2996"/>
      <c r="R3354" s="2996"/>
      <c r="S3354" s="2996"/>
      <c r="T3354" s="2996"/>
      <c r="U3354" s="2996"/>
    </row>
    <row r="3355" spans="1:23" ht="16" thickBot="1" x14ac:dyDescent="0.4">
      <c r="A3355" s="28" t="s">
        <v>36</v>
      </c>
      <c r="B3355" s="30"/>
      <c r="C3355" s="30">
        <v>14523</v>
      </c>
      <c r="D3355" s="31">
        <f>C3355-C3340</f>
        <v>-370</v>
      </c>
      <c r="E3355" s="32">
        <f>(C3355-C3340)/C3340</f>
        <v>-2.4843886389578997E-2</v>
      </c>
      <c r="F3355" s="2329" t="s">
        <v>37</v>
      </c>
      <c r="G3355" s="36" t="s">
        <v>38</v>
      </c>
      <c r="H3355" s="37" t="s">
        <v>39</v>
      </c>
      <c r="I3355" s="38" t="s">
        <v>40</v>
      </c>
      <c r="J3355" s="39" t="s">
        <v>41</v>
      </c>
      <c r="K3355" s="2997" t="s">
        <v>42</v>
      </c>
      <c r="L3355" s="2998"/>
      <c r="M3355" s="2999"/>
      <c r="N3355" s="2217" t="s">
        <v>43</v>
      </c>
      <c r="O3355" s="40"/>
      <c r="P3355" s="40"/>
      <c r="Q3355" s="2218" t="s">
        <v>44</v>
      </c>
      <c r="R3355" s="2219" t="s">
        <v>45</v>
      </c>
      <c r="S3355" s="2219" t="s">
        <v>46</v>
      </c>
      <c r="T3355" s="2219" t="s">
        <v>47</v>
      </c>
      <c r="U3355" s="2285" t="s">
        <v>48</v>
      </c>
      <c r="V3355" s="2221" t="s">
        <v>244</v>
      </c>
      <c r="W3355" s="2221" t="s">
        <v>696</v>
      </c>
    </row>
    <row r="3356" spans="1:23" ht="16" thickBot="1" x14ac:dyDescent="0.4">
      <c r="A3356" s="2178" t="s">
        <v>49</v>
      </c>
      <c r="B3356" s="2332">
        <v>220.072</v>
      </c>
      <c r="C3356" s="2180">
        <v>259.27999999999997</v>
      </c>
      <c r="D3356" s="69">
        <f>C3356*B3356</f>
        <v>57060.268159999992</v>
      </c>
      <c r="E3356" s="1977">
        <f t="shared" ref="E3356:E3359" si="1295">(C3356-C3341)/C3341</f>
        <v>-3.7636404127384913E-2</v>
      </c>
      <c r="F3356" s="2223">
        <f>D3356/$D$3347</f>
        <v>0.33829204165216631</v>
      </c>
      <c r="G3356" s="2355">
        <v>79.97</v>
      </c>
      <c r="H3356" s="2225">
        <v>44609</v>
      </c>
      <c r="I3356" s="2122">
        <v>0.6</v>
      </c>
      <c r="J3356" s="2237">
        <v>12.29</v>
      </c>
      <c r="K3356" s="2983" t="s">
        <v>50</v>
      </c>
      <c r="L3356" s="2984"/>
      <c r="M3356" s="45"/>
      <c r="N3356" s="46"/>
      <c r="Q3356" s="47"/>
      <c r="R3356" s="48">
        <f>RIGHT(K3356,6)*B3356</f>
        <v>57599.444560000004</v>
      </c>
      <c r="S3356" s="49">
        <f>D3356</f>
        <v>57060.268159999992</v>
      </c>
      <c r="T3356" s="49">
        <f>S3356-R3356</f>
        <v>-539.1764000000112</v>
      </c>
      <c r="U3356" s="50">
        <f>(S3356-R3356)/R3356</f>
        <v>-9.3607916555230614E-3</v>
      </c>
      <c r="V3356" s="2239" t="str">
        <f>A3356</f>
        <v>NVDA</v>
      </c>
      <c r="W3356" s="2240">
        <f ca="1">H3356-TODAY()</f>
        <v>-563</v>
      </c>
    </row>
    <row r="3357" spans="1:23" x14ac:dyDescent="0.35">
      <c r="A3357" s="51" t="s">
        <v>51</v>
      </c>
      <c r="B3357" s="2332">
        <v>150.83099999999999</v>
      </c>
      <c r="C3357" s="2180">
        <v>413.42</v>
      </c>
      <c r="D3357" s="69">
        <f t="shared" ref="D3357:D3359" si="1296">C3357*B3357</f>
        <v>62356.552019999996</v>
      </c>
      <c r="E3357" s="1977">
        <f t="shared" si="1295"/>
        <v>-7.0966292134831424E-2</v>
      </c>
      <c r="F3357" s="2223">
        <f t="shared" ref="F3357:F3361" si="1297">D3357/$D$3347</f>
        <v>0.36969201115712591</v>
      </c>
      <c r="G3357" s="2224">
        <v>23</v>
      </c>
      <c r="H3357" s="2225">
        <f>"10/27/2021"+90</f>
        <v>44586</v>
      </c>
      <c r="I3357" s="2226">
        <v>0.56000000000000005</v>
      </c>
      <c r="J3357" s="2122">
        <v>3.51</v>
      </c>
      <c r="K3357" s="3000" t="s">
        <v>52</v>
      </c>
      <c r="L3357" s="3001"/>
      <c r="M3357" s="2227"/>
      <c r="N3357" s="2228"/>
      <c r="O3357" s="1374"/>
      <c r="P3357" s="1374"/>
      <c r="Q3357" s="2229"/>
      <c r="R3357" s="2230">
        <f t="shared" ref="R3357:R3359" si="1298">RIGHT(K3357,6)*B3357</f>
        <v>49296.095729999994</v>
      </c>
      <c r="S3357" s="2231">
        <f t="shared" ref="S3357:S3359" si="1299">D3357</f>
        <v>62356.552019999996</v>
      </c>
      <c r="T3357" s="2231">
        <f t="shared" ref="T3357:T3359" si="1300">S3357-R3357</f>
        <v>13060.456290000002</v>
      </c>
      <c r="U3357" s="2286">
        <f t="shared" ref="U3357:U3359" si="1301">(S3357-R3357)/R3357</f>
        <v>0.2649389590918827</v>
      </c>
      <c r="V3357" s="2233" t="str">
        <f t="shared" ref="V3357:V3359" si="1302">A3357</f>
        <v>KLAC</v>
      </c>
      <c r="W3357" s="2234">
        <f t="shared" ref="W3357:W3359" ca="1" si="1303">H3357-TODAY()</f>
        <v>-586</v>
      </c>
    </row>
    <row r="3358" spans="1:23" x14ac:dyDescent="0.35">
      <c r="A3358" s="2178" t="s">
        <v>53</v>
      </c>
      <c r="B3358" s="2332">
        <v>100.059</v>
      </c>
      <c r="C3358" s="2180">
        <v>313.61</v>
      </c>
      <c r="D3358" s="82">
        <f t="shared" si="1296"/>
        <v>31379.502990000001</v>
      </c>
      <c r="E3358" s="1977">
        <f t="shared" si="1295"/>
        <v>-7.9400227761609234E-3</v>
      </c>
      <c r="F3358" s="2223">
        <f t="shared" si="1297"/>
        <v>0.18603901584814003</v>
      </c>
      <c r="G3358" s="2173">
        <v>38</v>
      </c>
      <c r="H3358" s="2225">
        <f>"10/27/2021"+90</f>
        <v>44586</v>
      </c>
      <c r="I3358" s="2122">
        <v>0.84</v>
      </c>
      <c r="J3358" s="2237">
        <v>14.34</v>
      </c>
      <c r="K3358" s="2983" t="s">
        <v>54</v>
      </c>
      <c r="L3358" s="2984"/>
      <c r="M3358" s="45"/>
      <c r="N3358" s="46"/>
      <c r="Q3358" s="47"/>
      <c r="R3358" s="48">
        <f t="shared" si="1298"/>
        <v>32201.987969999998</v>
      </c>
      <c r="S3358" s="49">
        <f t="shared" si="1299"/>
        <v>31379.502990000001</v>
      </c>
      <c r="T3358" s="49">
        <f t="shared" si="1300"/>
        <v>-822.48497999999745</v>
      </c>
      <c r="U3358" s="50">
        <f t="shared" si="1301"/>
        <v>-2.5541434919056565E-2</v>
      </c>
      <c r="V3358" s="2239" t="str">
        <f t="shared" si="1302"/>
        <v>ODFL</v>
      </c>
      <c r="W3358" s="2240">
        <f t="shared" ca="1" si="1303"/>
        <v>-586</v>
      </c>
    </row>
    <row r="3359" spans="1:23" x14ac:dyDescent="0.35">
      <c r="A3359" s="7" t="s">
        <v>56</v>
      </c>
      <c r="B3359" s="2334">
        <v>108</v>
      </c>
      <c r="C3359" s="2331">
        <v>57.71</v>
      </c>
      <c r="D3359" s="2180">
        <f t="shared" si="1296"/>
        <v>6232.68</v>
      </c>
      <c r="E3359" s="1977">
        <f t="shared" si="1295"/>
        <v>-4.7060766182298569E-2</v>
      </c>
      <c r="F3359" s="2223">
        <f t="shared" si="1297"/>
        <v>3.6951562096630433E-2</v>
      </c>
      <c r="G3359" s="2173">
        <v>9.8000000000000007</v>
      </c>
      <c r="H3359" s="2225">
        <v>44607</v>
      </c>
      <c r="I3359" s="2122">
        <v>2.67</v>
      </c>
      <c r="J3359" s="2122">
        <v>2.58</v>
      </c>
      <c r="K3359" s="2983" t="s">
        <v>57</v>
      </c>
      <c r="L3359" s="2984"/>
      <c r="M3359" s="2247"/>
      <c r="N3359" s="46"/>
      <c r="Q3359" s="47"/>
      <c r="R3359" s="48">
        <f t="shared" si="1298"/>
        <v>7557.84</v>
      </c>
      <c r="S3359" s="49">
        <f t="shared" si="1299"/>
        <v>6232.68</v>
      </c>
      <c r="T3359" s="49">
        <f t="shared" si="1300"/>
        <v>-1325.1599999999999</v>
      </c>
      <c r="U3359" s="54">
        <f t="shared" si="1301"/>
        <v>-0.17533581023149469</v>
      </c>
      <c r="V3359" s="2239" t="str">
        <f t="shared" si="1302"/>
        <v>KLIC</v>
      </c>
      <c r="W3359" s="2252">
        <f t="shared" ca="1" si="1303"/>
        <v>-565</v>
      </c>
    </row>
    <row r="3360" spans="1:23" ht="16" thickBot="1" x14ac:dyDescent="0.4">
      <c r="A3360" s="55" t="s">
        <v>7</v>
      </c>
      <c r="B3360" s="56"/>
      <c r="C3360" s="57" t="s">
        <v>58</v>
      </c>
      <c r="D3360" s="2264">
        <v>2319</v>
      </c>
      <c r="E3360" s="1977">
        <f>(D3360-D3345)/D3345</f>
        <v>-1.0166454147569216E-3</v>
      </c>
      <c r="F3360" s="2223">
        <f t="shared" si="1297"/>
        <v>1.3748607742108688E-2</v>
      </c>
      <c r="G3360" s="2053"/>
      <c r="H3360" s="1789" t="s">
        <v>59</v>
      </c>
      <c r="I3360" s="2089"/>
      <c r="J3360" s="2068"/>
      <c r="K3360" s="58"/>
      <c r="L3360" s="58"/>
      <c r="M3360" s="58"/>
      <c r="R3360" s="2265">
        <f>SUM(R3356:R3359)</f>
        <v>146655.36825999999</v>
      </c>
      <c r="S3360" s="2265">
        <f t="shared" ref="S3360:T3360" si="1304">SUM(S3356:S3359)</f>
        <v>157029.00316999998</v>
      </c>
      <c r="T3360" s="2265">
        <f t="shared" si="1304"/>
        <v>10373.634909999993</v>
      </c>
      <c r="U3360" s="2292">
        <f>AVERAGE(U3356:U3359)</f>
        <v>1.3675230571452097E-2</v>
      </c>
      <c r="V3360" s="2208"/>
      <c r="W3360" s="2208"/>
    </row>
    <row r="3361" spans="1:23" ht="16" thickBot="1" x14ac:dyDescent="0.4">
      <c r="A3361" s="55" t="s">
        <v>60</v>
      </c>
      <c r="B3361" s="2268"/>
      <c r="C3361" s="2269">
        <f>SUM(D3357:D3359)</f>
        <v>99968.735010000004</v>
      </c>
      <c r="D3361" s="59">
        <v>1567.54</v>
      </c>
      <c r="E3361" s="1977">
        <f t="shared" ref="E3361" si="1305">(C3361-C3346)/C3346</f>
        <v>-5.0547480852777271E-2</v>
      </c>
      <c r="F3361" s="2223">
        <f t="shared" si="1297"/>
        <v>9.2934422509982975E-3</v>
      </c>
      <c r="G3361" s="1734"/>
      <c r="H3361" s="1723" t="s">
        <v>61</v>
      </c>
      <c r="I3361" s="60">
        <v>0</v>
      </c>
      <c r="J3361" s="61"/>
      <c r="K3361" s="2090"/>
      <c r="L3361" s="2070"/>
      <c r="M3361" s="2070"/>
      <c r="Q3361" s="62"/>
      <c r="R3361" s="63"/>
      <c r="S3361" s="64"/>
      <c r="T3361" s="64"/>
      <c r="U3361" s="64"/>
    </row>
    <row r="3362" spans="1:23" ht="19" thickBot="1" x14ac:dyDescent="0.5">
      <c r="A3362" s="66" t="s">
        <v>62</v>
      </c>
      <c r="B3362" s="67"/>
      <c r="C3362" s="68">
        <f>SUM(D3357:D3357)</f>
        <v>62356.552019999996</v>
      </c>
      <c r="D3362" s="84">
        <f>SUM(D3356:D3361)</f>
        <v>160915.54316999999</v>
      </c>
      <c r="E3362" s="70">
        <f>(D3362-D3347)</f>
        <v>-7756.0811500000127</v>
      </c>
      <c r="F3362" s="71">
        <f>SUM(F3356:F3361)</f>
        <v>0.95401668074716961</v>
      </c>
      <c r="G3362" s="72" t="s">
        <v>63</v>
      </c>
      <c r="H3362" s="73">
        <f>E3362+E3347+E3327+E3309+E3290</f>
        <v>-9580.2501687108961</v>
      </c>
      <c r="I3362" s="74"/>
      <c r="J3362" s="75"/>
      <c r="K3362" s="2314" t="s">
        <v>67</v>
      </c>
      <c r="L3362" s="2315"/>
      <c r="M3362" s="2315"/>
      <c r="N3362" s="2316"/>
      <c r="O3362" s="2316"/>
      <c r="P3362" s="2316"/>
      <c r="Q3362" s="2316"/>
      <c r="R3362" s="2316"/>
      <c r="S3362" s="86" t="s">
        <v>68</v>
      </c>
      <c r="T3362" s="2317"/>
      <c r="U3362" s="2318"/>
    </row>
    <row r="3363" spans="1:23" x14ac:dyDescent="0.35">
      <c r="A3363" s="2985" t="s">
        <v>64</v>
      </c>
      <c r="B3363" s="2985"/>
      <c r="C3363" s="2985"/>
      <c r="D3363" s="2985"/>
      <c r="E3363" s="2985"/>
      <c r="F3363" s="2985"/>
      <c r="G3363" s="2985"/>
      <c r="H3363" s="2985"/>
      <c r="I3363" s="2985"/>
      <c r="J3363" s="2985"/>
      <c r="K3363" s="2319" t="s">
        <v>69</v>
      </c>
      <c r="L3363" s="87"/>
      <c r="M3363" s="87"/>
      <c r="N3363" s="88"/>
      <c r="O3363" s="88"/>
      <c r="P3363" s="88"/>
      <c r="Q3363" s="88"/>
      <c r="R3363" s="88"/>
      <c r="S3363" s="89"/>
      <c r="T3363" s="89"/>
      <c r="U3363" s="90"/>
    </row>
    <row r="3364" spans="1:23" x14ac:dyDescent="0.35">
      <c r="A3364" s="2986"/>
      <c r="B3364" s="2986"/>
      <c r="C3364" s="2986"/>
      <c r="D3364" s="2986"/>
      <c r="E3364" s="2986"/>
      <c r="F3364" s="2986"/>
      <c r="G3364" s="2986"/>
      <c r="H3364" s="2986"/>
      <c r="I3364" s="2986"/>
      <c r="J3364" s="2986"/>
      <c r="K3364" s="2319" t="s">
        <v>70</v>
      </c>
      <c r="L3364" s="87"/>
      <c r="M3364" s="87"/>
      <c r="N3364" s="88"/>
      <c r="O3364" s="88"/>
      <c r="P3364" s="88"/>
      <c r="Q3364" s="88"/>
      <c r="R3364" s="88"/>
      <c r="S3364" s="89"/>
      <c r="T3364" s="89"/>
      <c r="U3364" s="90"/>
    </row>
    <row r="3365" spans="1:23" x14ac:dyDescent="0.35">
      <c r="A3365" s="2986"/>
      <c r="B3365" s="2986"/>
      <c r="C3365" s="2986"/>
      <c r="D3365" s="2986"/>
      <c r="E3365" s="2986"/>
      <c r="F3365" s="2986"/>
      <c r="G3365" s="2986"/>
      <c r="H3365" s="2986"/>
      <c r="I3365" s="2986"/>
      <c r="J3365" s="2986"/>
      <c r="K3365" s="2319" t="s">
        <v>71</v>
      </c>
      <c r="L3365" s="87"/>
      <c r="M3365" s="87"/>
      <c r="N3365" s="88"/>
      <c r="O3365" s="88"/>
      <c r="P3365" s="88"/>
      <c r="Q3365" s="88"/>
      <c r="R3365" s="88"/>
      <c r="S3365" s="89"/>
      <c r="T3365" s="89"/>
      <c r="U3365" s="91"/>
    </row>
    <row r="3366" spans="1:23" x14ac:dyDescent="0.35">
      <c r="A3366" s="8"/>
      <c r="B3366" s="9"/>
      <c r="C3366" s="8"/>
      <c r="D3366" s="8"/>
      <c r="E3366" s="8"/>
      <c r="F3366" s="10"/>
      <c r="G3366" s="11"/>
      <c r="H3366" s="12"/>
      <c r="I3366" s="8"/>
      <c r="J3366" s="12"/>
      <c r="K3366" s="2320" t="s">
        <v>20</v>
      </c>
      <c r="L3366" s="2321"/>
      <c r="M3366" s="2321"/>
      <c r="N3366" s="2321"/>
      <c r="O3366" s="2321"/>
      <c r="P3366" s="2321"/>
      <c r="Q3366" s="2321"/>
      <c r="R3366" s="2321"/>
      <c r="S3366" s="2321"/>
      <c r="T3366" s="2321"/>
      <c r="U3366" s="2322"/>
    </row>
    <row r="3367" spans="1:23" ht="16" thickBot="1" x14ac:dyDescent="0.4">
      <c r="A3367" s="8" t="s">
        <v>21</v>
      </c>
      <c r="B3367" s="9"/>
      <c r="C3367" s="8"/>
      <c r="D3367" s="8"/>
      <c r="E3367" s="8"/>
      <c r="F3367" s="10"/>
      <c r="G3367" s="11"/>
      <c r="H3367" s="12"/>
      <c r="I3367" s="8"/>
      <c r="J3367" s="12"/>
      <c r="K3367" s="8"/>
      <c r="L3367" s="8"/>
      <c r="M3367" s="8"/>
      <c r="N3367" s="8"/>
      <c r="O3367" s="8"/>
      <c r="P3367" s="8"/>
      <c r="Q3367" s="8"/>
      <c r="R3367" s="8"/>
      <c r="S3367" s="8"/>
      <c r="T3367" s="8"/>
      <c r="U3367" s="8"/>
    </row>
    <row r="3368" spans="1:23" x14ac:dyDescent="0.35">
      <c r="A3368" s="17" t="s">
        <v>25</v>
      </c>
      <c r="B3368" s="18" t="s">
        <v>26</v>
      </c>
      <c r="C3368" s="19" t="s">
        <v>27</v>
      </c>
      <c r="D3368" s="20">
        <f>D3353+7</f>
        <v>44589</v>
      </c>
      <c r="E3368" s="21" t="s">
        <v>28</v>
      </c>
      <c r="F3368" s="3002" t="s">
        <v>29</v>
      </c>
      <c r="G3368" s="3003"/>
      <c r="H3368" s="3004"/>
      <c r="I3368" s="2184" t="s">
        <v>30</v>
      </c>
      <c r="J3368" s="22">
        <v>17.38</v>
      </c>
      <c r="K3368" s="23">
        <f>D3368-4</f>
        <v>44585</v>
      </c>
      <c r="L3368" s="23">
        <f>K3368+1</f>
        <v>44586</v>
      </c>
      <c r="M3368" s="23"/>
      <c r="N3368" s="23"/>
      <c r="O3368" s="2993" t="s">
        <v>31</v>
      </c>
      <c r="P3368" s="2994"/>
      <c r="Q3368" s="23"/>
      <c r="R3368" s="23">
        <f>L3368+1</f>
        <v>44587</v>
      </c>
      <c r="S3368" s="23">
        <f>R3368+1</f>
        <v>44588</v>
      </c>
      <c r="T3368" s="23">
        <f t="shared" ref="T3368" si="1306">S3368+1</f>
        <v>44589</v>
      </c>
      <c r="U3368" s="24"/>
    </row>
    <row r="3369" spans="1:23" ht="16" thickBot="1" x14ac:dyDescent="0.4">
      <c r="A3369" s="28" t="s">
        <v>32</v>
      </c>
      <c r="B3369" s="29" t="str">
        <f ca="1">TEXT(TODAY(),"ddd")</f>
        <v>Sun</v>
      </c>
      <c r="C3369" s="30">
        <v>35492</v>
      </c>
      <c r="D3369" s="31">
        <f>C3369-C3354</f>
        <v>95</v>
      </c>
      <c r="E3369" s="32">
        <f>(C3369-C3354)/C3354</f>
        <v>2.6838432635534087E-3</v>
      </c>
      <c r="F3369" s="3005"/>
      <c r="G3369" s="3005"/>
      <c r="H3369" s="3006"/>
      <c r="I3369" s="2185" t="s">
        <v>33</v>
      </c>
      <c r="J3369" s="2185">
        <v>52</v>
      </c>
      <c r="K3369" s="2061"/>
      <c r="L3369" s="2062" t="s">
        <v>34</v>
      </c>
      <c r="M3369" s="2063" t="s">
        <v>35</v>
      </c>
      <c r="N3369" s="2995"/>
      <c r="O3369" s="2996"/>
      <c r="P3369" s="2996"/>
      <c r="Q3369" s="2996"/>
      <c r="R3369" s="2996"/>
      <c r="S3369" s="2996"/>
      <c r="T3369" s="2996"/>
      <c r="U3369" s="2996"/>
    </row>
    <row r="3370" spans="1:23" ht="16" thickBot="1" x14ac:dyDescent="0.4">
      <c r="A3370" s="28" t="s">
        <v>36</v>
      </c>
      <c r="B3370" s="30"/>
      <c r="C3370" s="30">
        <v>15341</v>
      </c>
      <c r="D3370" s="31">
        <f>C3370-C3355</f>
        <v>818</v>
      </c>
      <c r="E3370" s="32">
        <f>(C3370-C3355)/C3355</f>
        <v>5.6324450871032154E-2</v>
      </c>
      <c r="F3370" s="2329" t="s">
        <v>37</v>
      </c>
      <c r="G3370" s="36" t="s">
        <v>38</v>
      </c>
      <c r="H3370" s="37" t="s">
        <v>39</v>
      </c>
      <c r="I3370" s="38" t="s">
        <v>40</v>
      </c>
      <c r="J3370" s="39" t="s">
        <v>41</v>
      </c>
      <c r="K3370" s="2997" t="s">
        <v>42</v>
      </c>
      <c r="L3370" s="2998"/>
      <c r="M3370" s="2999"/>
      <c r="N3370" s="2217" t="s">
        <v>43</v>
      </c>
      <c r="O3370" s="40"/>
      <c r="P3370" s="40"/>
      <c r="Q3370" s="2218" t="s">
        <v>44</v>
      </c>
      <c r="R3370" s="2219" t="s">
        <v>45</v>
      </c>
      <c r="S3370" s="2219" t="s">
        <v>46</v>
      </c>
      <c r="T3370" s="2219" t="s">
        <v>47</v>
      </c>
      <c r="U3370" s="2285" t="s">
        <v>48</v>
      </c>
      <c r="V3370" s="2221" t="s">
        <v>244</v>
      </c>
      <c r="W3370" s="2221" t="s">
        <v>696</v>
      </c>
    </row>
    <row r="3371" spans="1:23" ht="16" thickBot="1" x14ac:dyDescent="0.4">
      <c r="A3371" s="2178" t="s">
        <v>49</v>
      </c>
      <c r="B3371" s="2332">
        <v>240.072</v>
      </c>
      <c r="C3371" s="2180">
        <v>294.11</v>
      </c>
      <c r="D3371" s="69">
        <f>C3371*B3371</f>
        <v>70607.575920000003</v>
      </c>
      <c r="E3371" s="1977">
        <f t="shared" ref="E3371:E3374" si="1307">(C3371-C3356)/C3356</f>
        <v>0.13433353903116341</v>
      </c>
      <c r="F3371" s="2223">
        <f>D3371/$D$3347</f>
        <v>0.41860968734162957</v>
      </c>
      <c r="G3371" s="2172">
        <v>105</v>
      </c>
      <c r="H3371" s="2225">
        <v>44609</v>
      </c>
      <c r="I3371" s="2122">
        <v>0.6</v>
      </c>
      <c r="J3371" s="2237">
        <v>12.29</v>
      </c>
      <c r="K3371" s="2983" t="s">
        <v>50</v>
      </c>
      <c r="L3371" s="2984"/>
      <c r="M3371" s="45"/>
      <c r="N3371" s="46"/>
      <c r="Q3371" s="47"/>
      <c r="R3371" s="48">
        <f>RIGHT(K3371,6)*B3371</f>
        <v>62834.044560000002</v>
      </c>
      <c r="S3371" s="49">
        <f>D3371</f>
        <v>70607.575920000003</v>
      </c>
      <c r="T3371" s="49">
        <f>S3371-R3371</f>
        <v>7773.5313600000009</v>
      </c>
      <c r="U3371" s="50">
        <f>(S3371-R3371)/R3371</f>
        <v>0.12371527910442059</v>
      </c>
      <c r="V3371" s="2239" t="str">
        <f>A3371</f>
        <v>NVDA</v>
      </c>
      <c r="W3371" s="2240">
        <f ca="1">H3371-TODAY()</f>
        <v>-563</v>
      </c>
    </row>
    <row r="3372" spans="1:23" x14ac:dyDescent="0.35">
      <c r="A3372" s="51" t="s">
        <v>51</v>
      </c>
      <c r="B3372" s="2332">
        <v>150.83099999999999</v>
      </c>
      <c r="C3372" s="2180">
        <v>430.11</v>
      </c>
      <c r="D3372" s="69">
        <f t="shared" ref="D3372:D3374" si="1308">C3372*B3372</f>
        <v>64873.921409999995</v>
      </c>
      <c r="E3372" s="1977">
        <f t="shared" si="1307"/>
        <v>4.0370567461661261E-2</v>
      </c>
      <c r="F3372" s="2223">
        <f t="shared" ref="F3372:F3376" si="1309">D3372/$D$3347</f>
        <v>0.38461668743358191</v>
      </c>
      <c r="G3372" s="2224">
        <v>23</v>
      </c>
      <c r="H3372" s="2225">
        <f>"10/27/2021"+90</f>
        <v>44586</v>
      </c>
      <c r="I3372" s="2226">
        <v>0.56000000000000005</v>
      </c>
      <c r="J3372" s="2122">
        <v>3.51</v>
      </c>
      <c r="K3372" s="3000" t="s">
        <v>52</v>
      </c>
      <c r="L3372" s="3001"/>
      <c r="M3372" s="2227"/>
      <c r="N3372" s="2228"/>
      <c r="O3372" s="1374"/>
      <c r="P3372" s="1374"/>
      <c r="Q3372" s="2229"/>
      <c r="R3372" s="2230">
        <f t="shared" ref="R3372:R3374" si="1310">RIGHT(K3372,6)*B3372</f>
        <v>49296.095729999994</v>
      </c>
      <c r="S3372" s="2231">
        <f t="shared" ref="S3372:S3374" si="1311">D3372</f>
        <v>64873.921409999995</v>
      </c>
      <c r="T3372" s="2231">
        <f t="shared" ref="T3372:T3374" si="1312">S3372-R3372</f>
        <v>15577.825680000002</v>
      </c>
      <c r="U3372" s="2286">
        <f t="shared" ref="U3372:U3374" si="1313">(S3372-R3372)/R3372</f>
        <v>0.31600526267478513</v>
      </c>
      <c r="V3372" s="2233" t="str">
        <f t="shared" ref="V3372:V3374" si="1314">A3372</f>
        <v>KLAC</v>
      </c>
      <c r="W3372" s="2234">
        <f t="shared" ref="W3372:W3374" ca="1" si="1315">H3372-TODAY()</f>
        <v>-586</v>
      </c>
    </row>
    <row r="3373" spans="1:23" x14ac:dyDescent="0.35">
      <c r="A3373" s="2178" t="s">
        <v>53</v>
      </c>
      <c r="B3373" s="2332">
        <v>100.059</v>
      </c>
      <c r="C3373" s="2180">
        <v>358.38</v>
      </c>
      <c r="D3373" s="82">
        <f t="shared" si="1308"/>
        <v>35859.144419999997</v>
      </c>
      <c r="E3373" s="1977">
        <f t="shared" si="1307"/>
        <v>0.14275692739389681</v>
      </c>
      <c r="F3373" s="2223">
        <f t="shared" si="1309"/>
        <v>0.21259737412600496</v>
      </c>
      <c r="G3373" s="2173">
        <v>42</v>
      </c>
      <c r="H3373" s="2225">
        <f>"10/27/2021"+90</f>
        <v>44586</v>
      </c>
      <c r="I3373" s="2122">
        <v>0.84</v>
      </c>
      <c r="J3373" s="2237">
        <v>14.34</v>
      </c>
      <c r="K3373" s="2983" t="s">
        <v>54</v>
      </c>
      <c r="L3373" s="2984"/>
      <c r="M3373" s="45"/>
      <c r="N3373" s="46"/>
      <c r="Q3373" s="47"/>
      <c r="R3373" s="48">
        <f t="shared" si="1310"/>
        <v>32201.987969999998</v>
      </c>
      <c r="S3373" s="49">
        <f t="shared" si="1311"/>
        <v>35859.144419999997</v>
      </c>
      <c r="T3373" s="49">
        <f t="shared" si="1312"/>
        <v>3657.1564499999986</v>
      </c>
      <c r="U3373" s="50">
        <f t="shared" si="1313"/>
        <v>0.11356927570456449</v>
      </c>
      <c r="V3373" s="2239" t="str">
        <f t="shared" si="1314"/>
        <v>ODFL</v>
      </c>
      <c r="W3373" s="2240">
        <f t="shared" ca="1" si="1315"/>
        <v>-586</v>
      </c>
    </row>
    <row r="3374" spans="1:23" x14ac:dyDescent="0.35">
      <c r="A3374" s="7" t="s">
        <v>56</v>
      </c>
      <c r="B3374" s="2334">
        <v>108</v>
      </c>
      <c r="C3374" s="2331">
        <v>60.54</v>
      </c>
      <c r="D3374" s="2180">
        <f t="shared" si="1308"/>
        <v>6538.32</v>
      </c>
      <c r="E3374" s="1977">
        <f t="shared" si="1307"/>
        <v>4.9038294922890281E-2</v>
      </c>
      <c r="F3374" s="2223">
        <f t="shared" si="1309"/>
        <v>3.8763603696586491E-2</v>
      </c>
      <c r="G3374" s="2173">
        <v>9.8000000000000007</v>
      </c>
      <c r="H3374" s="2225">
        <v>44607</v>
      </c>
      <c r="I3374" s="2122">
        <v>2.67</v>
      </c>
      <c r="J3374" s="2122">
        <v>2.58</v>
      </c>
      <c r="K3374" s="2983" t="s">
        <v>57</v>
      </c>
      <c r="L3374" s="2984"/>
      <c r="M3374" s="2247"/>
      <c r="N3374" s="46"/>
      <c r="Q3374" s="47"/>
      <c r="R3374" s="48">
        <f t="shared" si="1310"/>
        <v>7557.84</v>
      </c>
      <c r="S3374" s="49">
        <f t="shared" si="1311"/>
        <v>6538.32</v>
      </c>
      <c r="T3374" s="49">
        <f t="shared" si="1312"/>
        <v>-1019.5200000000004</v>
      </c>
      <c r="U3374" s="54">
        <f t="shared" si="1313"/>
        <v>-0.13489568448128042</v>
      </c>
      <c r="V3374" s="2239" t="str">
        <f t="shared" si="1314"/>
        <v>KLIC</v>
      </c>
      <c r="W3374" s="2252">
        <f t="shared" ca="1" si="1315"/>
        <v>-565</v>
      </c>
    </row>
    <row r="3375" spans="1:23" ht="16" thickBot="1" x14ac:dyDescent="0.4">
      <c r="A3375" s="55" t="s">
        <v>7</v>
      </c>
      <c r="B3375" s="56"/>
      <c r="C3375" s="57" t="s">
        <v>58</v>
      </c>
      <c r="D3375" s="2264">
        <v>2357.7399999999998</v>
      </c>
      <c r="E3375" s="1977">
        <f>(D3375-D3360)/D3360</f>
        <v>1.6705476498490635E-2</v>
      </c>
      <c r="F3375" s="2223">
        <f t="shared" si="1309"/>
        <v>1.3978284785631451E-2</v>
      </c>
      <c r="G3375" s="2053"/>
      <c r="H3375" s="1789" t="s">
        <v>59</v>
      </c>
      <c r="I3375" s="2089"/>
      <c r="J3375" s="2068"/>
      <c r="K3375" s="58"/>
      <c r="L3375" s="58"/>
      <c r="M3375" s="58"/>
      <c r="R3375" s="2265">
        <f>SUM(R3371:R3374)</f>
        <v>151889.96825999999</v>
      </c>
      <c r="S3375" s="2265">
        <f t="shared" ref="S3375:T3375" si="1316">SUM(S3371:S3374)</f>
        <v>177878.96174999999</v>
      </c>
      <c r="T3375" s="2265">
        <f t="shared" si="1316"/>
        <v>25988.993490000001</v>
      </c>
      <c r="U3375" s="2292">
        <f>AVERAGE(U3371:U3374)</f>
        <v>0.10459853325062243</v>
      </c>
      <c r="V3375" s="2208"/>
      <c r="W3375" s="2208"/>
    </row>
    <row r="3376" spans="1:23" ht="16" thickBot="1" x14ac:dyDescent="0.4">
      <c r="A3376" s="55" t="s">
        <v>60</v>
      </c>
      <c r="B3376" s="2268"/>
      <c r="C3376" s="2269">
        <f>SUM(D3372:D3374)</f>
        <v>107271.38582999998</v>
      </c>
      <c r="D3376" s="59">
        <v>276.95</v>
      </c>
      <c r="E3376" s="1977">
        <f t="shared" ref="E3376" si="1317">(C3376-C3361)/C3361</f>
        <v>7.3049347071056633E-2</v>
      </c>
      <c r="F3376" s="2223">
        <f t="shared" si="1309"/>
        <v>1.6419477853285903E-3</v>
      </c>
      <c r="G3376" s="1734"/>
      <c r="H3376" s="1723" t="s">
        <v>61</v>
      </c>
      <c r="I3376" s="60">
        <v>0</v>
      </c>
      <c r="J3376" s="61"/>
      <c r="K3376" s="2090"/>
      <c r="L3376" s="2070"/>
      <c r="M3376" s="2070"/>
      <c r="Q3376" s="62"/>
      <c r="R3376" s="63"/>
      <c r="S3376" s="64"/>
      <c r="T3376" s="64"/>
      <c r="U3376" s="64"/>
    </row>
    <row r="3377" spans="1:21" ht="19" thickBot="1" x14ac:dyDescent="0.5">
      <c r="A3377" s="66" t="s">
        <v>62</v>
      </c>
      <c r="B3377" s="67"/>
      <c r="C3377" s="68">
        <f>SUM(D3372:D3372)</f>
        <v>64873.921409999995</v>
      </c>
      <c r="D3377" s="84">
        <f>SUM(D3371:D3376)</f>
        <v>180513.65174999999</v>
      </c>
      <c r="E3377" s="70">
        <f>(D3377-D3362)</f>
        <v>19598.10858</v>
      </c>
      <c r="F3377" s="71">
        <f>SUM(F3371:F3376)</f>
        <v>1.0702075851687631</v>
      </c>
      <c r="G3377" s="72" t="s">
        <v>63</v>
      </c>
      <c r="H3377" s="73">
        <f>E3377+E3362+E3342+E3324+E3305</f>
        <v>11842.091853844655</v>
      </c>
      <c r="I3377" s="74"/>
      <c r="J3377" s="75"/>
      <c r="K3377" s="2314" t="s">
        <v>67</v>
      </c>
      <c r="L3377" s="2315"/>
      <c r="M3377" s="2315"/>
      <c r="N3377" s="2316"/>
      <c r="O3377" s="2316"/>
      <c r="P3377" s="2316"/>
      <c r="Q3377" s="2316"/>
      <c r="R3377" s="2316"/>
      <c r="S3377" s="86" t="s">
        <v>68</v>
      </c>
      <c r="T3377" s="2317"/>
      <c r="U3377" s="2318"/>
    </row>
    <row r="3378" spans="1:21" x14ac:dyDescent="0.35">
      <c r="A3378" s="2985" t="s">
        <v>64</v>
      </c>
      <c r="B3378" s="2985"/>
      <c r="C3378" s="2985"/>
      <c r="D3378" s="2985"/>
      <c r="E3378" s="2985"/>
      <c r="F3378" s="2985"/>
      <c r="G3378" s="2985"/>
      <c r="H3378" s="2985"/>
      <c r="I3378" s="2985"/>
      <c r="J3378" s="2985"/>
      <c r="K3378" s="2319" t="s">
        <v>69</v>
      </c>
      <c r="L3378" s="87"/>
      <c r="M3378" s="87"/>
      <c r="N3378" s="88"/>
      <c r="O3378" s="88"/>
      <c r="P3378" s="88"/>
      <c r="Q3378" s="88"/>
      <c r="R3378" s="88"/>
      <c r="S3378" s="89"/>
      <c r="T3378" s="89"/>
      <c r="U3378" s="90"/>
    </row>
    <row r="3379" spans="1:21" x14ac:dyDescent="0.35">
      <c r="A3379" s="2986"/>
      <c r="B3379" s="2986"/>
      <c r="C3379" s="2986"/>
      <c r="D3379" s="2986"/>
      <c r="E3379" s="2986"/>
      <c r="F3379" s="2986"/>
      <c r="G3379" s="2986"/>
      <c r="H3379" s="2986"/>
      <c r="I3379" s="2986"/>
      <c r="J3379" s="2986"/>
      <c r="K3379" s="2319" t="s">
        <v>70</v>
      </c>
      <c r="L3379" s="87"/>
      <c r="M3379" s="87"/>
      <c r="N3379" s="88"/>
      <c r="O3379" s="88"/>
      <c r="P3379" s="88"/>
      <c r="Q3379" s="88"/>
      <c r="R3379" s="88"/>
      <c r="S3379" s="89"/>
      <c r="T3379" s="89"/>
      <c r="U3379" s="90"/>
    </row>
    <row r="3380" spans="1:21" x14ac:dyDescent="0.35">
      <c r="A3380" s="2986"/>
      <c r="B3380" s="2986"/>
      <c r="C3380" s="2986"/>
      <c r="D3380" s="2986"/>
      <c r="E3380" s="2986"/>
      <c r="F3380" s="2986"/>
      <c r="G3380" s="2986"/>
      <c r="H3380" s="2986"/>
      <c r="I3380" s="2986"/>
      <c r="J3380" s="2986"/>
      <c r="K3380" s="2319" t="s">
        <v>71</v>
      </c>
      <c r="L3380" s="87"/>
      <c r="M3380" s="87"/>
      <c r="N3380" s="88"/>
      <c r="O3380" s="88"/>
      <c r="P3380" s="88"/>
      <c r="Q3380" s="88"/>
      <c r="R3380" s="88"/>
      <c r="S3380" s="89"/>
      <c r="T3380" s="89"/>
      <c r="U3380" s="91"/>
    </row>
    <row r="3381" spans="1:21" x14ac:dyDescent="0.35">
      <c r="A3381" s="8"/>
      <c r="B3381" s="9"/>
      <c r="C3381" s="8"/>
      <c r="D3381" s="8"/>
      <c r="E3381" s="8"/>
      <c r="F3381" s="10"/>
      <c r="G3381" s="11"/>
      <c r="H3381" s="12"/>
      <c r="I3381" s="8"/>
      <c r="J3381" s="12"/>
      <c r="K3381" s="2320" t="s">
        <v>20</v>
      </c>
      <c r="L3381" s="2321"/>
      <c r="M3381" s="2321"/>
      <c r="N3381" s="2321"/>
      <c r="O3381" s="2321"/>
      <c r="P3381" s="2321"/>
      <c r="Q3381" s="2321"/>
      <c r="R3381" s="2321"/>
      <c r="S3381" s="2321"/>
      <c r="T3381" s="2321"/>
      <c r="U3381" s="2322"/>
    </row>
  </sheetData>
  <mergeCells count="1348">
    <mergeCell ref="S598:Z598"/>
    <mergeCell ref="S599:T599"/>
    <mergeCell ref="X599:Y599"/>
    <mergeCell ref="S615:T615"/>
    <mergeCell ref="Y615:Z615"/>
    <mergeCell ref="AB615:AC615"/>
    <mergeCell ref="J1082:L1082"/>
    <mergeCell ref="J1098:L1098"/>
    <mergeCell ref="J1114:L1114"/>
    <mergeCell ref="J1130:L1130"/>
    <mergeCell ref="J1146:L1146"/>
    <mergeCell ref="J1162:L1162"/>
    <mergeCell ref="AM630:AN630"/>
    <mergeCell ref="AO630:AP630"/>
    <mergeCell ref="AQ630:AR630"/>
    <mergeCell ref="AS630:AT630"/>
    <mergeCell ref="W647:X647"/>
    <mergeCell ref="Y647:Z647"/>
    <mergeCell ref="AA647:AB647"/>
    <mergeCell ref="AE615:AF615"/>
    <mergeCell ref="AH615:AI615"/>
    <mergeCell ref="S630:T630"/>
    <mergeCell ref="U630:V630"/>
    <mergeCell ref="W630:X630"/>
    <mergeCell ref="Y630:Z630"/>
    <mergeCell ref="AA630:AB630"/>
    <mergeCell ref="AC630:AD630"/>
    <mergeCell ref="AE630:AF630"/>
    <mergeCell ref="AK630:AL630"/>
    <mergeCell ref="J1273:L1273"/>
    <mergeCell ref="J1288:L1288"/>
    <mergeCell ref="J1291:L1291"/>
    <mergeCell ref="J1303:L1303"/>
    <mergeCell ref="J1318:L1318"/>
    <mergeCell ref="J1333:L1333"/>
    <mergeCell ref="J1228:L1228"/>
    <mergeCell ref="J1229:L1229"/>
    <mergeCell ref="J1242:L1242"/>
    <mergeCell ref="J1243:L1243"/>
    <mergeCell ref="J1258:L1258"/>
    <mergeCell ref="J1261:L1261"/>
    <mergeCell ref="J1178:L1178"/>
    <mergeCell ref="J1194:L1194"/>
    <mergeCell ref="J1210:L1210"/>
    <mergeCell ref="J1211:L1211"/>
    <mergeCell ref="J1226:L1226"/>
    <mergeCell ref="J1227:L1227"/>
    <mergeCell ref="J1376:L1376"/>
    <mergeCell ref="J1379:L1379"/>
    <mergeCell ref="J1380:L1380"/>
    <mergeCell ref="J1382:L1382"/>
    <mergeCell ref="J1385:L1385"/>
    <mergeCell ref="J1386:L1386"/>
    <mergeCell ref="J1365:L1365"/>
    <mergeCell ref="J1366:L1366"/>
    <mergeCell ref="J1367:L1367"/>
    <mergeCell ref="J1368:L1368"/>
    <mergeCell ref="J1369:L1369"/>
    <mergeCell ref="J1375:L1375"/>
    <mergeCell ref="J1336:L1336"/>
    <mergeCell ref="J1348:L1348"/>
    <mergeCell ref="J1350:L1350"/>
    <mergeCell ref="J1362:L1362"/>
    <mergeCell ref="J1363:L1363"/>
    <mergeCell ref="J1364:L1364"/>
    <mergeCell ref="J1411:L1411"/>
    <mergeCell ref="J1412:L1412"/>
    <mergeCell ref="J1413:L1413"/>
    <mergeCell ref="J1414:L1414"/>
    <mergeCell ref="J1417:L1417"/>
    <mergeCell ref="J1418:L1418"/>
    <mergeCell ref="J1398:L1398"/>
    <mergeCell ref="J1399:L1399"/>
    <mergeCell ref="J1400:L1400"/>
    <mergeCell ref="J1403:L1403"/>
    <mergeCell ref="J1404:L1404"/>
    <mergeCell ref="J1405:L1405"/>
    <mergeCell ref="J1387:L1387"/>
    <mergeCell ref="J1393:L1393"/>
    <mergeCell ref="J1394:L1394"/>
    <mergeCell ref="J1395:L1395"/>
    <mergeCell ref="J1396:L1396"/>
    <mergeCell ref="J1397:L1397"/>
    <mergeCell ref="J1443:L1443"/>
    <mergeCell ref="J1444:L1444"/>
    <mergeCell ref="J1445:L1445"/>
    <mergeCell ref="J1446:L1446"/>
    <mergeCell ref="J1447:L1447"/>
    <mergeCell ref="J1452:L1452"/>
    <mergeCell ref="J1430:L1430"/>
    <mergeCell ref="J1433:L1433"/>
    <mergeCell ref="J1434:L1434"/>
    <mergeCell ref="J1435:L1435"/>
    <mergeCell ref="J1436:L1436"/>
    <mergeCell ref="J1442:L1442"/>
    <mergeCell ref="J1419:L1419"/>
    <mergeCell ref="J1425:L1425"/>
    <mergeCell ref="J1426:L1426"/>
    <mergeCell ref="J1427:L1427"/>
    <mergeCell ref="J1428:L1428"/>
    <mergeCell ref="J1429:L1429"/>
    <mergeCell ref="J1493:L1493"/>
    <mergeCell ref="J1494:L1494"/>
    <mergeCell ref="J1495:L1495"/>
    <mergeCell ref="J1496:L1496"/>
    <mergeCell ref="J1505:L1505"/>
    <mergeCell ref="J1511:L1511"/>
    <mergeCell ref="J1470:L1470"/>
    <mergeCell ref="J1476:L1476"/>
    <mergeCell ref="J1477:L1477"/>
    <mergeCell ref="J1478:L1478"/>
    <mergeCell ref="J1479:L1479"/>
    <mergeCell ref="J1487:L1487"/>
    <mergeCell ref="J1458:L1458"/>
    <mergeCell ref="J1459:L1459"/>
    <mergeCell ref="J1460:L1460"/>
    <mergeCell ref="J1461:L1461"/>
    <mergeCell ref="J1462:L1462"/>
    <mergeCell ref="J1463:L1463"/>
    <mergeCell ref="J1546:L1546"/>
    <mergeCell ref="J1547:L1547"/>
    <mergeCell ref="J1552:L1552"/>
    <mergeCell ref="J1558:L1558"/>
    <mergeCell ref="J1559:L1559"/>
    <mergeCell ref="J1573:L1573"/>
    <mergeCell ref="J1531:L1531"/>
    <mergeCell ref="J1532:L1532"/>
    <mergeCell ref="J1533:L1533"/>
    <mergeCell ref="J1538:L1538"/>
    <mergeCell ref="J1544:L1544"/>
    <mergeCell ref="J1545:L1545"/>
    <mergeCell ref="J1512:L1512"/>
    <mergeCell ref="J1513:L1513"/>
    <mergeCell ref="J1522:L1522"/>
    <mergeCell ref="J1528:L1528"/>
    <mergeCell ref="J1529:L1529"/>
    <mergeCell ref="J1530:L1530"/>
    <mergeCell ref="F1618:H1619"/>
    <mergeCell ref="J1620:L1620"/>
    <mergeCell ref="J1621:L1621"/>
    <mergeCell ref="J1622:L1622"/>
    <mergeCell ref="J1623:L1623"/>
    <mergeCell ref="J1624:L1624"/>
    <mergeCell ref="J1608:L1608"/>
    <mergeCell ref="J1609:L1609"/>
    <mergeCell ref="J1610:L1610"/>
    <mergeCell ref="J1611:L1611"/>
    <mergeCell ref="J1612:L1612"/>
    <mergeCell ref="J1613:L1613"/>
    <mergeCell ref="F1587:H1588"/>
    <mergeCell ref="J1589:L1589"/>
    <mergeCell ref="F1603:H1604"/>
    <mergeCell ref="J1605:L1605"/>
    <mergeCell ref="J1606:L1606"/>
    <mergeCell ref="J1607:L1607"/>
    <mergeCell ref="J1643:L1643"/>
    <mergeCell ref="F1648:H1649"/>
    <mergeCell ref="J1650:L1650"/>
    <mergeCell ref="J1651:L1651"/>
    <mergeCell ref="J1652:L1652"/>
    <mergeCell ref="J1653:L1653"/>
    <mergeCell ref="J1636:L1636"/>
    <mergeCell ref="J1637:L1637"/>
    <mergeCell ref="J1638:L1638"/>
    <mergeCell ref="J1639:L1639"/>
    <mergeCell ref="J1640:L1640"/>
    <mergeCell ref="J1641:L1641"/>
    <mergeCell ref="J1625:L1625"/>
    <mergeCell ref="J1626:L1626"/>
    <mergeCell ref="J1627:L1627"/>
    <mergeCell ref="J1628:L1628"/>
    <mergeCell ref="F1633:H1634"/>
    <mergeCell ref="J1635:L1635"/>
    <mergeCell ref="J1672:L1672"/>
    <mergeCell ref="J1673:L1673"/>
    <mergeCell ref="J1674:L1674"/>
    <mergeCell ref="J1675:L1675"/>
    <mergeCell ref="F1680:H1681"/>
    <mergeCell ref="J1682:L1682"/>
    <mergeCell ref="J1666:L1666"/>
    <mergeCell ref="J1667:L1667"/>
    <mergeCell ref="J1668:L1668"/>
    <mergeCell ref="J1669:L1669"/>
    <mergeCell ref="J1670:L1670"/>
    <mergeCell ref="J1671:L1671"/>
    <mergeCell ref="J1654:L1654"/>
    <mergeCell ref="J1655:L1655"/>
    <mergeCell ref="J1656:L1656"/>
    <mergeCell ref="J1658:L1658"/>
    <mergeCell ref="J1659:L1659"/>
    <mergeCell ref="F1664:H1665"/>
    <mergeCell ref="J1700:L1700"/>
    <mergeCell ref="J1701:L1701"/>
    <mergeCell ref="J1702:L1702"/>
    <mergeCell ref="J1703:L1703"/>
    <mergeCell ref="F1708:H1709"/>
    <mergeCell ref="J1710:L1710"/>
    <mergeCell ref="J1689:L1689"/>
    <mergeCell ref="F1694:H1695"/>
    <mergeCell ref="J1696:L1696"/>
    <mergeCell ref="J1697:L1697"/>
    <mergeCell ref="J1698:L1698"/>
    <mergeCell ref="J1699:L1699"/>
    <mergeCell ref="J1683:L1683"/>
    <mergeCell ref="J1684:L1684"/>
    <mergeCell ref="J1685:L1685"/>
    <mergeCell ref="J1686:L1686"/>
    <mergeCell ref="J1687:L1687"/>
    <mergeCell ref="J1688:L1688"/>
    <mergeCell ref="J1728:L1728"/>
    <mergeCell ref="J1729:L1729"/>
    <mergeCell ref="J1730:L1730"/>
    <mergeCell ref="J1731:L1731"/>
    <mergeCell ref="F1736:H1737"/>
    <mergeCell ref="J1738:L1738"/>
    <mergeCell ref="J1717:L1717"/>
    <mergeCell ref="F1722:H1723"/>
    <mergeCell ref="J1724:L1724"/>
    <mergeCell ref="J1725:L1725"/>
    <mergeCell ref="J1726:L1726"/>
    <mergeCell ref="J1727:L1727"/>
    <mergeCell ref="J1711:L1711"/>
    <mergeCell ref="J1712:L1712"/>
    <mergeCell ref="J1713:L1713"/>
    <mergeCell ref="J1714:L1714"/>
    <mergeCell ref="J1715:L1715"/>
    <mergeCell ref="J1716:L1716"/>
    <mergeCell ref="J1762:L1762"/>
    <mergeCell ref="J1763:L1763"/>
    <mergeCell ref="J1764:L1764"/>
    <mergeCell ref="F1769:H1770"/>
    <mergeCell ref="J1771:L1771"/>
    <mergeCell ref="J1772:L1772"/>
    <mergeCell ref="J1751:L1751"/>
    <mergeCell ref="J1752:L1752"/>
    <mergeCell ref="J1753:L1753"/>
    <mergeCell ref="F1758:H1759"/>
    <mergeCell ref="J1760:L1760"/>
    <mergeCell ref="J1761:L1761"/>
    <mergeCell ref="J1739:L1739"/>
    <mergeCell ref="J1740:L1740"/>
    <mergeCell ref="J1742:L1742"/>
    <mergeCell ref="F1747:H1748"/>
    <mergeCell ref="J1749:L1749"/>
    <mergeCell ref="J1750:L1750"/>
    <mergeCell ref="J1795:L1795"/>
    <mergeCell ref="J1796:L1796"/>
    <mergeCell ref="J1797:L1797"/>
    <mergeCell ref="J1798:L1798"/>
    <mergeCell ref="F1803:H1804"/>
    <mergeCell ref="J1805:L1805"/>
    <mergeCell ref="J1784:L1784"/>
    <mergeCell ref="J1785:L1785"/>
    <mergeCell ref="J1786:L1786"/>
    <mergeCell ref="J1787:L1787"/>
    <mergeCell ref="F1792:H1793"/>
    <mergeCell ref="J1794:L1794"/>
    <mergeCell ref="J1773:L1773"/>
    <mergeCell ref="J1774:L1774"/>
    <mergeCell ref="J1775:L1775"/>
    <mergeCell ref="F1780:H1781"/>
    <mergeCell ref="J1782:L1782"/>
    <mergeCell ref="J1783:L1783"/>
    <mergeCell ref="J1828:L1828"/>
    <mergeCell ref="J1829:L1829"/>
    <mergeCell ref="J1830:L1830"/>
    <mergeCell ref="J1831:L1831"/>
    <mergeCell ref="J1832:L1832"/>
    <mergeCell ref="F1837:H1838"/>
    <mergeCell ref="J1817:L1817"/>
    <mergeCell ref="J1818:L1818"/>
    <mergeCell ref="J1819:L1819"/>
    <mergeCell ref="J1820:L1820"/>
    <mergeCell ref="F1825:H1826"/>
    <mergeCell ref="J1827:L1827"/>
    <mergeCell ref="J1806:L1806"/>
    <mergeCell ref="J1807:L1807"/>
    <mergeCell ref="J1808:L1808"/>
    <mergeCell ref="J1809:L1809"/>
    <mergeCell ref="F1814:H1815"/>
    <mergeCell ref="J1816:L1816"/>
    <mergeCell ref="J1856:L1856"/>
    <mergeCell ref="F1861:H1862"/>
    <mergeCell ref="J1863:L1863"/>
    <mergeCell ref="J1864:L1864"/>
    <mergeCell ref="J1865:L1865"/>
    <mergeCell ref="J1866:L1866"/>
    <mergeCell ref="F1849:H1850"/>
    <mergeCell ref="J1851:L1851"/>
    <mergeCell ref="J1852:L1852"/>
    <mergeCell ref="J1853:L1853"/>
    <mergeCell ref="J1854:L1854"/>
    <mergeCell ref="J1855:L1855"/>
    <mergeCell ref="J1839:L1839"/>
    <mergeCell ref="J1840:L1840"/>
    <mergeCell ref="J1841:L1841"/>
    <mergeCell ref="J1842:L1842"/>
    <mergeCell ref="J1843:L1843"/>
    <mergeCell ref="J1844:L1844"/>
    <mergeCell ref="J1889:L1889"/>
    <mergeCell ref="J1890:L1890"/>
    <mergeCell ref="J1891:L1891"/>
    <mergeCell ref="J1892:L1892"/>
    <mergeCell ref="J1893:L1893"/>
    <mergeCell ref="F1898:H1899"/>
    <mergeCell ref="J1878:L1878"/>
    <mergeCell ref="J1879:L1879"/>
    <mergeCell ref="F1884:H1885"/>
    <mergeCell ref="J1886:L1886"/>
    <mergeCell ref="J1887:L1887"/>
    <mergeCell ref="J1888:L1888"/>
    <mergeCell ref="J1867:L1867"/>
    <mergeCell ref="J1868:L1868"/>
    <mergeCell ref="F1873:H1874"/>
    <mergeCell ref="J1875:L1875"/>
    <mergeCell ref="J1876:L1876"/>
    <mergeCell ref="J1877:L1877"/>
    <mergeCell ref="J1916:L1916"/>
    <mergeCell ref="J1917:L1917"/>
    <mergeCell ref="J1918:L1918"/>
    <mergeCell ref="J1919:L1919"/>
    <mergeCell ref="J1920:L1920"/>
    <mergeCell ref="J1921:L1921"/>
    <mergeCell ref="J1906:L1906"/>
    <mergeCell ref="J1907:L1907"/>
    <mergeCell ref="F1912:H1913"/>
    <mergeCell ref="J1914:L1914"/>
    <mergeCell ref="W1914:X1914"/>
    <mergeCell ref="J1915:L1915"/>
    <mergeCell ref="J1900:L1900"/>
    <mergeCell ref="J1901:L1901"/>
    <mergeCell ref="J1902:L1902"/>
    <mergeCell ref="J1903:L1903"/>
    <mergeCell ref="J1904:L1904"/>
    <mergeCell ref="J1905:L1905"/>
    <mergeCell ref="J1944:L1944"/>
    <mergeCell ref="J1945:L1945"/>
    <mergeCell ref="J1946:L1946"/>
    <mergeCell ref="J1947:L1947"/>
    <mergeCell ref="J1948:L1948"/>
    <mergeCell ref="J1949:L1949"/>
    <mergeCell ref="J1933:L1933"/>
    <mergeCell ref="J1934:L1934"/>
    <mergeCell ref="J1935:L1935"/>
    <mergeCell ref="J1936:L1936"/>
    <mergeCell ref="F1941:H1942"/>
    <mergeCell ref="J1943:L1943"/>
    <mergeCell ref="F1926:H1927"/>
    <mergeCell ref="J1928:L1928"/>
    <mergeCell ref="J1929:L1929"/>
    <mergeCell ref="J1930:L1930"/>
    <mergeCell ref="J1931:L1931"/>
    <mergeCell ref="J1932:L1932"/>
    <mergeCell ref="F1971:H1972"/>
    <mergeCell ref="J1973:L1973"/>
    <mergeCell ref="J1974:L1974"/>
    <mergeCell ref="J1975:L1975"/>
    <mergeCell ref="J1976:L1976"/>
    <mergeCell ref="J1977:L1977"/>
    <mergeCell ref="J1961:L1961"/>
    <mergeCell ref="J1962:L1962"/>
    <mergeCell ref="J1963:L1963"/>
    <mergeCell ref="J1964:L1964"/>
    <mergeCell ref="J1965:L1965"/>
    <mergeCell ref="J1966:L1966"/>
    <mergeCell ref="J1950:L1950"/>
    <mergeCell ref="J1951:L1951"/>
    <mergeCell ref="F1956:H1957"/>
    <mergeCell ref="J1958:L1958"/>
    <mergeCell ref="J1959:L1959"/>
    <mergeCell ref="J1960:L1960"/>
    <mergeCell ref="J1995:L1995"/>
    <mergeCell ref="J1996:L1996"/>
    <mergeCell ref="F2001:H2002"/>
    <mergeCell ref="J2003:L2003"/>
    <mergeCell ref="J2004:L2004"/>
    <mergeCell ref="J2005:L2005"/>
    <mergeCell ref="J1989:L1989"/>
    <mergeCell ref="J1990:L1990"/>
    <mergeCell ref="J1991:L1991"/>
    <mergeCell ref="J1992:L1992"/>
    <mergeCell ref="J1993:L1993"/>
    <mergeCell ref="J1994:L1994"/>
    <mergeCell ref="J1978:L1978"/>
    <mergeCell ref="J1979:L1979"/>
    <mergeCell ref="J1980:L1980"/>
    <mergeCell ref="J1981:L1981"/>
    <mergeCell ref="F1986:H1987"/>
    <mergeCell ref="J1988:L1988"/>
    <mergeCell ref="J2023:L2023"/>
    <mergeCell ref="J2024:L2024"/>
    <mergeCell ref="J2025:L2025"/>
    <mergeCell ref="J2026:L2026"/>
    <mergeCell ref="F2031:H2032"/>
    <mergeCell ref="J2033:L2033"/>
    <mergeCell ref="F2016:H2017"/>
    <mergeCell ref="J2018:L2018"/>
    <mergeCell ref="J2019:L2019"/>
    <mergeCell ref="J2020:L2020"/>
    <mergeCell ref="J2021:L2021"/>
    <mergeCell ref="J2022:L2022"/>
    <mergeCell ref="J2006:L2006"/>
    <mergeCell ref="J2007:L2007"/>
    <mergeCell ref="J2008:L2008"/>
    <mergeCell ref="J2009:L2009"/>
    <mergeCell ref="J2010:L2010"/>
    <mergeCell ref="J2011:L2011"/>
    <mergeCell ref="J2051:L2051"/>
    <mergeCell ref="J2052:L2052"/>
    <mergeCell ref="J2053:L2053"/>
    <mergeCell ref="J2054:L2054"/>
    <mergeCell ref="J2055:L2055"/>
    <mergeCell ref="J2056:L2056"/>
    <mergeCell ref="J2040:L2040"/>
    <mergeCell ref="J2041:L2041"/>
    <mergeCell ref="F2046:H2047"/>
    <mergeCell ref="J2048:L2048"/>
    <mergeCell ref="J2049:L2049"/>
    <mergeCell ref="J2050:L2050"/>
    <mergeCell ref="J2034:L2034"/>
    <mergeCell ref="J2035:L2035"/>
    <mergeCell ref="J2036:L2036"/>
    <mergeCell ref="J2037:L2037"/>
    <mergeCell ref="J2038:L2038"/>
    <mergeCell ref="J2039:L2039"/>
    <mergeCell ref="J2079:L2079"/>
    <mergeCell ref="J2080:L2080"/>
    <mergeCell ref="J2081:L2081"/>
    <mergeCell ref="J2082:L2082"/>
    <mergeCell ref="J2083:L2083"/>
    <mergeCell ref="J2084:L2084"/>
    <mergeCell ref="J2068:L2068"/>
    <mergeCell ref="J2069:L2069"/>
    <mergeCell ref="J2070:L2070"/>
    <mergeCell ref="J2071:L2071"/>
    <mergeCell ref="F2076:H2077"/>
    <mergeCell ref="J2078:L2078"/>
    <mergeCell ref="F2061:H2062"/>
    <mergeCell ref="J2063:L2063"/>
    <mergeCell ref="J2064:L2064"/>
    <mergeCell ref="J2065:L2065"/>
    <mergeCell ref="J2066:L2066"/>
    <mergeCell ref="J2067:L2067"/>
    <mergeCell ref="J2102:L2102"/>
    <mergeCell ref="F2107:H2108"/>
    <mergeCell ref="J2109:L2109"/>
    <mergeCell ref="J2110:L2110"/>
    <mergeCell ref="J2111:L2111"/>
    <mergeCell ref="J2112:L2112"/>
    <mergeCell ref="J2096:L2096"/>
    <mergeCell ref="J2097:L2097"/>
    <mergeCell ref="J2098:L2098"/>
    <mergeCell ref="J2099:L2099"/>
    <mergeCell ref="J2100:L2100"/>
    <mergeCell ref="J2101:L2101"/>
    <mergeCell ref="J2085:L2085"/>
    <mergeCell ref="J2086:L2086"/>
    <mergeCell ref="F2091:H2092"/>
    <mergeCell ref="J2093:L2093"/>
    <mergeCell ref="J2094:L2094"/>
    <mergeCell ref="J2095:L2095"/>
    <mergeCell ref="J2130:L2130"/>
    <mergeCell ref="J2131:L2131"/>
    <mergeCell ref="J2132:L2132"/>
    <mergeCell ref="F2137:H2138"/>
    <mergeCell ref="J2139:L2139"/>
    <mergeCell ref="J2140:L2140"/>
    <mergeCell ref="F2123:H2124"/>
    <mergeCell ref="J2125:L2125"/>
    <mergeCell ref="J2126:L2126"/>
    <mergeCell ref="J2127:L2127"/>
    <mergeCell ref="J2128:L2128"/>
    <mergeCell ref="J2129:L2129"/>
    <mergeCell ref="J2113:L2113"/>
    <mergeCell ref="J2114:L2114"/>
    <mergeCell ref="J2115:L2115"/>
    <mergeCell ref="J2116:L2116"/>
    <mergeCell ref="J2117:L2117"/>
    <mergeCell ref="J2118:L2118"/>
    <mergeCell ref="F2162:H2163"/>
    <mergeCell ref="M2163:T2163"/>
    <mergeCell ref="J2164:L2164"/>
    <mergeCell ref="J2165:L2165"/>
    <mergeCell ref="J2166:L2166"/>
    <mergeCell ref="J2167:L2167"/>
    <mergeCell ref="F2151:H2152"/>
    <mergeCell ref="J2153:L2153"/>
    <mergeCell ref="J2154:L2154"/>
    <mergeCell ref="J2155:L2155"/>
    <mergeCell ref="J2156:L2156"/>
    <mergeCell ref="J2157:L2157"/>
    <mergeCell ref="J2141:L2141"/>
    <mergeCell ref="J2142:L2142"/>
    <mergeCell ref="J2143:L2143"/>
    <mergeCell ref="J2144:L2144"/>
    <mergeCell ref="J2145:L2145"/>
    <mergeCell ref="J2146:L2146"/>
    <mergeCell ref="K2188:M2188"/>
    <mergeCell ref="K2189:M2189"/>
    <mergeCell ref="K2190:M2190"/>
    <mergeCell ref="K2191:M2191"/>
    <mergeCell ref="K2192:M2192"/>
    <mergeCell ref="F2200:H2201"/>
    <mergeCell ref="J2178:L2178"/>
    <mergeCell ref="J2179:L2179"/>
    <mergeCell ref="J2180:L2180"/>
    <mergeCell ref="J2181:L2181"/>
    <mergeCell ref="F2186:H2187"/>
    <mergeCell ref="N2187:U2187"/>
    <mergeCell ref="J2168:L2168"/>
    <mergeCell ref="J2169:L2169"/>
    <mergeCell ref="J2170:L2170"/>
    <mergeCell ref="F2175:H2176"/>
    <mergeCell ref="M2176:T2176"/>
    <mergeCell ref="J2177:L2177"/>
    <mergeCell ref="K2217:M2217"/>
    <mergeCell ref="K2218:M2218"/>
    <mergeCell ref="K2219:M2219"/>
    <mergeCell ref="K2220:M2220"/>
    <mergeCell ref="K2221:M2221"/>
    <mergeCell ref="K2222:M2222"/>
    <mergeCell ref="K2207:M2207"/>
    <mergeCell ref="K2208:M2208"/>
    <mergeCell ref="K2209:M2209"/>
    <mergeCell ref="F2214:H2215"/>
    <mergeCell ref="N2215:U2215"/>
    <mergeCell ref="K2216:M2216"/>
    <mergeCell ref="N2201:U2201"/>
    <mergeCell ref="K2202:M2202"/>
    <mergeCell ref="K2203:M2203"/>
    <mergeCell ref="K2204:M2204"/>
    <mergeCell ref="K2205:M2205"/>
    <mergeCell ref="K2206:M2206"/>
    <mergeCell ref="K2244:M2244"/>
    <mergeCell ref="K2245:M2245"/>
    <mergeCell ref="K2246:M2246"/>
    <mergeCell ref="K2247:M2247"/>
    <mergeCell ref="K2248:M2248"/>
    <mergeCell ref="K2249:M2249"/>
    <mergeCell ref="K2233:M2233"/>
    <mergeCell ref="K2234:M2234"/>
    <mergeCell ref="K2235:M2235"/>
    <mergeCell ref="K2237:M2237"/>
    <mergeCell ref="F2242:H2243"/>
    <mergeCell ref="N2243:U2243"/>
    <mergeCell ref="K2223:M2223"/>
    <mergeCell ref="F2228:H2229"/>
    <mergeCell ref="N2229:U2229"/>
    <mergeCell ref="K2230:M2230"/>
    <mergeCell ref="K2231:M2231"/>
    <mergeCell ref="K2232:M2232"/>
    <mergeCell ref="F2270:H2271"/>
    <mergeCell ref="N2271:U2271"/>
    <mergeCell ref="K2272:M2272"/>
    <mergeCell ref="K2273:M2273"/>
    <mergeCell ref="K2274:M2274"/>
    <mergeCell ref="K2275:M2275"/>
    <mergeCell ref="K2260:M2260"/>
    <mergeCell ref="K2261:M2261"/>
    <mergeCell ref="K2262:M2262"/>
    <mergeCell ref="K2263:M2263"/>
    <mergeCell ref="K2264:M2264"/>
    <mergeCell ref="K2265:M2265"/>
    <mergeCell ref="K2250:M2250"/>
    <mergeCell ref="K2251:M2251"/>
    <mergeCell ref="F2256:H2257"/>
    <mergeCell ref="N2257:U2257"/>
    <mergeCell ref="K2258:M2258"/>
    <mergeCell ref="K2259:M2259"/>
    <mergeCell ref="K2296:M2296"/>
    <mergeCell ref="K2297:M2297"/>
    <mergeCell ref="K2298:M2298"/>
    <mergeCell ref="K2299:M2299"/>
    <mergeCell ref="K2300:M2300"/>
    <mergeCell ref="K2301:M2301"/>
    <mergeCell ref="K2286:M2286"/>
    <mergeCell ref="K2287:M2287"/>
    <mergeCell ref="K2288:M2288"/>
    <mergeCell ref="K2289:M2289"/>
    <mergeCell ref="F2294:H2295"/>
    <mergeCell ref="N2295:U2295"/>
    <mergeCell ref="K2276:M2276"/>
    <mergeCell ref="K2277:M2277"/>
    <mergeCell ref="F2282:H2283"/>
    <mergeCell ref="N2283:U2283"/>
    <mergeCell ref="K2284:M2284"/>
    <mergeCell ref="K2285:M2285"/>
    <mergeCell ref="K2322:M2322"/>
    <mergeCell ref="K2323:M2323"/>
    <mergeCell ref="K2324:M2324"/>
    <mergeCell ref="K2325:M2325"/>
    <mergeCell ref="F2330:H2331"/>
    <mergeCell ref="N2331:U2331"/>
    <mergeCell ref="K2312:M2312"/>
    <mergeCell ref="K2313:M2313"/>
    <mergeCell ref="F2318:H2319"/>
    <mergeCell ref="N2319:U2319"/>
    <mergeCell ref="K2320:M2320"/>
    <mergeCell ref="K2321:M2321"/>
    <mergeCell ref="F2306:H2307"/>
    <mergeCell ref="N2307:U2307"/>
    <mergeCell ref="K2308:M2308"/>
    <mergeCell ref="K2309:M2309"/>
    <mergeCell ref="K2310:M2310"/>
    <mergeCell ref="K2311:M2311"/>
    <mergeCell ref="K2348:M2348"/>
    <mergeCell ref="K2349:M2349"/>
    <mergeCell ref="F2354:H2355"/>
    <mergeCell ref="N2355:U2355"/>
    <mergeCell ref="K2356:M2356"/>
    <mergeCell ref="K2357:M2357"/>
    <mergeCell ref="F2342:H2343"/>
    <mergeCell ref="N2343:U2343"/>
    <mergeCell ref="K2344:M2344"/>
    <mergeCell ref="K2345:M2345"/>
    <mergeCell ref="K2346:M2346"/>
    <mergeCell ref="K2347:M2347"/>
    <mergeCell ref="K2332:M2332"/>
    <mergeCell ref="K2333:M2333"/>
    <mergeCell ref="K2334:M2334"/>
    <mergeCell ref="K2335:M2335"/>
    <mergeCell ref="K2336:M2336"/>
    <mergeCell ref="K2337:M2337"/>
    <mergeCell ref="K2374:M2374"/>
    <mergeCell ref="F2379:H2380"/>
    <mergeCell ref="O2379:P2379"/>
    <mergeCell ref="N2380:U2380"/>
    <mergeCell ref="K2381:M2381"/>
    <mergeCell ref="K2382:M2382"/>
    <mergeCell ref="K2368:M2368"/>
    <mergeCell ref="K2369:M2369"/>
    <mergeCell ref="K2370:M2370"/>
    <mergeCell ref="K2371:M2371"/>
    <mergeCell ref="K2372:M2372"/>
    <mergeCell ref="K2373:M2373"/>
    <mergeCell ref="K2358:M2358"/>
    <mergeCell ref="K2359:M2359"/>
    <mergeCell ref="K2360:M2360"/>
    <mergeCell ref="F2365:H2366"/>
    <mergeCell ref="N2366:U2366"/>
    <mergeCell ref="K2367:M2367"/>
    <mergeCell ref="K2398:M2398"/>
    <mergeCell ref="K2399:M2399"/>
    <mergeCell ref="K2400:M2400"/>
    <mergeCell ref="K2401:M2401"/>
    <mergeCell ref="K2402:M2402"/>
    <mergeCell ref="K2403:M2403"/>
    <mergeCell ref="K2389:M2389"/>
    <mergeCell ref="F2394:H2395"/>
    <mergeCell ref="O2394:P2394"/>
    <mergeCell ref="N2395:U2395"/>
    <mergeCell ref="K2396:M2396"/>
    <mergeCell ref="K2397:M2397"/>
    <mergeCell ref="K2383:M2383"/>
    <mergeCell ref="K2384:M2384"/>
    <mergeCell ref="K2385:M2385"/>
    <mergeCell ref="K2386:M2386"/>
    <mergeCell ref="K2387:M2387"/>
    <mergeCell ref="K2388:M2388"/>
    <mergeCell ref="K2420:M2420"/>
    <mergeCell ref="A2424:J2425"/>
    <mergeCell ref="F2427:H2428"/>
    <mergeCell ref="O2427:P2427"/>
    <mergeCell ref="N2428:U2428"/>
    <mergeCell ref="K2429:M2429"/>
    <mergeCell ref="K2414:M2414"/>
    <mergeCell ref="K2415:M2415"/>
    <mergeCell ref="K2416:M2416"/>
    <mergeCell ref="K2417:M2417"/>
    <mergeCell ref="K2418:M2418"/>
    <mergeCell ref="K2419:M2419"/>
    <mergeCell ref="A2407:J2408"/>
    <mergeCell ref="F2410:H2411"/>
    <mergeCell ref="O2410:P2410"/>
    <mergeCell ref="N2411:U2411"/>
    <mergeCell ref="K2412:M2412"/>
    <mergeCell ref="K2413:M2413"/>
    <mergeCell ref="K2446:M2446"/>
    <mergeCell ref="K2447:M2447"/>
    <mergeCell ref="K2448:M2448"/>
    <mergeCell ref="K2449:M2449"/>
    <mergeCell ref="K2450:M2450"/>
    <mergeCell ref="K2451:M2451"/>
    <mergeCell ref="K2436:M2436"/>
    <mergeCell ref="K2437:M2437"/>
    <mergeCell ref="A2441:J2442"/>
    <mergeCell ref="F2444:H2445"/>
    <mergeCell ref="O2444:P2444"/>
    <mergeCell ref="N2445:U2445"/>
    <mergeCell ref="K2430:M2430"/>
    <mergeCell ref="K2431:M2431"/>
    <mergeCell ref="K2432:M2432"/>
    <mergeCell ref="K2433:M2433"/>
    <mergeCell ref="K2434:M2434"/>
    <mergeCell ref="K2435:M2435"/>
    <mergeCell ref="K2468:M2468"/>
    <mergeCell ref="K2469:M2469"/>
    <mergeCell ref="A2473:J2474"/>
    <mergeCell ref="F2476:H2477"/>
    <mergeCell ref="O2476:P2476"/>
    <mergeCell ref="N2477:U2477"/>
    <mergeCell ref="K2462:M2462"/>
    <mergeCell ref="K2463:M2463"/>
    <mergeCell ref="K2464:M2464"/>
    <mergeCell ref="K2465:M2465"/>
    <mergeCell ref="K2466:M2466"/>
    <mergeCell ref="K2467:M2467"/>
    <mergeCell ref="K2452:M2452"/>
    <mergeCell ref="K2453:M2453"/>
    <mergeCell ref="A2457:J2458"/>
    <mergeCell ref="F2460:H2461"/>
    <mergeCell ref="O2460:P2460"/>
    <mergeCell ref="N2461:U2461"/>
    <mergeCell ref="O2510:P2510"/>
    <mergeCell ref="N2511:U2511"/>
    <mergeCell ref="K2495:M2495"/>
    <mergeCell ref="K2496:M2496"/>
    <mergeCell ref="K2497:M2497"/>
    <mergeCell ref="K2498:M2498"/>
    <mergeCell ref="K2499:M2499"/>
    <mergeCell ref="K2500:M2500"/>
    <mergeCell ref="K2484:M2484"/>
    <mergeCell ref="K2485:M2485"/>
    <mergeCell ref="K2486:M2486"/>
    <mergeCell ref="A2490:J2491"/>
    <mergeCell ref="F2493:H2494"/>
    <mergeCell ref="O2493:P2493"/>
    <mergeCell ref="N2494:U2494"/>
    <mergeCell ref="K2478:M2478"/>
    <mergeCell ref="K2479:M2479"/>
    <mergeCell ref="K2480:M2480"/>
    <mergeCell ref="K2481:M2481"/>
    <mergeCell ref="K2482:M2482"/>
    <mergeCell ref="K2483:M2483"/>
    <mergeCell ref="K2518:M2518"/>
    <mergeCell ref="K2519:M2519"/>
    <mergeCell ref="K2520:M2520"/>
    <mergeCell ref="K2521:M2521"/>
    <mergeCell ref="A2525:J2526"/>
    <mergeCell ref="F2528:H2529"/>
    <mergeCell ref="K2512:M2512"/>
    <mergeCell ref="K2513:M2513"/>
    <mergeCell ref="K2514:M2514"/>
    <mergeCell ref="K2515:M2515"/>
    <mergeCell ref="K2516:M2516"/>
    <mergeCell ref="K2517:M2517"/>
    <mergeCell ref="K2501:M2501"/>
    <mergeCell ref="K2502:M2502"/>
    <mergeCell ref="K2503:M2503"/>
    <mergeCell ref="A2507:J2508"/>
    <mergeCell ref="F2510:H2511"/>
    <mergeCell ref="A2543:J2544"/>
    <mergeCell ref="F2546:H2547"/>
    <mergeCell ref="O2546:P2546"/>
    <mergeCell ref="N2547:U2547"/>
    <mergeCell ref="K2548:M2548"/>
    <mergeCell ref="K2549:M2549"/>
    <mergeCell ref="K2534:M2534"/>
    <mergeCell ref="K2535:M2535"/>
    <mergeCell ref="K2536:M2536"/>
    <mergeCell ref="K2537:M2537"/>
    <mergeCell ref="K2538:M2538"/>
    <mergeCell ref="K2539:M2539"/>
    <mergeCell ref="O2528:P2528"/>
    <mergeCell ref="N2529:U2529"/>
    <mergeCell ref="K2530:M2530"/>
    <mergeCell ref="K2531:M2531"/>
    <mergeCell ref="K2532:M2532"/>
    <mergeCell ref="K2533:M2533"/>
    <mergeCell ref="K2566:M2566"/>
    <mergeCell ref="K2567:M2567"/>
    <mergeCell ref="K2568:M2568"/>
    <mergeCell ref="K2569:M2569"/>
    <mergeCell ref="K2570:M2570"/>
    <mergeCell ref="K2571:M2571"/>
    <mergeCell ref="K2556:M2556"/>
    <mergeCell ref="K2557:M2557"/>
    <mergeCell ref="A2561:J2562"/>
    <mergeCell ref="F2564:H2565"/>
    <mergeCell ref="O2564:P2564"/>
    <mergeCell ref="N2565:U2565"/>
    <mergeCell ref="K2550:M2550"/>
    <mergeCell ref="K2551:M2551"/>
    <mergeCell ref="K2552:M2552"/>
    <mergeCell ref="K2553:M2553"/>
    <mergeCell ref="K2554:M2554"/>
    <mergeCell ref="K2555:M2555"/>
    <mergeCell ref="K2588:M2588"/>
    <mergeCell ref="K2589:M2589"/>
    <mergeCell ref="A2593:J2594"/>
    <mergeCell ref="F2596:H2597"/>
    <mergeCell ref="O2596:P2596"/>
    <mergeCell ref="N2597:U2597"/>
    <mergeCell ref="K2582:M2582"/>
    <mergeCell ref="K2583:M2583"/>
    <mergeCell ref="K2584:M2584"/>
    <mergeCell ref="K2585:M2585"/>
    <mergeCell ref="K2586:M2586"/>
    <mergeCell ref="K2587:M2587"/>
    <mergeCell ref="K2572:M2572"/>
    <mergeCell ref="K2573:M2573"/>
    <mergeCell ref="A2577:J2578"/>
    <mergeCell ref="F2580:H2581"/>
    <mergeCell ref="O2580:P2580"/>
    <mergeCell ref="N2581:U2581"/>
    <mergeCell ref="K2614:M2614"/>
    <mergeCell ref="K2615:M2615"/>
    <mergeCell ref="K2616:M2616"/>
    <mergeCell ref="K2617:M2617"/>
    <mergeCell ref="K2618:M2618"/>
    <mergeCell ref="K2619:M2619"/>
    <mergeCell ref="K2604:M2604"/>
    <mergeCell ref="K2605:M2605"/>
    <mergeCell ref="A2609:J2610"/>
    <mergeCell ref="F2612:H2613"/>
    <mergeCell ref="O2612:P2612"/>
    <mergeCell ref="N2613:U2613"/>
    <mergeCell ref="K2598:M2598"/>
    <mergeCell ref="K2599:M2599"/>
    <mergeCell ref="K2600:M2600"/>
    <mergeCell ref="K2601:M2601"/>
    <mergeCell ref="K2602:M2602"/>
    <mergeCell ref="K2603:M2603"/>
    <mergeCell ref="A2639:J2640"/>
    <mergeCell ref="F2642:H2643"/>
    <mergeCell ref="O2642:P2642"/>
    <mergeCell ref="N2643:U2643"/>
    <mergeCell ref="K2644:M2644"/>
    <mergeCell ref="K2645:M2645"/>
    <mergeCell ref="K2630:M2630"/>
    <mergeCell ref="K2631:M2631"/>
    <mergeCell ref="K2632:M2632"/>
    <mergeCell ref="K2633:M2633"/>
    <mergeCell ref="K2634:M2634"/>
    <mergeCell ref="K2635:M2635"/>
    <mergeCell ref="K2620:M2620"/>
    <mergeCell ref="K2621:M2621"/>
    <mergeCell ref="A2625:J2626"/>
    <mergeCell ref="F2628:H2629"/>
    <mergeCell ref="O2628:P2628"/>
    <mergeCell ref="N2629:U2629"/>
    <mergeCell ref="K2662:M2662"/>
    <mergeCell ref="A2666:J2667"/>
    <mergeCell ref="F2669:H2670"/>
    <mergeCell ref="O2669:P2669"/>
    <mergeCell ref="N2670:U2670"/>
    <mergeCell ref="K2671:M2671"/>
    <mergeCell ref="O2656:P2656"/>
    <mergeCell ref="N2657:U2657"/>
    <mergeCell ref="K2658:M2658"/>
    <mergeCell ref="K2659:M2659"/>
    <mergeCell ref="K2660:M2660"/>
    <mergeCell ref="K2661:M2661"/>
    <mergeCell ref="K2646:M2646"/>
    <mergeCell ref="K2647:M2647"/>
    <mergeCell ref="K2648:M2648"/>
    <mergeCell ref="K2649:M2649"/>
    <mergeCell ref="A2653:J2654"/>
    <mergeCell ref="F2656:H2657"/>
    <mergeCell ref="K2689:M2689"/>
    <mergeCell ref="K2690:M2690"/>
    <mergeCell ref="K2691:M2691"/>
    <mergeCell ref="K2692:M2692"/>
    <mergeCell ref="K2693:M2693"/>
    <mergeCell ref="K2694:M2694"/>
    <mergeCell ref="K2678:M2678"/>
    <mergeCell ref="K2679:M2679"/>
    <mergeCell ref="K2680:M2680"/>
    <mergeCell ref="A2684:J2685"/>
    <mergeCell ref="F2687:H2688"/>
    <mergeCell ref="O2687:P2687"/>
    <mergeCell ref="N2688:U2688"/>
    <mergeCell ref="K2672:M2672"/>
    <mergeCell ref="K2673:M2673"/>
    <mergeCell ref="K2674:M2674"/>
    <mergeCell ref="K2675:M2675"/>
    <mergeCell ref="K2676:M2676"/>
    <mergeCell ref="K2677:M2677"/>
    <mergeCell ref="K2711:M2711"/>
    <mergeCell ref="K2712:M2712"/>
    <mergeCell ref="K2713:M2713"/>
    <mergeCell ref="K2714:M2714"/>
    <mergeCell ref="K2715:M2715"/>
    <mergeCell ref="K2716:M2716"/>
    <mergeCell ref="K2701:M2701"/>
    <mergeCell ref="A2705:J2706"/>
    <mergeCell ref="F2708:H2709"/>
    <mergeCell ref="O2708:P2708"/>
    <mergeCell ref="N2709:U2709"/>
    <mergeCell ref="K2710:M2710"/>
    <mergeCell ref="K2695:M2695"/>
    <mergeCell ref="K2696:M2696"/>
    <mergeCell ref="K2697:M2697"/>
    <mergeCell ref="K2698:M2698"/>
    <mergeCell ref="K2699:M2699"/>
    <mergeCell ref="K2700:M2700"/>
    <mergeCell ref="K2733:M2733"/>
    <mergeCell ref="K2734:M2734"/>
    <mergeCell ref="K2735:M2735"/>
    <mergeCell ref="K2736:M2736"/>
    <mergeCell ref="K2737:M2737"/>
    <mergeCell ref="A2741:J2742"/>
    <mergeCell ref="A2726:J2727"/>
    <mergeCell ref="F2729:H2730"/>
    <mergeCell ref="O2729:P2729"/>
    <mergeCell ref="N2730:U2730"/>
    <mergeCell ref="K2731:M2731"/>
    <mergeCell ref="K2732:M2732"/>
    <mergeCell ref="K2717:M2717"/>
    <mergeCell ref="K2718:M2718"/>
    <mergeCell ref="K2719:M2719"/>
    <mergeCell ref="K2720:M2720"/>
    <mergeCell ref="K2721:M2721"/>
    <mergeCell ref="K2722:M2722"/>
    <mergeCell ref="F2760:H2761"/>
    <mergeCell ref="O2760:P2760"/>
    <mergeCell ref="N2761:U2761"/>
    <mergeCell ref="K2762:M2762"/>
    <mergeCell ref="K2763:M2763"/>
    <mergeCell ref="K2764:M2764"/>
    <mergeCell ref="K2749:M2749"/>
    <mergeCell ref="K2750:M2750"/>
    <mergeCell ref="K2751:M2751"/>
    <mergeCell ref="K2752:M2752"/>
    <mergeCell ref="K2753:M2753"/>
    <mergeCell ref="A2757:J2758"/>
    <mergeCell ref="F2744:H2745"/>
    <mergeCell ref="O2744:P2744"/>
    <mergeCell ref="N2745:U2745"/>
    <mergeCell ref="K2746:M2746"/>
    <mergeCell ref="K2747:M2747"/>
    <mergeCell ref="K2748:M2748"/>
    <mergeCell ref="K2781:M2781"/>
    <mergeCell ref="K2782:M2782"/>
    <mergeCell ref="K2783:M2783"/>
    <mergeCell ref="K2784:M2784"/>
    <mergeCell ref="A2788:J2789"/>
    <mergeCell ref="F2791:H2792"/>
    <mergeCell ref="F2776:H2777"/>
    <mergeCell ref="O2776:P2776"/>
    <mergeCell ref="N2777:U2777"/>
    <mergeCell ref="K2778:M2778"/>
    <mergeCell ref="K2779:M2779"/>
    <mergeCell ref="K2780:M2780"/>
    <mergeCell ref="K2765:M2765"/>
    <mergeCell ref="K2766:M2766"/>
    <mergeCell ref="K2767:M2767"/>
    <mergeCell ref="K2768:M2768"/>
    <mergeCell ref="K2769:M2769"/>
    <mergeCell ref="A2773:J2774"/>
    <mergeCell ref="K2808:M2808"/>
    <mergeCell ref="K2809:M2809"/>
    <mergeCell ref="K2810:M2810"/>
    <mergeCell ref="K2811:M2811"/>
    <mergeCell ref="K2812:M2812"/>
    <mergeCell ref="K2813:M2813"/>
    <mergeCell ref="K2797:M2797"/>
    <mergeCell ref="K2798:M2798"/>
    <mergeCell ref="K2799:M2799"/>
    <mergeCell ref="A2803:J2804"/>
    <mergeCell ref="F2806:H2807"/>
    <mergeCell ref="O2806:P2806"/>
    <mergeCell ref="N2807:U2807"/>
    <mergeCell ref="O2791:P2791"/>
    <mergeCell ref="N2792:U2792"/>
    <mergeCell ref="K2793:M2793"/>
    <mergeCell ref="K2794:M2794"/>
    <mergeCell ref="K2795:M2795"/>
    <mergeCell ref="K2796:M2796"/>
    <mergeCell ref="O2835:P2835"/>
    <mergeCell ref="N2836:U2836"/>
    <mergeCell ref="K2837:M2837"/>
    <mergeCell ref="K2838:M2838"/>
    <mergeCell ref="K2839:M2839"/>
    <mergeCell ref="K2840:M2840"/>
    <mergeCell ref="K2824:M2824"/>
    <mergeCell ref="K2825:M2825"/>
    <mergeCell ref="K2826:M2826"/>
    <mergeCell ref="K2827:M2827"/>
    <mergeCell ref="A2831:J2833"/>
    <mergeCell ref="F2835:H2836"/>
    <mergeCell ref="A2817:J2818"/>
    <mergeCell ref="F2820:H2821"/>
    <mergeCell ref="O2820:P2820"/>
    <mergeCell ref="N2821:U2821"/>
    <mergeCell ref="K2822:M2822"/>
    <mergeCell ref="K2823:M2823"/>
    <mergeCell ref="F2864:H2865"/>
    <mergeCell ref="O2864:P2864"/>
    <mergeCell ref="N2865:U2865"/>
    <mergeCell ref="K2866:M2866"/>
    <mergeCell ref="K2867:M2867"/>
    <mergeCell ref="K2868:M2868"/>
    <mergeCell ref="K2852:M2852"/>
    <mergeCell ref="K2853:M2853"/>
    <mergeCell ref="K2854:M2854"/>
    <mergeCell ref="K2855:M2855"/>
    <mergeCell ref="K2856:M2856"/>
    <mergeCell ref="A2860:J2862"/>
    <mergeCell ref="K2841:M2841"/>
    <mergeCell ref="K2842:M2842"/>
    <mergeCell ref="A2846:J2848"/>
    <mergeCell ref="F2850:H2851"/>
    <mergeCell ref="O2850:P2850"/>
    <mergeCell ref="N2851:U2851"/>
    <mergeCell ref="K2886:M2886"/>
    <mergeCell ref="K2887:M2887"/>
    <mergeCell ref="K2888:M2888"/>
    <mergeCell ref="K2889:M2889"/>
    <mergeCell ref="K2890:M2890"/>
    <mergeCell ref="A2894:J2896"/>
    <mergeCell ref="K2880:M2880"/>
    <mergeCell ref="K2881:M2881"/>
    <mergeCell ref="K2882:M2882"/>
    <mergeCell ref="K2883:M2883"/>
    <mergeCell ref="K2884:M2884"/>
    <mergeCell ref="K2885:M2885"/>
    <mergeCell ref="K2869:M2869"/>
    <mergeCell ref="K2870:M2870"/>
    <mergeCell ref="A2874:J2876"/>
    <mergeCell ref="F2878:H2879"/>
    <mergeCell ref="O2878:P2878"/>
    <mergeCell ref="N2879:U2879"/>
    <mergeCell ref="K2915:M2915"/>
    <mergeCell ref="K2916:L2916"/>
    <mergeCell ref="K2917:L2917"/>
    <mergeCell ref="K2918:L2918"/>
    <mergeCell ref="K2919:L2919"/>
    <mergeCell ref="K2920:L2920"/>
    <mergeCell ref="K2903:M2903"/>
    <mergeCell ref="K2904:M2904"/>
    <mergeCell ref="K2905:M2905"/>
    <mergeCell ref="A2909:J2911"/>
    <mergeCell ref="F2913:H2914"/>
    <mergeCell ref="O2913:P2913"/>
    <mergeCell ref="N2914:U2914"/>
    <mergeCell ref="F2898:H2899"/>
    <mergeCell ref="O2898:P2898"/>
    <mergeCell ref="N2899:U2899"/>
    <mergeCell ref="K2900:M2900"/>
    <mergeCell ref="K2901:M2901"/>
    <mergeCell ref="K2902:M2902"/>
    <mergeCell ref="A2941:J2943"/>
    <mergeCell ref="F2945:H2946"/>
    <mergeCell ref="O2945:P2945"/>
    <mergeCell ref="N2946:U2946"/>
    <mergeCell ref="K2947:M2947"/>
    <mergeCell ref="K2948:M2948"/>
    <mergeCell ref="K2932:M2932"/>
    <mergeCell ref="K2933:M2933"/>
    <mergeCell ref="K2934:M2934"/>
    <mergeCell ref="K2935:M2935"/>
    <mergeCell ref="K2936:L2936"/>
    <mergeCell ref="K2937:M2937"/>
    <mergeCell ref="K2921:M2921"/>
    <mergeCell ref="A2925:J2927"/>
    <mergeCell ref="F2929:H2930"/>
    <mergeCell ref="O2929:P2929"/>
    <mergeCell ref="N2930:U2930"/>
    <mergeCell ref="K2931:M2931"/>
    <mergeCell ref="K2966:M2966"/>
    <mergeCell ref="K2967:M2967"/>
    <mergeCell ref="K2968:M2968"/>
    <mergeCell ref="K2969:M2969"/>
    <mergeCell ref="A2973:J2975"/>
    <mergeCell ref="F2977:H2978"/>
    <mergeCell ref="F2961:H2962"/>
    <mergeCell ref="O2961:P2961"/>
    <mergeCell ref="N2962:U2962"/>
    <mergeCell ref="K2963:M2963"/>
    <mergeCell ref="K2964:M2964"/>
    <mergeCell ref="K2965:M2965"/>
    <mergeCell ref="K2949:M2949"/>
    <mergeCell ref="K2950:M2950"/>
    <mergeCell ref="K2951:M2951"/>
    <mergeCell ref="K2952:M2952"/>
    <mergeCell ref="K2953:M2953"/>
    <mergeCell ref="A2957:J2959"/>
    <mergeCell ref="K2994:M2994"/>
    <mergeCell ref="K2995:M2995"/>
    <mergeCell ref="K2996:M2996"/>
    <mergeCell ref="K2997:M2997"/>
    <mergeCell ref="K2998:M2998"/>
    <mergeCell ref="K2999:M2999"/>
    <mergeCell ref="K2983:M2983"/>
    <mergeCell ref="K2984:M2984"/>
    <mergeCell ref="A2988:J2990"/>
    <mergeCell ref="F2992:H2993"/>
    <mergeCell ref="O2992:P2992"/>
    <mergeCell ref="N2993:U2993"/>
    <mergeCell ref="O2977:P2977"/>
    <mergeCell ref="N2978:U2978"/>
    <mergeCell ref="K2979:M2979"/>
    <mergeCell ref="K2980:M2980"/>
    <mergeCell ref="K2981:M2981"/>
    <mergeCell ref="K2982:M2982"/>
    <mergeCell ref="K3023:M3023"/>
    <mergeCell ref="K3024:M3024"/>
    <mergeCell ref="K3025:M3025"/>
    <mergeCell ref="K3026:M3026"/>
    <mergeCell ref="A3030:J3032"/>
    <mergeCell ref="F3034:H3035"/>
    <mergeCell ref="K3011:M3011"/>
    <mergeCell ref="K3012:M3012"/>
    <mergeCell ref="K3013:M3013"/>
    <mergeCell ref="A3017:J3019"/>
    <mergeCell ref="F3021:H3022"/>
    <mergeCell ref="O3021:P3021"/>
    <mergeCell ref="N3022:U3022"/>
    <mergeCell ref="A3003:J3005"/>
    <mergeCell ref="F3007:H3008"/>
    <mergeCell ref="O3007:P3007"/>
    <mergeCell ref="N3008:U3008"/>
    <mergeCell ref="K3009:M3009"/>
    <mergeCell ref="K3010:M3010"/>
    <mergeCell ref="K3051:M3051"/>
    <mergeCell ref="K3052:M3052"/>
    <mergeCell ref="A3056:J3058"/>
    <mergeCell ref="F3060:H3061"/>
    <mergeCell ref="O3060:P3060"/>
    <mergeCell ref="N3061:U3061"/>
    <mergeCell ref="A3043:J3045"/>
    <mergeCell ref="F3047:H3048"/>
    <mergeCell ref="O3047:P3047"/>
    <mergeCell ref="N3048:U3048"/>
    <mergeCell ref="K3049:M3049"/>
    <mergeCell ref="K3050:M3050"/>
    <mergeCell ref="O3034:P3034"/>
    <mergeCell ref="N3035:U3035"/>
    <mergeCell ref="K3036:M3036"/>
    <mergeCell ref="K3037:M3037"/>
    <mergeCell ref="K3038:M3038"/>
    <mergeCell ref="K3039:M3039"/>
    <mergeCell ref="A3082:J3084"/>
    <mergeCell ref="F3086:H3087"/>
    <mergeCell ref="O3086:P3086"/>
    <mergeCell ref="N3087:U3087"/>
    <mergeCell ref="K3088:M3088"/>
    <mergeCell ref="K3089:M3089"/>
    <mergeCell ref="O3073:P3073"/>
    <mergeCell ref="N3074:U3074"/>
    <mergeCell ref="K3075:M3075"/>
    <mergeCell ref="K3076:M3076"/>
    <mergeCell ref="K3077:M3077"/>
    <mergeCell ref="K3078:M3078"/>
    <mergeCell ref="K3062:M3062"/>
    <mergeCell ref="K3063:M3063"/>
    <mergeCell ref="K3064:M3064"/>
    <mergeCell ref="K3065:M3065"/>
    <mergeCell ref="A3069:J3071"/>
    <mergeCell ref="F3073:H3074"/>
    <mergeCell ref="O3112:P3112"/>
    <mergeCell ref="N3113:U3113"/>
    <mergeCell ref="K3114:M3114"/>
    <mergeCell ref="K3115:M3115"/>
    <mergeCell ref="K3116:M3116"/>
    <mergeCell ref="K3117:M3117"/>
    <mergeCell ref="K3101:M3101"/>
    <mergeCell ref="K3102:M3102"/>
    <mergeCell ref="K3103:M3103"/>
    <mergeCell ref="K3104:M3104"/>
    <mergeCell ref="A3108:J3110"/>
    <mergeCell ref="F3112:H3113"/>
    <mergeCell ref="K3090:M3090"/>
    <mergeCell ref="K3091:M3091"/>
    <mergeCell ref="A3095:J3097"/>
    <mergeCell ref="F3099:H3100"/>
    <mergeCell ref="O3099:P3099"/>
    <mergeCell ref="N3100:U3100"/>
    <mergeCell ref="K3140:M3140"/>
    <mergeCell ref="K3141:M3141"/>
    <mergeCell ref="K3142:M3142"/>
    <mergeCell ref="K3143:M3143"/>
    <mergeCell ref="K3144:M3144"/>
    <mergeCell ref="K3145:M3145"/>
    <mergeCell ref="K3129:M3129"/>
    <mergeCell ref="K3130:M3130"/>
    <mergeCell ref="A3134:J3136"/>
    <mergeCell ref="F3138:H3139"/>
    <mergeCell ref="O3138:P3138"/>
    <mergeCell ref="N3139:U3139"/>
    <mergeCell ref="A3121:J3123"/>
    <mergeCell ref="F3125:H3126"/>
    <mergeCell ref="O3125:P3125"/>
    <mergeCell ref="N3126:U3126"/>
    <mergeCell ref="K3127:M3127"/>
    <mergeCell ref="K3128:M3128"/>
    <mergeCell ref="K3161:L3161"/>
    <mergeCell ref="K3162:L3162"/>
    <mergeCell ref="K3163:L3163"/>
    <mergeCell ref="K3164:L3164"/>
    <mergeCell ref="K3165:L3165"/>
    <mergeCell ref="K3166:L3166"/>
    <mergeCell ref="X3156:Y3156"/>
    <mergeCell ref="Z3156:AA3156"/>
    <mergeCell ref="K3157:M3157"/>
    <mergeCell ref="K3158:L3158"/>
    <mergeCell ref="K3159:L3159"/>
    <mergeCell ref="K3160:L3160"/>
    <mergeCell ref="K3146:M3146"/>
    <mergeCell ref="K3147:M3147"/>
    <mergeCell ref="A3151:J3153"/>
    <mergeCell ref="F3155:H3156"/>
    <mergeCell ref="O3155:P3155"/>
    <mergeCell ref="N3156:U3156"/>
    <mergeCell ref="K3183:L3183"/>
    <mergeCell ref="K3184:L3184"/>
    <mergeCell ref="K3185:L3185"/>
    <mergeCell ref="K3186:L3186"/>
    <mergeCell ref="A3190:J3192"/>
    <mergeCell ref="F3194:H3195"/>
    <mergeCell ref="Z3177:AA3177"/>
    <mergeCell ref="K3178:M3178"/>
    <mergeCell ref="K3179:L3179"/>
    <mergeCell ref="K3180:L3180"/>
    <mergeCell ref="K3181:L3181"/>
    <mergeCell ref="K3182:L3182"/>
    <mergeCell ref="K3167:L3167"/>
    <mergeCell ref="A3171:J3173"/>
    <mergeCell ref="F3176:H3177"/>
    <mergeCell ref="O3176:P3176"/>
    <mergeCell ref="N3177:U3177"/>
    <mergeCell ref="X3177:Y3177"/>
    <mergeCell ref="K3204:L3204"/>
    <mergeCell ref="A3208:J3210"/>
    <mergeCell ref="F3213:H3214"/>
    <mergeCell ref="O3213:P3213"/>
    <mergeCell ref="N3214:U3214"/>
    <mergeCell ref="X3214:Y3214"/>
    <mergeCell ref="K3198:L3198"/>
    <mergeCell ref="K3199:L3199"/>
    <mergeCell ref="K3200:L3200"/>
    <mergeCell ref="K3201:L3201"/>
    <mergeCell ref="K3202:L3202"/>
    <mergeCell ref="K3203:L3203"/>
    <mergeCell ref="O3194:P3194"/>
    <mergeCell ref="N3195:U3195"/>
    <mergeCell ref="X3195:Y3195"/>
    <mergeCell ref="Z3195:AA3195"/>
    <mergeCell ref="K3196:M3196"/>
    <mergeCell ref="K3197:L3197"/>
    <mergeCell ref="F3233:H3234"/>
    <mergeCell ref="O3233:P3233"/>
    <mergeCell ref="N3234:U3234"/>
    <mergeCell ref="X3234:Y3234"/>
    <mergeCell ref="Z3234:AA3234"/>
    <mergeCell ref="K3235:M3235"/>
    <mergeCell ref="K3220:L3220"/>
    <mergeCell ref="K3221:L3221"/>
    <mergeCell ref="K3222:L3222"/>
    <mergeCell ref="K3223:L3223"/>
    <mergeCell ref="K3224:L3224"/>
    <mergeCell ref="A3228:J3230"/>
    <mergeCell ref="Z3214:AA3214"/>
    <mergeCell ref="K3215:M3215"/>
    <mergeCell ref="K3216:L3216"/>
    <mergeCell ref="K3217:L3217"/>
    <mergeCell ref="K3218:L3218"/>
    <mergeCell ref="K3219:L3219"/>
    <mergeCell ref="K3254:L3254"/>
    <mergeCell ref="A3258:J3260"/>
    <mergeCell ref="F3263:H3264"/>
    <mergeCell ref="O3263:P3263"/>
    <mergeCell ref="N3264:U3264"/>
    <mergeCell ref="K3265:M3265"/>
    <mergeCell ref="O3248:P3248"/>
    <mergeCell ref="N3249:U3249"/>
    <mergeCell ref="K3250:M3250"/>
    <mergeCell ref="K3251:L3251"/>
    <mergeCell ref="K3252:L3252"/>
    <mergeCell ref="K3253:L3253"/>
    <mergeCell ref="K3236:L3236"/>
    <mergeCell ref="K3237:L3237"/>
    <mergeCell ref="K3238:L3238"/>
    <mergeCell ref="K3239:L3239"/>
    <mergeCell ref="A3243:J3245"/>
    <mergeCell ref="F3248:H3249"/>
    <mergeCell ref="K3284:L3284"/>
    <mergeCell ref="A3288:J3290"/>
    <mergeCell ref="F3293:H3294"/>
    <mergeCell ref="O3293:P3293"/>
    <mergeCell ref="N3294:U3294"/>
    <mergeCell ref="K3295:M3295"/>
    <mergeCell ref="O3278:P3278"/>
    <mergeCell ref="N3279:U3279"/>
    <mergeCell ref="K3280:M3280"/>
    <mergeCell ref="K3281:L3281"/>
    <mergeCell ref="K3282:L3282"/>
    <mergeCell ref="K3283:L3283"/>
    <mergeCell ref="K3266:L3266"/>
    <mergeCell ref="K3267:L3267"/>
    <mergeCell ref="K3268:L3268"/>
    <mergeCell ref="K3269:L3269"/>
    <mergeCell ref="A3273:J3275"/>
    <mergeCell ref="F3278:H3279"/>
    <mergeCell ref="K3329:L3329"/>
    <mergeCell ref="A3333:J3335"/>
    <mergeCell ref="F3338:H3339"/>
    <mergeCell ref="K3314:L3314"/>
    <mergeCell ref="A3318:J3320"/>
    <mergeCell ref="F3323:H3324"/>
    <mergeCell ref="O3323:P3323"/>
    <mergeCell ref="N3324:U3324"/>
    <mergeCell ref="K3325:M3325"/>
    <mergeCell ref="O3308:P3308"/>
    <mergeCell ref="N3309:U3309"/>
    <mergeCell ref="K3310:M3310"/>
    <mergeCell ref="K3311:L3311"/>
    <mergeCell ref="K3312:L3312"/>
    <mergeCell ref="K3313:L3313"/>
    <mergeCell ref="K3296:L3296"/>
    <mergeCell ref="K3297:L3297"/>
    <mergeCell ref="K3298:L3298"/>
    <mergeCell ref="K3299:L3299"/>
    <mergeCell ref="A3303:J3305"/>
    <mergeCell ref="F3308:H3309"/>
    <mergeCell ref="K3374:L3374"/>
    <mergeCell ref="A3378:J3380"/>
    <mergeCell ref="AL615:AM615"/>
    <mergeCell ref="AU630:AV630"/>
    <mergeCell ref="AG630:AH630"/>
    <mergeCell ref="O3368:P3368"/>
    <mergeCell ref="N3369:U3369"/>
    <mergeCell ref="K3370:M3370"/>
    <mergeCell ref="K3371:L3371"/>
    <mergeCell ref="K3372:L3372"/>
    <mergeCell ref="K3373:L3373"/>
    <mergeCell ref="K3356:L3356"/>
    <mergeCell ref="K3357:L3357"/>
    <mergeCell ref="K3358:L3358"/>
    <mergeCell ref="K3359:L3359"/>
    <mergeCell ref="A3363:J3365"/>
    <mergeCell ref="F3368:H3369"/>
    <mergeCell ref="K3344:L3344"/>
    <mergeCell ref="A3348:J3350"/>
    <mergeCell ref="F3353:H3354"/>
    <mergeCell ref="O3353:P3353"/>
    <mergeCell ref="N3354:U3354"/>
    <mergeCell ref="K3355:M3355"/>
    <mergeCell ref="O3338:P3338"/>
    <mergeCell ref="N3339:U3339"/>
    <mergeCell ref="K3340:M3340"/>
    <mergeCell ref="K3341:L3341"/>
    <mergeCell ref="K3342:L3342"/>
    <mergeCell ref="K3343:L3343"/>
    <mergeCell ref="K3326:L3326"/>
    <mergeCell ref="K3327:L3327"/>
    <mergeCell ref="K3328:L3328"/>
  </mergeCells>
  <conditionalFormatting sqref="D2428:D2429">
    <cfRule type="cellIs" dxfId="803" priority="1275" operator="greaterThan">
      <formula>1</formula>
    </cfRule>
    <cfRule type="cellIs" dxfId="802" priority="1276" operator="lessThan">
      <formula>-1</formula>
    </cfRule>
  </conditionalFormatting>
  <conditionalFormatting sqref="D2445:D2446">
    <cfRule type="cellIs" dxfId="801" priority="1277" operator="greaterThan">
      <formula>1</formula>
    </cfRule>
    <cfRule type="cellIs" dxfId="800" priority="1278" operator="lessThan">
      <formula>-1</formula>
    </cfRule>
  </conditionalFormatting>
  <conditionalFormatting sqref="D2461:D2462">
    <cfRule type="cellIs" dxfId="799" priority="1273" operator="greaterThan">
      <formula>1</formula>
    </cfRule>
    <cfRule type="cellIs" dxfId="798" priority="1274" operator="lessThan">
      <formula>-1</formula>
    </cfRule>
  </conditionalFormatting>
  <conditionalFormatting sqref="D2477:D2478">
    <cfRule type="cellIs" dxfId="797" priority="1258" operator="greaterThan">
      <formula>1</formula>
    </cfRule>
    <cfRule type="cellIs" dxfId="796" priority="1259" operator="lessThan">
      <formula>-1</formula>
    </cfRule>
  </conditionalFormatting>
  <conditionalFormatting sqref="D2494:D2495">
    <cfRule type="cellIs" dxfId="795" priority="1249" operator="greaterThan">
      <formula>1</formula>
    </cfRule>
    <cfRule type="cellIs" dxfId="794" priority="1250" operator="lessThan">
      <formula>-1</formula>
    </cfRule>
  </conditionalFormatting>
  <conditionalFormatting sqref="D2511:D2512">
    <cfRule type="cellIs" dxfId="793" priority="1241" operator="greaterThan">
      <formula>1</formula>
    </cfRule>
    <cfRule type="cellIs" dxfId="792" priority="1242" operator="lessThan">
      <formula>-1</formula>
    </cfRule>
  </conditionalFormatting>
  <conditionalFormatting sqref="D2529:D2530">
    <cfRule type="cellIs" dxfId="791" priority="1231" operator="greaterThan">
      <formula>1</formula>
    </cfRule>
    <cfRule type="cellIs" dxfId="790" priority="1232" operator="lessThan">
      <formula>-1</formula>
    </cfRule>
  </conditionalFormatting>
  <conditionalFormatting sqref="D2547:D2548">
    <cfRule type="cellIs" dxfId="789" priority="1221" operator="greaterThan">
      <formula>1</formula>
    </cfRule>
    <cfRule type="cellIs" dxfId="788" priority="1222" operator="lessThan">
      <formula>-1</formula>
    </cfRule>
  </conditionalFormatting>
  <conditionalFormatting sqref="D2565:D2566">
    <cfRule type="cellIs" dxfId="787" priority="1200" operator="greaterThan">
      <formula>1</formula>
    </cfRule>
    <cfRule type="cellIs" dxfId="786" priority="1201" operator="lessThan">
      <formula>-1</formula>
    </cfRule>
  </conditionalFormatting>
  <conditionalFormatting sqref="D2581:D2582">
    <cfRule type="cellIs" dxfId="785" priority="1184" operator="greaterThan">
      <formula>1</formula>
    </cfRule>
    <cfRule type="cellIs" dxfId="784" priority="1185" operator="lessThan">
      <formula>-1</formula>
    </cfRule>
  </conditionalFormatting>
  <conditionalFormatting sqref="D2597:D2598">
    <cfRule type="cellIs" dxfId="783" priority="1173" operator="greaterThan">
      <formula>1</formula>
    </cfRule>
    <cfRule type="cellIs" dxfId="782" priority="1174" operator="lessThan">
      <formula>-1</formula>
    </cfRule>
  </conditionalFormatting>
  <conditionalFormatting sqref="D2613:D2614">
    <cfRule type="cellIs" dxfId="781" priority="1145" operator="greaterThan">
      <formula>1</formula>
    </cfRule>
    <cfRule type="cellIs" dxfId="780" priority="1146" operator="lessThan">
      <formula>-1</formula>
    </cfRule>
  </conditionalFormatting>
  <conditionalFormatting sqref="D2629:D2631">
    <cfRule type="cellIs" dxfId="779" priority="1128" operator="greaterThan">
      <formula>1</formula>
    </cfRule>
    <cfRule type="cellIs" dxfId="778" priority="1129" operator="lessThan">
      <formula>-1</formula>
    </cfRule>
  </conditionalFormatting>
  <conditionalFormatting sqref="D2633 D2635">
    <cfRule type="cellIs" dxfId="777" priority="1098" operator="greaterThan">
      <formula>1</formula>
    </cfRule>
    <cfRule type="cellIs" dxfId="776" priority="1099" operator="lessThan">
      <formula>-1</formula>
    </cfRule>
  </conditionalFormatting>
  <conditionalFormatting sqref="D2643:D2645">
    <cfRule type="cellIs" dxfId="775" priority="1110" operator="greaterThan">
      <formula>1</formula>
    </cfRule>
    <cfRule type="cellIs" dxfId="774" priority="1111" operator="lessThan">
      <formula>-1</formula>
    </cfRule>
  </conditionalFormatting>
  <conditionalFormatting sqref="D2647 D2649">
    <cfRule type="cellIs" dxfId="773" priority="1096" operator="greaterThan">
      <formula>1</formula>
    </cfRule>
    <cfRule type="cellIs" dxfId="772" priority="1097" operator="lessThan">
      <formula>-1</formula>
    </cfRule>
  </conditionalFormatting>
  <conditionalFormatting sqref="D2657:D2658">
    <cfRule type="cellIs" dxfId="771" priority="1037" operator="greaterThan">
      <formula>1</formula>
    </cfRule>
    <cfRule type="cellIs" dxfId="770" priority="1038" operator="lessThan">
      <formula>-1</formula>
    </cfRule>
  </conditionalFormatting>
  <conditionalFormatting sqref="D2670:D2671">
    <cfRule type="cellIs" dxfId="769" priority="1015" operator="greaterThan">
      <formula>1</formula>
    </cfRule>
    <cfRule type="cellIs" dxfId="768" priority="1016" operator="lessThan">
      <formula>-1</formula>
    </cfRule>
  </conditionalFormatting>
  <conditionalFormatting sqref="D2688:D2689">
    <cfRule type="cellIs" dxfId="767" priority="987" operator="greaterThan">
      <formula>1</formula>
    </cfRule>
    <cfRule type="cellIs" dxfId="766" priority="988" operator="lessThan">
      <formula>-1</formula>
    </cfRule>
  </conditionalFormatting>
  <conditionalFormatting sqref="D2709:D2710">
    <cfRule type="cellIs" dxfId="765" priority="955" operator="greaterThan">
      <formula>1</formula>
    </cfRule>
    <cfRule type="cellIs" dxfId="764" priority="956" operator="lessThan">
      <formula>-1</formula>
    </cfRule>
  </conditionalFormatting>
  <conditionalFormatting sqref="D2730:D2731">
    <cfRule type="cellIs" dxfId="763" priority="938" operator="greaterThan">
      <formula>1</formula>
    </cfRule>
    <cfRule type="cellIs" dxfId="762" priority="939" operator="lessThan">
      <formula>-1</formula>
    </cfRule>
  </conditionalFormatting>
  <conditionalFormatting sqref="D2745:D2746">
    <cfRule type="cellIs" dxfId="761" priority="918" operator="greaterThan">
      <formula>1</formula>
    </cfRule>
    <cfRule type="cellIs" dxfId="760" priority="919" operator="lessThan">
      <formula>-1</formula>
    </cfRule>
  </conditionalFormatting>
  <conditionalFormatting sqref="D2761:D2762">
    <cfRule type="cellIs" dxfId="759" priority="897" operator="greaterThan">
      <formula>1</formula>
    </cfRule>
    <cfRule type="cellIs" dxfId="758" priority="898" operator="lessThan">
      <formula>-1</formula>
    </cfRule>
  </conditionalFormatting>
  <conditionalFormatting sqref="D2777:D2778">
    <cfRule type="cellIs" dxfId="757" priority="878" operator="greaterThan">
      <formula>1</formula>
    </cfRule>
    <cfRule type="cellIs" dxfId="756" priority="879" operator="lessThan">
      <formula>-1</formula>
    </cfRule>
  </conditionalFormatting>
  <conditionalFormatting sqref="D2792:D2793">
    <cfRule type="cellIs" dxfId="755" priority="856" operator="greaterThan">
      <formula>1</formula>
    </cfRule>
    <cfRule type="cellIs" dxfId="754" priority="857" operator="lessThan">
      <formula>-1</formula>
    </cfRule>
  </conditionalFormatting>
  <conditionalFormatting sqref="D2807:D2808">
    <cfRule type="cellIs" dxfId="753" priority="840" operator="greaterThan">
      <formula>1</formula>
    </cfRule>
    <cfRule type="cellIs" dxfId="752" priority="841" operator="lessThan">
      <formula>-1</formula>
    </cfRule>
  </conditionalFormatting>
  <conditionalFormatting sqref="D2821:D2822">
    <cfRule type="cellIs" dxfId="751" priority="821" operator="greaterThan">
      <formula>1</formula>
    </cfRule>
    <cfRule type="cellIs" dxfId="750" priority="822" operator="lessThan">
      <formula>-1</formula>
    </cfRule>
  </conditionalFormatting>
  <conditionalFormatting sqref="D2836:D2837">
    <cfRule type="cellIs" dxfId="749" priority="795" operator="greaterThan">
      <formula>1</formula>
    </cfRule>
    <cfRule type="cellIs" dxfId="748" priority="796" operator="lessThan">
      <formula>-1</formula>
    </cfRule>
  </conditionalFormatting>
  <conditionalFormatting sqref="D2851:D2852">
    <cfRule type="cellIs" dxfId="747" priority="778" operator="greaterThan">
      <formula>1</formula>
    </cfRule>
    <cfRule type="cellIs" dxfId="746" priority="779" operator="lessThan">
      <formula>-1</formula>
    </cfRule>
  </conditionalFormatting>
  <conditionalFormatting sqref="D2865:D2866">
    <cfRule type="cellIs" dxfId="745" priority="763" operator="greaterThan">
      <formula>1</formula>
    </cfRule>
    <cfRule type="cellIs" dxfId="744" priority="764" operator="lessThan">
      <formula>-1</formula>
    </cfRule>
  </conditionalFormatting>
  <conditionalFormatting sqref="D2879:D2880">
    <cfRule type="cellIs" dxfId="743" priority="749" operator="greaterThan">
      <formula>1</formula>
    </cfRule>
    <cfRule type="cellIs" dxfId="742" priority="750" operator="lessThan">
      <formula>-1</formula>
    </cfRule>
  </conditionalFormatting>
  <conditionalFormatting sqref="D2899:D2900">
    <cfRule type="cellIs" dxfId="741" priority="737" operator="greaterThan">
      <formula>1</formula>
    </cfRule>
    <cfRule type="cellIs" dxfId="740" priority="738" operator="lessThan">
      <formula>-1</formula>
    </cfRule>
  </conditionalFormatting>
  <conditionalFormatting sqref="D2914:D2915">
    <cfRule type="cellIs" dxfId="739" priority="722" operator="greaterThan">
      <formula>1</formula>
    </cfRule>
    <cfRule type="cellIs" dxfId="738" priority="723" operator="lessThan">
      <formula>-1</formula>
    </cfRule>
  </conditionalFormatting>
  <conditionalFormatting sqref="D2930:D2931">
    <cfRule type="cellIs" dxfId="737" priority="702" operator="greaterThan">
      <formula>1</formula>
    </cfRule>
    <cfRule type="cellIs" dxfId="736" priority="703" operator="lessThan">
      <formula>-1</formula>
    </cfRule>
  </conditionalFormatting>
  <conditionalFormatting sqref="D2946:D2947">
    <cfRule type="cellIs" dxfId="735" priority="680" operator="greaterThan">
      <formula>1</formula>
    </cfRule>
    <cfRule type="cellIs" dxfId="734" priority="681" operator="lessThan">
      <formula>-1</formula>
    </cfRule>
  </conditionalFormatting>
  <conditionalFormatting sqref="D2962:D2963">
    <cfRule type="cellIs" dxfId="733" priority="649" operator="greaterThan">
      <formula>1</formula>
    </cfRule>
    <cfRule type="cellIs" dxfId="732" priority="650" operator="lessThan">
      <formula>-1</formula>
    </cfRule>
  </conditionalFormatting>
  <conditionalFormatting sqref="D2978:D2979">
    <cfRule type="cellIs" dxfId="731" priority="626" operator="greaterThan">
      <formula>1</formula>
    </cfRule>
    <cfRule type="cellIs" dxfId="730" priority="627" operator="lessThan">
      <formula>-1</formula>
    </cfRule>
  </conditionalFormatting>
  <conditionalFormatting sqref="D2993:D2994">
    <cfRule type="cellIs" dxfId="729" priority="605" operator="greaterThan">
      <formula>1</formula>
    </cfRule>
    <cfRule type="cellIs" dxfId="728" priority="606" operator="lessThan">
      <formula>-1</formula>
    </cfRule>
  </conditionalFormatting>
  <conditionalFormatting sqref="D3008:D3009">
    <cfRule type="cellIs" dxfId="727" priority="584" operator="greaterThan">
      <formula>1</formula>
    </cfRule>
    <cfRule type="cellIs" dxfId="726" priority="585" operator="lessThan">
      <formula>-1</formula>
    </cfRule>
  </conditionalFormatting>
  <conditionalFormatting sqref="D3022:D3023">
    <cfRule type="cellIs" dxfId="725" priority="566" operator="greaterThan">
      <formula>1</formula>
    </cfRule>
    <cfRule type="cellIs" dxfId="724" priority="567" operator="lessThan">
      <formula>-1</formula>
    </cfRule>
  </conditionalFormatting>
  <conditionalFormatting sqref="D3035:D3036">
    <cfRule type="cellIs" dxfId="723" priority="547" operator="greaterThan">
      <formula>1</formula>
    </cfRule>
    <cfRule type="cellIs" dxfId="722" priority="548" operator="lessThan">
      <formula>-1</formula>
    </cfRule>
  </conditionalFormatting>
  <conditionalFormatting sqref="D3048:D3049">
    <cfRule type="cellIs" dxfId="721" priority="528" operator="greaterThan">
      <formula>1</formula>
    </cfRule>
    <cfRule type="cellIs" dxfId="720" priority="529" operator="lessThan">
      <formula>-1</formula>
    </cfRule>
  </conditionalFormatting>
  <conditionalFormatting sqref="D3061:D3062">
    <cfRule type="cellIs" dxfId="719" priority="509" operator="greaterThan">
      <formula>1</formula>
    </cfRule>
    <cfRule type="cellIs" dxfId="718" priority="510" operator="lessThan">
      <formula>-1</formula>
    </cfRule>
  </conditionalFormatting>
  <conditionalFormatting sqref="D3074:D3075">
    <cfRule type="cellIs" dxfId="717" priority="490" operator="greaterThan">
      <formula>1</formula>
    </cfRule>
    <cfRule type="cellIs" dxfId="716" priority="491" operator="lessThan">
      <formula>-1</formula>
    </cfRule>
  </conditionalFormatting>
  <conditionalFormatting sqref="D3087:D3088">
    <cfRule type="cellIs" dxfId="715" priority="471" operator="greaterThan">
      <formula>1</formula>
    </cfRule>
    <cfRule type="cellIs" dxfId="714" priority="472" operator="lessThan">
      <formula>-1</formula>
    </cfRule>
  </conditionalFormatting>
  <conditionalFormatting sqref="D3100:D3101">
    <cfRule type="cellIs" dxfId="713" priority="452" operator="greaterThan">
      <formula>1</formula>
    </cfRule>
    <cfRule type="cellIs" dxfId="712" priority="453" operator="lessThan">
      <formula>-1</formula>
    </cfRule>
  </conditionalFormatting>
  <conditionalFormatting sqref="D3113:D3114">
    <cfRule type="cellIs" dxfId="711" priority="434" operator="greaterThan">
      <formula>1</formula>
    </cfRule>
    <cfRule type="cellIs" dxfId="710" priority="435" operator="lessThan">
      <formula>-1</formula>
    </cfRule>
  </conditionalFormatting>
  <conditionalFormatting sqref="D3126:D3127">
    <cfRule type="cellIs" dxfId="709" priority="415" operator="greaterThan">
      <formula>1</formula>
    </cfRule>
    <cfRule type="cellIs" dxfId="708" priority="416" operator="lessThan">
      <formula>-1</formula>
    </cfRule>
  </conditionalFormatting>
  <conditionalFormatting sqref="D3139:D3140">
    <cfRule type="cellIs" dxfId="707" priority="403" operator="greaterThan">
      <formula>1</formula>
    </cfRule>
    <cfRule type="cellIs" dxfId="706" priority="404" operator="lessThan">
      <formula>-1</formula>
    </cfRule>
  </conditionalFormatting>
  <conditionalFormatting sqref="D3156:D3157">
    <cfRule type="cellIs" dxfId="705" priority="391" operator="greaterThan">
      <formula>1</formula>
    </cfRule>
    <cfRule type="cellIs" dxfId="704" priority="392" operator="lessThan">
      <formula>-1</formula>
    </cfRule>
  </conditionalFormatting>
  <conditionalFormatting sqref="D3177:D3178">
    <cfRule type="cellIs" dxfId="703" priority="372" operator="greaterThan">
      <formula>1</formula>
    </cfRule>
    <cfRule type="cellIs" dxfId="702" priority="373" operator="lessThan">
      <formula>-1</formula>
    </cfRule>
  </conditionalFormatting>
  <conditionalFormatting sqref="D3195:D3196">
    <cfRule type="cellIs" dxfId="701" priority="347" operator="greaterThan">
      <formula>1</formula>
    </cfRule>
    <cfRule type="cellIs" dxfId="700" priority="348" operator="lessThan">
      <formula>-1</formula>
    </cfRule>
  </conditionalFormatting>
  <conditionalFormatting sqref="D3214:D3215">
    <cfRule type="cellIs" dxfId="699" priority="326" operator="greaterThan">
      <formula>1</formula>
    </cfRule>
    <cfRule type="cellIs" dxfId="698" priority="327" operator="lessThan">
      <formula>-1</formula>
    </cfRule>
  </conditionalFormatting>
  <conditionalFormatting sqref="D3234:D3235">
    <cfRule type="cellIs" dxfId="697" priority="236" operator="greaterThan">
      <formula>1</formula>
    </cfRule>
    <cfRule type="cellIs" dxfId="696" priority="237" operator="lessThan">
      <formula>-1</formula>
    </cfRule>
  </conditionalFormatting>
  <conditionalFormatting sqref="D3249:D3250">
    <cfRule type="cellIs" dxfId="695" priority="238" operator="greaterThan">
      <formula>1</formula>
    </cfRule>
    <cfRule type="cellIs" dxfId="694" priority="239" operator="lessThan">
      <formula>-1</formula>
    </cfRule>
  </conditionalFormatting>
  <conditionalFormatting sqref="D3279:D3280">
    <cfRule type="cellIs" dxfId="693" priority="177" operator="lessThan">
      <formula>-1</formula>
    </cfRule>
  </conditionalFormatting>
  <conditionalFormatting sqref="D3279:E3280">
    <cfRule type="cellIs" dxfId="692" priority="174" operator="greaterThan">
      <formula>1</formula>
    </cfRule>
  </conditionalFormatting>
  <conditionalFormatting sqref="E1823">
    <cfRule type="cellIs" dxfId="691" priority="1049" operator="greaterThan">
      <formula>1</formula>
    </cfRule>
    <cfRule type="cellIs" dxfId="690" priority="1050" operator="lessThan">
      <formula>-1</formula>
    </cfRule>
  </conditionalFormatting>
  <conditionalFormatting sqref="E1859">
    <cfRule type="cellIs" dxfId="689" priority="1052" operator="greaterThan">
      <formula>1</formula>
    </cfRule>
    <cfRule type="cellIs" dxfId="688" priority="1053" operator="lessThan">
      <formula>-1</formula>
    </cfRule>
  </conditionalFormatting>
  <conditionalFormatting sqref="E1882">
    <cfRule type="cellIs" dxfId="687" priority="1055" operator="greaterThan">
      <formula>1</formula>
    </cfRule>
    <cfRule type="cellIs" dxfId="686" priority="1056" operator="lessThan">
      <formula>-1</formula>
    </cfRule>
  </conditionalFormatting>
  <conditionalFormatting sqref="E1896">
    <cfRule type="cellIs" dxfId="685" priority="1058" operator="greaterThan">
      <formula>1</formula>
    </cfRule>
    <cfRule type="cellIs" dxfId="684" priority="1059" operator="lessThan">
      <formula>-1</formula>
    </cfRule>
  </conditionalFormatting>
  <conditionalFormatting sqref="E1910">
    <cfRule type="cellIs" dxfId="683" priority="1061" operator="greaterThan">
      <formula>1</formula>
    </cfRule>
    <cfRule type="cellIs" dxfId="682" priority="1062" operator="lessThan">
      <formula>-1</formula>
    </cfRule>
  </conditionalFormatting>
  <conditionalFormatting sqref="E1924">
    <cfRule type="cellIs" dxfId="681" priority="1064" operator="greaterThan">
      <formula>1</formula>
    </cfRule>
    <cfRule type="cellIs" dxfId="680" priority="1065" operator="lessThan">
      <formula>-1</formula>
    </cfRule>
  </conditionalFormatting>
  <conditionalFormatting sqref="E1954">
    <cfRule type="cellIs" dxfId="679" priority="1067" operator="greaterThan">
      <formula>1</formula>
    </cfRule>
    <cfRule type="cellIs" dxfId="678" priority="1068" operator="lessThan">
      <formula>-1</formula>
    </cfRule>
  </conditionalFormatting>
  <conditionalFormatting sqref="E1999">
    <cfRule type="cellIs" dxfId="677" priority="1070" operator="greaterThan">
      <formula>1</formula>
    </cfRule>
    <cfRule type="cellIs" dxfId="676" priority="1071" operator="lessThan">
      <formula>-1</formula>
    </cfRule>
  </conditionalFormatting>
  <conditionalFormatting sqref="E2044">
    <cfRule type="cellIs" dxfId="675" priority="1073" operator="greaterThan">
      <formula>1</formula>
    </cfRule>
    <cfRule type="cellIs" dxfId="674" priority="1074" operator="lessThan">
      <formula>-1</formula>
    </cfRule>
  </conditionalFormatting>
  <conditionalFormatting sqref="E2105">
    <cfRule type="cellIs" dxfId="673" priority="1076" operator="greaterThan">
      <formula>1</formula>
    </cfRule>
    <cfRule type="cellIs" dxfId="672" priority="1077" operator="lessThan">
      <formula>-1</formula>
    </cfRule>
  </conditionalFormatting>
  <conditionalFormatting sqref="E2135">
    <cfRule type="cellIs" dxfId="671" priority="1079" operator="greaterThan">
      <formula>1</formula>
    </cfRule>
    <cfRule type="cellIs" dxfId="670" priority="1080" operator="lessThan">
      <formula>-1</formula>
    </cfRule>
  </conditionalFormatting>
  <conditionalFormatting sqref="E2173">
    <cfRule type="cellIs" dxfId="669" priority="1082" operator="greaterThan">
      <formula>1</formula>
    </cfRule>
    <cfRule type="cellIs" dxfId="668" priority="1083" operator="lessThan">
      <formula>-1</formula>
    </cfRule>
  </conditionalFormatting>
  <conditionalFormatting sqref="E2184">
    <cfRule type="cellIs" dxfId="667" priority="1085" operator="greaterThan">
      <formula>1</formula>
    </cfRule>
    <cfRule type="cellIs" dxfId="666" priority="1086" operator="lessThan">
      <formula>-1</formula>
    </cfRule>
  </conditionalFormatting>
  <conditionalFormatting sqref="E2198">
    <cfRule type="cellIs" dxfId="665" priority="1088" operator="greaterThan">
      <formula>1</formula>
    </cfRule>
    <cfRule type="cellIs" dxfId="664" priority="1089" operator="lessThan">
      <formula>-1</formula>
    </cfRule>
  </conditionalFormatting>
  <conditionalFormatting sqref="E2280">
    <cfRule type="cellIs" dxfId="663" priority="1091" operator="greaterThan">
      <formula>1</formula>
    </cfRule>
    <cfRule type="cellIs" dxfId="662" priority="1092" operator="lessThan">
      <formula>-1</formula>
    </cfRule>
  </conditionalFormatting>
  <conditionalFormatting sqref="E2392">
    <cfRule type="cellIs" dxfId="661" priority="1046" operator="greaterThan">
      <formula>1</formula>
    </cfRule>
    <cfRule type="cellIs" dxfId="660" priority="1047" operator="lessThan">
      <formula>-1</formula>
    </cfRule>
  </conditionalFormatting>
  <conditionalFormatting sqref="E2440">
    <cfRule type="cellIs" dxfId="659" priority="1269" operator="greaterThan">
      <formula>1</formula>
    </cfRule>
    <cfRule type="cellIs" dxfId="658" priority="1270" operator="lessThan">
      <formula>-1</formula>
    </cfRule>
  </conditionalFormatting>
  <conditionalFormatting sqref="E2456">
    <cfRule type="cellIs" dxfId="657" priority="1271" operator="greaterThan">
      <formula>1</formula>
    </cfRule>
    <cfRule type="cellIs" dxfId="656" priority="1272" operator="lessThan">
      <formula>-1</formula>
    </cfRule>
  </conditionalFormatting>
  <conditionalFormatting sqref="E2472">
    <cfRule type="cellIs" dxfId="655" priority="1267" operator="greaterThan">
      <formula>1</formula>
    </cfRule>
    <cfRule type="cellIs" dxfId="654" priority="1268" operator="lessThan">
      <formula>-1</formula>
    </cfRule>
  </conditionalFormatting>
  <conditionalFormatting sqref="E2489">
    <cfRule type="cellIs" dxfId="653" priority="1256" operator="greaterThan">
      <formula>1</formula>
    </cfRule>
    <cfRule type="cellIs" dxfId="652" priority="1257" operator="lessThan">
      <formula>-1</formula>
    </cfRule>
  </conditionalFormatting>
  <conditionalFormatting sqref="E2506">
    <cfRule type="cellIs" dxfId="651" priority="1247" operator="greaterThan">
      <formula>1</formula>
    </cfRule>
    <cfRule type="cellIs" dxfId="650" priority="1248" operator="lessThan">
      <formula>-1</formula>
    </cfRule>
  </conditionalFormatting>
  <conditionalFormatting sqref="E2524">
    <cfRule type="cellIs" dxfId="649" priority="1239" operator="greaterThan">
      <formula>1</formula>
    </cfRule>
    <cfRule type="cellIs" dxfId="648" priority="1240" operator="lessThan">
      <formula>-1</formula>
    </cfRule>
  </conditionalFormatting>
  <conditionalFormatting sqref="E2529:E2539">
    <cfRule type="cellIs" dxfId="647" priority="1205" operator="lessThan">
      <formula>-0.05</formula>
    </cfRule>
    <cfRule type="cellIs" dxfId="646" priority="1210" operator="greaterThan">
      <formula>0.1</formula>
    </cfRule>
    <cfRule type="cellIs" dxfId="645" priority="1211" operator="greaterThan">
      <formula>0.1</formula>
    </cfRule>
    <cfRule type="cellIs" dxfId="644" priority="1212" operator="lessThan">
      <formula>-0.08</formula>
    </cfRule>
  </conditionalFormatting>
  <conditionalFormatting sqref="E2542">
    <cfRule type="cellIs" dxfId="643" priority="1229" operator="greaterThan">
      <formula>1</formula>
    </cfRule>
    <cfRule type="cellIs" dxfId="642" priority="1230" operator="lessThan">
      <formula>-1</formula>
    </cfRule>
  </conditionalFormatting>
  <conditionalFormatting sqref="E2547:E2557 E2565:E2573 E2629">
    <cfRule type="cellIs" dxfId="641" priority="1208" operator="lessThan">
      <formula>-0.08</formula>
    </cfRule>
  </conditionalFormatting>
  <conditionalFormatting sqref="E2547:E2557 E2565:E2573 E2629:E2635">
    <cfRule type="cellIs" dxfId="640" priority="1206" operator="greaterThan">
      <formula>0.1</formula>
    </cfRule>
    <cfRule type="cellIs" dxfId="639" priority="1207" operator="greaterThan">
      <formula>0.1</formula>
    </cfRule>
  </conditionalFormatting>
  <conditionalFormatting sqref="E2560">
    <cfRule type="cellIs" dxfId="638" priority="1219" operator="greaterThan">
      <formula>1</formula>
    </cfRule>
    <cfRule type="cellIs" dxfId="637" priority="1220" operator="lessThan">
      <formula>-1</formula>
    </cfRule>
  </conditionalFormatting>
  <conditionalFormatting sqref="E2576">
    <cfRule type="cellIs" dxfId="636" priority="1198" operator="greaterThan">
      <formula>1</formula>
    </cfRule>
    <cfRule type="cellIs" dxfId="635" priority="1199" operator="lessThan">
      <formula>-1</formula>
    </cfRule>
  </conditionalFormatting>
  <conditionalFormatting sqref="E2581:E2589 E2730:E2737 E2745:E2753 E2761:E2769 E2777:E2784 E2807:E2813 E2823:E2825 E2851:E2858 E2865:E2872 E2879:E2892 E2899:E2907 E2914:E2923 E2978:E2986 E3008:E3015 E3022:E3028 E3139:E3149">
    <cfRule type="cellIs" dxfId="634" priority="1190" operator="greaterThan">
      <formula>0.1</formula>
    </cfRule>
  </conditionalFormatting>
  <conditionalFormatting sqref="E2581:E2589 E2730:E2737 E2745:E2753 E2761:E2769 E2777:E2784 E2807:E2813 E2851:E2858 E2865:E2872 E2879:E2892 E2899:E2907 E2914:E2923 E2978:E2986 E3008:E3015 E3022:E3028 E3139:E3149">
    <cfRule type="cellIs" dxfId="633" priority="1191" operator="lessThan">
      <formula>-0.08</formula>
    </cfRule>
  </conditionalFormatting>
  <conditionalFormatting sqref="E2592">
    <cfRule type="cellIs" dxfId="632" priority="1182" operator="greaterThan">
      <formula>1</formula>
    </cfRule>
    <cfRule type="cellIs" dxfId="631" priority="1183" operator="lessThan">
      <formula>-1</formula>
    </cfRule>
  </conditionalFormatting>
  <conditionalFormatting sqref="E2597:E2605">
    <cfRule type="cellIs" dxfId="630" priority="1154" operator="greaterThan">
      <formula>0.1</formula>
    </cfRule>
    <cfRule type="cellIs" dxfId="629" priority="1155" operator="greaterThan">
      <formula>0.1</formula>
    </cfRule>
    <cfRule type="cellIs" dxfId="628" priority="1156" operator="lessThan">
      <formula>-0.08</formula>
    </cfRule>
  </conditionalFormatting>
  <conditionalFormatting sqref="E2608">
    <cfRule type="cellIs" dxfId="627" priority="1171" operator="greaterThan">
      <formula>1</formula>
    </cfRule>
    <cfRule type="cellIs" dxfId="626" priority="1172" operator="lessThan">
      <formula>-1</formula>
    </cfRule>
  </conditionalFormatting>
  <conditionalFormatting sqref="E2613:E2621">
    <cfRule type="cellIs" dxfId="625" priority="1135" operator="greaterThan">
      <formula>0.1</formula>
    </cfRule>
    <cfRule type="cellIs" dxfId="624" priority="1136" operator="greaterThan">
      <formula>0.1</formula>
    </cfRule>
    <cfRule type="cellIs" dxfId="623" priority="1137" operator="lessThan">
      <formula>-0.08</formula>
    </cfRule>
  </conditionalFormatting>
  <conditionalFormatting sqref="E2624">
    <cfRule type="cellIs" dxfId="622" priority="1143" operator="greaterThan">
      <formula>1</formula>
    </cfRule>
    <cfRule type="cellIs" dxfId="621" priority="1144" operator="lessThan">
      <formula>-1</formula>
    </cfRule>
  </conditionalFormatting>
  <conditionalFormatting sqref="E2638">
    <cfRule type="cellIs" dxfId="620" priority="1126" operator="greaterThan">
      <formula>1</formula>
    </cfRule>
    <cfRule type="cellIs" dxfId="619" priority="1127" operator="lessThan">
      <formula>-1</formula>
    </cfRule>
  </conditionalFormatting>
  <conditionalFormatting sqref="E2643:E2649">
    <cfRule type="cellIs" dxfId="618" priority="1114" operator="greaterThan">
      <formula>0.1</formula>
    </cfRule>
    <cfRule type="cellIs" dxfId="617" priority="1115" operator="greaterThan">
      <formula>0.1</formula>
    </cfRule>
    <cfRule type="cellIs" dxfId="616" priority="1116" operator="lessThan">
      <formula>-0.08</formula>
    </cfRule>
  </conditionalFormatting>
  <conditionalFormatting sqref="E2652">
    <cfRule type="cellIs" dxfId="615" priority="1108" operator="greaterThan">
      <formula>1</formula>
    </cfRule>
    <cfRule type="cellIs" dxfId="614" priority="1109" operator="lessThan">
      <formula>-1</formula>
    </cfRule>
  </conditionalFormatting>
  <conditionalFormatting sqref="E2657:E2662">
    <cfRule type="cellIs" dxfId="613" priority="1025" operator="greaterThan">
      <formula>0.1</formula>
    </cfRule>
    <cfRule type="cellIs" dxfId="612" priority="1026" operator="greaterThan">
      <formula>0.1</formula>
    </cfRule>
    <cfRule type="cellIs" dxfId="611" priority="1027" operator="lessThan">
      <formula>-0.08</formula>
    </cfRule>
  </conditionalFormatting>
  <conditionalFormatting sqref="E2665">
    <cfRule type="cellIs" dxfId="610" priority="1035" operator="greaterThan">
      <formula>1</formula>
    </cfRule>
    <cfRule type="cellIs" dxfId="609" priority="1036" operator="lessThan">
      <formula>-1</formula>
    </cfRule>
  </conditionalFormatting>
  <conditionalFormatting sqref="E2670:E2680">
    <cfRule type="cellIs" dxfId="608" priority="1002" operator="greaterThan">
      <formula>0.1</formula>
    </cfRule>
    <cfRule type="cellIs" dxfId="607" priority="1003" operator="greaterThan">
      <formula>0.1</formula>
    </cfRule>
    <cfRule type="cellIs" dxfId="606" priority="1004" operator="lessThan">
      <formula>-0.08</formula>
    </cfRule>
  </conditionalFormatting>
  <conditionalFormatting sqref="E2683">
    <cfRule type="cellIs" dxfId="605" priority="1013" operator="greaterThan">
      <formula>1</formula>
    </cfRule>
    <cfRule type="cellIs" dxfId="604" priority="1014" operator="lessThan">
      <formula>-1</formula>
    </cfRule>
  </conditionalFormatting>
  <conditionalFormatting sqref="E2688:E2696 E2700:E2701">
    <cfRule type="cellIs" dxfId="603" priority="970" operator="lessThan">
      <formula>-0.08</formula>
    </cfRule>
  </conditionalFormatting>
  <conditionalFormatting sqref="E2688:E2701">
    <cfRule type="cellIs" dxfId="602" priority="964" operator="greaterThan">
      <formula>0.1</formula>
    </cfRule>
    <cfRule type="cellIs" dxfId="601" priority="965" operator="greaterThan">
      <formula>0.1</formula>
    </cfRule>
  </conditionalFormatting>
  <conditionalFormatting sqref="E2697:E2699">
    <cfRule type="cellIs" dxfId="600" priority="966" operator="lessThan">
      <formula>-0.05</formula>
    </cfRule>
  </conditionalFormatting>
  <conditionalFormatting sqref="E2704">
    <cfRule type="cellIs" dxfId="599" priority="985" operator="greaterThan">
      <formula>1</formula>
    </cfRule>
    <cfRule type="cellIs" dxfId="598" priority="986" operator="lessThan">
      <formula>-1</formula>
    </cfRule>
  </conditionalFormatting>
  <conditionalFormatting sqref="E2709:E2722">
    <cfRule type="cellIs" dxfId="597" priority="959" operator="greaterThan">
      <formula>0.1</formula>
    </cfRule>
    <cfRule type="cellIs" dxfId="596" priority="960" operator="greaterThan">
      <formula>0.1</formula>
    </cfRule>
    <cfRule type="cellIs" dxfId="595" priority="961" operator="lessThan">
      <formula>-0.08</formula>
    </cfRule>
  </conditionalFormatting>
  <conditionalFormatting sqref="E2725">
    <cfRule type="cellIs" dxfId="594" priority="953" operator="greaterThan">
      <formula>1</formula>
    </cfRule>
    <cfRule type="cellIs" dxfId="593" priority="954" operator="lessThan">
      <formula>-1</formula>
    </cfRule>
  </conditionalFormatting>
  <conditionalFormatting sqref="E2740">
    <cfRule type="cellIs" dxfId="592" priority="936" operator="greaterThan">
      <formula>1</formula>
    </cfRule>
    <cfRule type="cellIs" dxfId="591" priority="937" operator="lessThan">
      <formula>-1</formula>
    </cfRule>
  </conditionalFormatting>
  <conditionalFormatting sqref="E2756">
    <cfRule type="cellIs" dxfId="590" priority="916" operator="greaterThan">
      <formula>1</formula>
    </cfRule>
    <cfRule type="cellIs" dxfId="589" priority="917" operator="lessThan">
      <formula>-1</formula>
    </cfRule>
  </conditionalFormatting>
  <conditionalFormatting sqref="E2772">
    <cfRule type="cellIs" dxfId="588" priority="895" operator="greaterThan">
      <formula>1</formula>
    </cfRule>
    <cfRule type="cellIs" dxfId="587" priority="896" operator="lessThan">
      <formula>-1</formula>
    </cfRule>
  </conditionalFormatting>
  <conditionalFormatting sqref="E2787">
    <cfRule type="cellIs" dxfId="586" priority="876" operator="greaterThan">
      <formula>1</formula>
    </cfRule>
    <cfRule type="cellIs" dxfId="585" priority="877" operator="lessThan">
      <formula>-1</formula>
    </cfRule>
  </conditionalFormatting>
  <conditionalFormatting sqref="E2792:E2799">
    <cfRule type="cellIs" dxfId="584" priority="862" operator="greaterThan">
      <formula>0.1</formula>
    </cfRule>
    <cfRule type="cellIs" dxfId="583" priority="863" operator="greaterThan">
      <formula>0.1</formula>
    </cfRule>
    <cfRule type="cellIs" dxfId="582" priority="864" operator="lessThan">
      <formula>-0.08</formula>
    </cfRule>
  </conditionalFormatting>
  <conditionalFormatting sqref="E2802">
    <cfRule type="cellIs" dxfId="581" priority="854" operator="greaterThan">
      <formula>1</formula>
    </cfRule>
    <cfRule type="cellIs" dxfId="580" priority="855" operator="lessThan">
      <formula>-1</formula>
    </cfRule>
  </conditionalFormatting>
  <conditionalFormatting sqref="E2816">
    <cfRule type="cellIs" dxfId="579" priority="838" operator="greaterThan">
      <formula>1</formula>
    </cfRule>
    <cfRule type="cellIs" dxfId="578" priority="839" operator="lessThan">
      <formula>-1</formula>
    </cfRule>
  </conditionalFormatting>
  <conditionalFormatting sqref="E2821:E2827">
    <cfRule type="cellIs" dxfId="577" priority="806" operator="greaterThan">
      <formula>0.1</formula>
    </cfRule>
    <cfRule type="cellIs" dxfId="576" priority="807" operator="greaterThan">
      <formula>0.1</formula>
    </cfRule>
    <cfRule type="cellIs" dxfId="575" priority="808" operator="lessThan">
      <formula>-0.08</formula>
    </cfRule>
  </conditionalFormatting>
  <conditionalFormatting sqref="E2823:E2825 E2581:E2589 E2730:E2737 E2745:E2753 E2761:E2769 E2777:E2784 E2807:E2813 E2851:E2858 E2865:E2872 E2879:E2892 E2899:E2907 E2914:E2923 E2978:E2986 E3008:E3015 E3022:E3028 E3139:E3149">
    <cfRule type="cellIs" dxfId="574" priority="1189" operator="greaterThan">
      <formula>0.1</formula>
    </cfRule>
  </conditionalFormatting>
  <conditionalFormatting sqref="E2830">
    <cfRule type="cellIs" dxfId="573" priority="819" operator="greaterThan">
      <formula>1</formula>
    </cfRule>
    <cfRule type="cellIs" dxfId="572" priority="820" operator="lessThan">
      <formula>-1</formula>
    </cfRule>
  </conditionalFormatting>
  <conditionalFormatting sqref="E2836:E2844">
    <cfRule type="cellIs" dxfId="571" priority="800" operator="greaterThan">
      <formula>0.1</formula>
    </cfRule>
    <cfRule type="cellIs" dxfId="570" priority="801" operator="greaterThan">
      <formula>0.1</formula>
    </cfRule>
    <cfRule type="cellIs" dxfId="569" priority="802" operator="lessThan">
      <formula>-0.08</formula>
    </cfRule>
  </conditionalFormatting>
  <conditionalFormatting sqref="E2845">
    <cfRule type="cellIs" dxfId="568" priority="793" operator="greaterThan">
      <formula>1</formula>
    </cfRule>
    <cfRule type="cellIs" dxfId="567" priority="794" operator="lessThan">
      <formula>-1</formula>
    </cfRule>
  </conditionalFormatting>
  <conditionalFormatting sqref="E2859">
    <cfRule type="cellIs" dxfId="566" priority="776" operator="greaterThan">
      <formula>1</formula>
    </cfRule>
    <cfRule type="cellIs" dxfId="565" priority="777" operator="lessThan">
      <formula>-1</formula>
    </cfRule>
  </conditionalFormatting>
  <conditionalFormatting sqref="E2873">
    <cfRule type="cellIs" dxfId="564" priority="761" operator="greaterThan">
      <formula>1</formula>
    </cfRule>
    <cfRule type="cellIs" dxfId="563" priority="762" operator="lessThan">
      <formula>-1</formula>
    </cfRule>
  </conditionalFormatting>
  <conditionalFormatting sqref="E2893">
    <cfRule type="cellIs" dxfId="562" priority="747" operator="greaterThan">
      <formula>1</formula>
    </cfRule>
    <cfRule type="cellIs" dxfId="561" priority="748" operator="lessThan">
      <formula>-1</formula>
    </cfRule>
  </conditionalFormatting>
  <conditionalFormatting sqref="E2908">
    <cfRule type="cellIs" dxfId="560" priority="735" operator="greaterThan">
      <formula>1</formula>
    </cfRule>
    <cfRule type="cellIs" dxfId="559" priority="736" operator="lessThan">
      <formula>-1</formula>
    </cfRule>
  </conditionalFormatting>
  <conditionalFormatting sqref="E2924">
    <cfRule type="cellIs" dxfId="558" priority="720" operator="greaterThan">
      <formula>1</formula>
    </cfRule>
    <cfRule type="cellIs" dxfId="557" priority="721" operator="lessThan">
      <formula>-1</formula>
    </cfRule>
  </conditionalFormatting>
  <conditionalFormatting sqref="E2930:E2939">
    <cfRule type="cellIs" dxfId="556" priority="712" operator="greaterThan">
      <formula>0.1</formula>
    </cfRule>
    <cfRule type="cellIs" dxfId="555" priority="713" operator="greaterThan">
      <formula>0.1</formula>
    </cfRule>
    <cfRule type="cellIs" dxfId="554" priority="714" operator="lessThan">
      <formula>-0.08</formula>
    </cfRule>
  </conditionalFormatting>
  <conditionalFormatting sqref="E2940">
    <cfRule type="cellIs" dxfId="553" priority="700" operator="greaterThan">
      <formula>1</formula>
    </cfRule>
    <cfRule type="cellIs" dxfId="552" priority="701" operator="lessThan">
      <formula>-1</formula>
    </cfRule>
  </conditionalFormatting>
  <conditionalFormatting sqref="E2946:E2955">
    <cfRule type="cellIs" dxfId="551" priority="669" operator="greaterThan">
      <formula>0.1</formula>
    </cfRule>
    <cfRule type="cellIs" dxfId="550" priority="670" operator="greaterThan">
      <formula>0.1</formula>
    </cfRule>
    <cfRule type="cellIs" dxfId="549" priority="671" operator="lessThan">
      <formula>-0.08</formula>
    </cfRule>
  </conditionalFormatting>
  <conditionalFormatting sqref="E2956">
    <cfRule type="cellIs" dxfId="548" priority="678" operator="greaterThan">
      <formula>1</formula>
    </cfRule>
    <cfRule type="cellIs" dxfId="547" priority="679" operator="lessThan">
      <formula>-1</formula>
    </cfRule>
  </conditionalFormatting>
  <conditionalFormatting sqref="E2962:E2971">
    <cfRule type="cellIs" dxfId="546" priority="659" operator="greaterThan">
      <formula>0.1</formula>
    </cfRule>
    <cfRule type="cellIs" dxfId="545" priority="660" operator="greaterThan">
      <formula>0.1</formula>
    </cfRule>
    <cfRule type="cellIs" dxfId="544" priority="661" operator="lessThan">
      <formula>-0.08</formula>
    </cfRule>
  </conditionalFormatting>
  <conditionalFormatting sqref="E2972">
    <cfRule type="cellIs" dxfId="543" priority="647" operator="greaterThan">
      <formula>1</formula>
    </cfRule>
    <cfRule type="cellIs" dxfId="542" priority="648" operator="lessThan">
      <formula>-1</formula>
    </cfRule>
  </conditionalFormatting>
  <conditionalFormatting sqref="E2987">
    <cfRule type="cellIs" dxfId="541" priority="624" operator="greaterThan">
      <formula>1</formula>
    </cfRule>
    <cfRule type="cellIs" dxfId="540" priority="625" operator="lessThan">
      <formula>-1</formula>
    </cfRule>
  </conditionalFormatting>
  <conditionalFormatting sqref="E2993:E3001">
    <cfRule type="cellIs" dxfId="539" priority="595" operator="greaterThan">
      <formula>0.1</formula>
    </cfRule>
    <cfRule type="cellIs" dxfId="538" priority="596" operator="greaterThan">
      <formula>0.1</formula>
    </cfRule>
    <cfRule type="cellIs" dxfId="537" priority="597" operator="lessThan">
      <formula>-0.08</formula>
    </cfRule>
  </conditionalFormatting>
  <conditionalFormatting sqref="E2995:E2999">
    <cfRule type="cellIs" dxfId="536" priority="574" operator="greaterThan">
      <formula>0.54</formula>
    </cfRule>
  </conditionalFormatting>
  <conditionalFormatting sqref="E3002">
    <cfRule type="cellIs" dxfId="535" priority="603" operator="greaterThan">
      <formula>1</formula>
    </cfRule>
    <cfRule type="cellIs" dxfId="534" priority="604" operator="lessThan">
      <formula>-1</formula>
    </cfRule>
  </conditionalFormatting>
  <conditionalFormatting sqref="E3016">
    <cfRule type="cellIs" dxfId="533" priority="582" operator="greaterThan">
      <formula>1</formula>
    </cfRule>
    <cfRule type="cellIs" dxfId="532" priority="583" operator="lessThan">
      <formula>-1</formula>
    </cfRule>
  </conditionalFormatting>
  <conditionalFormatting sqref="E3024:E3026 E3141:E3147 E3158:E3167 E3179:E3186 E3236:E3239">
    <cfRule type="cellIs" dxfId="531" priority="559" operator="lessThan">
      <formula>-0.05</formula>
    </cfRule>
  </conditionalFormatting>
  <conditionalFormatting sqref="E3029">
    <cfRule type="cellIs" dxfId="530" priority="564" operator="greaterThan">
      <formula>1</formula>
    </cfRule>
    <cfRule type="cellIs" dxfId="529" priority="565" operator="lessThan">
      <formula>-1</formula>
    </cfRule>
  </conditionalFormatting>
  <conditionalFormatting sqref="E3035:E3041">
    <cfRule type="cellIs" dxfId="528" priority="555" operator="greaterThan">
      <formula>0.1</formula>
    </cfRule>
    <cfRule type="cellIs" dxfId="527" priority="556" operator="greaterThan">
      <formula>0.1</formula>
    </cfRule>
    <cfRule type="cellIs" dxfId="526" priority="557" operator="lessThan">
      <formula>-0.08</formula>
    </cfRule>
  </conditionalFormatting>
  <conditionalFormatting sqref="E3037:E3039">
    <cfRule type="cellIs" dxfId="525" priority="540" operator="lessThan">
      <formula>-0.05</formula>
    </cfRule>
  </conditionalFormatting>
  <conditionalFormatting sqref="E3042">
    <cfRule type="cellIs" dxfId="524" priority="545" operator="greaterThan">
      <formula>1</formula>
    </cfRule>
    <cfRule type="cellIs" dxfId="523" priority="546" operator="lessThan">
      <formula>-1</formula>
    </cfRule>
  </conditionalFormatting>
  <conditionalFormatting sqref="E3048:E3054">
    <cfRule type="cellIs" dxfId="522" priority="536" operator="greaterThan">
      <formula>0.1</formula>
    </cfRule>
    <cfRule type="cellIs" dxfId="521" priority="537" operator="greaterThan">
      <formula>0.1</formula>
    </cfRule>
    <cfRule type="cellIs" dxfId="520" priority="538" operator="lessThan">
      <formula>-0.08</formula>
    </cfRule>
  </conditionalFormatting>
  <conditionalFormatting sqref="E3050:E3052">
    <cfRule type="cellIs" dxfId="519" priority="521" operator="lessThan">
      <formula>-0.05</formula>
    </cfRule>
  </conditionalFormatting>
  <conditionalFormatting sqref="E3055">
    <cfRule type="cellIs" dxfId="518" priority="526" operator="greaterThan">
      <formula>1</formula>
    </cfRule>
    <cfRule type="cellIs" dxfId="517" priority="527" operator="lessThan">
      <formula>-1</formula>
    </cfRule>
  </conditionalFormatting>
  <conditionalFormatting sqref="E3061:E3067">
    <cfRule type="cellIs" dxfId="516" priority="516" operator="greaterThan">
      <formula>0.1</formula>
    </cfRule>
    <cfRule type="cellIs" dxfId="515" priority="517" operator="greaterThan">
      <formula>0.1</formula>
    </cfRule>
    <cfRule type="cellIs" dxfId="514" priority="518" operator="lessThan">
      <formula>-0.08</formula>
    </cfRule>
  </conditionalFormatting>
  <conditionalFormatting sqref="E3063:E3065">
    <cfRule type="cellIs" dxfId="513" priority="502" operator="lessThan">
      <formula>-0.05</formula>
    </cfRule>
  </conditionalFormatting>
  <conditionalFormatting sqref="E3068">
    <cfRule type="cellIs" dxfId="512" priority="507" operator="greaterThan">
      <formula>1</formula>
    </cfRule>
    <cfRule type="cellIs" dxfId="511" priority="508" operator="lessThan">
      <formula>-1</formula>
    </cfRule>
  </conditionalFormatting>
  <conditionalFormatting sqref="E3074:E3080">
    <cfRule type="cellIs" dxfId="510" priority="497" operator="greaterThan">
      <formula>0.1</formula>
    </cfRule>
    <cfRule type="cellIs" dxfId="509" priority="498" operator="greaterThan">
      <formula>0.1</formula>
    </cfRule>
    <cfRule type="cellIs" dxfId="508" priority="499" operator="lessThan">
      <formula>-0.08</formula>
    </cfRule>
  </conditionalFormatting>
  <conditionalFormatting sqref="E3076:E3078">
    <cfRule type="cellIs" dxfId="507" priority="483" operator="lessThan">
      <formula>-0.05</formula>
    </cfRule>
  </conditionalFormatting>
  <conditionalFormatting sqref="E3081">
    <cfRule type="cellIs" dxfId="506" priority="488" operator="greaterThan">
      <formula>1</formula>
    </cfRule>
    <cfRule type="cellIs" dxfId="505" priority="489" operator="lessThan">
      <formula>-1</formula>
    </cfRule>
  </conditionalFormatting>
  <conditionalFormatting sqref="E3087:E3093">
    <cfRule type="cellIs" dxfId="504" priority="478" operator="greaterThan">
      <formula>0.1</formula>
    </cfRule>
    <cfRule type="cellIs" dxfId="503" priority="479" operator="greaterThan">
      <formula>0.1</formula>
    </cfRule>
    <cfRule type="cellIs" dxfId="502" priority="480" operator="lessThan">
      <formula>-0.08</formula>
    </cfRule>
  </conditionalFormatting>
  <conditionalFormatting sqref="E3089:E3091">
    <cfRule type="cellIs" dxfId="501" priority="464" operator="lessThan">
      <formula>-0.05</formula>
    </cfRule>
  </conditionalFormatting>
  <conditionalFormatting sqref="E3094">
    <cfRule type="cellIs" dxfId="500" priority="469" operator="greaterThan">
      <formula>1</formula>
    </cfRule>
    <cfRule type="cellIs" dxfId="499" priority="470" operator="lessThan">
      <formula>-1</formula>
    </cfRule>
  </conditionalFormatting>
  <conditionalFormatting sqref="E3100:E3106">
    <cfRule type="cellIs" dxfId="498" priority="459" operator="greaterThan">
      <formula>0.1</formula>
    </cfRule>
    <cfRule type="cellIs" dxfId="497" priority="460" operator="greaterThan">
      <formula>0.1</formula>
    </cfRule>
    <cfRule type="cellIs" dxfId="496" priority="461" operator="lessThan">
      <formula>-0.08</formula>
    </cfRule>
  </conditionalFormatting>
  <conditionalFormatting sqref="E3102:E3104">
    <cfRule type="cellIs" dxfId="495" priority="445" operator="lessThan">
      <formula>-0.05</formula>
    </cfRule>
  </conditionalFormatting>
  <conditionalFormatting sqref="E3107">
    <cfRule type="cellIs" dxfId="494" priority="450" operator="greaterThan">
      <formula>1</formula>
    </cfRule>
    <cfRule type="cellIs" dxfId="493" priority="451" operator="lessThan">
      <formula>-1</formula>
    </cfRule>
  </conditionalFormatting>
  <conditionalFormatting sqref="E3113:E3119">
    <cfRule type="cellIs" dxfId="492" priority="441" operator="greaterThan">
      <formula>0.1</formula>
    </cfRule>
    <cfRule type="cellIs" dxfId="491" priority="442" operator="greaterThan">
      <formula>0.1</formula>
    </cfRule>
    <cfRule type="cellIs" dxfId="490" priority="443" operator="lessThan">
      <formula>-0.08</formula>
    </cfRule>
  </conditionalFormatting>
  <conditionalFormatting sqref="E3115:E3117">
    <cfRule type="cellIs" dxfId="489" priority="427" operator="lessThan">
      <formula>-0.05</formula>
    </cfRule>
  </conditionalFormatting>
  <conditionalFormatting sqref="E3120">
    <cfRule type="cellIs" dxfId="488" priority="432" operator="greaterThan">
      <formula>1</formula>
    </cfRule>
    <cfRule type="cellIs" dxfId="487" priority="433" operator="lessThan">
      <formula>-1</formula>
    </cfRule>
  </conditionalFormatting>
  <conditionalFormatting sqref="E3126:E3132">
    <cfRule type="cellIs" dxfId="486" priority="422" operator="greaterThan">
      <formula>0.1</formula>
    </cfRule>
    <cfRule type="cellIs" dxfId="485" priority="423" operator="greaterThan">
      <formula>0.1</formula>
    </cfRule>
    <cfRule type="cellIs" dxfId="484" priority="424" operator="lessThan">
      <formula>-0.08</formula>
    </cfRule>
  </conditionalFormatting>
  <conditionalFormatting sqref="E3128:E3130">
    <cfRule type="cellIs" dxfId="483" priority="408" operator="lessThan">
      <formula>-0.05</formula>
    </cfRule>
  </conditionalFormatting>
  <conditionalFormatting sqref="E3133">
    <cfRule type="cellIs" dxfId="482" priority="413" operator="greaterThan">
      <formula>1</formula>
    </cfRule>
    <cfRule type="cellIs" dxfId="481" priority="414" operator="lessThan">
      <formula>-1</formula>
    </cfRule>
  </conditionalFormatting>
  <conditionalFormatting sqref="E3150">
    <cfRule type="cellIs" dxfId="480" priority="401" operator="greaterThan">
      <formula>1</formula>
    </cfRule>
    <cfRule type="cellIs" dxfId="479" priority="402" operator="lessThan">
      <formula>-1</formula>
    </cfRule>
  </conditionalFormatting>
  <conditionalFormatting sqref="E3156:E3169">
    <cfRule type="iconSet" priority="1290">
      <iconSet iconSet="3Arrows">
        <cfvo type="percent" val="0"/>
        <cfvo type="percent" val="4"/>
        <cfvo type="percent" val="5"/>
      </iconSet>
    </cfRule>
    <cfRule type="cellIs" dxfId="478" priority="1291" operator="greaterThan">
      <formula>0.1</formula>
    </cfRule>
    <cfRule type="cellIs" dxfId="477" priority="1292" operator="greaterThan">
      <formula>0.1</formula>
    </cfRule>
    <cfRule type="cellIs" dxfId="476" priority="1293" operator="lessThan">
      <formula>-0.08</formula>
    </cfRule>
  </conditionalFormatting>
  <conditionalFormatting sqref="E3170">
    <cfRule type="cellIs" dxfId="475" priority="389" operator="greaterThan">
      <formula>1</formula>
    </cfRule>
    <cfRule type="cellIs" dxfId="474" priority="390" operator="lessThan">
      <formula>-1</formula>
    </cfRule>
  </conditionalFormatting>
  <conditionalFormatting sqref="E3177:E3188">
    <cfRule type="iconSet" priority="1296">
      <iconSet iconSet="3Arrows">
        <cfvo type="percent" val="0"/>
        <cfvo type="percent" val="4"/>
        <cfvo type="percent" val="5"/>
      </iconSet>
    </cfRule>
    <cfRule type="cellIs" dxfId="473" priority="1297" operator="greaterThan">
      <formula>0.1</formula>
    </cfRule>
    <cfRule type="cellIs" dxfId="472" priority="1298" operator="greaterThan">
      <formula>0.1</formula>
    </cfRule>
    <cfRule type="cellIs" dxfId="471" priority="1299" operator="lessThan">
      <formula>-0.08</formula>
    </cfRule>
  </conditionalFormatting>
  <conditionalFormatting sqref="E3189">
    <cfRule type="cellIs" dxfId="470" priority="370" operator="greaterThan">
      <formula>1</formula>
    </cfRule>
    <cfRule type="cellIs" dxfId="469" priority="371" operator="lessThan">
      <formula>-1</formula>
    </cfRule>
  </conditionalFormatting>
  <conditionalFormatting sqref="E3195:E3206 E3214:E3226">
    <cfRule type="iconSet" priority="339">
      <iconSet iconSet="3Arrows">
        <cfvo type="percent" val="0"/>
        <cfvo type="percent" val="&quot;0+$E$3195&quot;"/>
        <cfvo type="percent" val="1"/>
      </iconSet>
    </cfRule>
  </conditionalFormatting>
  <conditionalFormatting sqref="E3195:E3206">
    <cfRule type="cellIs" dxfId="468" priority="360" operator="greaterThan">
      <formula>0.2</formula>
    </cfRule>
    <cfRule type="cellIs" dxfId="467" priority="361" operator="equal">
      <formula>0.1</formula>
    </cfRule>
    <cfRule type="cellIs" dxfId="466" priority="362" operator="lessThan">
      <formula>-0.1</formula>
    </cfRule>
    <cfRule type="cellIs" dxfId="465" priority="363" operator="greaterThan">
      <formula>0.1</formula>
    </cfRule>
  </conditionalFormatting>
  <conditionalFormatting sqref="E3197:E3204">
    <cfRule type="cellIs" dxfId="464" priority="356" operator="lessThan">
      <formula>-0.05</formula>
    </cfRule>
  </conditionalFormatting>
  <conditionalFormatting sqref="E3207">
    <cfRule type="cellIs" dxfId="463" priority="345" operator="greaterThan">
      <formula>1</formula>
    </cfRule>
    <cfRule type="cellIs" dxfId="462" priority="346" operator="lessThan">
      <formula>-1</formula>
    </cfRule>
  </conditionalFormatting>
  <conditionalFormatting sqref="E3214:E3223 E3225:E3226">
    <cfRule type="iconSet" priority="318">
      <iconSet iconSet="3Arrows">
        <cfvo type="percent" val="0"/>
        <cfvo type="percent" val="&quot;0+$E$3195&quot;"/>
        <cfvo type="percent" val="1"/>
      </iconSet>
    </cfRule>
  </conditionalFormatting>
  <conditionalFormatting sqref="E3214:E3226">
    <cfRule type="cellIs" dxfId="461" priority="314" operator="greaterThan">
      <formula>0.2</formula>
    </cfRule>
    <cfRule type="cellIs" dxfId="460" priority="315" operator="equal">
      <formula>0.1</formula>
    </cfRule>
    <cfRule type="cellIs" dxfId="459" priority="316" operator="lessThan">
      <formula>-0.1</formula>
    </cfRule>
    <cfRule type="cellIs" dxfId="458" priority="317" operator="greaterThan">
      <formula>0.1</formula>
    </cfRule>
  </conditionalFormatting>
  <conditionalFormatting sqref="E3216:E3224">
    <cfRule type="cellIs" dxfId="457" priority="312" operator="lessThan">
      <formula>-0.05</formula>
    </cfRule>
  </conditionalFormatting>
  <conditionalFormatting sqref="E3224">
    <cfRule type="iconSet" priority="311">
      <iconSet iconSet="3Arrows">
        <cfvo type="percent" val="0"/>
        <cfvo type="percent" val="&quot;0+$E$3195&quot;"/>
        <cfvo type="percent" val="1"/>
      </iconSet>
    </cfRule>
  </conditionalFormatting>
  <conditionalFormatting sqref="E3227">
    <cfRule type="cellIs" dxfId="456" priority="324" operator="greaterThan">
      <formula>1</formula>
    </cfRule>
    <cfRule type="cellIs" dxfId="455" priority="325" operator="lessThan">
      <formula>-1</formula>
    </cfRule>
  </conditionalFormatting>
  <conditionalFormatting sqref="E3234:E3236">
    <cfRule type="cellIs" dxfId="454" priority="304" operator="greaterThan">
      <formula>1</formula>
    </cfRule>
    <cfRule type="cellIs" dxfId="453" priority="305" operator="lessThan">
      <formula>-1</formula>
    </cfRule>
  </conditionalFormatting>
  <conditionalFormatting sqref="E3234:E3241">
    <cfRule type="cellIs" dxfId="452" priority="1302" operator="greaterThan">
      <formula>0.2</formula>
    </cfRule>
    <cfRule type="cellIs" dxfId="451" priority="1303" operator="equal">
      <formula>0.1</formula>
    </cfRule>
    <cfRule type="cellIs" dxfId="450" priority="1304" operator="lessThan">
      <formula>-0.1</formula>
    </cfRule>
    <cfRule type="cellIs" dxfId="449" priority="1305" operator="greaterThan">
      <formula>0.1</formula>
    </cfRule>
    <cfRule type="iconSet" priority="1307">
      <iconSet iconSet="3Arrows">
        <cfvo type="percent" val="0"/>
        <cfvo type="percent" val="&quot;0+$E$3195&quot;"/>
        <cfvo type="percent" val="1"/>
      </iconSet>
    </cfRule>
    <cfRule type="iconSet" priority="1308">
      <iconSet iconSet="3Arrows">
        <cfvo type="percent" val="0"/>
        <cfvo type="percent" val="-1"/>
        <cfvo type="percent" val="1" gte="0"/>
      </iconSet>
    </cfRule>
  </conditionalFormatting>
  <conditionalFormatting sqref="E3242">
    <cfRule type="cellIs" dxfId="448" priority="302" operator="greaterThan">
      <formula>1</formula>
    </cfRule>
    <cfRule type="cellIs" dxfId="447" priority="303" operator="lessThan">
      <formula>-1</formula>
    </cfRule>
  </conditionalFormatting>
  <conditionalFormatting sqref="E3249:E3256">
    <cfRule type="iconSet" priority="289">
      <iconSet iconSet="3Arrows">
        <cfvo type="percent" val="0"/>
        <cfvo type="percent" val="&quot;0+$E$3195&quot;"/>
        <cfvo type="percent" val="1"/>
      </iconSet>
    </cfRule>
    <cfRule type="cellIs" dxfId="446" priority="290" operator="greaterThan">
      <formula>0.2</formula>
    </cfRule>
    <cfRule type="cellIs" dxfId="445" priority="291" operator="equal">
      <formula>0.1</formula>
    </cfRule>
    <cfRule type="cellIs" dxfId="444" priority="292" operator="lessThan">
      <formula>-0.1</formula>
    </cfRule>
    <cfRule type="cellIs" dxfId="443" priority="293" operator="greaterThan">
      <formula>0.1</formula>
    </cfRule>
  </conditionalFormatting>
  <conditionalFormatting sqref="E3249:E3257">
    <cfRule type="cellIs" dxfId="442" priority="273" operator="greaterThan">
      <formula>1</formula>
    </cfRule>
    <cfRule type="cellIs" dxfId="441" priority="274" operator="lessThan">
      <formula>-1</formula>
    </cfRule>
  </conditionalFormatting>
  <conditionalFormatting sqref="E3251:E3254">
    <cfRule type="cellIs" dxfId="440" priority="285" operator="lessThan">
      <formula>-0.05</formula>
    </cfRule>
  </conditionalFormatting>
  <conditionalFormatting sqref="E3264:E3271">
    <cfRule type="cellIs" dxfId="439" priority="206" operator="lessThan">
      <formula>-0.01</formula>
    </cfRule>
    <cfRule type="cellIs" dxfId="438" priority="261" operator="greaterThan">
      <formula>0.2</formula>
    </cfRule>
    <cfRule type="cellIs" dxfId="437" priority="262" operator="equal">
      <formula>0.1</formula>
    </cfRule>
    <cfRule type="cellIs" dxfId="436" priority="263" operator="lessThan">
      <formula>-0.1</formula>
    </cfRule>
    <cfRule type="cellIs" dxfId="435" priority="264" operator="greaterThan">
      <formula>0.1</formula>
    </cfRule>
    <cfRule type="iconSet" priority="266">
      <iconSet iconSet="3Arrows">
        <cfvo type="percent" val="0"/>
        <cfvo type="percent" val="&quot;0+$E$3195&quot;"/>
        <cfvo type="percent" val="1"/>
      </iconSet>
    </cfRule>
    <cfRule type="iconSet" priority="267">
      <iconSet iconSet="3Arrows">
        <cfvo type="percent" val="0"/>
        <cfvo type="percent" val="-1"/>
        <cfvo type="percent" val="1" gte="0"/>
      </iconSet>
    </cfRule>
  </conditionalFormatting>
  <conditionalFormatting sqref="E3264:E3272">
    <cfRule type="iconSet" priority="205">
      <iconSet iconSet="3Arrows">
        <cfvo type="percent" val="0"/>
        <cfvo type="percent" val="33"/>
        <cfvo type="percent" val="67"/>
      </iconSet>
    </cfRule>
    <cfRule type="cellIs" dxfId="434" priority="245" operator="greaterThan">
      <formula>1</formula>
    </cfRule>
    <cfRule type="cellIs" dxfId="433" priority="246" operator="lessThan">
      <formula>-1</formula>
    </cfRule>
  </conditionalFormatting>
  <conditionalFormatting sqref="E3266:E3270">
    <cfRule type="cellIs" dxfId="432" priority="257" operator="lessThan">
      <formula>-0.05</formula>
    </cfRule>
  </conditionalFormatting>
  <conditionalFormatting sqref="E3279:E3287">
    <cfRule type="cellIs" dxfId="431" priority="154" operator="lessThan">
      <formula>-1</formula>
    </cfRule>
  </conditionalFormatting>
  <conditionalFormatting sqref="E3281:E3282">
    <cfRule type="iconSet" priority="163">
      <iconSet iconSet="3Arrows">
        <cfvo type="percent" val="0"/>
        <cfvo type="percent" val="33"/>
        <cfvo type="percent" val="67"/>
      </iconSet>
    </cfRule>
    <cfRule type="cellIs" dxfId="430" priority="164" operator="lessThan">
      <formula>-0.01</formula>
    </cfRule>
    <cfRule type="iconSet" priority="172">
      <iconSet iconSet="3Arrows">
        <cfvo type="percent" val="0"/>
        <cfvo type="percent" val="&quot;0+$E$3195&quot;"/>
        <cfvo type="percent" val="1"/>
      </iconSet>
    </cfRule>
    <cfRule type="iconSet" priority="173">
      <iconSet iconSet="3Arrows">
        <cfvo type="percent" val="0"/>
        <cfvo type="percent" val="-1"/>
        <cfvo type="percent" val="1" gte="0"/>
      </iconSet>
    </cfRule>
  </conditionalFormatting>
  <conditionalFormatting sqref="E3281:E3284">
    <cfRule type="cellIs" dxfId="429" priority="167" operator="lessThan">
      <formula>-0.05</formula>
    </cfRule>
  </conditionalFormatting>
  <conditionalFormatting sqref="E3281:E3286">
    <cfRule type="cellIs" dxfId="428" priority="156" operator="greaterThan">
      <formula>0.2</formula>
    </cfRule>
    <cfRule type="cellIs" dxfId="427" priority="157" operator="equal">
      <formula>0.1</formula>
    </cfRule>
    <cfRule type="cellIs" dxfId="426" priority="158" operator="lessThan">
      <formula>-0.1</formula>
    </cfRule>
    <cfRule type="cellIs" dxfId="425" priority="159" operator="greaterThan">
      <formula>0.1</formula>
    </cfRule>
  </conditionalFormatting>
  <conditionalFormatting sqref="E3281:E3287">
    <cfRule type="cellIs" dxfId="424" priority="153" operator="greaterThan">
      <formula>1</formula>
    </cfRule>
  </conditionalFormatting>
  <conditionalFormatting sqref="E3283:E3285">
    <cfRule type="iconSet" priority="228">
      <iconSet iconSet="3Arrows">
        <cfvo type="percent" val="0"/>
        <cfvo type="percent" val="&quot;0+$E$3195&quot;"/>
        <cfvo type="percent" val="1"/>
      </iconSet>
    </cfRule>
    <cfRule type="iconSet" priority="234">
      <iconSet iconSet="3Arrows">
        <cfvo type="percent" val="0"/>
        <cfvo type="percent" val="&quot;0+$E$3195&quot;"/>
        <cfvo type="percent" val="1"/>
      </iconSet>
    </cfRule>
    <cfRule type="iconSet" priority="235">
      <iconSet iconSet="3Arrows">
        <cfvo type="percent" val="0"/>
        <cfvo type="percent" val="-1"/>
        <cfvo type="percent" val="1" gte="0"/>
      </iconSet>
    </cfRule>
  </conditionalFormatting>
  <conditionalFormatting sqref="E3286">
    <cfRule type="iconSet" priority="151">
      <iconSet iconSet="3Arrows">
        <cfvo type="percent" val="0"/>
        <cfvo type="percent" val="33"/>
        <cfvo type="percent" val="67"/>
      </iconSet>
    </cfRule>
    <cfRule type="cellIs" dxfId="423" priority="152" operator="lessThan">
      <formula>-0.01</formula>
    </cfRule>
    <cfRule type="cellIs" dxfId="422" priority="155" operator="lessThan">
      <formula>-0.05</formula>
    </cfRule>
    <cfRule type="iconSet" priority="160">
      <iconSet iconSet="3Arrows">
        <cfvo type="percent" val="0"/>
        <cfvo type="percent" val="&quot;0+$E$3195&quot;"/>
        <cfvo type="percent" val="1"/>
      </iconSet>
    </cfRule>
    <cfRule type="iconSet" priority="161">
      <iconSet iconSet="3Arrows">
        <cfvo type="percent" val="0"/>
        <cfvo type="percent" val="-1"/>
        <cfvo type="percent" val="1" gte="0"/>
      </iconSet>
    </cfRule>
  </conditionalFormatting>
  <conditionalFormatting sqref="E3294:E3301">
    <cfRule type="iconSet" priority="195">
      <iconSet iconSet="3Arrows">
        <cfvo type="percent" val="0"/>
        <cfvo type="percent" val="&quot;0+$E$3195&quot;"/>
        <cfvo type="percent" val="1"/>
      </iconSet>
    </cfRule>
    <cfRule type="cellIs" dxfId="421" priority="196" operator="greaterThan">
      <formula>0.2</formula>
    </cfRule>
    <cfRule type="cellIs" dxfId="420" priority="197" operator="equal">
      <formula>0.1</formula>
    </cfRule>
    <cfRule type="cellIs" dxfId="419" priority="198" operator="lessThan">
      <formula>-0.1</formula>
    </cfRule>
    <cfRule type="cellIs" dxfId="418" priority="199" operator="greaterThan">
      <formula>0.1</formula>
    </cfRule>
    <cfRule type="iconSet" priority="201">
      <iconSet iconSet="3Arrows">
        <cfvo type="percent" val="0"/>
        <cfvo type="percent" val="&quot;0+$E$3195&quot;"/>
        <cfvo type="percent" val="1"/>
      </iconSet>
    </cfRule>
    <cfRule type="iconSet" priority="202">
      <iconSet iconSet="3Arrows">
        <cfvo type="percent" val="0"/>
        <cfvo type="percent" val="-1"/>
        <cfvo type="percent" val="1" gte="0"/>
      </iconSet>
    </cfRule>
  </conditionalFormatting>
  <conditionalFormatting sqref="E3294:E3302">
    <cfRule type="cellIs" dxfId="417" priority="182" operator="greaterThan">
      <formula>1</formula>
    </cfRule>
    <cfRule type="cellIs" dxfId="416" priority="183" operator="lessThan">
      <formula>-1</formula>
    </cfRule>
  </conditionalFormatting>
  <conditionalFormatting sqref="E3296:E3299">
    <cfRule type="cellIs" dxfId="415" priority="191" operator="lessThan">
      <formula>-0.05</formula>
    </cfRule>
  </conditionalFormatting>
  <conditionalFormatting sqref="E3309:E3316">
    <cfRule type="iconSet" priority="139">
      <iconSet iconSet="3Arrows">
        <cfvo type="percent" val="0"/>
        <cfvo type="percent" val="&quot;0+$E$3195&quot;"/>
        <cfvo type="percent" val="1"/>
      </iconSet>
    </cfRule>
    <cfRule type="cellIs" dxfId="414" priority="140" operator="greaterThan">
      <formula>0.2</formula>
    </cfRule>
    <cfRule type="cellIs" dxfId="413" priority="141" operator="equal">
      <formula>0.1</formula>
    </cfRule>
    <cfRule type="cellIs" dxfId="412" priority="142" operator="lessThan">
      <formula>-0.1</formula>
    </cfRule>
    <cfRule type="cellIs" dxfId="411" priority="143" operator="greaterThan">
      <formula>0.1</formula>
    </cfRule>
    <cfRule type="iconSet" priority="145">
      <iconSet iconSet="3Arrows">
        <cfvo type="percent" val="0"/>
        <cfvo type="percent" val="&quot;0+$E$3195&quot;"/>
        <cfvo type="percent" val="1"/>
      </iconSet>
    </cfRule>
    <cfRule type="iconSet" priority="146">
      <iconSet iconSet="3Arrows">
        <cfvo type="percent" val="0"/>
        <cfvo type="percent" val="-1"/>
        <cfvo type="percent" val="1" gte="0"/>
      </iconSet>
    </cfRule>
  </conditionalFormatting>
  <conditionalFormatting sqref="E3309:E3317">
    <cfRule type="cellIs" dxfId="410" priority="126" operator="greaterThan">
      <formula>1</formula>
    </cfRule>
    <cfRule type="cellIs" dxfId="409" priority="127" operator="lessThan">
      <formula>-1</formula>
    </cfRule>
  </conditionalFormatting>
  <conditionalFormatting sqref="E3311:E3314">
    <cfRule type="cellIs" dxfId="408" priority="135" operator="lessThan">
      <formula>-0.05</formula>
    </cfRule>
  </conditionalFormatting>
  <conditionalFormatting sqref="E3324:E3331">
    <cfRule type="iconSet" priority="107">
      <iconSet iconSet="3Arrows">
        <cfvo type="percent" val="0"/>
        <cfvo type="percent" val="&quot;0+$E$3195&quot;"/>
        <cfvo type="percent" val="1"/>
      </iconSet>
    </cfRule>
    <cfRule type="cellIs" dxfId="407" priority="108" operator="greaterThan">
      <formula>0.2</formula>
    </cfRule>
    <cfRule type="cellIs" dxfId="406" priority="109" operator="equal">
      <formula>0.1</formula>
    </cfRule>
    <cfRule type="cellIs" dxfId="405" priority="110" operator="lessThan">
      <formula>-0.1</formula>
    </cfRule>
    <cfRule type="cellIs" dxfId="404" priority="111" operator="greaterThan">
      <formula>0.1</formula>
    </cfRule>
    <cfRule type="iconSet" priority="113">
      <iconSet iconSet="3Arrows">
        <cfvo type="percent" val="0"/>
        <cfvo type="percent" val="&quot;0+$E$3195&quot;"/>
        <cfvo type="percent" val="1"/>
      </iconSet>
    </cfRule>
    <cfRule type="iconSet" priority="114">
      <iconSet iconSet="3Arrows">
        <cfvo type="percent" val="0"/>
        <cfvo type="percent" val="-1"/>
        <cfvo type="percent" val="1" gte="0"/>
      </iconSet>
    </cfRule>
  </conditionalFormatting>
  <conditionalFormatting sqref="E3324:E3332">
    <cfRule type="cellIs" dxfId="403" priority="94" operator="greaterThan">
      <formula>1</formula>
    </cfRule>
    <cfRule type="cellIs" dxfId="402" priority="95" operator="lessThan">
      <formula>-1</formula>
    </cfRule>
  </conditionalFormatting>
  <conditionalFormatting sqref="E3326:E3329">
    <cfRule type="cellIs" dxfId="401" priority="103" operator="lessThan">
      <formula>-0.05</formula>
    </cfRule>
  </conditionalFormatting>
  <conditionalFormatting sqref="E3339:E3346">
    <cfRule type="iconSet" priority="80">
      <iconSet iconSet="3Arrows">
        <cfvo type="percent" val="0"/>
        <cfvo type="percent" val="&quot;0+$E$3195&quot;"/>
        <cfvo type="percent" val="1"/>
      </iconSet>
    </cfRule>
    <cfRule type="cellIs" dxfId="400" priority="81" operator="greaterThan">
      <formula>0.2</formula>
    </cfRule>
    <cfRule type="cellIs" dxfId="399" priority="82" operator="equal">
      <formula>0.1</formula>
    </cfRule>
    <cfRule type="cellIs" dxfId="398" priority="83" operator="lessThan">
      <formula>-0.1</formula>
    </cfRule>
    <cfRule type="cellIs" dxfId="397" priority="84" operator="greaterThan">
      <formula>0.1</formula>
    </cfRule>
    <cfRule type="iconSet" priority="86">
      <iconSet iconSet="3Arrows">
        <cfvo type="percent" val="0"/>
        <cfvo type="percent" val="&quot;0+$E$3195&quot;"/>
        <cfvo type="percent" val="1"/>
      </iconSet>
    </cfRule>
    <cfRule type="iconSet" priority="87">
      <iconSet iconSet="3Arrows">
        <cfvo type="percent" val="0"/>
        <cfvo type="percent" val="-1"/>
        <cfvo type="percent" val="1" gte="0"/>
      </iconSet>
    </cfRule>
  </conditionalFormatting>
  <conditionalFormatting sqref="E3339:E3347">
    <cfRule type="cellIs" dxfId="396" priority="67" operator="greaterThan">
      <formula>1</formula>
    </cfRule>
    <cfRule type="cellIs" dxfId="395" priority="68" operator="lessThan">
      <formula>-1</formula>
    </cfRule>
  </conditionalFormatting>
  <conditionalFormatting sqref="E3341:E3344">
    <cfRule type="cellIs" dxfId="394" priority="76" operator="lessThan">
      <formula>-0.05</formula>
    </cfRule>
  </conditionalFormatting>
  <conditionalFormatting sqref="E3354:E3361">
    <cfRule type="iconSet" priority="53">
      <iconSet iconSet="3Arrows">
        <cfvo type="percent" val="0"/>
        <cfvo type="percent" val="&quot;0+$E$3195&quot;"/>
        <cfvo type="percent" val="1"/>
      </iconSet>
    </cfRule>
    <cfRule type="cellIs" dxfId="393" priority="54" operator="greaterThan">
      <formula>0.2</formula>
    </cfRule>
    <cfRule type="cellIs" dxfId="392" priority="55" operator="equal">
      <formula>0.1</formula>
    </cfRule>
    <cfRule type="cellIs" dxfId="391" priority="56" operator="lessThan">
      <formula>-0.1</formula>
    </cfRule>
    <cfRule type="cellIs" dxfId="390" priority="57" operator="greaterThan">
      <formula>0.1</formula>
    </cfRule>
    <cfRule type="iconSet" priority="59">
      <iconSet iconSet="3Arrows">
        <cfvo type="percent" val="0"/>
        <cfvo type="percent" val="&quot;0+$E$3195&quot;"/>
        <cfvo type="percent" val="1"/>
      </iconSet>
    </cfRule>
    <cfRule type="iconSet" priority="60">
      <iconSet iconSet="3Arrows">
        <cfvo type="percent" val="0"/>
        <cfvo type="percent" val="-1"/>
        <cfvo type="percent" val="1" gte="0"/>
      </iconSet>
    </cfRule>
  </conditionalFormatting>
  <conditionalFormatting sqref="E3354:E3362">
    <cfRule type="cellIs" dxfId="389" priority="40" operator="greaterThan">
      <formula>1</formula>
    </cfRule>
    <cfRule type="cellIs" dxfId="388" priority="41" operator="lessThan">
      <formula>-1</formula>
    </cfRule>
  </conditionalFormatting>
  <conditionalFormatting sqref="E3356:E3359">
    <cfRule type="cellIs" dxfId="387" priority="49" operator="lessThan">
      <formula>-0.05</formula>
    </cfRule>
  </conditionalFormatting>
  <conditionalFormatting sqref="E3369:E3376">
    <cfRule type="iconSet" priority="26">
      <iconSet iconSet="3Arrows">
        <cfvo type="percent" val="0"/>
        <cfvo type="percent" val="&quot;0+$E$3195&quot;"/>
        <cfvo type="percent" val="1"/>
      </iconSet>
    </cfRule>
    <cfRule type="cellIs" dxfId="386" priority="27" operator="greaterThan">
      <formula>0.2</formula>
    </cfRule>
    <cfRule type="cellIs" dxfId="385" priority="28" operator="equal">
      <formula>0.1</formula>
    </cfRule>
    <cfRule type="cellIs" dxfId="384" priority="29" operator="lessThan">
      <formula>-0.1</formula>
    </cfRule>
    <cfRule type="cellIs" dxfId="383" priority="30" operator="greaterThan">
      <formula>0.1</formula>
    </cfRule>
    <cfRule type="iconSet" priority="32">
      <iconSet iconSet="3Arrows">
        <cfvo type="percent" val="0"/>
        <cfvo type="percent" val="&quot;0+$E$3195&quot;"/>
        <cfvo type="percent" val="1"/>
      </iconSet>
    </cfRule>
    <cfRule type="iconSet" priority="33">
      <iconSet iconSet="3Arrows">
        <cfvo type="percent" val="0"/>
        <cfvo type="percent" val="-1"/>
        <cfvo type="percent" val="1" gte="0"/>
      </iconSet>
    </cfRule>
  </conditionalFormatting>
  <conditionalFormatting sqref="E3369:E3377">
    <cfRule type="cellIs" dxfId="382" priority="13" operator="greaterThan">
      <formula>1</formula>
    </cfRule>
    <cfRule type="cellIs" dxfId="381" priority="14" operator="lessThan">
      <formula>-1</formula>
    </cfRule>
  </conditionalFormatting>
  <conditionalFormatting sqref="E3371:E3374">
    <cfRule type="cellIs" dxfId="380" priority="22" operator="lessThan">
      <formula>-0.05</formula>
    </cfRule>
  </conditionalFormatting>
  <conditionalFormatting sqref="F1823">
    <cfRule type="cellIs" dxfId="379" priority="1048" operator="lessThan">
      <formula>-0.01</formula>
    </cfRule>
  </conditionalFormatting>
  <conditionalFormatting sqref="F1859">
    <cfRule type="cellIs" dxfId="378" priority="1051" operator="lessThan">
      <formula>-0.01</formula>
    </cfRule>
  </conditionalFormatting>
  <conditionalFormatting sqref="F1882">
    <cfRule type="cellIs" dxfId="377" priority="1054" operator="lessThan">
      <formula>-0.01</formula>
    </cfRule>
  </conditionalFormatting>
  <conditionalFormatting sqref="F1896">
    <cfRule type="cellIs" dxfId="376" priority="1057" operator="lessThan">
      <formula>-0.01</formula>
    </cfRule>
  </conditionalFormatting>
  <conditionalFormatting sqref="F1910">
    <cfRule type="cellIs" dxfId="375" priority="1060" operator="lessThan">
      <formula>-0.01</formula>
    </cfRule>
  </conditionalFormatting>
  <conditionalFormatting sqref="F1924">
    <cfRule type="cellIs" dxfId="374" priority="1063" operator="lessThan">
      <formula>-0.01</formula>
    </cfRule>
  </conditionalFormatting>
  <conditionalFormatting sqref="F1954">
    <cfRule type="cellIs" dxfId="373" priority="1066" operator="lessThan">
      <formula>-0.01</formula>
    </cfRule>
  </conditionalFormatting>
  <conditionalFormatting sqref="F1999">
    <cfRule type="cellIs" dxfId="372" priority="1069" operator="lessThan">
      <formula>-0.01</formula>
    </cfRule>
  </conditionalFormatting>
  <conditionalFormatting sqref="F2044">
    <cfRule type="cellIs" dxfId="371" priority="1072" operator="lessThan">
      <formula>-0.01</formula>
    </cfRule>
  </conditionalFormatting>
  <conditionalFormatting sqref="F2105">
    <cfRule type="cellIs" dxfId="370" priority="1075" operator="lessThan">
      <formula>-0.01</formula>
    </cfRule>
  </conditionalFormatting>
  <conditionalFormatting sqref="F2135">
    <cfRule type="cellIs" dxfId="369" priority="1078" operator="lessThan">
      <formula>-0.01</formula>
    </cfRule>
  </conditionalFormatting>
  <conditionalFormatting sqref="F2173">
    <cfRule type="cellIs" dxfId="368" priority="1081" operator="lessThan">
      <formula>-0.01</formula>
    </cfRule>
  </conditionalFormatting>
  <conditionalFormatting sqref="F2184">
    <cfRule type="cellIs" dxfId="367" priority="1084" operator="lessThan">
      <formula>-0.01</formula>
    </cfRule>
  </conditionalFormatting>
  <conditionalFormatting sqref="F2198">
    <cfRule type="cellIs" dxfId="366" priority="1087" operator="lessThan">
      <formula>-0.01</formula>
    </cfRule>
  </conditionalFormatting>
  <conditionalFormatting sqref="F2280">
    <cfRule type="cellIs" dxfId="365" priority="1090" operator="lessThan">
      <formula>-0.01</formula>
    </cfRule>
  </conditionalFormatting>
  <conditionalFormatting sqref="F2392">
    <cfRule type="cellIs" dxfId="364" priority="1045" operator="lessThan">
      <formula>-0.01</formula>
    </cfRule>
  </conditionalFormatting>
  <conditionalFormatting sqref="F2440">
    <cfRule type="cellIs" dxfId="363" priority="1266" operator="lessThan">
      <formula>-0.01</formula>
    </cfRule>
  </conditionalFormatting>
  <conditionalFormatting sqref="F2456">
    <cfRule type="cellIs" dxfId="362" priority="1265" operator="lessThan">
      <formula>-0.01</formula>
    </cfRule>
  </conditionalFormatting>
  <conditionalFormatting sqref="F2472">
    <cfRule type="cellIs" dxfId="361" priority="1264" operator="lessThan">
      <formula>-0.01</formula>
    </cfRule>
  </conditionalFormatting>
  <conditionalFormatting sqref="F2489">
    <cfRule type="cellIs" dxfId="360" priority="1255" operator="lessThan">
      <formula>-0.01</formula>
    </cfRule>
  </conditionalFormatting>
  <conditionalFormatting sqref="F2506">
    <cfRule type="cellIs" dxfId="359" priority="1246" operator="lessThan">
      <formula>-0.01</formula>
    </cfRule>
  </conditionalFormatting>
  <conditionalFormatting sqref="F2524">
    <cfRule type="cellIs" dxfId="358" priority="1238" operator="lessThan">
      <formula>-0.01</formula>
    </cfRule>
  </conditionalFormatting>
  <conditionalFormatting sqref="F2542">
    <cfRule type="cellIs" dxfId="357" priority="1228" operator="lessThan">
      <formula>-0.01</formula>
    </cfRule>
  </conditionalFormatting>
  <conditionalFormatting sqref="F2560">
    <cfRule type="cellIs" dxfId="356" priority="1218" operator="lessThan">
      <formula>-0.01</formula>
    </cfRule>
  </conditionalFormatting>
  <conditionalFormatting sqref="F2576">
    <cfRule type="cellIs" dxfId="355" priority="1197" operator="lessThan">
      <formula>-0.01</formula>
    </cfRule>
  </conditionalFormatting>
  <conditionalFormatting sqref="F2583:F2589">
    <cfRule type="cellIs" dxfId="354" priority="1165" operator="lessThan">
      <formula>-5000</formula>
    </cfRule>
    <cfRule type="cellIs" dxfId="353" priority="1166" operator="greaterThan">
      <formula>5000</formula>
    </cfRule>
  </conditionalFormatting>
  <conditionalFormatting sqref="F2592">
    <cfRule type="cellIs" dxfId="352" priority="1181" operator="lessThan">
      <formula>-0.01</formula>
    </cfRule>
  </conditionalFormatting>
  <conditionalFormatting sqref="F2608">
    <cfRule type="cellIs" dxfId="351" priority="1170" operator="lessThan">
      <formula>-0.01</formula>
    </cfRule>
  </conditionalFormatting>
  <conditionalFormatting sqref="F2624">
    <cfRule type="cellIs" dxfId="350" priority="1142" operator="lessThan">
      <formula>-0.01</formula>
    </cfRule>
  </conditionalFormatting>
  <conditionalFormatting sqref="F2638">
    <cfRule type="cellIs" dxfId="349" priority="1125" operator="lessThan">
      <formula>-0.01</formula>
    </cfRule>
  </conditionalFormatting>
  <conditionalFormatting sqref="F2652">
    <cfRule type="cellIs" dxfId="348" priority="1107" operator="lessThan">
      <formula>-0.01</formula>
    </cfRule>
  </conditionalFormatting>
  <conditionalFormatting sqref="F2665">
    <cfRule type="cellIs" dxfId="347" priority="1034" operator="lessThan">
      <formula>-0.01</formula>
    </cfRule>
  </conditionalFormatting>
  <conditionalFormatting sqref="F2683">
    <cfRule type="cellIs" dxfId="346" priority="1012" operator="lessThan">
      <formula>-0.01</formula>
    </cfRule>
  </conditionalFormatting>
  <conditionalFormatting sqref="F2704">
    <cfRule type="cellIs" dxfId="345" priority="984" operator="lessThan">
      <formula>-0.01</formula>
    </cfRule>
  </conditionalFormatting>
  <conditionalFormatting sqref="F2725">
    <cfRule type="cellIs" dxfId="344" priority="952" operator="lessThan">
      <formula>-0.01</formula>
    </cfRule>
  </conditionalFormatting>
  <conditionalFormatting sqref="F2740">
    <cfRule type="cellIs" dxfId="343" priority="935" operator="lessThan">
      <formula>-0.01</formula>
    </cfRule>
  </conditionalFormatting>
  <conditionalFormatting sqref="F2756">
    <cfRule type="cellIs" dxfId="342" priority="915" operator="lessThan">
      <formula>-0.01</formula>
    </cfRule>
  </conditionalFormatting>
  <conditionalFormatting sqref="F2772">
    <cfRule type="cellIs" dxfId="341" priority="894" operator="lessThan">
      <formula>-0.01</formula>
    </cfRule>
  </conditionalFormatting>
  <conditionalFormatting sqref="F2787">
    <cfRule type="cellIs" dxfId="340" priority="875" operator="lessThan">
      <formula>-0.01</formula>
    </cfRule>
  </conditionalFormatting>
  <conditionalFormatting sqref="F2802">
    <cfRule type="cellIs" dxfId="339" priority="853" operator="lessThan">
      <formula>-0.01</formula>
    </cfRule>
  </conditionalFormatting>
  <conditionalFormatting sqref="F2816">
    <cfRule type="cellIs" dxfId="338" priority="837" operator="lessThan">
      <formula>-0.01</formula>
    </cfRule>
  </conditionalFormatting>
  <conditionalFormatting sqref="F2830">
    <cfRule type="cellIs" dxfId="337" priority="818" operator="lessThan">
      <formula>-0.01</formula>
    </cfRule>
  </conditionalFormatting>
  <conditionalFormatting sqref="F2845">
    <cfRule type="cellIs" dxfId="336" priority="792" operator="lessThan">
      <formula>-0.01</formula>
    </cfRule>
  </conditionalFormatting>
  <conditionalFormatting sqref="F2859">
    <cfRule type="cellIs" dxfId="335" priority="775" operator="lessThan">
      <formula>-0.01</formula>
    </cfRule>
  </conditionalFormatting>
  <conditionalFormatting sqref="F2873">
    <cfRule type="cellIs" dxfId="334" priority="760" operator="lessThan">
      <formula>-0.01</formula>
    </cfRule>
  </conditionalFormatting>
  <conditionalFormatting sqref="F2893">
    <cfRule type="cellIs" dxfId="333" priority="746" operator="lessThan">
      <formula>-0.01</formula>
    </cfRule>
  </conditionalFormatting>
  <conditionalFormatting sqref="F2908">
    <cfRule type="cellIs" dxfId="332" priority="734" operator="lessThan">
      <formula>-0.01</formula>
    </cfRule>
  </conditionalFormatting>
  <conditionalFormatting sqref="F2924">
    <cfRule type="cellIs" dxfId="331" priority="719" operator="lessThan">
      <formula>-0.01</formula>
    </cfRule>
  </conditionalFormatting>
  <conditionalFormatting sqref="F2940">
    <cfRule type="cellIs" dxfId="330" priority="699" operator="lessThan">
      <formula>-0.01</formula>
    </cfRule>
  </conditionalFormatting>
  <conditionalFormatting sqref="F2956">
    <cfRule type="cellIs" dxfId="329" priority="677" operator="lessThan">
      <formula>-0.01</formula>
    </cfRule>
  </conditionalFormatting>
  <conditionalFormatting sqref="F2972">
    <cfRule type="cellIs" dxfId="328" priority="646" operator="lessThan">
      <formula>-0.01</formula>
    </cfRule>
  </conditionalFormatting>
  <conditionalFormatting sqref="F2987">
    <cfRule type="cellIs" dxfId="327" priority="623" operator="lessThan">
      <formula>-0.01</formula>
    </cfRule>
  </conditionalFormatting>
  <conditionalFormatting sqref="F3002">
    <cfRule type="cellIs" dxfId="326" priority="602" operator="lessThan">
      <formula>-0.01</formula>
    </cfRule>
  </conditionalFormatting>
  <conditionalFormatting sqref="F3016">
    <cfRule type="cellIs" dxfId="325" priority="581" operator="lessThan">
      <formula>-0.01</formula>
    </cfRule>
  </conditionalFormatting>
  <conditionalFormatting sqref="F3029">
    <cfRule type="cellIs" dxfId="324" priority="563" operator="lessThan">
      <formula>-0.01</formula>
    </cfRule>
  </conditionalFormatting>
  <conditionalFormatting sqref="F3042">
    <cfRule type="cellIs" dxfId="323" priority="544" operator="lessThan">
      <formula>-0.01</formula>
    </cfRule>
  </conditionalFormatting>
  <conditionalFormatting sqref="F3055">
    <cfRule type="cellIs" dxfId="322" priority="525" operator="lessThan">
      <formula>-0.01</formula>
    </cfRule>
  </conditionalFormatting>
  <conditionalFormatting sqref="F3068">
    <cfRule type="cellIs" dxfId="321" priority="506" operator="lessThan">
      <formula>-0.01</formula>
    </cfRule>
  </conditionalFormatting>
  <conditionalFormatting sqref="F3081">
    <cfRule type="cellIs" dxfId="320" priority="487" operator="lessThan">
      <formula>-0.01</formula>
    </cfRule>
  </conditionalFormatting>
  <conditionalFormatting sqref="F3094">
    <cfRule type="cellIs" dxfId="319" priority="468" operator="lessThan">
      <formula>-0.01</formula>
    </cfRule>
  </conditionalFormatting>
  <conditionalFormatting sqref="F3107">
    <cfRule type="cellIs" dxfId="318" priority="449" operator="lessThan">
      <formula>-0.01</formula>
    </cfRule>
  </conditionalFormatting>
  <conditionalFormatting sqref="F3120">
    <cfRule type="cellIs" dxfId="317" priority="431" operator="lessThan">
      <formula>-0.01</formula>
    </cfRule>
  </conditionalFormatting>
  <conditionalFormatting sqref="F3133">
    <cfRule type="cellIs" dxfId="316" priority="412" operator="lessThan">
      <formula>-0.01</formula>
    </cfRule>
  </conditionalFormatting>
  <conditionalFormatting sqref="F3141:F3149">
    <cfRule type="colorScale" priority="384">
      <colorScale>
        <cfvo type="min"/>
        <cfvo type="percentile" val="50"/>
        <cfvo type="max"/>
        <color rgb="FFF8696B"/>
        <color rgb="FFFFEB84"/>
        <color rgb="FF63BE7B"/>
      </colorScale>
    </cfRule>
  </conditionalFormatting>
  <conditionalFormatting sqref="F3150">
    <cfRule type="cellIs" dxfId="315" priority="400" operator="lessThan">
      <formula>-0.01</formula>
    </cfRule>
  </conditionalFormatting>
  <conditionalFormatting sqref="F3158:F3169">
    <cfRule type="colorScale" priority="1295">
      <colorScale>
        <cfvo type="min"/>
        <cfvo type="percentile" val="50"/>
        <cfvo type="max"/>
        <color rgb="FFF8696B"/>
        <color rgb="FFFFEB84"/>
        <color rgb="FF63BE7B"/>
      </colorScale>
    </cfRule>
  </conditionalFormatting>
  <conditionalFormatting sqref="F3170">
    <cfRule type="cellIs" dxfId="314" priority="388" operator="lessThan">
      <formula>-0.01</formula>
    </cfRule>
  </conditionalFormatting>
  <conditionalFormatting sqref="F3179:F3188">
    <cfRule type="colorScale" priority="1301">
      <colorScale>
        <cfvo type="min"/>
        <cfvo type="percentile" val="50"/>
        <cfvo type="max"/>
        <color rgb="FFF8696B"/>
        <color rgb="FFFFEB84"/>
        <color rgb="FF63BE7B"/>
      </colorScale>
    </cfRule>
  </conditionalFormatting>
  <conditionalFormatting sqref="F3189">
    <cfRule type="cellIs" dxfId="313" priority="369" operator="lessThan">
      <formula>-0.01</formula>
    </cfRule>
  </conditionalFormatting>
  <conditionalFormatting sqref="F3197:F3206">
    <cfRule type="colorScale" priority="364">
      <colorScale>
        <cfvo type="min"/>
        <cfvo type="percentile" val="50"/>
        <cfvo type="max"/>
        <color rgb="FFF8696B"/>
        <color rgb="FFFFEB84"/>
        <color rgb="FF63BE7B"/>
      </colorScale>
    </cfRule>
  </conditionalFormatting>
  <conditionalFormatting sqref="F3207">
    <cfRule type="cellIs" dxfId="312" priority="344" operator="lessThan">
      <formula>-0.01</formula>
    </cfRule>
  </conditionalFormatting>
  <conditionalFormatting sqref="F3216:F3226">
    <cfRule type="colorScale" priority="337">
      <colorScale>
        <cfvo type="min"/>
        <cfvo type="percentile" val="50"/>
        <cfvo type="max"/>
        <color rgb="FFF8696B"/>
        <color rgb="FFFFEB84"/>
        <color rgb="FF63BE7B"/>
      </colorScale>
    </cfRule>
  </conditionalFormatting>
  <conditionalFormatting sqref="F3227">
    <cfRule type="cellIs" dxfId="311" priority="323" operator="lessThan">
      <formula>-0.01</formula>
    </cfRule>
  </conditionalFormatting>
  <conditionalFormatting sqref="F3236:F3241">
    <cfRule type="colorScale" priority="1306">
      <colorScale>
        <cfvo type="min"/>
        <cfvo type="percentile" val="50"/>
        <cfvo type="max"/>
        <color rgb="FFF8696B"/>
        <color rgb="FFFFEB84"/>
        <color rgb="FF63BE7B"/>
      </colorScale>
    </cfRule>
  </conditionalFormatting>
  <conditionalFormatting sqref="F3242">
    <cfRule type="cellIs" dxfId="310" priority="301" operator="lessThan">
      <formula>-0.01</formula>
    </cfRule>
  </conditionalFormatting>
  <conditionalFormatting sqref="F3251:F3256">
    <cfRule type="colorScale" priority="294">
      <colorScale>
        <cfvo type="min"/>
        <cfvo type="percentile" val="50"/>
        <cfvo type="max"/>
        <color rgb="FFF8696B"/>
        <color rgb="FFFFEB84"/>
        <color rgb="FF63BE7B"/>
      </colorScale>
    </cfRule>
  </conditionalFormatting>
  <conditionalFormatting sqref="F3257">
    <cfRule type="cellIs" dxfId="309" priority="272" operator="lessThan">
      <formula>-0.01</formula>
    </cfRule>
  </conditionalFormatting>
  <conditionalFormatting sqref="F3266:F3271">
    <cfRule type="colorScale" priority="265">
      <colorScale>
        <cfvo type="min"/>
        <cfvo type="percentile" val="50"/>
        <cfvo type="max"/>
        <color rgb="FFF8696B"/>
        <color rgb="FFFFEB84"/>
        <color rgb="FF63BE7B"/>
      </colorScale>
    </cfRule>
  </conditionalFormatting>
  <conditionalFormatting sqref="F3272">
    <cfRule type="cellIs" dxfId="308" priority="244" operator="lessThan">
      <formula>-0.01</formula>
    </cfRule>
  </conditionalFormatting>
  <conditionalFormatting sqref="F3281:F3286">
    <cfRule type="colorScale" priority="233">
      <colorScale>
        <cfvo type="min"/>
        <cfvo type="percentile" val="50"/>
        <cfvo type="max"/>
        <color rgb="FFF8696B"/>
        <color rgb="FFFFEB84"/>
        <color rgb="FF63BE7B"/>
      </colorScale>
    </cfRule>
  </conditionalFormatting>
  <conditionalFormatting sqref="F3287">
    <cfRule type="cellIs" dxfId="307" priority="211" operator="lessThan">
      <formula>-0.01</formula>
    </cfRule>
  </conditionalFormatting>
  <conditionalFormatting sqref="F3296:F3301">
    <cfRule type="colorScale" priority="200">
      <colorScale>
        <cfvo type="min"/>
        <cfvo type="percentile" val="50"/>
        <cfvo type="max"/>
        <color rgb="FFF8696B"/>
        <color rgb="FFFFEB84"/>
        <color rgb="FF63BE7B"/>
      </colorScale>
    </cfRule>
  </conditionalFormatting>
  <conditionalFormatting sqref="F3302">
    <cfRule type="cellIs" dxfId="306" priority="181" operator="lessThan">
      <formula>-0.01</formula>
    </cfRule>
  </conditionalFormatting>
  <conditionalFormatting sqref="F3311:F3316">
    <cfRule type="colorScale" priority="144">
      <colorScale>
        <cfvo type="min"/>
        <cfvo type="percentile" val="50"/>
        <cfvo type="max"/>
        <color rgb="FFF8696B"/>
        <color rgb="FFFFEB84"/>
        <color rgb="FF63BE7B"/>
      </colorScale>
    </cfRule>
  </conditionalFormatting>
  <conditionalFormatting sqref="F3317">
    <cfRule type="cellIs" dxfId="305" priority="125" operator="lessThan">
      <formula>-0.01</formula>
    </cfRule>
  </conditionalFormatting>
  <conditionalFormatting sqref="F3326:F3331">
    <cfRule type="colorScale" priority="112">
      <colorScale>
        <cfvo type="min"/>
        <cfvo type="percentile" val="50"/>
        <cfvo type="max"/>
        <color rgb="FFF8696B"/>
        <color rgb="FFFFEB84"/>
        <color rgb="FF63BE7B"/>
      </colorScale>
    </cfRule>
  </conditionalFormatting>
  <conditionalFormatting sqref="F3332">
    <cfRule type="cellIs" dxfId="304" priority="93" operator="lessThan">
      <formula>-0.01</formula>
    </cfRule>
  </conditionalFormatting>
  <conditionalFormatting sqref="F3341:F3346">
    <cfRule type="colorScale" priority="85">
      <colorScale>
        <cfvo type="min"/>
        <cfvo type="percentile" val="50"/>
        <cfvo type="max"/>
        <color rgb="FFF8696B"/>
        <color rgb="FFFFEB84"/>
        <color rgb="FF63BE7B"/>
      </colorScale>
    </cfRule>
  </conditionalFormatting>
  <conditionalFormatting sqref="F3347">
    <cfRule type="cellIs" dxfId="303" priority="66" operator="lessThan">
      <formula>-0.01</formula>
    </cfRule>
  </conditionalFormatting>
  <conditionalFormatting sqref="F3356:F3361">
    <cfRule type="colorScale" priority="58">
      <colorScale>
        <cfvo type="min"/>
        <cfvo type="percentile" val="50"/>
        <cfvo type="max"/>
        <color rgb="FFF8696B"/>
        <color rgb="FFFFEB84"/>
        <color rgb="FF63BE7B"/>
      </colorScale>
    </cfRule>
  </conditionalFormatting>
  <conditionalFormatting sqref="F3362">
    <cfRule type="cellIs" dxfId="302" priority="39" operator="lessThan">
      <formula>-0.01</formula>
    </cfRule>
  </conditionalFormatting>
  <conditionalFormatting sqref="F3371:F3376">
    <cfRule type="colorScale" priority="31">
      <colorScale>
        <cfvo type="min"/>
        <cfvo type="percentile" val="50"/>
        <cfvo type="max"/>
        <color rgb="FFF8696B"/>
        <color rgb="FFFFEB84"/>
        <color rgb="FF63BE7B"/>
      </colorScale>
    </cfRule>
  </conditionalFormatting>
  <conditionalFormatting sqref="F3377">
    <cfRule type="cellIs" dxfId="301" priority="12" operator="lessThan">
      <formula>-0.01</formula>
    </cfRule>
  </conditionalFormatting>
  <conditionalFormatting sqref="H2638">
    <cfRule type="cellIs" dxfId="300" priority="1100" operator="greaterThan">
      <formula>1</formula>
    </cfRule>
    <cfRule type="cellIs" dxfId="299" priority="1101" operator="lessThan">
      <formula>-1</formula>
    </cfRule>
  </conditionalFormatting>
  <conditionalFormatting sqref="H2652">
    <cfRule type="cellIs" dxfId="298" priority="1094" operator="greaterThan">
      <formula>1</formula>
    </cfRule>
    <cfRule type="cellIs" dxfId="297" priority="1095" operator="lessThan">
      <formula>-1</formula>
    </cfRule>
  </conditionalFormatting>
  <conditionalFormatting sqref="H2665">
    <cfRule type="cellIs" dxfId="296" priority="1029" operator="greaterThan">
      <formula>1</formula>
    </cfRule>
    <cfRule type="cellIs" dxfId="295" priority="1030" operator="lessThan">
      <formula>-1</formula>
    </cfRule>
  </conditionalFormatting>
  <conditionalFormatting sqref="H2683">
    <cfRule type="cellIs" dxfId="294" priority="1008" operator="greaterThan">
      <formula>1</formula>
    </cfRule>
    <cfRule type="cellIs" dxfId="293" priority="1009" operator="lessThan">
      <formula>-1</formula>
    </cfRule>
  </conditionalFormatting>
  <conditionalFormatting sqref="H2704">
    <cfRule type="cellIs" dxfId="292" priority="980" operator="greaterThan">
      <formula>1</formula>
    </cfRule>
    <cfRule type="cellIs" dxfId="291" priority="981" operator="lessThan">
      <formula>-1</formula>
    </cfRule>
  </conditionalFormatting>
  <conditionalFormatting sqref="H2725">
    <cfRule type="cellIs" dxfId="290" priority="948" operator="greaterThan">
      <formula>1</formula>
    </cfRule>
    <cfRule type="cellIs" dxfId="289" priority="949" operator="lessThan">
      <formula>-1</formula>
    </cfRule>
  </conditionalFormatting>
  <conditionalFormatting sqref="H2740">
    <cfRule type="cellIs" dxfId="288" priority="931" operator="greaterThan">
      <formula>1</formula>
    </cfRule>
    <cfRule type="cellIs" dxfId="287" priority="932" operator="lessThan">
      <formula>-1</formula>
    </cfRule>
  </conditionalFormatting>
  <conditionalFormatting sqref="H2756">
    <cfRule type="cellIs" dxfId="286" priority="912" operator="greaterThan">
      <formula>1</formula>
    </cfRule>
    <cfRule type="cellIs" dxfId="285" priority="913" operator="lessThan">
      <formula>-1</formula>
    </cfRule>
  </conditionalFormatting>
  <conditionalFormatting sqref="H2772">
    <cfRule type="cellIs" dxfId="284" priority="891" operator="greaterThan">
      <formula>1</formula>
    </cfRule>
    <cfRule type="cellIs" dxfId="283" priority="892" operator="lessThan">
      <formula>-1</formula>
    </cfRule>
  </conditionalFormatting>
  <conditionalFormatting sqref="H2787">
    <cfRule type="cellIs" dxfId="282" priority="872" operator="greaterThan">
      <formula>1</formula>
    </cfRule>
    <cfRule type="cellIs" dxfId="281" priority="873" operator="lessThan">
      <formula>-1</formula>
    </cfRule>
  </conditionalFormatting>
  <conditionalFormatting sqref="H2802">
    <cfRule type="cellIs" dxfId="280" priority="850" operator="greaterThan">
      <formula>1</formula>
    </cfRule>
    <cfRule type="cellIs" dxfId="279" priority="851" operator="lessThan">
      <formula>-1</formula>
    </cfRule>
  </conditionalFormatting>
  <conditionalFormatting sqref="H2816">
    <cfRule type="cellIs" dxfId="278" priority="834" operator="greaterThan">
      <formula>1</formula>
    </cfRule>
    <cfRule type="cellIs" dxfId="277" priority="835" operator="lessThan">
      <formula>-1</formula>
    </cfRule>
  </conditionalFormatting>
  <conditionalFormatting sqref="H2830">
    <cfRule type="cellIs" dxfId="276" priority="815" operator="greaterThan">
      <formula>1</formula>
    </cfRule>
    <cfRule type="cellIs" dxfId="275" priority="816" operator="lessThan">
      <formula>-1</formula>
    </cfRule>
  </conditionalFormatting>
  <conditionalFormatting sqref="H2845">
    <cfRule type="cellIs" dxfId="274" priority="789" operator="greaterThan">
      <formula>1</formula>
    </cfRule>
    <cfRule type="cellIs" dxfId="273" priority="790" operator="lessThan">
      <formula>-1</formula>
    </cfRule>
  </conditionalFormatting>
  <conditionalFormatting sqref="H2859">
    <cfRule type="cellIs" dxfId="272" priority="772" operator="greaterThan">
      <formula>1</formula>
    </cfRule>
    <cfRule type="cellIs" dxfId="271" priority="773" operator="lessThan">
      <formula>-1</formula>
    </cfRule>
  </conditionalFormatting>
  <conditionalFormatting sqref="H2873">
    <cfRule type="cellIs" dxfId="270" priority="757" operator="greaterThan">
      <formula>1</formula>
    </cfRule>
    <cfRule type="cellIs" dxfId="269" priority="758" operator="lessThan">
      <formula>-1</formula>
    </cfRule>
  </conditionalFormatting>
  <conditionalFormatting sqref="H2893">
    <cfRule type="cellIs" dxfId="268" priority="743" operator="greaterThan">
      <formula>1</formula>
    </cfRule>
    <cfRule type="cellIs" dxfId="267" priority="744" operator="lessThan">
      <formula>-1</formula>
    </cfRule>
  </conditionalFormatting>
  <conditionalFormatting sqref="H2908">
    <cfRule type="cellIs" dxfId="266" priority="731" operator="greaterThan">
      <formula>1</formula>
    </cfRule>
    <cfRule type="cellIs" dxfId="265" priority="732" operator="lessThan">
      <formula>-1</formula>
    </cfRule>
  </conditionalFormatting>
  <conditionalFormatting sqref="H2924">
    <cfRule type="cellIs" dxfId="264" priority="716" operator="greaterThan">
      <formula>1</formula>
    </cfRule>
    <cfRule type="cellIs" dxfId="263" priority="717" operator="lessThan">
      <formula>-1</formula>
    </cfRule>
  </conditionalFormatting>
  <conditionalFormatting sqref="H2940">
    <cfRule type="cellIs" dxfId="262" priority="696" operator="greaterThan">
      <formula>1</formula>
    </cfRule>
    <cfRule type="cellIs" dxfId="261" priority="697" operator="lessThan">
      <formula>-1</formula>
    </cfRule>
  </conditionalFormatting>
  <conditionalFormatting sqref="H2956">
    <cfRule type="cellIs" dxfId="260" priority="674" operator="greaterThan">
      <formula>1</formula>
    </cfRule>
    <cfRule type="cellIs" dxfId="259" priority="675" operator="lessThan">
      <formula>-1</formula>
    </cfRule>
  </conditionalFormatting>
  <conditionalFormatting sqref="H2972">
    <cfRule type="cellIs" dxfId="258" priority="643" operator="greaterThan">
      <formula>1</formula>
    </cfRule>
    <cfRule type="cellIs" dxfId="257" priority="644" operator="lessThan">
      <formula>-1</formula>
    </cfRule>
  </conditionalFormatting>
  <conditionalFormatting sqref="H2987">
    <cfRule type="cellIs" dxfId="256" priority="620" operator="greaterThan">
      <formula>1</formula>
    </cfRule>
    <cfRule type="cellIs" dxfId="255" priority="621" operator="lessThan">
      <formula>-1</formula>
    </cfRule>
  </conditionalFormatting>
  <conditionalFormatting sqref="H3002">
    <cfRule type="cellIs" dxfId="254" priority="599" operator="greaterThan">
      <formula>1</formula>
    </cfRule>
    <cfRule type="cellIs" dxfId="253" priority="600" operator="lessThan">
      <formula>-1</formula>
    </cfRule>
  </conditionalFormatting>
  <conditionalFormatting sqref="H3016">
    <cfRule type="cellIs" dxfId="252" priority="578" operator="greaterThan">
      <formula>1</formula>
    </cfRule>
    <cfRule type="cellIs" dxfId="251" priority="579" operator="lessThan">
      <formula>-1</formula>
    </cfRule>
  </conditionalFormatting>
  <conditionalFormatting sqref="H3029">
    <cfRule type="cellIs" dxfId="250" priority="560" operator="greaterThan">
      <formula>1</formula>
    </cfRule>
    <cfRule type="cellIs" dxfId="249" priority="561" operator="lessThan">
      <formula>-1</formula>
    </cfRule>
  </conditionalFormatting>
  <conditionalFormatting sqref="H3042">
    <cfRule type="cellIs" dxfId="248" priority="541" operator="greaterThan">
      <formula>1</formula>
    </cfRule>
    <cfRule type="cellIs" dxfId="247" priority="542" operator="lessThan">
      <formula>-1</formula>
    </cfRule>
  </conditionalFormatting>
  <conditionalFormatting sqref="H3055">
    <cfRule type="cellIs" dxfId="246" priority="522" operator="greaterThan">
      <formula>1</formula>
    </cfRule>
    <cfRule type="cellIs" dxfId="245" priority="523" operator="lessThan">
      <formula>-1</formula>
    </cfRule>
  </conditionalFormatting>
  <conditionalFormatting sqref="H3068">
    <cfRule type="cellIs" dxfId="244" priority="503" operator="greaterThan">
      <formula>1</formula>
    </cfRule>
    <cfRule type="cellIs" dxfId="243" priority="504" operator="lessThan">
      <formula>-1</formula>
    </cfRule>
  </conditionalFormatting>
  <conditionalFormatting sqref="H3081">
    <cfRule type="cellIs" dxfId="242" priority="484" operator="greaterThan">
      <formula>1</formula>
    </cfRule>
    <cfRule type="cellIs" dxfId="241" priority="485" operator="lessThan">
      <formula>-1</formula>
    </cfRule>
  </conditionalFormatting>
  <conditionalFormatting sqref="H3094">
    <cfRule type="cellIs" dxfId="240" priority="465" operator="greaterThan">
      <formula>1</formula>
    </cfRule>
    <cfRule type="cellIs" dxfId="239" priority="466" operator="lessThan">
      <formula>-1</formula>
    </cfRule>
  </conditionalFormatting>
  <conditionalFormatting sqref="H3107">
    <cfRule type="cellIs" dxfId="238" priority="446" operator="greaterThan">
      <formula>1</formula>
    </cfRule>
    <cfRule type="cellIs" dxfId="237" priority="447" operator="lessThan">
      <formula>-1</formula>
    </cfRule>
  </conditionalFormatting>
  <conditionalFormatting sqref="H3120">
    <cfRule type="cellIs" dxfId="236" priority="428" operator="greaterThan">
      <formula>1</formula>
    </cfRule>
    <cfRule type="cellIs" dxfId="235" priority="429" operator="lessThan">
      <formula>-1</formula>
    </cfRule>
  </conditionalFormatting>
  <conditionalFormatting sqref="H3133">
    <cfRule type="cellIs" dxfId="234" priority="409" operator="greaterThan">
      <formula>1</formula>
    </cfRule>
    <cfRule type="cellIs" dxfId="233" priority="410" operator="lessThan">
      <formula>-1</formula>
    </cfRule>
  </conditionalFormatting>
  <conditionalFormatting sqref="H3150">
    <cfRule type="cellIs" dxfId="232" priority="398" operator="greaterThan">
      <formula>1</formula>
    </cfRule>
    <cfRule type="cellIs" dxfId="231" priority="399" operator="lessThan">
      <formula>-1</formula>
    </cfRule>
  </conditionalFormatting>
  <conditionalFormatting sqref="H3170">
    <cfRule type="cellIs" dxfId="230" priority="386" operator="greaterThan">
      <formula>1</formula>
    </cfRule>
    <cfRule type="cellIs" dxfId="229" priority="387" operator="lessThan">
      <formula>-1</formula>
    </cfRule>
  </conditionalFormatting>
  <conditionalFormatting sqref="H3189">
    <cfRule type="cellIs" dxfId="228" priority="367" operator="greaterThan">
      <formula>1</formula>
    </cfRule>
    <cfRule type="cellIs" dxfId="227" priority="368" operator="lessThan">
      <formula>-1</formula>
    </cfRule>
  </conditionalFormatting>
  <conditionalFormatting sqref="H3207">
    <cfRule type="cellIs" dxfId="226" priority="342" operator="greaterThan">
      <formula>1</formula>
    </cfRule>
    <cfRule type="cellIs" dxfId="225" priority="343" operator="lessThan">
      <formula>-1</formula>
    </cfRule>
  </conditionalFormatting>
  <conditionalFormatting sqref="H3227">
    <cfRule type="cellIs" dxfId="224" priority="321" operator="greaterThan">
      <formula>1</formula>
    </cfRule>
    <cfRule type="cellIs" dxfId="223" priority="322" operator="lessThan">
      <formula>-1</formula>
    </cfRule>
  </conditionalFormatting>
  <conditionalFormatting sqref="H3242">
    <cfRule type="cellIs" dxfId="222" priority="299" operator="greaterThan">
      <formula>1</formula>
    </cfRule>
    <cfRule type="cellIs" dxfId="221" priority="300" operator="lessThan">
      <formula>-1</formula>
    </cfRule>
  </conditionalFormatting>
  <conditionalFormatting sqref="H3257">
    <cfRule type="cellIs" dxfId="220" priority="270" operator="greaterThan">
      <formula>1</formula>
    </cfRule>
    <cfRule type="cellIs" dxfId="219" priority="271" operator="lessThan">
      <formula>-1</formula>
    </cfRule>
  </conditionalFormatting>
  <conditionalFormatting sqref="H3272">
    <cfRule type="cellIs" dxfId="218" priority="242" operator="greaterThan">
      <formula>1</formula>
    </cfRule>
    <cfRule type="cellIs" dxfId="217" priority="243" operator="lessThan">
      <formula>-1</formula>
    </cfRule>
  </conditionalFormatting>
  <conditionalFormatting sqref="H3287">
    <cfRule type="cellIs" dxfId="216" priority="209" operator="greaterThan">
      <formula>1</formula>
    </cfRule>
    <cfRule type="cellIs" dxfId="215" priority="210" operator="lessThan">
      <formula>-1</formula>
    </cfRule>
  </conditionalFormatting>
  <conditionalFormatting sqref="H3302">
    <cfRule type="cellIs" dxfId="214" priority="179" operator="greaterThan">
      <formula>1</formula>
    </cfRule>
    <cfRule type="cellIs" dxfId="213" priority="180" operator="lessThan">
      <formula>-1</formula>
    </cfRule>
  </conditionalFormatting>
  <conditionalFormatting sqref="H3317">
    <cfRule type="cellIs" dxfId="212" priority="123" operator="greaterThan">
      <formula>1</formula>
    </cfRule>
    <cfRule type="cellIs" dxfId="211" priority="124" operator="lessThan">
      <formula>-1</formula>
    </cfRule>
  </conditionalFormatting>
  <conditionalFormatting sqref="H3332">
    <cfRule type="cellIs" dxfId="210" priority="91" operator="greaterThan">
      <formula>1</formula>
    </cfRule>
    <cfRule type="cellIs" dxfId="209" priority="92" operator="lessThan">
      <formula>-1</formula>
    </cfRule>
  </conditionalFormatting>
  <conditionalFormatting sqref="H3347">
    <cfRule type="cellIs" dxfId="208" priority="64" operator="greaterThan">
      <formula>1</formula>
    </cfRule>
    <cfRule type="cellIs" dxfId="207" priority="65" operator="lessThan">
      <formula>-1</formula>
    </cfRule>
  </conditionalFormatting>
  <conditionalFormatting sqref="H3362">
    <cfRule type="cellIs" dxfId="206" priority="37" operator="greaterThan">
      <formula>1</formula>
    </cfRule>
    <cfRule type="cellIs" dxfId="205" priority="38" operator="lessThan">
      <formula>-1</formula>
    </cfRule>
  </conditionalFormatting>
  <conditionalFormatting sqref="H3377">
    <cfRule type="cellIs" dxfId="204" priority="10" operator="greaterThan">
      <formula>1</formula>
    </cfRule>
    <cfRule type="cellIs" dxfId="203" priority="11" operator="lessThan">
      <formula>-1</formula>
    </cfRule>
  </conditionalFormatting>
  <conditionalFormatting sqref="K2936:K2937 M2936:U2937">
    <cfRule type="cellIs" dxfId="202" priority="707" operator="lessThan">
      <formula>-1</formula>
    </cfRule>
  </conditionalFormatting>
  <conditionalFormatting sqref="K2952:K2953 M2952:U2953">
    <cfRule type="cellIs" dxfId="201" priority="664" operator="lessThan">
      <formula>-1</formula>
    </cfRule>
  </conditionalFormatting>
  <conditionalFormatting sqref="K2968:K2969 M2968:U2969">
    <cfRule type="cellIs" dxfId="200" priority="637" operator="lessThan">
      <formula>-1</formula>
    </cfRule>
  </conditionalFormatting>
  <conditionalFormatting sqref="K2984 M2984:U2984">
    <cfRule type="cellIs" dxfId="199" priority="614" operator="lessThan">
      <formula>-1</formula>
    </cfRule>
  </conditionalFormatting>
  <conditionalFormatting sqref="K3158:K3167 M3158:U3167">
    <cfRule type="cellIs" dxfId="198" priority="385" operator="lessThan">
      <formula>-1</formula>
    </cfRule>
  </conditionalFormatting>
  <conditionalFormatting sqref="K3179:K3186 M3179:U3186">
    <cfRule type="cellIs" dxfId="197" priority="366" operator="lessThan">
      <formula>-1</formula>
    </cfRule>
  </conditionalFormatting>
  <conditionalFormatting sqref="K3197:K3204 M3197:U3204">
    <cfRule type="cellIs" dxfId="196" priority="341" operator="lessThan">
      <formula>-1</formula>
    </cfRule>
  </conditionalFormatting>
  <conditionalFormatting sqref="K3216:K3224">
    <cfRule type="cellIs" dxfId="195" priority="320" operator="lessThan">
      <formula>-1</formula>
    </cfRule>
  </conditionalFormatting>
  <conditionalFormatting sqref="K3236:K3239 M3236:U3239">
    <cfRule type="cellIs" dxfId="194" priority="298" operator="lessThan">
      <formula>-1</formula>
    </cfRule>
  </conditionalFormatting>
  <conditionalFormatting sqref="K3251:K3254 M3251:U3254">
    <cfRule type="cellIs" dxfId="193" priority="269" operator="lessThan">
      <formula>-1</formula>
    </cfRule>
  </conditionalFormatting>
  <conditionalFormatting sqref="K3266:K3269 M3266:U3269">
    <cfRule type="cellIs" dxfId="192" priority="241" operator="lessThan">
      <formula>-1</formula>
    </cfRule>
  </conditionalFormatting>
  <conditionalFormatting sqref="K3281:K3284 M3281:U3284">
    <cfRule type="cellIs" dxfId="191" priority="208" operator="lessThan">
      <formula>-1</formula>
    </cfRule>
  </conditionalFormatting>
  <conditionalFormatting sqref="K3296:K3299 M3296:U3299">
    <cfRule type="cellIs" dxfId="190" priority="178" operator="lessThan">
      <formula>-1</formula>
    </cfRule>
  </conditionalFormatting>
  <conditionalFormatting sqref="K3311:K3314 M3311:U3314">
    <cfRule type="cellIs" dxfId="189" priority="122" operator="lessThan">
      <formula>-1</formula>
    </cfRule>
  </conditionalFormatting>
  <conditionalFormatting sqref="K3326:K3329 M3326:U3329">
    <cfRule type="cellIs" dxfId="188" priority="90" operator="lessThan">
      <formula>-1</formula>
    </cfRule>
  </conditionalFormatting>
  <conditionalFormatting sqref="K3341:K3344 M3341:U3344">
    <cfRule type="cellIs" dxfId="187" priority="63" operator="lessThan">
      <formula>-1</formula>
    </cfRule>
  </conditionalFormatting>
  <conditionalFormatting sqref="K3356:K3359 M3356:U3359">
    <cfRule type="cellIs" dxfId="186" priority="36" operator="lessThan">
      <formula>-1</formula>
    </cfRule>
  </conditionalFormatting>
  <conditionalFormatting sqref="K3371:K3374 M3371:U3374">
    <cfRule type="cellIs" dxfId="185" priority="9" operator="lessThan">
      <formula>-1</formula>
    </cfRule>
  </conditionalFormatting>
  <conditionalFormatting sqref="K2937:M2937">
    <cfRule type="cellIs" dxfId="184" priority="711" operator="lessThan">
      <formula>-1</formula>
    </cfRule>
  </conditionalFormatting>
  <conditionalFormatting sqref="K2951:M2953">
    <cfRule type="cellIs" dxfId="183" priority="668" operator="lessThan">
      <formula>-1</formula>
    </cfRule>
  </conditionalFormatting>
  <conditionalFormatting sqref="K2967:M2969">
    <cfRule type="cellIs" dxfId="182" priority="641" operator="lessThan">
      <formula>-1</formula>
    </cfRule>
  </conditionalFormatting>
  <conditionalFormatting sqref="K2983:M2984">
    <cfRule type="cellIs" dxfId="181" priority="618" operator="lessThan">
      <formula>-1</formula>
    </cfRule>
  </conditionalFormatting>
  <conditionalFormatting sqref="K2881:U2889 K2901:U2904 N2916:U2917 N2918:Q2919 R2918:U2921 K2921:M2921 Z3179:AA3186 Z3236:AA3239">
    <cfRule type="cellIs" dxfId="180" priority="742" operator="lessThan">
      <formula>-1</formula>
    </cfRule>
  </conditionalFormatting>
  <conditionalFormatting sqref="K2932:U2935">
    <cfRule type="cellIs" dxfId="179" priority="695" operator="lessThan">
      <formula>-1</formula>
    </cfRule>
  </conditionalFormatting>
  <conditionalFormatting sqref="K2948:U2950 N2951:U2951">
    <cfRule type="cellIs" dxfId="178" priority="689" operator="lessThan">
      <formula>-1</formula>
    </cfRule>
  </conditionalFormatting>
  <conditionalFormatting sqref="K2964:U2966 N2967:U2967">
    <cfRule type="cellIs" dxfId="177" priority="658" operator="lessThan">
      <formula>-1</formula>
    </cfRule>
  </conditionalFormatting>
  <conditionalFormatting sqref="K2980:U2982 N2983:U2983">
    <cfRule type="cellIs" dxfId="176" priority="634" operator="lessThan">
      <formula>-1</formula>
    </cfRule>
  </conditionalFormatting>
  <conditionalFormatting sqref="K2995:U2999">
    <cfRule type="cellIs" dxfId="175" priority="594" operator="lessThan">
      <formula>-1</formula>
    </cfRule>
  </conditionalFormatting>
  <conditionalFormatting sqref="K3010:U3013">
    <cfRule type="cellIs" dxfId="174" priority="577" operator="lessThan">
      <formula>-1</formula>
    </cfRule>
  </conditionalFormatting>
  <conditionalFormatting sqref="K3024:U3026">
    <cfRule type="cellIs" dxfId="173" priority="572" operator="lessThan">
      <formula>-1</formula>
    </cfRule>
  </conditionalFormatting>
  <conditionalFormatting sqref="K3037:U3039">
    <cfRule type="cellIs" dxfId="172" priority="553" operator="lessThan">
      <formula>-1</formula>
    </cfRule>
  </conditionalFormatting>
  <conditionalFormatting sqref="K3050:U3052">
    <cfRule type="cellIs" dxfId="171" priority="534" operator="lessThan">
      <formula>-1</formula>
    </cfRule>
  </conditionalFormatting>
  <conditionalFormatting sqref="K3063:U3065">
    <cfRule type="cellIs" dxfId="170" priority="515" operator="lessThan">
      <formula>-1</formula>
    </cfRule>
  </conditionalFormatting>
  <conditionalFormatting sqref="K3076:U3078">
    <cfRule type="cellIs" dxfId="169" priority="496" operator="lessThan">
      <formula>-1</formula>
    </cfRule>
  </conditionalFormatting>
  <conditionalFormatting sqref="K3089:U3091">
    <cfRule type="cellIs" dxfId="168" priority="477" operator="lessThan">
      <formula>-1</formula>
    </cfRule>
  </conditionalFormatting>
  <conditionalFormatting sqref="K3102:U3104">
    <cfRule type="cellIs" dxfId="167" priority="458" operator="lessThan">
      <formula>-1</formula>
    </cfRule>
  </conditionalFormatting>
  <conditionalFormatting sqref="K3115:U3117">
    <cfRule type="cellIs" dxfId="166" priority="440" operator="lessThan">
      <formula>-1</formula>
    </cfRule>
  </conditionalFormatting>
  <conditionalFormatting sqref="K3128:U3130">
    <cfRule type="cellIs" dxfId="165" priority="421" operator="lessThan">
      <formula>-1</formula>
    </cfRule>
  </conditionalFormatting>
  <conditionalFormatting sqref="K3141:W3147">
    <cfRule type="cellIs" dxfId="164" priority="397" operator="lessThan">
      <formula>-1</formula>
    </cfRule>
  </conditionalFormatting>
  <conditionalFormatting sqref="M2916:M2919 K2916:K2921">
    <cfRule type="cellIs" dxfId="163" priority="694" operator="lessThan">
      <formula>-1</formula>
    </cfRule>
  </conditionalFormatting>
  <conditionalFormatting sqref="M2920:Q2921">
    <cfRule type="cellIs" dxfId="162" priority="727" operator="lessThan">
      <formula>-1</formula>
    </cfRule>
  </conditionalFormatting>
  <conditionalFormatting sqref="M3216:U3224 Z3216:AA3224">
    <cfRule type="cellIs" dxfId="161" priority="313" operator="lessThan">
      <formula>-1</formula>
    </cfRule>
  </conditionalFormatting>
  <conditionalFormatting sqref="Q2820">
    <cfRule type="iconSet" priority="784">
      <iconSet iconSet="3Arrows">
        <cfvo type="percent" val="0"/>
        <cfvo type="percent" val="33"/>
        <cfvo type="percent" val="67"/>
      </iconSet>
    </cfRule>
  </conditionalFormatting>
  <conditionalFormatting sqref="S1:S597 AA598:AA663 T2404">
    <cfRule type="cellIs" dxfId="160" priority="1289" operator="equal">
      <formula>"Out of Balance"</formula>
    </cfRule>
  </conditionalFormatting>
  <conditionalFormatting sqref="S664:S2420">
    <cfRule type="cellIs" dxfId="159" priority="1254" operator="equal">
      <formula>"Out of Balance"</formula>
    </cfRule>
  </conditionalFormatting>
  <conditionalFormatting sqref="S2422:S2437">
    <cfRule type="cellIs" dxfId="158" priority="1281" operator="equal">
      <formula>"Out of Balance"</formula>
    </cfRule>
  </conditionalFormatting>
  <conditionalFormatting sqref="S2439:S2453">
    <cfRule type="cellIs" dxfId="157" priority="1262" operator="equal">
      <formula>"Out of Balance"</formula>
    </cfRule>
  </conditionalFormatting>
  <conditionalFormatting sqref="S2455:S2469">
    <cfRule type="cellIs" dxfId="156" priority="1279" operator="equal">
      <formula>"Out of Balance"</formula>
    </cfRule>
  </conditionalFormatting>
  <conditionalFormatting sqref="S2471:S2486">
    <cfRule type="cellIs" dxfId="155" priority="1260" operator="equal">
      <formula>"Out of Balance"</formula>
    </cfRule>
  </conditionalFormatting>
  <conditionalFormatting sqref="S2488:S2503">
    <cfRule type="cellIs" dxfId="154" priority="1251" operator="equal">
      <formula>"Out of Balance"</formula>
    </cfRule>
  </conditionalFormatting>
  <conditionalFormatting sqref="S2505:S2521">
    <cfRule type="cellIs" dxfId="153" priority="1237" operator="equal">
      <formula>"Out of Balance"</formula>
    </cfRule>
  </conditionalFormatting>
  <conditionalFormatting sqref="S2523:S2539">
    <cfRule type="cellIs" dxfId="152" priority="1227" operator="equal">
      <formula>"Out of Balance"</formula>
    </cfRule>
  </conditionalFormatting>
  <conditionalFormatting sqref="S2541:S2557">
    <cfRule type="cellIs" dxfId="151" priority="1214" operator="equal">
      <formula>"Out of Balance"</formula>
    </cfRule>
  </conditionalFormatting>
  <conditionalFormatting sqref="S2559:S2573">
    <cfRule type="cellIs" dxfId="150" priority="1194" operator="equal">
      <formula>"Out of Balance"</formula>
    </cfRule>
  </conditionalFormatting>
  <conditionalFormatting sqref="S2575:S2589">
    <cfRule type="cellIs" dxfId="149" priority="1178" operator="equal">
      <formula>"Out of Balance"</formula>
    </cfRule>
  </conditionalFormatting>
  <conditionalFormatting sqref="S2591:S2605">
    <cfRule type="cellIs" dxfId="148" priority="1158" operator="equal">
      <formula>"Out of Balance"</formula>
    </cfRule>
  </conditionalFormatting>
  <conditionalFormatting sqref="S2607:S2621">
    <cfRule type="cellIs" dxfId="147" priority="1132" operator="equal">
      <formula>"Out of Balance"</formula>
    </cfRule>
  </conditionalFormatting>
  <conditionalFormatting sqref="S2623:S2769">
    <cfRule type="cellIs" dxfId="146" priority="883" operator="equal">
      <formula>"Out of Balance"</formula>
    </cfRule>
  </conditionalFormatting>
  <conditionalFormatting sqref="S2771:S2784">
    <cfRule type="cellIs" dxfId="145" priority="866" operator="equal">
      <formula>"Out of Balance"</formula>
    </cfRule>
  </conditionalFormatting>
  <conditionalFormatting sqref="S2786:S2799">
    <cfRule type="cellIs" dxfId="144" priority="844" operator="equal">
      <formula>"Out of Balance"</formula>
    </cfRule>
  </conditionalFormatting>
  <conditionalFormatting sqref="S2801:S2813">
    <cfRule type="cellIs" dxfId="143" priority="812" operator="equal">
      <formula>"Out of Balance"</formula>
    </cfRule>
  </conditionalFormatting>
  <conditionalFormatting sqref="S2815:S2827">
    <cfRule type="cellIs" dxfId="142" priority="814" operator="equal">
      <formula>"Out of Balance"</formula>
    </cfRule>
  </conditionalFormatting>
  <conditionalFormatting sqref="S2829:S2842">
    <cfRule type="cellIs" dxfId="141" priority="788" operator="equal">
      <formula>"Out of Balance"</formula>
    </cfRule>
  </conditionalFormatting>
  <conditionalFormatting sqref="S2844:S2856">
    <cfRule type="cellIs" dxfId="140" priority="771" operator="equal">
      <formula>"Out of Balance"</formula>
    </cfRule>
  </conditionalFormatting>
  <conditionalFormatting sqref="S2858:S2870">
    <cfRule type="cellIs" dxfId="139" priority="759" operator="equal">
      <formula>"Out of Balance"</formula>
    </cfRule>
  </conditionalFormatting>
  <conditionalFormatting sqref="S2872:S2890">
    <cfRule type="cellIs" dxfId="138" priority="745" operator="equal">
      <formula>"Out of Balance"</formula>
    </cfRule>
  </conditionalFormatting>
  <conditionalFormatting sqref="S2892:S2905">
    <cfRule type="cellIs" dxfId="137" priority="733" operator="equal">
      <formula>"Out of Balance"</formula>
    </cfRule>
  </conditionalFormatting>
  <conditionalFormatting sqref="S2907:S2921">
    <cfRule type="cellIs" dxfId="136" priority="718" operator="equal">
      <formula>"Out of Balance"</formula>
    </cfRule>
  </conditionalFormatting>
  <conditionalFormatting sqref="S2923:S2937">
    <cfRule type="cellIs" dxfId="135" priority="698" operator="equal">
      <formula>"Out of Balance"</formula>
    </cfRule>
  </conditionalFormatting>
  <conditionalFormatting sqref="S2939:S2953">
    <cfRule type="cellIs" dxfId="134" priority="667" operator="equal">
      <formula>"Out of Balance"</formula>
    </cfRule>
  </conditionalFormatting>
  <conditionalFormatting sqref="S2955:S2969">
    <cfRule type="cellIs" dxfId="133" priority="640" operator="equal">
      <formula>"Out of Balance"</formula>
    </cfRule>
  </conditionalFormatting>
  <conditionalFormatting sqref="S2971:S2984">
    <cfRule type="cellIs" dxfId="132" priority="617" operator="equal">
      <formula>"Out of Balance"</formula>
    </cfRule>
  </conditionalFormatting>
  <conditionalFormatting sqref="S2986:S2999">
    <cfRule type="cellIs" dxfId="131" priority="593" operator="equal">
      <formula>"Out of Balance"</formula>
    </cfRule>
  </conditionalFormatting>
  <conditionalFormatting sqref="S3001:S3013">
    <cfRule type="cellIs" dxfId="130" priority="576" operator="equal">
      <formula>"Out of Balance"</formula>
    </cfRule>
  </conditionalFormatting>
  <conditionalFormatting sqref="S3015:S3026">
    <cfRule type="cellIs" dxfId="129" priority="562" operator="equal">
      <formula>"Out of Balance"</formula>
    </cfRule>
  </conditionalFormatting>
  <conditionalFormatting sqref="S3028:S3039">
    <cfRule type="cellIs" dxfId="128" priority="543" operator="equal">
      <formula>"Out of Balance"</formula>
    </cfRule>
  </conditionalFormatting>
  <conditionalFormatting sqref="S3041:S3052">
    <cfRule type="cellIs" dxfId="127" priority="524" operator="equal">
      <formula>"Out of Balance"</formula>
    </cfRule>
  </conditionalFormatting>
  <conditionalFormatting sqref="S3054:S3065">
    <cfRule type="cellIs" dxfId="126" priority="505" operator="equal">
      <formula>"Out of Balance"</formula>
    </cfRule>
  </conditionalFormatting>
  <conditionalFormatting sqref="S3067:S3078">
    <cfRule type="cellIs" dxfId="125" priority="486" operator="equal">
      <formula>"Out of Balance"</formula>
    </cfRule>
  </conditionalFormatting>
  <conditionalFormatting sqref="S3080:S3091">
    <cfRule type="cellIs" dxfId="124" priority="467" operator="equal">
      <formula>"Out of Balance"</formula>
    </cfRule>
  </conditionalFormatting>
  <conditionalFormatting sqref="S3093:S3104">
    <cfRule type="cellIs" dxfId="123" priority="448" operator="equal">
      <formula>"Out of Balance"</formula>
    </cfRule>
  </conditionalFormatting>
  <conditionalFormatting sqref="S3106:S3117">
    <cfRule type="cellIs" dxfId="122" priority="430" operator="equal">
      <formula>"Out of Balance"</formula>
    </cfRule>
  </conditionalFormatting>
  <conditionalFormatting sqref="S3119:S3130">
    <cfRule type="cellIs" dxfId="121" priority="411" operator="equal">
      <formula>"Out of Balance"</formula>
    </cfRule>
  </conditionalFormatting>
  <conditionalFormatting sqref="S3132:S3137">
    <cfRule type="cellIs" dxfId="120" priority="407" operator="equal">
      <formula>"Out of Balance"</formula>
    </cfRule>
  </conditionalFormatting>
  <conditionalFormatting sqref="S3139:S3147">
    <cfRule type="cellIs" dxfId="119" priority="406" operator="equal">
      <formula>"Out of Balance"</formula>
    </cfRule>
  </conditionalFormatting>
  <conditionalFormatting sqref="S3149:S3154">
    <cfRule type="cellIs" dxfId="118" priority="395" operator="equal">
      <formula>"Out of Balance"</formula>
    </cfRule>
  </conditionalFormatting>
  <conditionalFormatting sqref="S3156:S3167">
    <cfRule type="cellIs" dxfId="117" priority="394" operator="equal">
      <formula>"Out of Balance"</formula>
    </cfRule>
  </conditionalFormatting>
  <conditionalFormatting sqref="S3169:S3175">
    <cfRule type="cellIs" dxfId="116" priority="376" operator="equal">
      <formula>"Out of Balance"</formula>
    </cfRule>
  </conditionalFormatting>
  <conditionalFormatting sqref="S3177:S3186">
    <cfRule type="cellIs" dxfId="115" priority="375" operator="equal">
      <formula>"Out of Balance"</formula>
    </cfRule>
  </conditionalFormatting>
  <conditionalFormatting sqref="S3188:S3193">
    <cfRule type="cellIs" dxfId="114" priority="365" operator="equal">
      <formula>"Out of Balance"</formula>
    </cfRule>
  </conditionalFormatting>
  <conditionalFormatting sqref="S3195:S3204">
    <cfRule type="cellIs" dxfId="113" priority="350" operator="equal">
      <formula>"Out of Balance"</formula>
    </cfRule>
  </conditionalFormatting>
  <conditionalFormatting sqref="S3206:S3212">
    <cfRule type="cellIs" dxfId="112" priority="338" operator="equal">
      <formula>"Out of Balance"</formula>
    </cfRule>
  </conditionalFormatting>
  <conditionalFormatting sqref="S3214:S3224">
    <cfRule type="cellIs" dxfId="111" priority="329" operator="equal">
      <formula>"Out of Balance"</formula>
    </cfRule>
  </conditionalFormatting>
  <conditionalFormatting sqref="S3226:S3232">
    <cfRule type="cellIs" dxfId="110" priority="310" operator="equal">
      <formula>"Out of Balance"</formula>
    </cfRule>
  </conditionalFormatting>
  <conditionalFormatting sqref="S3234:S3239">
    <cfRule type="cellIs" dxfId="109" priority="307" operator="equal">
      <formula>"Out of Balance"</formula>
    </cfRule>
  </conditionalFormatting>
  <conditionalFormatting sqref="S3241:S3247">
    <cfRule type="cellIs" dxfId="108" priority="281" operator="equal">
      <formula>"Out of Balance"</formula>
    </cfRule>
  </conditionalFormatting>
  <conditionalFormatting sqref="S3249:S3254">
    <cfRule type="cellIs" dxfId="107" priority="278" operator="equal">
      <formula>"Out of Balance"</formula>
    </cfRule>
  </conditionalFormatting>
  <conditionalFormatting sqref="S3256:S3262">
    <cfRule type="cellIs" dxfId="106" priority="253" operator="equal">
      <formula>"Out of Balance"</formula>
    </cfRule>
  </conditionalFormatting>
  <conditionalFormatting sqref="S3264:S3269">
    <cfRule type="cellIs" dxfId="105" priority="250" operator="equal">
      <formula>"Out of Balance"</formula>
    </cfRule>
  </conditionalFormatting>
  <conditionalFormatting sqref="S3271:S3277">
    <cfRule type="cellIs" dxfId="104" priority="220" operator="equal">
      <formula>"Out of Balance"</formula>
    </cfRule>
  </conditionalFormatting>
  <conditionalFormatting sqref="S3279:S3284">
    <cfRule type="cellIs" dxfId="103" priority="217" operator="equal">
      <formula>"Out of Balance"</formula>
    </cfRule>
  </conditionalFormatting>
  <conditionalFormatting sqref="S3286">
    <cfRule type="cellIs" dxfId="102" priority="216" operator="equal">
      <formula>"Out of Balance"</formula>
    </cfRule>
  </conditionalFormatting>
  <conditionalFormatting sqref="S3288:S3292">
    <cfRule type="cellIs" dxfId="101" priority="190" operator="equal">
      <formula>"Out of Balance"</formula>
    </cfRule>
  </conditionalFormatting>
  <conditionalFormatting sqref="S3294:S3299">
    <cfRule type="cellIs" dxfId="100" priority="187" operator="equal">
      <formula>"Out of Balance"</formula>
    </cfRule>
  </conditionalFormatting>
  <conditionalFormatting sqref="S3301">
    <cfRule type="cellIs" dxfId="99" priority="186" operator="equal">
      <formula>"Out of Balance"</formula>
    </cfRule>
  </conditionalFormatting>
  <conditionalFormatting sqref="S3303:S3307">
    <cfRule type="cellIs" dxfId="98" priority="117" operator="equal">
      <formula>"Out of Balance"</formula>
    </cfRule>
  </conditionalFormatting>
  <conditionalFormatting sqref="S3309:S3314">
    <cfRule type="cellIs" dxfId="97" priority="131" operator="equal">
      <formula>"Out of Balance"</formula>
    </cfRule>
  </conditionalFormatting>
  <conditionalFormatting sqref="S3316">
    <cfRule type="cellIs" dxfId="96" priority="130" operator="equal">
      <formula>"Out of Balance"</formula>
    </cfRule>
  </conditionalFormatting>
  <conditionalFormatting sqref="S3318:S3322">
    <cfRule type="cellIs" dxfId="95" priority="102" operator="equal">
      <formula>"Out of Balance"</formula>
    </cfRule>
  </conditionalFormatting>
  <conditionalFormatting sqref="S3324:S3329">
    <cfRule type="cellIs" dxfId="94" priority="99" operator="equal">
      <formula>"Out of Balance"</formula>
    </cfRule>
  </conditionalFormatting>
  <conditionalFormatting sqref="S3331">
    <cfRule type="cellIs" dxfId="93" priority="98" operator="equal">
      <formula>"Out of Balance"</formula>
    </cfRule>
  </conditionalFormatting>
  <conditionalFormatting sqref="S3333:S3337">
    <cfRule type="cellIs" dxfId="92" priority="75" operator="equal">
      <formula>"Out of Balance"</formula>
    </cfRule>
  </conditionalFormatting>
  <conditionalFormatting sqref="S3339:S3344">
    <cfRule type="cellIs" dxfId="91" priority="72" operator="equal">
      <formula>"Out of Balance"</formula>
    </cfRule>
  </conditionalFormatting>
  <conditionalFormatting sqref="S3346">
    <cfRule type="cellIs" dxfId="90" priority="71" operator="equal">
      <formula>"Out of Balance"</formula>
    </cfRule>
  </conditionalFormatting>
  <conditionalFormatting sqref="S3348:S3352">
    <cfRule type="cellIs" dxfId="89" priority="48" operator="equal">
      <formula>"Out of Balance"</formula>
    </cfRule>
  </conditionalFormatting>
  <conditionalFormatting sqref="S3354:S3359">
    <cfRule type="cellIs" dxfId="88" priority="45" operator="equal">
      <formula>"Out of Balance"</formula>
    </cfRule>
  </conditionalFormatting>
  <conditionalFormatting sqref="S3361">
    <cfRule type="cellIs" dxfId="87" priority="44" operator="equal">
      <formula>"Out of Balance"</formula>
    </cfRule>
  </conditionalFormatting>
  <conditionalFormatting sqref="S3363:S3367">
    <cfRule type="cellIs" dxfId="86" priority="21" operator="equal">
      <formula>"Out of Balance"</formula>
    </cfRule>
  </conditionalFormatting>
  <conditionalFormatting sqref="S3369:S3374">
    <cfRule type="cellIs" dxfId="85" priority="18" operator="equal">
      <formula>"Out of Balance"</formula>
    </cfRule>
  </conditionalFormatting>
  <conditionalFormatting sqref="S3376">
    <cfRule type="cellIs" dxfId="84" priority="17" operator="equal">
      <formula>"Out of Balance"</formula>
    </cfRule>
  </conditionalFormatting>
  <conditionalFormatting sqref="S3378:S1048576">
    <cfRule type="cellIs" dxfId="83" priority="7" operator="equal">
      <formula>"Out of Balance"</formula>
    </cfRule>
  </conditionalFormatting>
  <conditionalFormatting sqref="U2916:U2921">
    <cfRule type="cellIs" dxfId="82" priority="726" operator="lessThan">
      <formula>0</formula>
    </cfRule>
  </conditionalFormatting>
  <conditionalFormatting sqref="U2932:U2937">
    <cfRule type="cellIs" dxfId="81" priority="706" operator="lessThan">
      <formula>0</formula>
    </cfRule>
  </conditionalFormatting>
  <conditionalFormatting sqref="U2948:U2953">
    <cfRule type="cellIs" dxfId="80" priority="663" operator="lessThan">
      <formula>0</formula>
    </cfRule>
  </conditionalFormatting>
  <conditionalFormatting sqref="U2964:U2969">
    <cfRule type="cellIs" dxfId="79" priority="636" operator="lessThan">
      <formula>0</formula>
    </cfRule>
  </conditionalFormatting>
  <conditionalFormatting sqref="U2980:U2984">
    <cfRule type="cellIs" dxfId="78" priority="613" operator="lessThan">
      <formula>0</formula>
    </cfRule>
  </conditionalFormatting>
  <conditionalFormatting sqref="U2995:U2999">
    <cfRule type="cellIs" dxfId="77" priority="592" operator="lessThan">
      <formula>0</formula>
    </cfRule>
  </conditionalFormatting>
  <conditionalFormatting sqref="U3010:U3013">
    <cfRule type="cellIs" dxfId="76" priority="575" operator="lessThan">
      <formula>0</formula>
    </cfRule>
  </conditionalFormatting>
  <conditionalFormatting sqref="U3024:U3026">
    <cfRule type="cellIs" dxfId="75" priority="570" operator="lessThan">
      <formula>0</formula>
    </cfRule>
  </conditionalFormatting>
  <conditionalFormatting sqref="U3037:U3039">
    <cfRule type="cellIs" dxfId="74" priority="551" operator="lessThan">
      <formula>0</formula>
    </cfRule>
  </conditionalFormatting>
  <conditionalFormatting sqref="U3050:U3052">
    <cfRule type="cellIs" dxfId="73" priority="532" operator="lessThan">
      <formula>0</formula>
    </cfRule>
  </conditionalFormatting>
  <conditionalFormatting sqref="U3063:U3065">
    <cfRule type="cellIs" dxfId="72" priority="513" operator="lessThan">
      <formula>0</formula>
    </cfRule>
  </conditionalFormatting>
  <conditionalFormatting sqref="U3076:U3078">
    <cfRule type="cellIs" dxfId="71" priority="494" operator="lessThan">
      <formula>0</formula>
    </cfRule>
  </conditionalFormatting>
  <conditionalFormatting sqref="U3089:U3091">
    <cfRule type="cellIs" dxfId="70" priority="475" operator="lessThan">
      <formula>0</formula>
    </cfRule>
  </conditionalFormatting>
  <conditionalFormatting sqref="U3102:U3104">
    <cfRule type="cellIs" dxfId="69" priority="456" operator="lessThan">
      <formula>0</formula>
    </cfRule>
  </conditionalFormatting>
  <conditionalFormatting sqref="U3115:U3117">
    <cfRule type="cellIs" dxfId="68" priority="438" operator="lessThan">
      <formula>0</formula>
    </cfRule>
  </conditionalFormatting>
  <conditionalFormatting sqref="U3128:U3130">
    <cfRule type="cellIs" dxfId="67" priority="419" operator="lessThan">
      <formula>0</formula>
    </cfRule>
  </conditionalFormatting>
  <conditionalFormatting sqref="U3197:U3204">
    <cfRule type="cellIs" dxfId="66" priority="357" operator="lessThan">
      <formula>0</formula>
    </cfRule>
  </conditionalFormatting>
  <conditionalFormatting sqref="U3251:U3254">
    <cfRule type="cellIs" dxfId="65" priority="286" operator="lessThan">
      <formula>0</formula>
    </cfRule>
  </conditionalFormatting>
  <conditionalFormatting sqref="U3266:U3269">
    <cfRule type="cellIs" dxfId="64" priority="258" operator="lessThan">
      <formula>0</formula>
    </cfRule>
  </conditionalFormatting>
  <conditionalFormatting sqref="U3281:U3284">
    <cfRule type="cellIs" dxfId="63" priority="225" operator="lessThan">
      <formula>0</formula>
    </cfRule>
  </conditionalFormatting>
  <conditionalFormatting sqref="U3296:U3299">
    <cfRule type="cellIs" dxfId="62" priority="192" operator="lessThan">
      <formula>0</formula>
    </cfRule>
  </conditionalFormatting>
  <conditionalFormatting sqref="U3311:U3314">
    <cfRule type="cellIs" dxfId="61" priority="136" operator="lessThan">
      <formula>0</formula>
    </cfRule>
  </conditionalFormatting>
  <conditionalFormatting sqref="U3326:U3329">
    <cfRule type="cellIs" dxfId="60" priority="104" operator="lessThan">
      <formula>0</formula>
    </cfRule>
  </conditionalFormatting>
  <conditionalFormatting sqref="U3341:U3344">
    <cfRule type="cellIs" dxfId="59" priority="77" operator="lessThan">
      <formula>0</formula>
    </cfRule>
  </conditionalFormatting>
  <conditionalFormatting sqref="U3356:U3359">
    <cfRule type="cellIs" dxfId="58" priority="50" operator="lessThan">
      <formula>0</formula>
    </cfRule>
  </conditionalFormatting>
  <conditionalFormatting sqref="U3371:U3374">
    <cfRule type="cellIs" dxfId="57" priority="23" operator="lessThan">
      <formula>0</formula>
    </cfRule>
  </conditionalFormatting>
  <conditionalFormatting sqref="U3141:W3147 U2881:U2889 U2901:U2904 U3158:U3167 U3179:U3186 U3216:U3224 U3236:U3239">
    <cfRule type="cellIs" dxfId="56" priority="741" operator="lessThan">
      <formula>0</formula>
    </cfRule>
  </conditionalFormatting>
  <conditionalFormatting sqref="V3158:W3167 V3179:W3186 V3216:W3224 V3236:W3239">
    <cfRule type="cellIs" dxfId="55" priority="382" operator="lessThan">
      <formula>14</formula>
    </cfRule>
  </conditionalFormatting>
  <conditionalFormatting sqref="V3197:W3204">
    <cfRule type="cellIs" dxfId="54" priority="355" operator="lessThan">
      <formula>14</formula>
    </cfRule>
  </conditionalFormatting>
  <conditionalFormatting sqref="V3251:W3254">
    <cfRule type="cellIs" dxfId="53" priority="284" operator="lessThan">
      <formula>14</formula>
    </cfRule>
  </conditionalFormatting>
  <conditionalFormatting sqref="V3266:W3269">
    <cfRule type="cellIs" dxfId="52" priority="256" operator="lessThan">
      <formula>14</formula>
    </cfRule>
  </conditionalFormatting>
  <conditionalFormatting sqref="V3281:W3284">
    <cfRule type="cellIs" dxfId="51" priority="223" operator="lessThan">
      <formula>14</formula>
    </cfRule>
  </conditionalFormatting>
  <conditionalFormatting sqref="V3296:W3299">
    <cfRule type="cellIs" dxfId="50" priority="149" operator="lessThan">
      <formula>14</formula>
    </cfRule>
  </conditionalFormatting>
  <conditionalFormatting sqref="V3311:W3314">
    <cfRule type="cellIs" dxfId="49" priority="121" operator="lessThan">
      <formula>14</formula>
    </cfRule>
  </conditionalFormatting>
  <conditionalFormatting sqref="V3356:W3359">
    <cfRule type="cellIs" dxfId="48" priority="3" operator="lessThan">
      <formula>14</formula>
    </cfRule>
  </conditionalFormatting>
  <conditionalFormatting sqref="V3371:W3374">
    <cfRule type="cellIs" dxfId="47" priority="6" operator="lessThan">
      <formula>14</formula>
    </cfRule>
  </conditionalFormatting>
  <conditionalFormatting sqref="W2672:W2680 W2732:W2737 W2747:W2753 W2763:W2769 W2779:W2784 W2809:W2813">
    <cfRule type="cellIs" dxfId="46" priority="997" operator="lessThan">
      <formula>10</formula>
    </cfRule>
  </conditionalFormatting>
  <conditionalFormatting sqref="W2690:W2701">
    <cfRule type="cellIs" dxfId="45" priority="973" operator="lessThan">
      <formula>10</formula>
    </cfRule>
  </conditionalFormatting>
  <conditionalFormatting sqref="W2711:W2722">
    <cfRule type="cellIs" dxfId="44" priority="945" operator="lessThan">
      <formula>10</formula>
    </cfRule>
  </conditionalFormatting>
  <conditionalFormatting sqref="W2794:W2799">
    <cfRule type="cellIs" dxfId="43" priority="861" operator="lessThan">
      <formula>10</formula>
    </cfRule>
  </conditionalFormatting>
  <conditionalFormatting sqref="W2823:W2827">
    <cfRule type="cellIs" dxfId="42" priority="804" operator="lessThan">
      <formula>7</formula>
    </cfRule>
    <cfRule type="cellIs" dxfId="41" priority="805" operator="lessThan">
      <formula>10</formula>
    </cfRule>
  </conditionalFormatting>
  <conditionalFormatting sqref="W2838:W2842">
    <cfRule type="cellIs" dxfId="40" priority="785" operator="lessThan">
      <formula>7</formula>
    </cfRule>
    <cfRule type="cellIs" dxfId="39" priority="786" operator="lessThan">
      <formula>10</formula>
    </cfRule>
  </conditionalFormatting>
  <conditionalFormatting sqref="W2853:W2856">
    <cfRule type="cellIs" dxfId="38" priority="768" operator="lessThan">
      <formula>7</formula>
    </cfRule>
    <cfRule type="cellIs" dxfId="37" priority="769" operator="lessThan">
      <formula>10</formula>
    </cfRule>
  </conditionalFormatting>
  <conditionalFormatting sqref="W2867:W2870">
    <cfRule type="cellIs" dxfId="36" priority="755" operator="lessThan">
      <formula>7</formula>
    </cfRule>
    <cfRule type="cellIs" dxfId="35" priority="756" operator="lessThan">
      <formula>10</formula>
    </cfRule>
  </conditionalFormatting>
  <conditionalFormatting sqref="W2881:W2890">
    <cfRule type="cellIs" dxfId="34" priority="753" operator="lessThan">
      <formula>7</formula>
    </cfRule>
    <cfRule type="cellIs" dxfId="33" priority="754" operator="lessThan">
      <formula>10</formula>
    </cfRule>
  </conditionalFormatting>
  <conditionalFormatting sqref="W2901:W2905">
    <cfRule type="cellIs" dxfId="32" priority="810" operator="lessThan">
      <formula>7</formula>
    </cfRule>
    <cfRule type="cellIs" dxfId="31" priority="825" operator="lessThan">
      <formula>10</formula>
    </cfRule>
  </conditionalFormatting>
  <conditionalFormatting sqref="W2916:W2921">
    <cfRule type="cellIs" dxfId="30" priority="728" operator="lessThan">
      <formula>7</formula>
    </cfRule>
    <cfRule type="cellIs" dxfId="29" priority="729" operator="lessThan">
      <formula>10</formula>
    </cfRule>
  </conditionalFormatting>
  <conditionalFormatting sqref="W2932:W2937">
    <cfRule type="cellIs" dxfId="28" priority="708" operator="lessThan">
      <formula>7</formula>
    </cfRule>
    <cfRule type="cellIs" dxfId="27" priority="709" operator="lessThan">
      <formula>10</formula>
    </cfRule>
  </conditionalFormatting>
  <conditionalFormatting sqref="W2948:W2953">
    <cfRule type="cellIs" dxfId="26" priority="665" operator="lessThan">
      <formula>7</formula>
    </cfRule>
    <cfRule type="cellIs" dxfId="25" priority="666" operator="lessThan">
      <formula>10</formula>
    </cfRule>
  </conditionalFormatting>
  <conditionalFormatting sqref="W2964:W2969">
    <cfRule type="cellIs" dxfId="24" priority="638" operator="lessThan">
      <formula>7</formula>
    </cfRule>
    <cfRule type="cellIs" dxfId="23" priority="639" operator="lessThan">
      <formula>10</formula>
    </cfRule>
  </conditionalFormatting>
  <conditionalFormatting sqref="W2980:W2984">
    <cfRule type="cellIs" dxfId="22" priority="615" operator="lessThan">
      <formula>7</formula>
    </cfRule>
    <cfRule type="cellIs" dxfId="21" priority="616" operator="lessThan">
      <formula>10</formula>
    </cfRule>
  </conditionalFormatting>
  <conditionalFormatting sqref="W3141:W3147">
    <cfRule type="cellIs" dxfId="20" priority="383" operator="lessThan">
      <formula>7</formula>
    </cfRule>
  </conditionalFormatting>
  <conditionalFormatting sqref="W3158:W3167 W3179:W3186 W3216:W3224 W3236:W3239">
    <cfRule type="cellIs" dxfId="19" priority="380" operator="greaterThan">
      <formula>14</formula>
    </cfRule>
    <cfRule type="cellIs" dxfId="18" priority="381" operator="lessThan">
      <formula>7</formula>
    </cfRule>
  </conditionalFormatting>
  <conditionalFormatting sqref="W3197:W3204">
    <cfRule type="cellIs" dxfId="17" priority="353" operator="greaterThan">
      <formula>14</formula>
    </cfRule>
    <cfRule type="cellIs" dxfId="16" priority="354" operator="lessThan">
      <formula>7</formula>
    </cfRule>
  </conditionalFormatting>
  <conditionalFormatting sqref="W3251:W3254">
    <cfRule type="cellIs" dxfId="15" priority="282" operator="greaterThan">
      <formula>14</formula>
    </cfRule>
    <cfRule type="cellIs" dxfId="14" priority="283" operator="lessThan">
      <formula>7</formula>
    </cfRule>
  </conditionalFormatting>
  <conditionalFormatting sqref="W3266:W3269">
    <cfRule type="cellIs" dxfId="13" priority="254" operator="greaterThan">
      <formula>14</formula>
    </cfRule>
    <cfRule type="cellIs" dxfId="12" priority="255" operator="lessThan">
      <formula>7</formula>
    </cfRule>
  </conditionalFormatting>
  <conditionalFormatting sqref="W3281:W3284">
    <cfRule type="cellIs" dxfId="11" priority="221" operator="greaterThan">
      <formula>14</formula>
    </cfRule>
    <cfRule type="cellIs" dxfId="10" priority="222" operator="lessThan">
      <formula>7</formula>
    </cfRule>
  </conditionalFormatting>
  <conditionalFormatting sqref="W3296:W3299">
    <cfRule type="cellIs" dxfId="9" priority="147" operator="greaterThan">
      <formula>14</formula>
    </cfRule>
    <cfRule type="cellIs" dxfId="8" priority="148" operator="lessThan">
      <formula>7</formula>
    </cfRule>
  </conditionalFormatting>
  <conditionalFormatting sqref="W3311:W3314">
    <cfRule type="cellIs" dxfId="7" priority="119" operator="greaterThan">
      <formula>14</formula>
    </cfRule>
    <cfRule type="cellIs" dxfId="6" priority="120" operator="lessThan">
      <formula>7</formula>
    </cfRule>
  </conditionalFormatting>
  <conditionalFormatting sqref="W3356:W3359">
    <cfRule type="cellIs" dxfId="5" priority="1" operator="greaterThan">
      <formula>14</formula>
    </cfRule>
    <cfRule type="cellIs" dxfId="4" priority="2" operator="lessThan">
      <formula>7</formula>
    </cfRule>
  </conditionalFormatting>
  <conditionalFormatting sqref="W3371:W3374">
    <cfRule type="cellIs" dxfId="3" priority="4" operator="greaterThan">
      <formula>14</formula>
    </cfRule>
    <cfRule type="cellIs" dxfId="2" priority="5" operator="lessThan">
      <formula>7</formula>
    </cfRule>
  </conditionalFormatting>
  <conditionalFormatting sqref="Z3158:AA3167">
    <cfRule type="cellIs" dxfId="1" priority="379" operator="lessThan">
      <formula>-1</formula>
    </cfRule>
  </conditionalFormatting>
  <conditionalFormatting sqref="Z3197:AA3204">
    <cfRule type="cellIs" dxfId="0" priority="358" operator="lessThan">
      <formula>-1</formula>
    </cfRule>
  </conditionalFormatting>
  <dataValidations count="1">
    <dataValidation type="list" allowBlank="1" showInputMessage="1" showErrorMessage="1" sqref="B3265" xr:uid="{DA34BD54-EA07-4A5D-BB72-3CD0BAA46E89}">
      <formula1>$AA$3:$AA$98</formula1>
    </dataValidation>
  </dataValidations>
  <hyperlinks>
    <hyperlink ref="A551" r:id="rId1" xr:uid="{A2F9A1EE-C181-41A9-8BD5-DAAF75295B4F}"/>
    <hyperlink ref="K1129" location="Ekim!K612" display="Back" xr:uid="{A09D1E2C-0475-416A-AC32-7890C95221F5}"/>
    <hyperlink ref="S614" location="Ekim!A1792" display="Go To:" xr:uid="{1C8C90BA-E8AB-48A9-9C77-CD73B98A6621}"/>
    <hyperlink ref="K1145" location="Ekim!K612" display="Back" xr:uid="{1BDF6E58-2072-4136-97C6-5C3A5A5F57CF}"/>
    <hyperlink ref="K1161" location="Ekim!K612" display="Back" xr:uid="{4E92D8CF-BBEA-4F55-B4DC-52ED2CE53385}"/>
    <hyperlink ref="K1177" location="Ekim!K612" display="Back" xr:uid="{63D47797-66DC-4912-BAA2-657444503606}"/>
    <hyperlink ref="K1193" location="Ekim!K612" display="Back" xr:uid="{302FB58E-7C77-4233-8703-EDF30C7E4E65}"/>
    <hyperlink ref="K1209" location="Ekim!K612" display="Back" xr:uid="{F8FB27AF-80C0-4087-AAC6-BFFF1C449C28}"/>
    <hyperlink ref="K1225" location="Ekim!K612" display="Back" xr:uid="{A05CF7A8-F3EC-4570-BFC8-75A468A24E51}"/>
    <hyperlink ref="K1241" location="Ekim!K612" display="Back" xr:uid="{B57F9330-ECCB-42D6-B0FE-8C89F7D8F937}"/>
    <hyperlink ref="K1257" location="Ekim!K612" display="Back" xr:uid="{06CF6A7E-E4FB-4217-825F-F0427E7DD2B4}"/>
    <hyperlink ref="K1272" location="Ekim!K612" display="Back" xr:uid="{6A4951BE-525C-4DBF-89F1-0F30BEBB780F}"/>
    <hyperlink ref="K1287" location="Ekim!K612" display="Back" xr:uid="{15F32DA8-7A8B-4BEE-9156-B7226EEF5A16}"/>
    <hyperlink ref="A1780" location="Ekim!K614" display="Stocks" xr:uid="{DB968411-D3B1-48DE-98A9-1C50C91F6BD0}"/>
    <hyperlink ref="W2830" r:id="rId2" display="https://money.cnn.com/data/fear-and-greed/" xr:uid="{20FB5703-5555-4936-AAFE-6BFFAAC03A01}"/>
    <hyperlink ref="W2832" r:id="rId3" display="https://money.cnn.com/data/afterhours/" xr:uid="{7E17A6DB-4ABD-441F-B23D-6C83D9E14C0A}"/>
    <hyperlink ref="W2831" r:id="rId4" display="https://www.bls.gov/cpi/" xr:uid="{AC8EC7D2-02CF-405D-B1F8-FF0B3F58EB4B}"/>
    <hyperlink ref="L2845" r:id="rId5" display="https://money.cnn.com/data/fear-and-greed/" xr:uid="{BC7F82C5-20CA-4929-B16B-841AE904D90A}"/>
    <hyperlink ref="L2847" r:id="rId6" display="https://money.cnn.com/data/afterhours/" xr:uid="{D39D361C-BF27-4851-8855-6D985CF1A73D}"/>
    <hyperlink ref="L2846" r:id="rId7" display="https://www.bls.gov/cpi/" xr:uid="{553452B0-E2A3-44BB-8739-401A71D4B508}"/>
    <hyperlink ref="L2859" r:id="rId8" display="https://money.cnn.com/data/fear-and-greed/" xr:uid="{1AB68AD9-F1B7-4CD6-BF38-478EAE801F77}"/>
    <hyperlink ref="L2861" r:id="rId9" display="https://money.cnn.com/data/afterhours/" xr:uid="{32F1A33E-2349-41B3-B1B9-7C6E5237BD08}"/>
    <hyperlink ref="L2860" r:id="rId10" display="https://www.bls.gov/cpi/" xr:uid="{78A6DE17-3730-4C89-A175-A7906C421CB2}"/>
    <hyperlink ref="L2873" r:id="rId11" display="https://money.cnn.com/data/fear-and-greed/" xr:uid="{1B0986AF-1BFD-46A9-9D40-3590C36F6A2F}"/>
    <hyperlink ref="K2893" r:id="rId12" display="https://money.cnn.com/data/fear-and-greed/" xr:uid="{1A6B38EE-31FD-4319-8DB5-F16CB7FA77CC}"/>
    <hyperlink ref="K2894" r:id="rId13" display="https://www.currentmarketvaluation.com/models/buffett-indicator.php" xr:uid="{C6F14118-BB4E-4478-93F4-295B0F7E18EB}"/>
    <hyperlink ref="K2895" r:id="rId14" display="https://tradingeconomics.com/" xr:uid="{B19C096B-4BED-4176-9D1C-48067035C590}"/>
    <hyperlink ref="K2896" r:id="rId15" display="https://tradingeconomics.com/commodities" xr:uid="{D2D72A83-DACA-4487-801F-291BDA26E7AE}"/>
    <hyperlink ref="K2908" r:id="rId16" display="https://money.cnn.com/data/fear-and-greed/" xr:uid="{25802004-C8A9-4397-842A-6016B68808C4}"/>
    <hyperlink ref="K2909" r:id="rId17" display="https://www.currentmarketvaluation.com/models/buffett-indicator.php" xr:uid="{765E0116-E4B8-45F8-8B9A-FDBBBE2ACF73}"/>
    <hyperlink ref="K2910" r:id="rId18" display="https://tradingeconomics.com/" xr:uid="{4F0255D7-4E5A-49B6-858A-BD4AF731CA67}"/>
    <hyperlink ref="K2911" r:id="rId19" display="https://tradingeconomics.com/commodities" xr:uid="{7B3ECCC9-3E25-4EC1-82D0-DA562AC7337D}"/>
    <hyperlink ref="K2924" r:id="rId20" display="https://money.cnn.com/data/fear-and-greed/" xr:uid="{177E1923-6EAA-42C4-A386-2109A98CDDB8}"/>
    <hyperlink ref="K2925" r:id="rId21" display="https://www.currentmarketvaluation.com/models/buffett-indicator.php" xr:uid="{02B85950-E589-4057-9E0E-FE3A4384AB27}"/>
    <hyperlink ref="K2926" r:id="rId22" display="https://tradingeconomics.com/" xr:uid="{4D804671-AEAE-4A0A-BA06-3404F7E00AB8}"/>
    <hyperlink ref="K2927" r:id="rId23" display="https://tradingeconomics.com/commodities" xr:uid="{945DB546-6B88-4D4F-8024-885EEDB7545F}"/>
    <hyperlink ref="K2940" r:id="rId24" display="https://money.cnn.com/data/fear-and-greed/" xr:uid="{B4E361E3-3DF6-4EF9-961C-F6ED35DD67BF}"/>
    <hyperlink ref="K2941" r:id="rId25" display="https://www.currentmarketvaluation.com/models/buffett-indicator.php" xr:uid="{6FF613B6-0EC7-41C2-8F1E-2E575E73FB38}"/>
    <hyperlink ref="K2942" r:id="rId26" display="https://tradingeconomics.com/" xr:uid="{FE0FB258-D4A1-4D18-B2D0-167099E5F491}"/>
    <hyperlink ref="K2943" r:id="rId27" display="https://tradingeconomics.com/commodities" xr:uid="{DCBE74BE-E917-4CAB-971F-E14E08D5B642}"/>
    <hyperlink ref="K2956" r:id="rId28" display="https://money.cnn.com/data/fear-and-greed/" xr:uid="{1CD82864-A249-4135-892A-F65BD289BCCF}"/>
    <hyperlink ref="K2957" r:id="rId29" display="https://www.currentmarketvaluation.com/models/buffett-indicator.php" xr:uid="{111240F9-1C43-4FD0-9EE6-0D1892FC322B}"/>
    <hyperlink ref="K2958" r:id="rId30" display="https://tradingeconomics.com/" xr:uid="{EDDF5E71-C944-4531-BA17-BFDE80C0DDA5}"/>
    <hyperlink ref="K2959" r:id="rId31" display="https://tradingeconomics.com/commodities" xr:uid="{2AFBF44E-FAB9-4EE5-8C58-2018D7EF80F3}"/>
    <hyperlink ref="K2972" r:id="rId32" display="https://money.cnn.com/data/fear-and-greed/" xr:uid="{7902F8C5-F603-4DD5-9280-0FBF3844568B}"/>
    <hyperlink ref="K2973" r:id="rId33" display="https://www.currentmarketvaluation.com/models/buffett-indicator.php" xr:uid="{910515F0-060C-4FBB-BB5E-B4CE47E384A1}"/>
    <hyperlink ref="K2974" r:id="rId34" display="https://tradingeconomics.com/" xr:uid="{AB1962BF-530B-436F-89E4-AA0DD7AF67FB}"/>
    <hyperlink ref="K2975" r:id="rId35" display="https://tradingeconomics.com/commodities" xr:uid="{00D9BD4F-A9FE-43ED-80C9-B72B39F0CD2A}"/>
    <hyperlink ref="K2987" r:id="rId36" display="https://money.cnn.com/data/fear-and-greed/" xr:uid="{C634E86E-DB26-4496-A466-3A7A084FCC31}"/>
    <hyperlink ref="K2988" r:id="rId37" display="https://www.currentmarketvaluation.com/models/buffett-indicator.php" xr:uid="{0509ADA6-88A8-4E77-8A34-E0072B33D4EC}"/>
    <hyperlink ref="K2989" r:id="rId38" display="https://tradingeconomics.com/" xr:uid="{B0DF59EA-7D3C-443B-A6A5-C4BFC5DFD0AD}"/>
    <hyperlink ref="K2990" r:id="rId39" display="https://tradingeconomics.com/commodities" xr:uid="{A96456E4-F120-40BA-9BAD-6BEF992ED12E}"/>
    <hyperlink ref="K3002" r:id="rId40" display="https://money.cnn.com/data/fear-and-greed/" xr:uid="{902D7AC7-7732-4911-A025-F8BF0A84EBF7}"/>
    <hyperlink ref="K3003" r:id="rId41" display="https://www.currentmarketvaluation.com/models/buffett-indicator.php" xr:uid="{4C6E0F00-BF63-405E-9DDA-9868FD3E2680}"/>
    <hyperlink ref="K3004" r:id="rId42" display="https://tradingeconomics.com/" xr:uid="{FD242F53-D02E-4920-AC72-33A7779C38FB}"/>
    <hyperlink ref="K3005" r:id="rId43" display="https://tradingeconomics.com/commodities" xr:uid="{EE6EDE22-1395-4974-908F-E9D289153670}"/>
    <hyperlink ref="K3016" r:id="rId44" display="https://money.cnn.com/data/fear-and-greed/" xr:uid="{37214D37-F143-4FA2-B754-58672B4DA559}"/>
    <hyperlink ref="K3017" r:id="rId45" display="https://www.currentmarketvaluation.com/models/buffett-indicator.php" xr:uid="{5E7F4E0D-6F3D-4A74-B179-76DD07F31CEA}"/>
    <hyperlink ref="K3018" r:id="rId46" display="https://tradingeconomics.com/" xr:uid="{77D14049-459D-4AC2-B204-124A052F2E0E}"/>
    <hyperlink ref="K3019" r:id="rId47" display="https://tradingeconomics.com/commodities" xr:uid="{C84C9681-89CC-4B94-B91E-C37EB2F5BB22}"/>
    <hyperlink ref="K3029" r:id="rId48" display="https://money.cnn.com/data/fear-and-greed/" xr:uid="{01F94A84-4F44-4575-840A-31CAF74CE3A0}"/>
    <hyperlink ref="K3030" r:id="rId49" display="https://www.currentmarketvaluation.com/models/buffett-indicator.php" xr:uid="{B630D5ED-56FA-4BCB-8256-4F85B69997A0}"/>
    <hyperlink ref="K3031" r:id="rId50" display="https://tradingeconomics.com/" xr:uid="{11DAEAA0-3D85-4B57-A8D6-DC4885D06AA7}"/>
    <hyperlink ref="K3032" r:id="rId51" display="https://tradingeconomics.com/commodities" xr:uid="{D5916659-5C1F-4B09-BF06-84605C982047}"/>
    <hyperlink ref="K3042" r:id="rId52" display="https://money.cnn.com/data/fear-and-greed/" xr:uid="{458E4020-4FC2-4957-9786-C50E2DD67160}"/>
    <hyperlink ref="K3043" r:id="rId53" display="https://www.currentmarketvaluation.com/models/buffett-indicator.php" xr:uid="{FB1C406A-F7CD-4828-ACB6-E982EDB4006B}"/>
    <hyperlink ref="K3044" r:id="rId54" display="https://tradingeconomics.com/" xr:uid="{3C796FF4-8AB6-4F1E-9311-5BA86C186A65}"/>
    <hyperlink ref="K3045" r:id="rId55" display="https://tradingeconomics.com/commodities" xr:uid="{7EB0E8C7-4E03-4A74-BF95-E97E25DFCF3F}"/>
    <hyperlink ref="K3055" r:id="rId56" display="https://money.cnn.com/data/fear-and-greed/" xr:uid="{2BCF5B5A-DB7F-40F4-87C4-82A6CC95DFE4}"/>
    <hyperlink ref="K3056" r:id="rId57" display="https://www.currentmarketvaluation.com/models/buffett-indicator.php" xr:uid="{EF8E4684-2575-4F74-AE9E-CA0B29C81DFB}"/>
    <hyperlink ref="K3057" r:id="rId58" display="https://tradingeconomics.com/" xr:uid="{3080CA2E-83DA-404B-B755-9D33E03D17EE}"/>
    <hyperlink ref="K3058" r:id="rId59" display="https://tradingeconomics.com/commodities" xr:uid="{7A25C330-480C-46AC-A7A1-CD8224C69745}"/>
    <hyperlink ref="K3068" r:id="rId60" display="https://money.cnn.com/data/fear-and-greed/" xr:uid="{24507863-B0C1-49C8-8DE4-E5527F755DFE}"/>
    <hyperlink ref="K3069" r:id="rId61" display="https://www.currentmarketvaluation.com/models/buffett-indicator.php" xr:uid="{E21D589D-88E8-4C6D-8C0E-3B73A1EECAA5}"/>
    <hyperlink ref="K3070" r:id="rId62" display="https://tradingeconomics.com/" xr:uid="{4E9714CA-C86F-4940-B012-E197C528DEEB}"/>
    <hyperlink ref="K3071" r:id="rId63" display="https://tradingeconomics.com/commodities" xr:uid="{28165284-EBA8-4FA4-BAD6-CC367386FD25}"/>
    <hyperlink ref="K3081" r:id="rId64" display="https://money.cnn.com/data/fear-and-greed/" xr:uid="{4A158970-8CEE-4A86-A584-7D506FFFC08E}"/>
    <hyperlink ref="K3082" r:id="rId65" display="https://www.currentmarketvaluation.com/models/buffett-indicator.php" xr:uid="{4FA91F35-3EBE-45C6-92D4-F0AA7BC057B6}"/>
    <hyperlink ref="K3083" r:id="rId66" display="https://tradingeconomics.com/" xr:uid="{1929D86E-FD76-46A2-9271-8F418B56DA23}"/>
    <hyperlink ref="K3084" r:id="rId67" display="https://tradingeconomics.com/commodities" xr:uid="{39D74146-11D0-4958-82B9-635929FC9F10}"/>
    <hyperlink ref="K3094" r:id="rId68" display="https://money.cnn.com/data/fear-and-greed/" xr:uid="{75031745-B3AC-4534-B91F-183CDF578D64}"/>
    <hyperlink ref="K3095" r:id="rId69" display="https://www.currentmarketvaluation.com/models/buffett-indicator.php" xr:uid="{CAB8C16D-32A5-4F98-BB9A-00D6644F87F6}"/>
    <hyperlink ref="K3096" r:id="rId70" display="https://tradingeconomics.com/" xr:uid="{9320FDCF-6BC7-489E-9379-B84093EE6EEE}"/>
    <hyperlink ref="K3097" r:id="rId71" display="https://tradingeconomics.com/commodities" xr:uid="{C7C19604-8135-4C89-8726-6BF995C69F10}"/>
    <hyperlink ref="K3107" r:id="rId72" display="https://money.cnn.com/data/fear-and-greed/" xr:uid="{6C3865A7-7C63-426C-8E07-A3A20A5FE388}"/>
    <hyperlink ref="K3108" r:id="rId73" display="https://www.currentmarketvaluation.com/models/buffett-indicator.php" xr:uid="{D365218C-7F14-4356-BC71-9D3AA41CDC05}"/>
    <hyperlink ref="K3109" r:id="rId74" display="https://tradingeconomics.com/" xr:uid="{39BB66FD-9076-487E-8BC2-1AFE0E33583E}"/>
    <hyperlink ref="K3110" r:id="rId75" display="https://tradingeconomics.com/commodities" xr:uid="{8CD98B07-6741-4768-B3C3-CBFC3B2C3E8D}"/>
    <hyperlink ref="K3120" r:id="rId76" display="https://money.cnn.com/data/fear-and-greed/" xr:uid="{67D4468E-DB28-4026-A369-E218DA6DCB00}"/>
    <hyperlink ref="K3121" r:id="rId77" display="https://www.currentmarketvaluation.com/models/buffett-indicator.php" xr:uid="{D1510E38-E28F-4312-9802-BF9B1CFFC881}"/>
    <hyperlink ref="K3122" r:id="rId78" display="https://tradingeconomics.com/" xr:uid="{D5926F63-F2F3-4E77-82B5-28F1DCCFF3D5}"/>
    <hyperlink ref="K3123" r:id="rId79" display="https://tradingeconomics.com/commodities" xr:uid="{0246F5ED-E6B3-48E7-BBEF-CFD452D9628A}"/>
    <hyperlink ref="K3133" r:id="rId80" display="https://money.cnn.com/data/fear-and-greed/" xr:uid="{C987ECDE-2748-4137-89F8-97A4C04123C6}"/>
    <hyperlink ref="K3134" r:id="rId81" display="https://www.currentmarketvaluation.com/models/buffett-indicator.php" xr:uid="{29299B65-46DD-42DD-A853-0EA3997870D9}"/>
    <hyperlink ref="K3135" r:id="rId82" display="https://tradingeconomics.com/" xr:uid="{3E103BE2-2E23-4508-88EC-F4DE589E5E7E}"/>
    <hyperlink ref="K3136" r:id="rId83" display="https://tradingeconomics.com/commodities" xr:uid="{A0F721FC-F19E-4519-9E52-52268E463CCA}"/>
    <hyperlink ref="K3150" r:id="rId84" display="https://money.cnn.com/data/fear-and-greed/" xr:uid="{56EEE2E6-94AA-4AEF-99C9-1454A2F3142E}"/>
    <hyperlink ref="K3151" r:id="rId85" display="https://www.currentmarketvaluation.com/models/buffett-indicator.php" xr:uid="{8DFBFBB4-0B13-4C7C-B5C9-495B6111881C}"/>
    <hyperlink ref="K3152" r:id="rId86" display="https://tradingeconomics.com/" xr:uid="{9A0FD731-DA0B-4E47-812D-E0490ACC12AC}"/>
    <hyperlink ref="K3153" r:id="rId87" display="https://tradingeconomics.com/commodities" xr:uid="{CF6075D6-F10E-4EC0-A6CB-173FD292B96B}"/>
    <hyperlink ref="K3170" r:id="rId88" display="https://money.cnn.com/data/fear-and-greed/" xr:uid="{B97C3B2E-54CD-4302-9604-309FC60106F4}"/>
    <hyperlink ref="K3171" r:id="rId89" display="https://www.currentmarketvaluation.com/models/buffett-indicator.php" xr:uid="{517E1798-8F0A-4D8E-8932-E72BB5A34DE4}"/>
    <hyperlink ref="K3172" r:id="rId90" display="https://tradingeconomics.com/" xr:uid="{758C620F-4A5E-42A0-9404-42CA7D0CF0A0}"/>
    <hyperlink ref="K3173" r:id="rId91" display="https://tradingeconomics.com/commodities" xr:uid="{1487A4B2-2978-4B53-B2AC-5D355427F3EC}"/>
    <hyperlink ref="K3189" r:id="rId92" display="https://money.cnn.com/data/fear-and-greed/" xr:uid="{B6021D75-9CD7-41C6-B71D-853F0621C98A}"/>
    <hyperlink ref="K3190" r:id="rId93" display="https://www.currentmarketvaluation.com/models/buffett-indicator.php" xr:uid="{AB8E8A37-9962-40F4-B557-3A90D0E4CFCE}"/>
    <hyperlink ref="K3191" r:id="rId94" display="https://tradingeconomics.com/" xr:uid="{DA8F8D87-83CB-4728-BC04-DCDF6CF7ABA6}"/>
    <hyperlink ref="K3192" r:id="rId95" display="https://tradingeconomics.com/commodities" xr:uid="{F4FA45DC-FBB2-4348-80C5-8E7DCFC5849C}"/>
    <hyperlink ref="K3207" r:id="rId96" display="https://money.cnn.com/data/fear-and-greed/" xr:uid="{99ACBCB4-5644-4A94-AD6E-3651B6B51AEC}"/>
    <hyperlink ref="K3208" r:id="rId97" display="https://www.currentmarketvaluation.com/models/buffett-indicator.php" xr:uid="{A4CE9C4A-8001-47FE-A7BA-1000D9C282D0}"/>
    <hyperlink ref="K3209" r:id="rId98" display="https://tradingeconomics.com/" xr:uid="{74780D4C-C9D1-4FEB-A576-CD21EBF6188F}"/>
    <hyperlink ref="K3210" r:id="rId99" display="https://tradingeconomics.com/commodities" xr:uid="{3EBE65EF-F26B-4BA6-913B-6BB91681304F}"/>
    <hyperlink ref="K3211" r:id="rId100" display="https://www.usinflationcalculator.com/inflation/consumer-price-index-and-annual-percent-changes-from-1913-to-2008/" xr:uid="{D342A493-89D2-4A82-9D7A-713C04F3A73C}"/>
    <hyperlink ref="K3227" r:id="rId101" display="https://money.cnn.com/data/fear-and-greed/" xr:uid="{84E5BBD4-D596-4B0E-B004-C86651F66B40}"/>
    <hyperlink ref="K3228" r:id="rId102" display="https://www.currentmarketvaluation.com/models/buffett-indicator.php" xr:uid="{55DD6211-53F9-4635-959C-6D24615E2EE5}"/>
    <hyperlink ref="K3229" r:id="rId103" display="https://tradingeconomics.com/" xr:uid="{0DD3356B-4B65-42C7-B96D-F19D4A2421CE}"/>
    <hyperlink ref="K3230" r:id="rId104" display="https://tradingeconomics.com/commodities" xr:uid="{564F5B75-D08E-4060-90A6-DC4250D57AB9}"/>
    <hyperlink ref="K3231" r:id="rId105" display="https://www.usinflationcalculator.com/inflation/consumer-price-index-and-annual-percent-changes-from-1913-to-2008/" xr:uid="{FC0F834A-D46E-4C9B-BBC1-5EF435DB8F93}"/>
    <hyperlink ref="K3243" r:id="rId106" display="https://www.currentmarketvaluation.com/models/buffett-indicator.php" xr:uid="{0A422A97-A816-4938-A6E9-E85A0F931CBD}"/>
    <hyperlink ref="K3244" r:id="rId107" display="https://tradingeconomics.com/" xr:uid="{D798AE4E-B85E-4AC3-BFB0-4D53C7C87905}"/>
    <hyperlink ref="K3245" r:id="rId108" display="https://tradingeconomics.com/commodities" xr:uid="{D495A137-6F3E-4713-897F-532984CE438D}"/>
    <hyperlink ref="K3246" r:id="rId109" display="https://www.usinflationcalculator.com/inflation/consumer-price-index-and-annual-percent-changes-from-1913-to-2008/" xr:uid="{07BDBF53-9F41-4C98-ABC3-4C78F4AB6C71}"/>
    <hyperlink ref="K3242" r:id="rId110" display="https://money.cnn.com/data/fear-and-greed/" xr:uid="{00B20A03-6B47-46E2-B844-DC1015A55A98}"/>
    <hyperlink ref="K3258" r:id="rId111" display="https://www.currentmarketvaluation.com/models/buffett-indicator.php" xr:uid="{036A690A-27CA-4EAB-B397-F424C86DDE75}"/>
    <hyperlink ref="K3259" r:id="rId112" display="https://tradingeconomics.com/" xr:uid="{575D315A-2A8E-4CDF-9995-30BFE3F3B92D}"/>
    <hyperlink ref="K3260" r:id="rId113" display="https://tradingeconomics.com/commodities" xr:uid="{43290679-3BE8-4548-A141-0E9D36DDC30B}"/>
    <hyperlink ref="K3261" r:id="rId114" display="https://www.usinflationcalculator.com/inflation/consumer-price-index-and-annual-percent-changes-from-1913-to-2008/" xr:uid="{036D7514-C069-401B-A79C-5EDBC6352516}"/>
    <hyperlink ref="K3257" r:id="rId115" display="https://money.cnn.com/data/fear-and-greed/" xr:uid="{0D52481B-6685-4421-91BD-38A9A9CC3A43}"/>
    <hyperlink ref="K3273" r:id="rId116" display="https://www.currentmarketvaluation.com/models/buffett-indicator.php" xr:uid="{8471350E-D877-4CE3-B739-5BA63FBBADDE}"/>
    <hyperlink ref="K3274" r:id="rId117" display="https://tradingeconomics.com/" xr:uid="{B2CA0DDC-8D18-4F91-95A0-AEA7C1EE1F21}"/>
    <hyperlink ref="K3275" r:id="rId118" display="https://tradingeconomics.com/commodities" xr:uid="{F7C5CD86-80C5-4934-B072-BCF92ABC7EA7}"/>
    <hyperlink ref="K3276" r:id="rId119" display="https://www.usinflationcalculator.com/inflation/consumer-price-index-and-annual-percent-changes-from-1913-to-2008/" xr:uid="{EA0663E7-1CC1-49F9-8D88-44CE0FD0506E}"/>
    <hyperlink ref="K3272" r:id="rId120" display="https://money.cnn.com/data/fear-and-greed/" xr:uid="{67128912-54FF-455D-BFD5-F26A0B99011B}"/>
    <hyperlink ref="K3288" r:id="rId121" display="https://www.currentmarketvaluation.com/models/buffett-indicator.php" xr:uid="{2FB4F989-EB83-4ABB-826F-18F9249FDB35}"/>
    <hyperlink ref="K3289" r:id="rId122" display="https://tradingeconomics.com/" xr:uid="{3F8B49CF-8282-45C1-8D72-BE22D5F211B1}"/>
    <hyperlink ref="K3290" r:id="rId123" display="https://tradingeconomics.com/commodities" xr:uid="{002A082D-57BB-42A3-9CD7-4844F1A91C9A}"/>
    <hyperlink ref="K3291" r:id="rId124" display="https://www.usinflationcalculator.com/inflation/consumer-price-index-and-annual-percent-changes-from-1913-to-2008/" xr:uid="{38F29D37-6278-4967-8E1B-A8304F15D6D3}"/>
    <hyperlink ref="K3287" r:id="rId125" display="https://money.cnn.com/data/fear-and-greed/" xr:uid="{446A9307-338C-4EF6-AAD0-40DA13B3DC3B}"/>
    <hyperlink ref="S3287" r:id="rId126" display="https://www.yardeni.com/pub/stmkteqmardebt.pdf" xr:uid="{516F3E95-758E-4CB7-A567-7948709EE440}"/>
    <hyperlink ref="K3303" r:id="rId127" display="https://www.currentmarketvaluation.com/models/buffett-indicator.php" xr:uid="{50759218-42A9-430F-8E6E-E5EBB268D1C5}"/>
    <hyperlink ref="K3304" r:id="rId128" display="https://tradingeconomics.com/" xr:uid="{068DE622-7361-4428-9EBE-416A41306152}"/>
    <hyperlink ref="K3305" r:id="rId129" display="https://tradingeconomics.com/commodities" xr:uid="{39B15E72-0B6D-47A2-B242-37B7AEC028B3}"/>
    <hyperlink ref="K3306" r:id="rId130" display="https://www.usinflationcalculator.com/inflation/consumer-price-index-and-annual-percent-changes-from-1913-to-2008/" xr:uid="{20AA2BCC-4990-4A41-AB0B-29E6FAD0BA81}"/>
    <hyperlink ref="K3302" r:id="rId131" display="https://money.cnn.com/data/fear-and-greed/" xr:uid="{10963FA0-64BC-4886-BDC5-2B23DAD6459E}"/>
    <hyperlink ref="S3302" r:id="rId132" display="https://www.yardeni.com/pub/stmkteqmardebt.pdf" xr:uid="{5C1A9D62-A0A9-452F-B1DE-B2DF0E4F722B}"/>
    <hyperlink ref="K3318" r:id="rId133" display="https://www.currentmarketvaluation.com/models/buffett-indicator.php" xr:uid="{53C8D83B-36FA-43DE-8704-155E74329A15}"/>
    <hyperlink ref="K3319" r:id="rId134" display="https://tradingeconomics.com/" xr:uid="{BDA6DD1B-36E3-4DF5-8878-8C527984ACE3}"/>
    <hyperlink ref="K3320" r:id="rId135" display="https://tradingeconomics.com/commodities" xr:uid="{714F5E0A-7FDF-4650-8A2F-6031EE9ABB4A}"/>
    <hyperlink ref="K3321" r:id="rId136" display="https://www.usinflationcalculator.com/inflation/consumer-price-index-and-annual-percent-changes-from-1913-to-2008/" xr:uid="{889FB39F-D4DA-40A1-89B4-B356698086F3}"/>
    <hyperlink ref="K3317" r:id="rId137" display="https://money.cnn.com/data/fear-and-greed/" xr:uid="{6F89D08B-0306-4D92-861B-4BBD37012C8D}"/>
    <hyperlink ref="S3317" r:id="rId138" display="https://www.yardeni.com/pub/stmkteqmardebt.pdf" xr:uid="{C5C85D07-735F-4E03-B838-3DB7E3280AD9}"/>
    <hyperlink ref="K3333" r:id="rId139" display="https://www.currentmarketvaluation.com/models/buffett-indicator.php" xr:uid="{AF6CFB7B-B178-4C36-B60A-2B20EC4A20C5}"/>
    <hyperlink ref="K3334" r:id="rId140" display="https://tradingeconomics.com/" xr:uid="{50F90270-F2F6-4F2D-BF78-4AE8B6309F87}"/>
    <hyperlink ref="K3335" r:id="rId141" display="https://tradingeconomics.com/commodities" xr:uid="{F4C824BC-D273-40BD-A8DB-1A6650926C9E}"/>
    <hyperlink ref="K3336" r:id="rId142" display="https://www.usinflationcalculator.com/inflation/consumer-price-index-and-annual-percent-changes-from-1913-to-2008/" xr:uid="{E88D9AAB-53E8-49B2-8F66-A2681FCA3C60}"/>
    <hyperlink ref="K3332" r:id="rId143" display="https://money.cnn.com/data/fear-and-greed/" xr:uid="{434734F3-4D26-4DA0-A94A-26449499AC52}"/>
    <hyperlink ref="S3332" r:id="rId144" display="https://www.yardeni.com/pub/stmkteqmardebt.pdf" xr:uid="{CFD24B0D-8E07-41D7-B398-EF06F4495C91}"/>
    <hyperlink ref="K3348" r:id="rId145" display="https://www.currentmarketvaluation.com/models/buffett-indicator.php" xr:uid="{2FDD2B5F-6F45-4D8F-806E-D44141F06F2C}"/>
    <hyperlink ref="K3349" r:id="rId146" display="https://tradingeconomics.com/" xr:uid="{CB021134-5A7D-4C90-B483-09D540154EC2}"/>
    <hyperlink ref="K3350" r:id="rId147" display="https://tradingeconomics.com/commodities" xr:uid="{E4E874ED-4CD1-4341-9972-9075D0549C33}"/>
    <hyperlink ref="K3351" r:id="rId148" display="https://www.usinflationcalculator.com/inflation/consumer-price-index-and-annual-percent-changes-from-1913-to-2008/" xr:uid="{7424AA81-A866-47B3-99AA-5E6B9C8498DA}"/>
    <hyperlink ref="K3347" r:id="rId149" display="https://money.cnn.com/data/fear-and-greed/" xr:uid="{52206F88-7681-447D-8E0C-A91AE03D0A4C}"/>
    <hyperlink ref="S3347" r:id="rId150" display="https://www.yardeni.com/pub/stmkteqmardebt.pdf" xr:uid="{993F20D9-4008-4CF4-A40A-808AFFFB08A1}"/>
    <hyperlink ref="K3363" r:id="rId151" display="https://www.currentmarketvaluation.com/models/buffett-indicator.php" xr:uid="{01C38391-EA03-408A-AC9B-730FAD0D1E76}"/>
    <hyperlink ref="K3364" r:id="rId152" display="https://tradingeconomics.com/" xr:uid="{82D80598-D84A-47D3-B081-D6583B2FA68B}"/>
    <hyperlink ref="K3365" r:id="rId153" display="https://tradingeconomics.com/commodities" xr:uid="{A3309C73-B928-4688-A362-DE6A74E2973B}"/>
    <hyperlink ref="K3366" r:id="rId154" display="https://www.usinflationcalculator.com/inflation/consumer-price-index-and-annual-percent-changes-from-1913-to-2008/" xr:uid="{79C796D0-FDFB-4415-B2B0-2110D55B8A50}"/>
    <hyperlink ref="K3362" r:id="rId155" display="https://money.cnn.com/data/fear-and-greed/" xr:uid="{E32488EA-7E66-4A03-8068-C7EC6C62188E}"/>
    <hyperlink ref="S3362" r:id="rId156" display="https://www.yardeni.com/pub/stmkteqmardebt.pdf" xr:uid="{92F375AA-2267-46C1-9E3C-F3598A006C33}"/>
    <hyperlink ref="K3378" r:id="rId157" display="https://www.currentmarketvaluation.com/models/buffett-indicator.php" xr:uid="{F5AD44C6-EA1A-4D11-81E0-7A77CB260CAA}"/>
    <hyperlink ref="K3379" r:id="rId158" display="https://tradingeconomics.com/" xr:uid="{FBAF37ED-3785-491C-B281-2977FC48490A}"/>
    <hyperlink ref="K3380" r:id="rId159" display="https://tradingeconomics.com/commodities" xr:uid="{B791A503-97F7-4CCF-87B6-0F77B2D6E7BA}"/>
    <hyperlink ref="K3381" r:id="rId160" display="https://www.usinflationcalculator.com/inflation/consumer-price-index-and-annual-percent-changes-from-1913-to-2008/" xr:uid="{5E97DF9C-4BED-492B-A3CC-1FB7402362D8}"/>
    <hyperlink ref="K3377" r:id="rId161" display="https://money.cnn.com/data/fear-and-greed/" xr:uid="{9C7BDDBE-D55C-4E5F-91F8-5CA3372C612E}"/>
    <hyperlink ref="S3377" r:id="rId162" display="https://www.yardeni.com/pub/stmkteqmardebt.pdf" xr:uid="{3FEC41E4-CD18-4133-B195-716F52867CD5}"/>
  </hyperlinks>
  <pageMargins left="0.7" right="0.7" top="0.75" bottom="0.75" header="0.3" footer="0.3"/>
  <pageSetup orientation="portrait" horizontalDpi="300" verticalDpi="300" r:id="rId163"/>
  <drawing r:id="rId164"/>
  <legacyDrawing r:id="rId165"/>
  <controls>
    <mc:AlternateContent xmlns:mc="http://schemas.openxmlformats.org/markup-compatibility/2006">
      <mc:Choice Requires="x14">
        <control shapeId="12290" r:id="rId166" name="CommandButton2">
          <controlPr defaultSize="0" autoLine="0" r:id="rId167">
            <anchor moveWithCells="1">
              <from>
                <xdr:col>33</xdr:col>
                <xdr:colOff>76200</xdr:colOff>
                <xdr:row>613</xdr:row>
                <xdr:rowOff>31750</xdr:rowOff>
              </from>
              <to>
                <xdr:col>33</xdr:col>
                <xdr:colOff>381000</xdr:colOff>
                <xdr:row>613</xdr:row>
                <xdr:rowOff>184150</xdr:rowOff>
              </to>
            </anchor>
          </controlPr>
        </control>
      </mc:Choice>
      <mc:Fallback>
        <control shapeId="12290" r:id="rId166" name="CommandButton2"/>
      </mc:Fallback>
    </mc:AlternateContent>
    <mc:AlternateContent xmlns:mc="http://schemas.openxmlformats.org/markup-compatibility/2006">
      <mc:Choice Requires="x14">
        <control shapeId="12289" r:id="rId168" name="CommandButton1">
          <controlPr defaultSize="0" autoLine="0" r:id="rId169">
            <anchor moveWithCells="1">
              <from>
                <xdr:col>0</xdr:col>
                <xdr:colOff>50800</xdr:colOff>
                <xdr:row>3276</xdr:row>
                <xdr:rowOff>0</xdr:rowOff>
              </from>
              <to>
                <xdr:col>0</xdr:col>
                <xdr:colOff>323850</xdr:colOff>
                <xdr:row>3276</xdr:row>
                <xdr:rowOff>171450</xdr:rowOff>
              </to>
            </anchor>
          </controlPr>
        </control>
      </mc:Choice>
      <mc:Fallback>
        <control shapeId="12289" r:id="rId168" name="CommandButton1"/>
      </mc:Fallback>
    </mc:AlternateContent>
  </controls>
  <extLst>
    <ext xmlns:x14="http://schemas.microsoft.com/office/spreadsheetml/2009/9/main" uri="{78C0D931-6437-407d-A8EE-F0AAD7539E65}">
      <x14:conditionalFormattings>
        <x14:conditionalFormatting xmlns:xm="http://schemas.microsoft.com/office/excel/2006/main">
          <x14:cfRule type="iconSet" priority="296" id="{FD21529F-A465-4E36-8591-07C5CD02402E}">
            <x14:iconSet iconSet="3Arrows" custom="1">
              <x14:cfvo type="percent">
                <xm:f>0</xm:f>
              </x14:cfvo>
              <x14:cfvo type="percent">
                <xm:f>-1</xm:f>
              </x14:cfvo>
              <x14:cfvo type="percent">
                <xm:f>1</xm:f>
              </x14:cfvo>
              <x14:cfIcon iconSet="3Arrows" iconId="0"/>
              <x14:cfIcon iconSet="3Arrows" iconId="0"/>
              <x14:cfIcon iconSet="3Arrows" iconId="2"/>
            </x14:iconSet>
          </x14:cfRule>
          <xm:sqref>E3214:E3226</xm:sqref>
        </x14:conditionalFormatting>
        <x14:conditionalFormatting xmlns:xm="http://schemas.microsoft.com/office/excel/2006/main">
          <x14:cfRule type="iconSet" priority="203" id="{13B0830F-28A6-459F-9709-FECC8D5D3E2C}">
            <x14:iconSet iconSet="3Arrows" custom="1">
              <x14:cfvo type="percent">
                <xm:f>0</xm:f>
              </x14:cfvo>
              <x14:cfvo type="percent">
                <xm:f>-1</xm:f>
              </x14:cfvo>
              <x14:cfvo type="percent">
                <xm:f>1</xm:f>
              </x14:cfvo>
              <x14:cfIcon iconSet="3Arrows" iconId="0"/>
              <x14:cfIcon iconSet="3Arrows" iconId="0"/>
              <x14:cfIcon iconSet="3Arrows" iconId="2"/>
            </x14:iconSet>
          </x14:cfRule>
          <xm:sqref>E3234:E3241</xm:sqref>
        </x14:conditionalFormatting>
        <x14:conditionalFormatting xmlns:xm="http://schemas.microsoft.com/office/excel/2006/main">
          <x14:cfRule type="iconSet" priority="295" id="{5046E2BB-AB7F-48EB-8C80-2EB769395A39}">
            <x14:iconSet iconSet="3Arrows" custom="1">
              <x14:cfvo type="percent">
                <xm:f>0</xm:f>
              </x14:cfvo>
              <x14:cfvo type="percent">
                <xm:f>-1</xm:f>
              </x14:cfvo>
              <x14:cfvo type="percent">
                <xm:f>1</xm:f>
              </x14:cfvo>
              <x14:cfIcon iconSet="3Arrows" iconId="0"/>
              <x14:cfIcon iconSet="3Arrows" iconId="0"/>
              <x14:cfIcon iconSet="3Arrows" iconId="2"/>
            </x14:iconSet>
          </x14:cfRule>
          <xm:sqref>E3249:E3256</xm:sqref>
        </x14:conditionalFormatting>
        <x14:conditionalFormatting xmlns:xm="http://schemas.microsoft.com/office/excel/2006/main">
          <x14:cfRule type="iconSet" priority="204" id="{D69F35D4-5011-49CE-B4FC-FEA37DFEA6D5}">
            <x14:iconSet iconSet="3Arrows" custom="1">
              <x14:cfvo type="percent">
                <xm:f>0</xm:f>
              </x14:cfvo>
              <x14:cfvo type="percent">
                <xm:f>-1</xm:f>
              </x14:cfvo>
              <x14:cfvo type="percent">
                <xm:f>1</xm:f>
              </x14:cfvo>
              <x14:cfIcon iconSet="3Arrows" iconId="0"/>
              <x14:cfIcon iconSet="3Arrows" iconId="0"/>
              <x14:cfIcon iconSet="3Arrows" iconId="2"/>
            </x14:iconSet>
          </x14:cfRule>
          <xm:sqref>E3264:E3271</xm:sqref>
        </x14:conditionalFormatting>
        <x14:conditionalFormatting xmlns:xm="http://schemas.microsoft.com/office/excel/2006/main">
          <x14:cfRule type="iconSet" priority="162" id="{54ACB81C-8DF9-4D31-8E42-94C57876C04E}">
            <x14:iconSet iconSet="3Arrows" custom="1">
              <x14:cfvo type="percent">
                <xm:f>0</xm:f>
              </x14:cfvo>
              <x14:cfvo type="percent">
                <xm:f>-1</xm:f>
              </x14:cfvo>
              <x14:cfvo type="percent">
                <xm:f>1</xm:f>
              </x14:cfvo>
              <x14:cfIcon iconSet="3Arrows" iconId="0"/>
              <x14:cfIcon iconSet="3Arrows" iconId="0"/>
              <x14:cfIcon iconSet="3Arrows" iconId="2"/>
            </x14:iconSet>
          </x14:cfRule>
          <xm:sqref>E3281:E3282</xm:sqref>
        </x14:conditionalFormatting>
        <x14:conditionalFormatting xmlns:xm="http://schemas.microsoft.com/office/excel/2006/main">
          <x14:cfRule type="iconSet" priority="150" id="{ED1EFA82-4B8A-465F-9078-329522138CA3}">
            <x14:iconSet iconSet="3Arrows" custom="1">
              <x14:cfvo type="percent">
                <xm:f>0</xm:f>
              </x14:cfvo>
              <x14:cfvo type="percent">
                <xm:f>-1</xm:f>
              </x14:cfvo>
              <x14:cfvo type="percent">
                <xm:f>1</xm:f>
              </x14:cfvo>
              <x14:cfIcon iconSet="3Arrows" iconId="0"/>
              <x14:cfIcon iconSet="3Arrows" iconId="0"/>
              <x14:cfIcon iconSet="3Arrows" iconId="2"/>
            </x14:iconSet>
          </x14:cfRule>
          <xm:sqref>E3286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B G H o V q n 1 e S O l A A A A 9 g A A A B I A H A B D b 2 5 m a W c v U G F j a 2 F n Z S 5 4 b W w g o h g A K K A U A A A A A A A A A A A A A A A A A A A A A A A A A A A A h Y + x D o I w G I R f h X S n L S V R Q 3 7 K 4 C q J C d G 4 N q V C I x R D i + X d H H w k X 0 G M o m 6 O d / d d c n e / 3 i A b 2 y a 4 q N 7 q z q Q o w h Q F y s i u 1 K Z K 0 e C O 4 Q p l H L Z C n k S l g g k 2 N h m t T l H t 3 D k h x H u P f Y y 7 v i K M 0 o g c 8 k 0 h a 9 W K U B v r h J E K f V r l / x b i s H + N 4 Q x H 0 R L H C 4 Y p k N m E X J s v w K a 9 z / T H h P X Q u K F X X J l w V w C Z J Z D 3 B / 4 A U E s D B B Q A A g A I A A R h 6 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E Y e h W K I p H u A 4 A A A A R A A A A E w A c A E Z v c m 1 1 b G F z L 1 N l Y 3 R p b 2 4 x L m 0 g o h g A K K A U A A A A A A A A A A A A A A A A A A A A A A A A A A A A K 0 5 N L s n M z 1 M I h t C G 1 g B Q S w E C L Q A U A A I A C A A E Y e h W q f V 5 I 6 U A A A D 2 A A A A E g A A A A A A A A A A A A A A A A A A A A A A Q 2 9 u Z m l n L 1 B h Y 2 t h Z 2 U u e G 1 s U E s B A i 0 A F A A C A A g A B G H o V g / K 6 a u k A A A A 6 Q A A A B M A A A A A A A A A A A A A A A A A 8 Q A A A F t D b 2 5 0 Z W 5 0 X 1 R 5 c G V z X S 5 4 b W x Q S w E C L Q A U A A I A C A A E Y e h 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W 1 U F V p P 5 C 0 K + X b o + L O S n t Q A A A A A C A A A A A A A Q Z g A A A A E A A C A A A A B q 8 m X c L 3 X Q t j + y i I K E 2 7 6 U J k P X 5 + y z u e 6 L G 5 F 6 J Y x P l g A A A A A O g A A A A A I A A C A A A A A 1 d 9 M C 6 b l L t e I 8 w m 7 r y B M r l Y 0 f r g g P X 7 B K K W Z E U g M y C 1 A A A A C n Q 0 y V x 8 + N K X 7 5 I j k 7 U Z E Q N / u h 0 P v / n 1 p C 2 + A 4 M R R X x c B m W 0 O H f t y c l n N c z u N S Q h L 6 X A H l k d 3 V C 1 C F V + T N O P 2 + N L f / M j 8 I b f F 3 s S k 7 K A H s t k A A A A B L m Y 4 n m 5 O N / 9 g N a o I x i G 4 U 4 c D 0 2 a Y Z 1 U I Z C n Z 5 z E Z x 3 8 P A l e O S C 6 l M n z l 3 1 5 2 Y r o 4 h A v B g 8 c 1 C 0 C 7 G k p y N c Y W G < / D a t a M a s h u p > 
</file>

<file path=customXml/itemProps1.xml><?xml version="1.0" encoding="utf-8"?>
<ds:datastoreItem xmlns:ds="http://schemas.openxmlformats.org/officeDocument/2006/customXml" ds:itemID="{442DDD67-FC86-4701-80CE-92E0060BC3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13</vt:i4>
      </vt:variant>
    </vt:vector>
  </HeadingPairs>
  <TitlesOfParts>
    <vt:vector size="21" baseType="lpstr">
      <vt:lpstr>Dashboard</vt:lpstr>
      <vt:lpstr>Digital Life Span</vt:lpstr>
      <vt:lpstr>Daily</vt:lpstr>
      <vt:lpstr>Raw Data</vt:lpstr>
      <vt:lpstr>Pivot</vt:lpstr>
      <vt:lpstr>Milestones</vt:lpstr>
      <vt:lpstr>Ideas.Goals</vt:lpstr>
      <vt:lpstr>Ekim (2018.2021)</vt:lpstr>
      <vt:lpstr>Dashboard!Day_01</vt:lpstr>
      <vt:lpstr>Day_01</vt:lpstr>
      <vt:lpstr>Day_02</vt:lpstr>
      <vt:lpstr>Day_03</vt:lpstr>
      <vt:lpstr>Day_04</vt:lpstr>
      <vt:lpstr>Day_05</vt:lpstr>
      <vt:lpstr>Day_06</vt:lpstr>
      <vt:lpstr>Day_07</vt:lpstr>
      <vt:lpstr>Day_08</vt:lpstr>
      <vt:lpstr>Day_09</vt:lpstr>
      <vt:lpstr>Day_10</vt:lpstr>
      <vt:lpstr>Day_8</vt:lpstr>
      <vt:lpstr>Lifespan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dc:creator>
  <cp:lastModifiedBy>Mike</cp:lastModifiedBy>
  <dcterms:created xsi:type="dcterms:W3CDTF">2022-02-09T15:32:12Z</dcterms:created>
  <dcterms:modified xsi:type="dcterms:W3CDTF">2023-09-03T22:14:34Z</dcterms:modified>
</cp:coreProperties>
</file>